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codeName="ThisWorkbook"/>
  <bookViews>
    <workbookView xWindow="7185" yWindow="6285" windowWidth="7020" windowHeight="6315" tabRatio="772" firstSheet="11" activeTab="13"/>
  </bookViews>
  <sheets>
    <sheet name="Input sheet" sheetId="11" r:id="rId1"/>
    <sheet name="Valuation output" sheetId="13" r:id="rId2"/>
    <sheet name="Option value" sheetId="14" r:id="rId3"/>
    <sheet name="Diagnostics" sheetId="12" r:id="rId4"/>
    <sheet name="R&amp; D converter" sheetId="25" r:id="rId5"/>
    <sheet name="Operating lease converter" sheetId="18" r:id="rId6"/>
    <sheet name="Cost of capital worksheet" sheetId="19" r:id="rId7"/>
    <sheet name="Synthetic rating" sheetId="20" r:id="rId8"/>
    <sheet name="Industry Averages(US)" sheetId="8" r:id="rId9"/>
    <sheet name="Country tax rates" sheetId="22" r:id="rId10"/>
    <sheet name="Country equity risk premiums" sheetId="23" r:id="rId11"/>
    <sheet name="Traiing 12 month" sheetId="24" r:id="rId12"/>
    <sheet name="Answer keys" sheetId="21" r:id="rId13"/>
    <sheet name="Global industry averages" sheetId="26" r:id="rId14"/>
    <sheet name="test" sheetId="30" r:id="rId15"/>
    <sheet name="Summary sheet" sheetId="27" r:id="rId16"/>
  </sheets>
  <calcPr calcId="125725" iterate="1" concurrentCalc="0"/>
</workbook>
</file>

<file path=xl/calcChain.xml><?xml version="1.0" encoding="utf-8"?>
<calcChain xmlns="http://schemas.openxmlformats.org/spreadsheetml/2006/main">
  <c r="E4" i="24"/>
  <c r="B9" i="11"/>
  <c r="E3" i="24"/>
  <c r="F7" i="25"/>
  <c r="A25"/>
  <c r="B25"/>
  <c r="E25"/>
  <c r="A12"/>
  <c r="A26"/>
  <c r="B26"/>
  <c r="E26"/>
  <c r="A13"/>
  <c r="A27"/>
  <c r="B27"/>
  <c r="E27"/>
  <c r="A14"/>
  <c r="A28"/>
  <c r="B28"/>
  <c r="E28"/>
  <c r="A15"/>
  <c r="A29"/>
  <c r="B29"/>
  <c r="E29"/>
  <c r="A16"/>
  <c r="A30"/>
  <c r="E30"/>
  <c r="A17"/>
  <c r="A31"/>
  <c r="E31"/>
  <c r="A18"/>
  <c r="A32"/>
  <c r="E32"/>
  <c r="A19"/>
  <c r="A33"/>
  <c r="E33"/>
  <c r="A20"/>
  <c r="A34"/>
  <c r="E34"/>
  <c r="E35"/>
  <c r="D37"/>
  <c r="D39"/>
  <c r="B5" i="13"/>
  <c r="E2" i="24"/>
  <c r="B8" i="11"/>
  <c r="B3" i="13"/>
  <c r="B4"/>
  <c r="L4"/>
  <c r="C2"/>
  <c r="C3"/>
  <c r="D2"/>
  <c r="D3"/>
  <c r="E2"/>
  <c r="E3"/>
  <c r="F2"/>
  <c r="F3"/>
  <c r="G2"/>
  <c r="G3"/>
  <c r="H2"/>
  <c r="H3"/>
  <c r="I2"/>
  <c r="I3"/>
  <c r="J2"/>
  <c r="J3"/>
  <c r="K2"/>
  <c r="K3"/>
  <c r="L2"/>
  <c r="L3"/>
  <c r="L5"/>
  <c r="C12" i="27"/>
  <c r="K4" i="13"/>
  <c r="K5"/>
  <c r="C11" i="27"/>
  <c r="J4" i="13"/>
  <c r="J5"/>
  <c r="C10" i="27"/>
  <c r="I4" i="13"/>
  <c r="I5"/>
  <c r="C9" i="27"/>
  <c r="H4" i="13"/>
  <c r="H5"/>
  <c r="C8" i="27"/>
  <c r="G4" i="13"/>
  <c r="G5"/>
  <c r="C7" i="27"/>
  <c r="F4" i="13"/>
  <c r="F5"/>
  <c r="C6" i="27"/>
  <c r="E4" i="13"/>
  <c r="E5"/>
  <c r="C5" i="27"/>
  <c r="D4" i="13"/>
  <c r="D5"/>
  <c r="C4" i="27"/>
  <c r="C4" i="13"/>
  <c r="C5"/>
  <c r="C3" i="27"/>
  <c r="B12"/>
  <c r="B11"/>
  <c r="B10"/>
  <c r="B9"/>
  <c r="B8"/>
  <c r="B7"/>
  <c r="B6"/>
  <c r="B5"/>
  <c r="B4"/>
  <c r="B3"/>
  <c r="C2"/>
  <c r="B2"/>
  <c r="E5" i="11"/>
  <c r="B33"/>
  <c r="B18"/>
  <c r="D7" i="24"/>
  <c r="B12" i="11"/>
  <c r="C10"/>
  <c r="E5" i="24"/>
  <c r="B10" i="11"/>
  <c r="B7" i="24"/>
  <c r="K25" i="11"/>
  <c r="K24"/>
  <c r="K23"/>
  <c r="K22"/>
  <c r="L58" i="19"/>
  <c r="L57"/>
  <c r="L56"/>
  <c r="L55"/>
  <c r="L54"/>
  <c r="L53"/>
  <c r="L52"/>
  <c r="L51"/>
  <c r="L50"/>
  <c r="L49"/>
  <c r="L48"/>
  <c r="J58"/>
  <c r="J57"/>
  <c r="J56"/>
  <c r="J55"/>
  <c r="J54"/>
  <c r="J53"/>
  <c r="J52"/>
  <c r="J51"/>
  <c r="J50"/>
  <c r="J49"/>
  <c r="J48"/>
  <c r="L47"/>
  <c r="J47"/>
  <c r="K48"/>
  <c r="K49"/>
  <c r="K50"/>
  <c r="K51"/>
  <c r="K52"/>
  <c r="K53"/>
  <c r="K54"/>
  <c r="K55"/>
  <c r="K56"/>
  <c r="K57"/>
  <c r="K58"/>
  <c r="K47"/>
  <c r="K59"/>
  <c r="L59"/>
  <c r="L31"/>
  <c r="J31"/>
  <c r="K31"/>
  <c r="J32"/>
  <c r="K32"/>
  <c r="J33"/>
  <c r="K33"/>
  <c r="J34"/>
  <c r="K34"/>
  <c r="J35"/>
  <c r="K35"/>
  <c r="J36"/>
  <c r="K36"/>
  <c r="J37"/>
  <c r="K37"/>
  <c r="J38"/>
  <c r="K38"/>
  <c r="J39"/>
  <c r="K39"/>
  <c r="J40"/>
  <c r="K40"/>
  <c r="J41"/>
  <c r="K41"/>
  <c r="J42"/>
  <c r="K42"/>
  <c r="K43"/>
  <c r="L32"/>
  <c r="L33"/>
  <c r="L34"/>
  <c r="L35"/>
  <c r="L36"/>
  <c r="L37"/>
  <c r="L38"/>
  <c r="L39"/>
  <c r="L40"/>
  <c r="L41"/>
  <c r="L42"/>
  <c r="L43"/>
  <c r="B9"/>
  <c r="I59"/>
  <c r="D12" i="20"/>
  <c r="C4"/>
  <c r="B17" i="19"/>
  <c r="B16"/>
  <c r="B4"/>
  <c r="B5"/>
  <c r="B46"/>
  <c r="D46"/>
  <c r="J17"/>
  <c r="I27"/>
  <c r="K17"/>
  <c r="L17"/>
  <c r="J18"/>
  <c r="K18"/>
  <c r="L18"/>
  <c r="J19"/>
  <c r="K19"/>
  <c r="L19"/>
  <c r="J20"/>
  <c r="K20"/>
  <c r="L20"/>
  <c r="J21"/>
  <c r="K21"/>
  <c r="L21"/>
  <c r="J22"/>
  <c r="K22"/>
  <c r="L22"/>
  <c r="J23"/>
  <c r="K23"/>
  <c r="L23"/>
  <c r="J24"/>
  <c r="K24"/>
  <c r="L24"/>
  <c r="J25"/>
  <c r="K25"/>
  <c r="L25"/>
  <c r="J26"/>
  <c r="K26"/>
  <c r="L26"/>
  <c r="L27"/>
  <c r="B13"/>
  <c r="C15" i="11"/>
  <c r="B15"/>
  <c r="C12"/>
  <c r="C11"/>
  <c r="B11"/>
  <c r="C9"/>
  <c r="C8"/>
  <c r="J24"/>
  <c r="D40" i="25"/>
  <c r="I22" i="11"/>
  <c r="J13" i="19"/>
  <c r="J12"/>
  <c r="J11"/>
  <c r="J10"/>
  <c r="J9"/>
  <c r="J8"/>
  <c r="J6"/>
  <c r="J5"/>
  <c r="J4"/>
  <c r="J3"/>
  <c r="I14"/>
  <c r="K11"/>
  <c r="L11"/>
  <c r="K10"/>
  <c r="L10"/>
  <c r="K9"/>
  <c r="L9"/>
  <c r="K8"/>
  <c r="L8"/>
  <c r="K6"/>
  <c r="L6"/>
  <c r="K5"/>
  <c r="L5"/>
  <c r="K4"/>
  <c r="L4"/>
  <c r="K3"/>
  <c r="L3"/>
  <c r="K13"/>
  <c r="L13"/>
  <c r="K12"/>
  <c r="L12"/>
  <c r="H26"/>
  <c r="H25"/>
  <c r="H24"/>
  <c r="H23"/>
  <c r="H22"/>
  <c r="H21"/>
  <c r="H20"/>
  <c r="H19"/>
  <c r="H18"/>
  <c r="H17"/>
  <c r="L14"/>
  <c r="B24" i="25"/>
  <c r="C24"/>
  <c r="D24"/>
  <c r="C25"/>
  <c r="D25"/>
  <c r="C26"/>
  <c r="D26"/>
  <c r="C27"/>
  <c r="D27"/>
  <c r="C28"/>
  <c r="D28"/>
  <c r="C29"/>
  <c r="D29"/>
  <c r="C30"/>
  <c r="B30"/>
  <c r="D30"/>
  <c r="C31"/>
  <c r="B31"/>
  <c r="D31"/>
  <c r="C32"/>
  <c r="B32"/>
  <c r="D32"/>
  <c r="C33"/>
  <c r="B33"/>
  <c r="D33"/>
  <c r="C34"/>
  <c r="B34"/>
  <c r="D34"/>
  <c r="D35"/>
  <c r="B10" i="19"/>
  <c r="B24"/>
  <c r="D48"/>
  <c r="J27" i="11"/>
  <c r="C14" i="24"/>
  <c r="I43" i="19"/>
  <c r="M6" i="13"/>
  <c r="B22" i="18"/>
  <c r="B23"/>
  <c r="B24"/>
  <c r="B25"/>
  <c r="B26"/>
  <c r="D18"/>
  <c r="B27"/>
  <c r="M2" i="13"/>
  <c r="M3"/>
  <c r="M12"/>
  <c r="B17"/>
  <c r="B6"/>
  <c r="C6"/>
  <c r="D6"/>
  <c r="E6"/>
  <c r="F6"/>
  <c r="G6"/>
  <c r="H6"/>
  <c r="B10"/>
  <c r="I24" i="11"/>
  <c r="C38" i="13"/>
  <c r="D38"/>
  <c r="E38"/>
  <c r="F38"/>
  <c r="G38"/>
  <c r="H38"/>
  <c r="H8"/>
  <c r="I6"/>
  <c r="I38"/>
  <c r="I8"/>
  <c r="J6"/>
  <c r="J38"/>
  <c r="J8"/>
  <c r="K6"/>
  <c r="K38"/>
  <c r="K8"/>
  <c r="L6"/>
  <c r="L38"/>
  <c r="L8"/>
  <c r="C8"/>
  <c r="D8"/>
  <c r="E8"/>
  <c r="F8"/>
  <c r="G8"/>
  <c r="B22"/>
  <c r="B27"/>
  <c r="B28"/>
  <c r="B26"/>
  <c r="I25" i="11"/>
  <c r="J26"/>
  <c r="J25"/>
  <c r="K27" i="19"/>
  <c r="K14"/>
  <c r="J23" i="11"/>
  <c r="J22"/>
  <c r="F7" i="20"/>
  <c r="A27" i="18"/>
  <c r="A26"/>
  <c r="A25"/>
  <c r="A24"/>
  <c r="A23"/>
  <c r="A22"/>
  <c r="B34" i="13"/>
  <c r="D9" i="14"/>
  <c r="D8"/>
  <c r="D5"/>
  <c r="D4"/>
  <c r="D3"/>
  <c r="D2"/>
  <c r="D7"/>
  <c r="F17"/>
  <c r="C17"/>
  <c r="C13"/>
  <c r="F14"/>
  <c r="F15"/>
  <c r="F18"/>
  <c r="F16"/>
  <c r="C14"/>
  <c r="C16"/>
  <c r="F13"/>
  <c r="B32" i="13"/>
  <c r="F6" i="20"/>
  <c r="F5"/>
  <c r="D9"/>
  <c r="D11"/>
  <c r="D13"/>
  <c r="B23" i="19"/>
  <c r="B31"/>
  <c r="C39"/>
  <c r="C40"/>
  <c r="C41"/>
  <c r="C42"/>
  <c r="C46"/>
  <c r="C43"/>
  <c r="E46"/>
  <c r="B47"/>
  <c r="C47"/>
  <c r="D47"/>
  <c r="E47"/>
  <c r="B48"/>
  <c r="C48"/>
  <c r="E48"/>
  <c r="B39" i="13"/>
  <c r="B2" i="12"/>
  <c r="C39" i="13"/>
  <c r="D39"/>
  <c r="E39"/>
  <c r="F39"/>
  <c r="G39"/>
  <c r="H39"/>
  <c r="I39"/>
  <c r="J39"/>
  <c r="K39"/>
  <c r="L39"/>
  <c r="B3" i="12"/>
  <c r="B4"/>
  <c r="B5"/>
  <c r="B6"/>
  <c r="C10" i="13"/>
  <c r="D10"/>
  <c r="E10"/>
  <c r="F10"/>
  <c r="G10"/>
  <c r="H10"/>
  <c r="I10"/>
  <c r="J10"/>
  <c r="K10"/>
  <c r="L7"/>
  <c r="L40"/>
  <c r="B7" i="12"/>
  <c r="B28" i="11"/>
  <c r="C12" i="13"/>
  <c r="C13"/>
  <c r="D12"/>
  <c r="D13"/>
  <c r="E12"/>
  <c r="E13"/>
  <c r="F12"/>
  <c r="F13"/>
  <c r="G12"/>
  <c r="G13"/>
  <c r="H12"/>
  <c r="H13"/>
  <c r="I12"/>
  <c r="I13"/>
  <c r="J12"/>
  <c r="J13"/>
  <c r="K12"/>
  <c r="K13"/>
  <c r="L12"/>
  <c r="L13"/>
  <c r="B8" i="12"/>
  <c r="M4" i="13"/>
  <c r="M5"/>
  <c r="M7"/>
  <c r="M40"/>
  <c r="M8"/>
  <c r="M9"/>
  <c r="B16"/>
  <c r="B18"/>
  <c r="B19"/>
  <c r="C7"/>
  <c r="C9"/>
  <c r="C14"/>
  <c r="D7"/>
  <c r="D9"/>
  <c r="D14"/>
  <c r="E7"/>
  <c r="E9"/>
  <c r="E14"/>
  <c r="F7"/>
  <c r="F9"/>
  <c r="F14"/>
  <c r="G7"/>
  <c r="G9"/>
  <c r="G14"/>
  <c r="H7"/>
  <c r="H9"/>
  <c r="H14"/>
  <c r="I7"/>
  <c r="I9"/>
  <c r="I14"/>
  <c r="J7"/>
  <c r="J9"/>
  <c r="J14"/>
  <c r="K7"/>
  <c r="K9"/>
  <c r="K14"/>
  <c r="L9"/>
  <c r="L14"/>
  <c r="B20"/>
  <c r="B21"/>
  <c r="B23"/>
  <c r="B24"/>
  <c r="B25"/>
  <c r="B29"/>
  <c r="I23" i="11"/>
  <c r="C15" i="18"/>
  <c r="C22"/>
  <c r="C23"/>
  <c r="C24"/>
  <c r="C25"/>
  <c r="C26"/>
  <c r="C27"/>
  <c r="C28"/>
  <c r="F31"/>
  <c r="F32"/>
  <c r="F33"/>
  <c r="D10" i="20"/>
  <c r="N5" i="13"/>
  <c r="B7"/>
  <c r="N8"/>
  <c r="L10"/>
  <c r="M10"/>
  <c r="B40"/>
  <c r="C40"/>
  <c r="D40"/>
  <c r="E40"/>
  <c r="F40"/>
  <c r="G40"/>
  <c r="H40"/>
  <c r="I40"/>
  <c r="J40"/>
  <c r="K40"/>
  <c r="B9" i="12"/>
  <c r="B10"/>
  <c r="C15" i="14"/>
  <c r="B20"/>
  <c r="B21"/>
  <c r="B23"/>
  <c r="B24"/>
  <c r="C26"/>
  <c r="D27"/>
  <c r="B30" i="13"/>
  <c r="B31"/>
  <c r="B33"/>
  <c r="B35"/>
</calcChain>
</file>

<file path=xl/comments1.xml><?xml version="1.0" encoding="utf-8"?>
<comments xmlns="http://schemas.openxmlformats.org/spreadsheetml/2006/main">
  <authors>
    <author>Aswath Damodaran</author>
  </authors>
  <commentList>
    <comment ref="C4" authorId="0">
      <text>
        <r>
          <rPr>
            <b/>
            <sz val="9"/>
            <color indexed="81"/>
            <rFont val="Geneva"/>
          </rPr>
          <t>Aswath Damodaran:</t>
        </r>
        <r>
          <rPr>
            <sz val="9"/>
            <color indexed="81"/>
            <rFont val="Geneva"/>
          </rPr>
          <t xml:space="preserve">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text>
        <r>
          <rPr>
            <b/>
            <sz val="9"/>
            <color indexed="81"/>
            <rFont val="Geneva"/>
          </rPr>
          <t>Aswath Damodaran:</t>
        </r>
        <r>
          <rPr>
            <sz val="9"/>
            <color indexed="81"/>
            <rFont val="Geneva"/>
          </rPr>
          <t xml:space="preserve">
If you are in multiple businesses, you can construct your own weighted averages using the industry average table from this spreadsheet and your company's business breakdown.</t>
        </r>
      </text>
    </comment>
    <comment ref="B8" authorId="0">
      <text>
        <r>
          <rPr>
            <b/>
            <sz val="9"/>
            <color indexed="81"/>
            <rFont val="Geneva"/>
          </rPr>
          <t>Aswath Damodaran:</t>
        </r>
        <r>
          <rPr>
            <sz val="9"/>
            <color indexed="81"/>
            <rFont val="Geneva"/>
          </rPr>
          <t xml:space="preserve">
Enter the revenues from the most recent period (you can either use annual or the trailing 12 months). If your company had no revenues, enter a very small positive number. (You need a base for your growth rate)</t>
        </r>
      </text>
    </comment>
    <comment ref="B9" authorId="0">
      <text>
        <r>
          <rPr>
            <b/>
            <sz val="9"/>
            <color indexed="81"/>
            <rFont val="Geneva"/>
          </rPr>
          <t>Aswath Damodaran:</t>
        </r>
        <r>
          <rPr>
            <sz val="9"/>
            <color indexed="81"/>
            <rFont val="Geneva"/>
          </rPr>
          <t xml:space="preserve">
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text>
        <r>
          <rPr>
            <b/>
            <sz val="9"/>
            <color indexed="81"/>
            <rFont val="Geneva"/>
          </rPr>
          <t>Aswath Damodaran:</t>
        </r>
        <r>
          <rPr>
            <sz val="9"/>
            <color indexed="81"/>
            <rFont val="Geneva"/>
          </rPr>
          <t xml:space="preserve">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text>
        <r>
          <rPr>
            <b/>
            <sz val="9"/>
            <color indexed="81"/>
            <rFont val="Geneva"/>
          </rPr>
          <t>Aswath Damodaran:</t>
        </r>
        <r>
          <rPr>
            <sz val="9"/>
            <color indexed="81"/>
            <rFont val="Geneva"/>
          </rPr>
          <t xml:space="preserve">
Enter the book value of interest bearing debt (short and long term) at your company from the most recent balance sheet. (Do not include accounts payable, supplier credit or other non-interest bearing liabilities.) </t>
        </r>
      </text>
    </comment>
    <comment ref="B15" authorId="0">
      <text>
        <r>
          <rPr>
            <b/>
            <sz val="9"/>
            <color indexed="81"/>
            <rFont val="Geneva"/>
          </rPr>
          <t>Aswath Damodaran:</t>
        </r>
        <r>
          <rPr>
            <sz val="9"/>
            <color indexed="81"/>
            <rFont val="Geneva"/>
          </rPr>
          <t xml:space="preserve">
Enter the cash balance from the most recent balance sheet. This should include marketable securities.</t>
        </r>
      </text>
    </comment>
    <comment ref="B16" authorId="0">
      <text>
        <r>
          <rPr>
            <b/>
            <sz val="9"/>
            <color indexed="81"/>
            <rFont val="Geneva"/>
          </rPr>
          <t>Aswath Damodaran:</t>
        </r>
        <r>
          <rPr>
            <sz val="9"/>
            <color indexed="81"/>
            <rFont val="Geneva"/>
          </rPr>
          <t xml:space="preserve">
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text>
        <r>
          <rPr>
            <b/>
            <sz val="9"/>
            <color indexed="81"/>
            <rFont val="Geneva"/>
          </rPr>
          <t>Aswath Damodaran:</t>
        </r>
        <r>
          <rPr>
            <sz val="9"/>
            <color indexed="81"/>
            <rFont val="Geneva"/>
          </rPr>
          <t xml:space="preserve">
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text>
        <r>
          <rPr>
            <b/>
            <sz val="9"/>
            <color indexed="81"/>
            <rFont val="Geneva"/>
          </rPr>
          <t>Aswath Damodaran:</t>
        </r>
        <r>
          <rPr>
            <sz val="9"/>
            <color indexed="81"/>
            <rFont val="Geneva"/>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B19" authorId="0">
      <text>
        <r>
          <rPr>
            <b/>
            <sz val="9"/>
            <color indexed="81"/>
            <rFont val="Geneva"/>
          </rPr>
          <t>Aswath Damodaran:</t>
        </r>
        <r>
          <rPr>
            <sz val="9"/>
            <color indexed="81"/>
            <rFont val="Geneva"/>
          </rPr>
          <t xml:space="preserve">
Enter the most recent stock price (how about today's?) in here. </t>
        </r>
      </text>
    </comment>
    <comment ref="B20" authorId="0">
      <text>
        <r>
          <rPr>
            <b/>
            <sz val="9"/>
            <color indexed="81"/>
            <rFont val="Geneva"/>
          </rPr>
          <t>Aswath Damodaran:</t>
        </r>
        <r>
          <rPr>
            <sz val="9"/>
            <color indexed="81"/>
            <rFont val="Geneva"/>
          </rPr>
          <t xml:space="preserve">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t>
        </r>
      </text>
    </comment>
    <comment ref="B21" authorId="0">
      <text>
        <r>
          <rPr>
            <b/>
            <sz val="9"/>
            <color indexed="81"/>
            <rFont val="Geneva"/>
          </rPr>
          <t>Aswath Damodaran:</t>
        </r>
        <r>
          <rPr>
            <sz val="9"/>
            <color indexed="81"/>
            <rFont val="Geneva"/>
          </rPr>
          <t xml:space="preserve">
This is a statutory tax rate. I use the tax rate of the country the company is domiciled in. See worksheet embedded in this spreadshseet for country tax rates.</t>
        </r>
      </text>
    </comment>
    <comment ref="B23" authorId="0">
      <text>
        <r>
          <rPr>
            <b/>
            <sz val="9"/>
            <color indexed="81"/>
            <rFont val="Geneva"/>
          </rPr>
          <t>Aswath Damodaran:</t>
        </r>
        <r>
          <rPr>
            <sz val="9"/>
            <color indexed="81"/>
            <rFont val="Geneva"/>
          </rPr>
          <t xml:space="preserve">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B24" authorId="0">
      <text>
        <r>
          <rPr>
            <b/>
            <sz val="9"/>
            <color indexed="81"/>
            <rFont val="Geneva"/>
          </rPr>
          <t>Aswath Damodaran:</t>
        </r>
        <r>
          <rPr>
            <sz val="9"/>
            <color indexed="81"/>
            <rFont val="Geneva"/>
          </rPr>
          <t xml:space="preserve">
You should start by looking at your company's current pre-tax operating margin  but also look at the average for your industry. (You can check my estimates of industry averages in the last worksheet on this spreadsheet.) </t>
        </r>
      </text>
    </comment>
    <comment ref="B25" authorId="0">
      <text>
        <r>
          <rPr>
            <b/>
            <sz val="9"/>
            <color indexed="81"/>
            <rFont val="Geneva"/>
          </rPr>
          <t>Aswath Damodaran:</t>
        </r>
        <r>
          <rPr>
            <sz val="9"/>
            <color indexed="81"/>
            <rFont val="Geneva"/>
          </rPr>
          <t xml:space="preserve">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(divide cell B3 by the sum of cells B5 and B6). Look at the industry averages as well in the worksheet.</t>
        </r>
      </text>
    </comment>
    <comment ref="B27" authorId="0">
      <text>
        <r>
          <rPr>
            <b/>
            <sz val="9"/>
            <color indexed="81"/>
            <rFont val="Geneva"/>
          </rPr>
          <t>Aswath Damodaran:</t>
        </r>
        <r>
          <rPr>
            <sz val="9"/>
            <color indexed="81"/>
            <rFont val="Geneva"/>
          </rPr>
          <t xml:space="preserve">
This should be today's long term riskfree rate. If you are working with a currency where the government has default risk, clean up the government bond rate to make it riskfree (by subtracting the default spread for the government).</t>
        </r>
      </text>
    </comment>
    <comment ref="B28" authorId="0">
      <text>
        <r>
          <rPr>
            <b/>
            <sz val="9"/>
            <color indexed="81"/>
            <rFont val="Geneva"/>
          </rPr>
          <t>Aswath Damodaran:</t>
        </r>
        <r>
          <rPr>
            <sz val="9"/>
            <color indexed="81"/>
            <rFont val="Geneva"/>
          </rPr>
          <t xml:space="preserve">
Enter the current cost of capital for your firm. If you don't know what it is, you can use the worksheet to compute it.</t>
        </r>
      </text>
    </comment>
    <comment ref="B31" authorId="0">
      <text>
        <r>
          <rPr>
            <b/>
            <sz val="9"/>
            <color indexed="81"/>
            <rFont val="Geneva"/>
          </rPr>
          <t>Aswath Damodaran:</t>
        </r>
        <r>
          <rPr>
            <sz val="9"/>
            <color indexed="81"/>
            <rFont val="Geneva"/>
          </rPr>
          <t xml:space="preserve">
Check your company's annual report or 10K. If it does have options outstanding, enter the total number here (vested and non vested, in the money and out…)</t>
        </r>
      </text>
    </comment>
    <comment ref="B32" authorId="0">
      <text>
        <r>
          <rPr>
            <b/>
            <sz val="9"/>
            <color indexed="81"/>
            <rFont val="Geneva"/>
          </rPr>
          <t>Aswath Damodaran:</t>
        </r>
        <r>
          <rPr>
            <sz val="9"/>
            <color indexed="81"/>
            <rFont val="Geneva"/>
          </rPr>
          <t xml:space="preserve">
Enter the weighted average strike price of your options. (Should be in your 10K or annual report.)</t>
        </r>
      </text>
    </comment>
    <comment ref="B33" authorId="0">
      <text>
        <r>
          <rPr>
            <b/>
            <sz val="9"/>
            <color indexed="81"/>
            <rFont val="Geneva"/>
          </rPr>
          <t>Aswath Damodaran:</t>
        </r>
        <r>
          <rPr>
            <sz val="9"/>
            <color indexed="81"/>
            <rFont val="Geneva"/>
          </rPr>
          <t xml:space="preserve">
The weighted average maturity of your options should be reported in your financial statements.</t>
        </r>
      </text>
    </comment>
    <comment ref="B34" authorId="0">
      <text>
        <r>
          <rPr>
            <b/>
            <sz val="9"/>
            <color indexed="81"/>
            <rFont val="Geneva"/>
          </rPr>
          <t>Aswath Damodaran:</t>
        </r>
        <r>
          <rPr>
            <sz val="9"/>
            <color indexed="81"/>
            <rFont val="Geneva"/>
          </rPr>
          <t xml:space="preserve">
If you have a standard deviation for your stock, enter that number. If not, use the industry average standard deviation from the worksheet.</t>
        </r>
      </text>
    </comment>
    <comment ref="B38" authorId="0">
      <text>
        <r>
          <rPr>
            <b/>
            <sz val="9"/>
            <color indexed="81"/>
            <rFont val="Geneva"/>
          </rPr>
          <t>Aswath Damodaran:</t>
        </r>
        <r>
          <rPr>
            <sz val="9"/>
            <color indexed="81"/>
            <rFont val="Geneva"/>
          </rPr>
          <t xml:space="preserve">
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39" authorId="0">
      <text>
        <r>
          <rPr>
            <b/>
            <sz val="9"/>
            <color indexed="81"/>
            <rFont val="Geneva"/>
          </rPr>
          <t>Aswath Damodaran:</t>
        </r>
        <r>
          <rPr>
            <sz val="9"/>
            <color indexed="81"/>
            <rFont val="Geneva"/>
          </rPr>
          <t xml:space="preserve">
Assuming that the cyclical nature of this business will result in a higher cost of capital.</t>
        </r>
      </text>
    </comment>
    <comment ref="B41" authorId="0">
      <text>
        <r>
          <rPr>
            <b/>
            <sz val="9"/>
            <color indexed="81"/>
            <rFont val="Geneva"/>
          </rPr>
          <t>Aswath Damodaran:</t>
        </r>
        <r>
          <rPr>
            <sz val="9"/>
            <color indexed="81"/>
            <rFont val="Geneva"/>
          </rPr>
          <t xml:space="preserve">
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2" authorId="0">
      <text>
        <r>
          <rPr>
            <b/>
            <sz val="9"/>
            <color indexed="81"/>
            <rFont val="Geneva"/>
          </rPr>
          <t>Aswath Damodaran:</t>
        </r>
        <r>
          <rPr>
            <sz val="9"/>
            <color indexed="81"/>
            <rFont val="Geneva"/>
          </rPr>
          <t xml:space="preserve">
This is a really difficult business to generate excess returns in, especially for mature companies. So, I will assume that the excess returns will converge to zero in year 10.</t>
        </r>
      </text>
    </comment>
    <comment ref="B44" authorId="0">
      <text>
        <r>
          <rPr>
            <b/>
            <sz val="9"/>
            <color indexed="81"/>
            <rFont val="Geneva"/>
          </rPr>
          <t>Aswath Damodaran:</t>
        </r>
        <r>
          <rPr>
            <sz val="9"/>
            <color indexed="81"/>
            <rFont val="Geneva"/>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5" authorId="0">
      <text>
        <r>
          <rPr>
            <b/>
            <sz val="9"/>
            <color indexed="81"/>
            <rFont val="Geneva"/>
          </rPr>
          <t>Aswath Damodaran</t>
        </r>
        <r>
          <rPr>
            <sz val="9"/>
            <color indexed="81"/>
            <rFont val="Geneva"/>
          </rPr>
          <t xml:space="preserve">
While the company is doing well right now and has little debt, it is still a money losing company that is one big shock (legal, financial, macro) from disaster. I have attached a 10% probability that this will happen and an estimate that the business will have to be sold at a substantial discount (50%) on fair value in that event.</t>
        </r>
      </text>
    </comment>
    <comment ref="B46" authorId="0">
      <text>
        <r>
          <rPr>
            <b/>
            <sz val="9"/>
            <color indexed="81"/>
            <rFont val="Geneva"/>
          </rPr>
          <t>Aswath Damodaran:</t>
        </r>
        <r>
          <rPr>
            <sz val="9"/>
            <color indexed="81"/>
            <rFont val="Geneva"/>
          </rPr>
          <t xml:space="preserve">
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47" authorId="0">
      <text>
        <r>
          <rPr>
            <b/>
            <sz val="9"/>
            <color indexed="81"/>
            <rFont val="Geneva"/>
          </rPr>
          <t>Aswath Damodaran:</t>
        </r>
        <r>
          <rPr>
            <sz val="9"/>
            <color indexed="81"/>
            <rFont val="Geneva"/>
          </rPr>
          <t xml:space="preserve">
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49" authorId="0">
      <text>
        <r>
          <rPr>
            <b/>
            <sz val="9"/>
            <color indexed="81"/>
            <rFont val="Geneva"/>
          </rPr>
          <t>Aswath Damodaran:</t>
        </r>
        <r>
          <rPr>
            <sz val="9"/>
            <color indexed="81"/>
            <rFont val="Geneva"/>
          </rPr>
          <t xml:space="preserve">
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1" authorId="0">
      <text>
        <r>
          <rPr>
            <b/>
            <sz val="9"/>
            <color indexed="81"/>
            <rFont val="Geneva"/>
          </rPr>
          <t>Aswath Damodaran:</t>
        </r>
        <r>
          <rPr>
            <sz val="9"/>
            <color indexed="81"/>
            <rFont val="Geneva"/>
          </rPr>
          <t xml:space="preserve">
If your company has been losing money for a while, there will be accumulated losses from prior periods. Check your financial statements.</t>
        </r>
      </text>
    </comment>
    <comment ref="B52" authorId="0">
      <text>
        <r>
          <rPr>
            <b/>
            <sz val="9"/>
            <color indexed="81"/>
            <rFont val="Geneva"/>
          </rPr>
          <t>Aswath Damodaran:</t>
        </r>
        <r>
          <rPr>
            <sz val="9"/>
            <color indexed="81"/>
            <rFont val="Geneva"/>
          </rPr>
          <t xml:space="preserve">
This is the NOL from prior years carried forward into this year.</t>
        </r>
      </text>
    </comment>
  </commentList>
</comments>
</file>

<file path=xl/comments2.xml><?xml version="1.0" encoding="utf-8"?>
<comments xmlns="http://schemas.openxmlformats.org/spreadsheetml/2006/main">
  <authors>
    <author>Aswath Damodaran</author>
  </authors>
  <commentList>
    <comment ref="D40" authorId="0">
      <text>
        <r>
          <rPr>
            <b/>
            <sz val="9"/>
            <color indexed="81"/>
            <rFont val="Geneva"/>
          </rPr>
          <t>Aswath Damodaran:</t>
        </r>
        <r>
          <rPr>
            <sz val="9"/>
            <color indexed="81"/>
            <rFont val="Geneva"/>
          </rPr>
          <t xml:space="preserve">
By expensing R&amp;D rather than capitalizing it, the firm gets a tax benefit. This is the dollar value of that tax benefit.</t>
        </r>
      </text>
    </comment>
  </commentList>
</comments>
</file>

<file path=xl/comments3.xml><?xml version="1.0" encoding="utf-8"?>
<comments xmlns="http://schemas.openxmlformats.org/spreadsheetml/2006/main">
  <authors>
    <author>Aswath Damodaran</author>
  </authors>
  <commentList>
    <comment ref="B9" authorId="0">
      <text>
        <r>
          <rPr>
            <b/>
            <sz val="9"/>
            <color indexed="81"/>
            <rFont val="Geneva"/>
          </rPr>
          <t>Aswath Damodaran:</t>
        </r>
        <r>
          <rPr>
            <sz val="9"/>
            <color indexed="81"/>
            <rFont val="Geneva"/>
          </rPr>
          <t xml:space="preserve">
Use a sector average beta, if need be.</t>
        </r>
      </text>
    </comment>
    <comment ref="B11" authorId="0">
      <text>
        <r>
          <rPr>
            <b/>
            <sz val="9"/>
            <color indexed="81"/>
            <rFont val="Geneva"/>
          </rPr>
          <t>Aswath Damodaran:</t>
        </r>
        <r>
          <rPr>
            <sz val="9"/>
            <color indexed="81"/>
            <rFont val="Geneva"/>
          </rPr>
          <t xml:space="preserve">
If you pick operating regions or countries, please input the revenues by country or region in the table to the right.</t>
        </r>
      </text>
    </comment>
    <comment ref="B13" authorId="0">
      <text>
        <r>
          <rPr>
            <b/>
            <sz val="9"/>
            <color indexed="81"/>
            <rFont val="Geneva"/>
          </rPr>
          <t>Aswath Damodaran:</t>
        </r>
        <r>
          <rPr>
            <sz val="9"/>
            <color indexed="81"/>
            <rFont val="Geneva"/>
          </rPr>
          <t xml:space="preserve">
If your company has risk exposure in emergiing markets, incorporate that risk premiums here. See worksheet on country risk premiums.</t>
        </r>
      </text>
    </comment>
    <comment ref="B17" authorId="0">
      <text>
        <r>
          <rPr>
            <b/>
            <sz val="9"/>
            <color indexed="81"/>
            <rFont val="Geneva"/>
          </rPr>
          <t>Aswath Damodaran:</t>
        </r>
        <r>
          <rPr>
            <sz val="9"/>
            <color indexed="81"/>
            <rFont val="Geneva"/>
          </rPr>
          <t xml:space="preserve">
Interest expense (gross) from most recent financial statement.</t>
        </r>
      </text>
    </comment>
    <comment ref="B18" authorId="0">
      <text>
        <r>
          <rPr>
            <b/>
            <sz val="9"/>
            <color indexed="81"/>
            <rFont val="Geneva"/>
          </rPr>
          <t>Aswath Damodaran:</t>
        </r>
        <r>
          <rPr>
            <sz val="9"/>
            <color indexed="81"/>
            <rFont val="Geneva"/>
          </rPr>
          <t xml:space="preserve">
Generally found in footnotes to financial statements.</t>
        </r>
      </text>
    </comment>
    <comment ref="B22" authorId="0">
      <text>
        <r>
          <rPr>
            <b/>
            <sz val="9"/>
            <color indexed="81"/>
            <rFont val="Geneva"/>
          </rPr>
          <t>Aswath Damodaran:</t>
        </r>
        <r>
          <rPr>
            <sz val="9"/>
            <color indexed="81"/>
            <rFont val="Geneva"/>
          </rPr>
          <t xml:space="preserve">
1: Large market cap (&gt;$5 billion) and safe.
2: Small market cap (&lt;$5 billion) or risky.
If company has volatile earnings or is in risky business, use 2, even if large market cap.</t>
        </r>
      </text>
    </comment>
    <comment ref="B23" authorId="0">
      <text>
        <r>
          <rPr>
            <b/>
            <sz val="9"/>
            <color indexed="81"/>
            <rFont val="Geneva"/>
          </rPr>
          <t>Aswath Damodaran:</t>
        </r>
        <r>
          <rPr>
            <sz val="9"/>
            <color indexed="81"/>
            <rFont val="Geneva"/>
          </rPr>
          <t xml:space="preserve">
Current, long term cost of borrowing money. If you have a rating use it, if not use a synthetic rating. See the worksheet attached.</t>
        </r>
      </text>
    </comment>
  </commentList>
</comments>
</file>

<file path=xl/comments4.xml><?xml version="1.0" encoding="utf-8"?>
<comments xmlns="http://schemas.openxmlformats.org/spreadsheetml/2006/main">
  <authors>
    <author>Aswath Damodaran</author>
  </authors>
  <commentList>
    <comment ref="F5" authorId="0">
      <text>
        <r>
          <rPr>
            <b/>
            <sz val="9"/>
            <color indexed="81"/>
            <rFont val="Geneva"/>
          </rPr>
          <t>Aswath Damodaran:</t>
        </r>
        <r>
          <rPr>
            <sz val="9"/>
            <color indexed="81"/>
            <rFont val="Geneva"/>
          </rPr>
          <t xml:space="preserve">
If your most recent year's operating income is unusually low or high, you can use the average operating income from the last few years. </t>
        </r>
      </text>
    </comment>
    <comment ref="F6" authorId="0">
      <text>
        <r>
          <rPr>
            <b/>
            <sz val="9"/>
            <color indexed="81"/>
            <rFont val="Geneva"/>
          </rPr>
          <t>Aswath Damodaran:</t>
        </r>
        <r>
          <rPr>
            <sz val="9"/>
            <color indexed="81"/>
            <rFont val="Geneva"/>
          </rPr>
          <t xml:space="preserve">
Enter the interest expense from the most recent income statement.</t>
        </r>
      </text>
    </comment>
    <comment ref="F7" authorId="0">
      <text>
        <r>
          <rPr>
            <b/>
            <sz val="9"/>
            <color indexed="81"/>
            <rFont val="Geneva"/>
          </rPr>
          <t>Aswath Damodaran:</t>
        </r>
        <r>
          <rPr>
            <sz val="9"/>
            <color indexed="81"/>
            <rFont val="Geneva"/>
          </rPr>
          <t xml:space="preserve">
I use a 10 year government bond rate.</t>
        </r>
      </text>
    </comment>
  </commentList>
</comments>
</file>

<file path=xl/sharedStrings.xml><?xml version="1.0" encoding="utf-8"?>
<sst xmlns="http://schemas.openxmlformats.org/spreadsheetml/2006/main" count="1267" uniqueCount="722">
  <si>
    <t>If calculated value is negative or looks too low</t>
    <phoneticPr fontId="5" type="noConversion"/>
  </si>
  <si>
    <t>If calculated value looks too high</t>
    <phoneticPr fontId="5" type="noConversion"/>
  </si>
  <si>
    <t>Increase revenue growth rate</t>
    <phoneticPr fontId="5" type="noConversion"/>
  </si>
  <si>
    <t>Decrease revenue growth rate</t>
    <phoneticPr fontId="5" type="noConversion"/>
  </si>
  <si>
    <t>Marginal ROIC over 10 years</t>
    <phoneticPr fontId="5" type="noConversion"/>
  </si>
  <si>
    <t>ROIC at end of valuation</t>
    <phoneticPr fontId="5" type="noConversion"/>
  </si>
  <si>
    <t>Inputs</t>
  </si>
  <si>
    <t>Invested capital at start of valuation</t>
    <phoneticPr fontId="5" type="noConversion"/>
  </si>
  <si>
    <t>Invested capital at end of valuation</t>
    <phoneticPr fontId="5" type="noConversion"/>
  </si>
  <si>
    <t>Change in invested capital over 10 years</t>
    <phoneticPr fontId="5" type="noConversion"/>
  </si>
  <si>
    <t>Change in EBIT*(1–t) (after-tax operating income) over 10 years</t>
    <phoneticPr fontId="5" type="noConversion"/>
  </si>
  <si>
    <t>Revenues</t>
  </si>
  <si>
    <t>EBIT(1-t)</t>
  </si>
  <si>
    <t>Number of shares</t>
    <phoneticPr fontId="4" type="noConversion"/>
  </si>
  <si>
    <t>Base year</t>
    <phoneticPr fontId="4" type="noConversion"/>
  </si>
  <si>
    <t xml:space="preserve"> - Reinvestment</t>
    <phoneticPr fontId="4" type="noConversion"/>
  </si>
  <si>
    <t>FCFF</t>
  </si>
  <si>
    <t>Pre-tax Operating Margin</t>
  </si>
  <si>
    <t>Implied variables</t>
    <phoneticPr fontId="4" type="noConversion"/>
  </si>
  <si>
    <t>Invested capital</t>
    <phoneticPr fontId="4" type="noConversion"/>
  </si>
  <si>
    <t>ROIC</t>
    <phoneticPr fontId="4" type="noConversion"/>
  </si>
  <si>
    <t>Revenue growth rate</t>
    <phoneticPr fontId="4" type="noConversion"/>
  </si>
  <si>
    <t>PV(FCFF)</t>
    <phoneticPr fontId="4" type="noConversion"/>
  </si>
  <si>
    <t>Terminal cash flow</t>
    <phoneticPr fontId="4" type="noConversion"/>
  </si>
  <si>
    <t>Terminal value</t>
    <phoneticPr fontId="4" type="noConversion"/>
  </si>
  <si>
    <t>PV(Terminal value)</t>
    <phoneticPr fontId="4" type="noConversion"/>
  </si>
  <si>
    <t>EBIT (Operating income)</t>
    <phoneticPr fontId="4" type="noConversion"/>
  </si>
  <si>
    <t>EBIT (Operating) margin</t>
    <phoneticPr fontId="4" type="noConversion"/>
  </si>
  <si>
    <t>Riskfree rate</t>
    <phoneticPr fontId="5" type="noConversion"/>
  </si>
  <si>
    <t>Your calculated value as a percent of current price</t>
    <phoneticPr fontId="5"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</si>
  <si>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</si>
  <si>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</si>
  <si>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</si>
  <si>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</si>
  <si>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</si>
  <si>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</si>
  <si>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</si>
  <si>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</si>
  <si>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</si>
  <si>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</si>
  <si>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</si>
  <si>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</si>
  <si>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</si>
  <si>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</si>
  <si>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</si>
  <si>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</si>
  <si>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</si>
  <si>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</si>
  <si>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</si>
  <si>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</si>
  <si>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Compounded annual revenue growth rate over next 5 years =</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</si>
  <si>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</si>
  <si>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</si>
  <si>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</si>
  <si>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</si>
  <si>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</si>
  <si>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</si>
  <si>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</si>
  <si>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</si>
  <si>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</si>
  <si>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</si>
  <si>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</si>
  <si>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</si>
  <si>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</si>
  <si>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</si>
  <si>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</si>
  <si>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</si>
  <si>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</si>
  <si>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</si>
  <si>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</si>
  <si>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</si>
  <si>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</si>
  <si>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</si>
  <si>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</si>
  <si>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</si>
  <si>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</si>
  <si>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</si>
  <si>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</si>
  <si>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</si>
  <si>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</si>
  <si>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</si>
  <si>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</si>
  <si>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</si>
  <si>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</si>
  <si>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</si>
  <si>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</si>
  <si>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</si>
  <si>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</si>
  <si>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</si>
  <si>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</si>
  <si>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</si>
  <si>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</si>
  <si>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</si>
  <si>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</si>
  <si>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</si>
  <si>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</si>
  <si>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</si>
  <si>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</si>
  <si>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</si>
  <si>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</si>
  <si>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</si>
  <si>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Aerospace/Defense</t>
  </si>
  <si>
    <t>Air Transport</t>
  </si>
  <si>
    <t>Apparel</t>
  </si>
  <si>
    <t>Auto Parts</t>
  </si>
  <si>
    <t>Automotive</t>
  </si>
  <si>
    <t>Bank</t>
  </si>
  <si>
    <t>Bank (Midwest)</t>
  </si>
  <si>
    <t>Beverage</t>
  </si>
  <si>
    <t>Biotechnology</t>
  </si>
  <si>
    <t>Building Materials</t>
  </si>
  <si>
    <t>Cable TV</t>
  </si>
  <si>
    <t>Chemical (Basic)</t>
  </si>
  <si>
    <t>Chemical (Diversified)</t>
  </si>
  <si>
    <t>Chemical (Specialty)</t>
  </si>
  <si>
    <t>Coal</t>
  </si>
  <si>
    <t>Computers/Peripherals</t>
  </si>
  <si>
    <t>Diversified Co.</t>
  </si>
  <si>
    <t>Drug</t>
  </si>
  <si>
    <t>E-Commerce</t>
  </si>
  <si>
    <t>Educational Services</t>
  </si>
  <si>
    <t>Electric Util. (Central)</t>
  </si>
  <si>
    <t>Electric Utility (East)</t>
  </si>
  <si>
    <t>Electric Utility (West)</t>
  </si>
  <si>
    <t>Electrical Equipment</t>
  </si>
  <si>
    <t>Electronics</t>
  </si>
  <si>
    <t>Engineering &amp; Const</t>
  </si>
  <si>
    <t>Entertainment</t>
  </si>
  <si>
    <t>Entertainment Tech</t>
  </si>
  <si>
    <t>Environmental</t>
  </si>
  <si>
    <t>Financial Svcs. (Div.)</t>
  </si>
  <si>
    <t>Food Processing</t>
  </si>
  <si>
    <t>Foreign Electronics</t>
  </si>
  <si>
    <t>Funeral Services</t>
  </si>
  <si>
    <t>Furn/Home Furnishings</t>
  </si>
  <si>
    <t>Healthcare Information</t>
  </si>
  <si>
    <t>Homebuilding</t>
  </si>
  <si>
    <t>Hotel/Gaming</t>
  </si>
  <si>
    <t>Household Products</t>
  </si>
  <si>
    <t>Human Resources</t>
  </si>
  <si>
    <t>Industrial Services</t>
  </si>
  <si>
    <t>Information Services</t>
  </si>
  <si>
    <t>Insurance (Life)</t>
  </si>
  <si>
    <t>Insurance (Prop/Cas.)</t>
  </si>
  <si>
    <t>Internet</t>
  </si>
  <si>
    <t>Machinery</t>
  </si>
  <si>
    <t>Maritime</t>
  </si>
  <si>
    <t>Medical Services</t>
  </si>
  <si>
    <t>Metal Fabricating</t>
  </si>
  <si>
    <t>Metals &amp; Mining (Div.)</t>
  </si>
  <si>
    <t>Natural Gas (Div.)</t>
  </si>
  <si>
    <t>Natural Gas Utility</t>
  </si>
  <si>
    <t>Newspaper</t>
  </si>
  <si>
    <t>Office Equip/Supplies</t>
  </si>
  <si>
    <t>Oil/Gas Distribution</t>
  </si>
  <si>
    <t>Oilfield Svcs/Equip.</t>
  </si>
  <si>
    <t>Packaging &amp; Container</t>
  </si>
  <si>
    <t>Paper/Forest Products</t>
  </si>
  <si>
    <t>Petroleum (Integrated)</t>
  </si>
  <si>
    <t>Petroleum (Producing)</t>
  </si>
  <si>
    <t>Pharmacy Services</t>
  </si>
  <si>
    <t>Pipeline MLPs</t>
  </si>
  <si>
    <t>Power</t>
  </si>
  <si>
    <t>Precious Metals</t>
  </si>
  <si>
    <t>Precision Instrument</t>
  </si>
  <si>
    <t>Property Management</t>
  </si>
  <si>
    <t>Public/Private Equity</t>
  </si>
  <si>
    <t>Publishing</t>
  </si>
  <si>
    <t>R.E.I.T.</t>
  </si>
  <si>
    <t>Railroad</t>
  </si>
  <si>
    <t>Recreation</t>
  </si>
  <si>
    <t>Reinsurance</t>
  </si>
  <si>
    <t>Restaurant</t>
  </si>
  <si>
    <t>Retail Automotive</t>
  </si>
  <si>
    <t>Retail Building Supply</t>
  </si>
  <si>
    <t>Retail Store</t>
  </si>
  <si>
    <t>Retail/Wholesale Food</t>
  </si>
  <si>
    <t>Securities Brokerage</t>
  </si>
  <si>
    <t>Semiconductor</t>
  </si>
  <si>
    <t>Semiconductor Equip</t>
  </si>
  <si>
    <t>Shoe</t>
  </si>
  <si>
    <t>Telecom. Equipment</t>
  </si>
  <si>
    <t>Telecom. Services</t>
  </si>
  <si>
    <t>Telecom. Utility</t>
  </si>
  <si>
    <t>Thrift</t>
  </si>
  <si>
    <t>Tobacco</t>
  </si>
  <si>
    <t>Toiletries/Cosmetics</t>
  </si>
  <si>
    <t>Trucking</t>
  </si>
  <si>
    <t>Water Utility</t>
  </si>
  <si>
    <t>Wireless Networking</t>
  </si>
  <si>
    <t>Total Market</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</si>
  <si>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</si>
  <si>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</si>
  <si>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</si>
  <si>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</si>
  <si>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</si>
  <si>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</si>
  <si>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</si>
  <si>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</si>
  <si>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</si>
  <si>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</si>
  <si>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</si>
  <si>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</si>
  <si>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</si>
  <si>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</si>
  <si>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</si>
  <si>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</si>
  <si>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</si>
  <si>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</si>
  <si>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</si>
  <si>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</si>
  <si>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</si>
  <si>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</si>
  <si>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</si>
  <si>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</si>
  <si>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</si>
  <si>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</si>
  <si>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</si>
  <si>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</si>
  <si>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</si>
  <si>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</si>
  <si>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</si>
  <si>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</si>
  <si>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</si>
  <si>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</si>
  <si>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</si>
  <si>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</si>
  <si>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</si>
  <si>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</si>
  <si>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</si>
  <si>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</si>
  <si>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</si>
  <si>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</si>
  <si>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</si>
  <si>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</si>
  <si>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</si>
  <si>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Though some sectors, even in stable growth, may have higher risk.</t>
  </si>
  <si>
    <t>But there are significant exceptions among companies with long-lasting competitive advantages.</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</si>
  <si>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</si>
  <si>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</si>
  <si>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</si>
  <si>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</si>
  <si>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</si>
  <si>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</si>
  <si>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</si>
  <si>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</si>
  <si>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</si>
  <si>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</si>
  <si>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</si>
  <si>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</si>
  <si>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</si>
  <si>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</si>
  <si>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</si>
  <si>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</si>
  <si>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</si>
  <si>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</si>
  <si>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</si>
  <si>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</si>
  <si>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</si>
  <si>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</si>
  <si>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</si>
  <si>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</si>
  <si>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</si>
  <si>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</si>
  <si>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</si>
  <si>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</si>
  <si>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Computer Software</t>
  </si>
  <si>
    <t>Heavy Truck &amp; Equip</t>
  </si>
  <si>
    <t>IT Services</t>
  </si>
  <si>
    <t>Med Supp Invasive</t>
  </si>
  <si>
    <t>Med Supp Non-Invasive</t>
  </si>
  <si>
    <t>Retail (Hardlines)</t>
  </si>
  <si>
    <t>Retail (Softlines)</t>
  </si>
  <si>
    <t>Steel</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</si>
  <si>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</si>
  <si>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</si>
  <si>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</si>
  <si>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</si>
  <si>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</si>
  <si>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</si>
  <si>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</si>
  <si>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</si>
  <si>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</si>
  <si>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</si>
  <si>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</si>
  <si>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</si>
  <si>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</si>
  <si>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</si>
  <si>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</si>
  <si>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</si>
  <si>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</si>
  <si>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</si>
  <si>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</si>
  <si>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</si>
  <si>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</si>
  <si>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</si>
  <si>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</si>
  <si>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</si>
  <si>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</si>
  <si>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</si>
  <si>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</si>
  <si>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</si>
  <si>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</si>
  <si>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</si>
  <si>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</si>
  <si>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</si>
  <si>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</si>
  <si>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</si>
  <si>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</si>
  <si>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</si>
  <si>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</si>
  <si>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</si>
  <si>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</si>
  <si>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</si>
  <si>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</si>
  <si>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</si>
  <si>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</si>
  <si>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</si>
  <si>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</si>
  <si>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</si>
  <si>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</si>
  <si>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</si>
  <si>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</si>
  <si>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</si>
  <si>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</si>
  <si>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8"/>
  </si>
  <si>
    <t>For large manufacturing firms</t>
  </si>
  <si>
    <t>If interest coverage ratio is</t>
  </si>
  <si>
    <t>If long term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</si>
  <si>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</si>
  <si>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</si>
  <si>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</si>
  <si>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</si>
  <si>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</si>
  <si>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</si>
  <si>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</si>
  <si>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</si>
  <si>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</si>
  <si>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</si>
  <si>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</si>
  <si>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</si>
  <si>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</si>
  <si>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</si>
  <si>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</si>
  <si>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</si>
  <si>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</si>
  <si>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</si>
  <si>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</si>
  <si>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</si>
  <si>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Afghanistan</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</si>
  <si>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</si>
  <si>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</si>
  <si>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</si>
  <si>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</si>
  <si>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</si>
  <si>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</si>
  <si>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</si>
  <si>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</si>
  <si>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</si>
  <si>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</si>
  <si>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</si>
  <si>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</si>
  <si>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</si>
  <si>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</si>
  <si>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</si>
  <si>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</si>
  <si>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</si>
  <si>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</si>
  <si>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</si>
  <si>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</si>
  <si>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</si>
  <si>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</si>
  <si>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</si>
  <si>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</si>
  <si>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</si>
  <si>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</si>
  <si>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</si>
  <si>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Curacao</t>
  </si>
  <si>
    <t>Cyprus</t>
  </si>
  <si>
    <t>Czech Republic</t>
  </si>
  <si>
    <t>Denmark</t>
  </si>
  <si>
    <t>Dominican Republic</t>
  </si>
  <si>
    <t>Ecuador</t>
  </si>
  <si>
    <t>Egypt</t>
  </si>
  <si>
    <t>Estonia</t>
  </si>
  <si>
    <t>Fiji</t>
  </si>
  <si>
    <t>Finland</t>
  </si>
  <si>
    <t>France</t>
  </si>
  <si>
    <t>Germany</t>
  </si>
  <si>
    <t>Gibraltar</t>
  </si>
  <si>
    <t>Greece</t>
  </si>
  <si>
    <t>Guatemala</t>
  </si>
  <si>
    <t>Guernsey</t>
  </si>
  <si>
    <t>Honduras</t>
  </si>
  <si>
    <t>Hong Kong</t>
  </si>
  <si>
    <t>Hungary</t>
  </si>
  <si>
    <t>Iceland</t>
  </si>
  <si>
    <t>India</t>
  </si>
  <si>
    <t>Indonesia</t>
  </si>
  <si>
    <t>Ireland</t>
  </si>
  <si>
    <t>Isle of Man</t>
  </si>
  <si>
    <t>Israel</t>
  </si>
  <si>
    <t>Italy</t>
  </si>
  <si>
    <t>Jamaica</t>
  </si>
  <si>
    <t>Japan</t>
  </si>
  <si>
    <t>Jersey</t>
  </si>
  <si>
    <t>Jordan</t>
  </si>
  <si>
    <t>Kazakhstan</t>
  </si>
  <si>
    <t>Korea, Republic of</t>
  </si>
  <si>
    <t>Kuwait</t>
  </si>
  <si>
    <t>Latvia</t>
  </si>
  <si>
    <t>Libya</t>
  </si>
  <si>
    <t>Liechtenstein</t>
  </si>
  <si>
    <t>Lithuania</t>
  </si>
  <si>
    <t>Luxembourg</t>
  </si>
  <si>
    <t>Macau</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</si>
  <si>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</si>
  <si>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</si>
  <si>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</si>
  <si>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</si>
  <si>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</si>
  <si>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</si>
  <si>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</si>
  <si>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</si>
  <si>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</si>
  <si>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</si>
  <si>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</si>
  <si>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</si>
  <si>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</si>
  <si>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</si>
  <si>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</si>
  <si>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</si>
  <si>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</si>
  <si>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</si>
  <si>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</si>
  <si>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</si>
  <si>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</si>
  <si>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</si>
  <si>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</si>
  <si>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</si>
  <si>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Saba</t>
  </si>
  <si>
    <t>Samoa</t>
  </si>
  <si>
    <t>Saudi Arabia</t>
  </si>
  <si>
    <t>Serbia</t>
  </si>
  <si>
    <t>Singapore</t>
  </si>
  <si>
    <t>Slovak Republic</t>
  </si>
  <si>
    <t>Slovenia</t>
  </si>
  <si>
    <t>South Africa</t>
  </si>
  <si>
    <t>Spain</t>
  </si>
  <si>
    <t>Sri Lanka</t>
  </si>
  <si>
    <t>St Eustatius</t>
  </si>
  <si>
    <t>St Maarten</t>
  </si>
  <si>
    <t>Sudan</t>
  </si>
  <si>
    <t>Sweden</t>
  </si>
  <si>
    <t>Switzerland</t>
  </si>
  <si>
    <t>Syria</t>
  </si>
  <si>
    <t>Taiwan</t>
  </si>
  <si>
    <t>Tanzania</t>
  </si>
  <si>
    <t>Thailand</t>
  </si>
  <si>
    <t>Trinidad and Tobago</t>
  </si>
  <si>
    <t>Tunisia</t>
  </si>
  <si>
    <t>Turkey</t>
  </si>
  <si>
    <t>Ukraine</t>
  </si>
  <si>
    <t>United Arab Emirates</t>
  </si>
  <si>
    <t>United Kingdom</t>
  </si>
  <si>
    <t>United States</t>
  </si>
  <si>
    <t>Uruguay</t>
  </si>
  <si>
    <t>Vanuatu</t>
  </si>
  <si>
    <t>Venezuela</t>
  </si>
  <si>
    <t>Vietnam</t>
  </si>
  <si>
    <t>Yemen</t>
  </si>
  <si>
    <t>Zambia</t>
  </si>
  <si>
    <t>Zimbabwe</t>
  </si>
  <si>
    <t>Country</t>
  </si>
  <si>
    <t>Long-Term Rating</t>
  </si>
  <si>
    <t>Adj. Default Spread</t>
  </si>
  <si>
    <t>Country Risk Premium</t>
  </si>
  <si>
    <t>Region</t>
  </si>
  <si>
    <t>Western Europe</t>
  </si>
  <si>
    <t>B1</t>
  </si>
  <si>
    <t>Eastern Europe &amp; Russia</t>
  </si>
  <si>
    <t>Ba3</t>
  </si>
  <si>
    <t>Africa</t>
  </si>
  <si>
    <t>B3</t>
  </si>
  <si>
    <t>Central and South America</t>
  </si>
  <si>
    <t>Ba2</t>
  </si>
  <si>
    <t>Aaa</t>
  </si>
  <si>
    <t>Australia &amp; New Zealand</t>
  </si>
  <si>
    <t>Azerbaijan</t>
  </si>
  <si>
    <t>Baa3</t>
  </si>
  <si>
    <t>A3</t>
  </si>
  <si>
    <t>Caribbean</t>
  </si>
  <si>
    <t>Baa1</t>
  </si>
  <si>
    <t>Middle East</t>
  </si>
  <si>
    <t>Aa3</t>
  </si>
  <si>
    <t>Belize</t>
  </si>
  <si>
    <t>Aa2</t>
  </si>
  <si>
    <t>A2</t>
  </si>
  <si>
    <t>Baa2</t>
  </si>
  <si>
    <t>B2</t>
  </si>
  <si>
    <t>North America</t>
  </si>
  <si>
    <t>Cuba</t>
  </si>
  <si>
    <t>Caa1</t>
  </si>
  <si>
    <t>A1</t>
  </si>
  <si>
    <t>El Salvador</t>
  </si>
  <si>
    <t>Fiji Islands</t>
  </si>
  <si>
    <t>Georgia</t>
  </si>
  <si>
    <t>Ba1</t>
  </si>
  <si>
    <t>Aa1</t>
  </si>
  <si>
    <t>Korea</t>
  </si>
  <si>
    <t>Lebanon</t>
  </si>
  <si>
    <t>Macao</t>
  </si>
  <si>
    <t>Moldova</t>
  </si>
  <si>
    <t>Mongolia</t>
  </si>
  <si>
    <t>Morocco</t>
  </si>
  <si>
    <t>Nicaragua</t>
  </si>
  <si>
    <t>Senegal</t>
  </si>
  <si>
    <t>Slovakia</t>
  </si>
  <si>
    <t>St. Vincent &amp; the Grenadines</t>
  </si>
  <si>
    <t>Suriname</t>
  </si>
  <si>
    <t>United States of America</t>
  </si>
  <si>
    <t>ERP</t>
  </si>
  <si>
    <t>Weighted ERP</t>
  </si>
  <si>
    <t>Weight</t>
  </si>
  <si>
    <t>Total</t>
  </si>
  <si>
    <t>Row Labels</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</si>
  <si>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</si>
  <si>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</si>
  <si>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</si>
  <si>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</si>
  <si>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</si>
  <si>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</si>
  <si>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</si>
  <si>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</si>
  <si>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</si>
  <si>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</si>
  <si>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</si>
  <si>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</si>
  <si>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</si>
  <si>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</si>
  <si>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</si>
  <si>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</si>
  <si>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</si>
  <si>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</si>
  <si>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</si>
  <si>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</si>
  <si>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</si>
  <si>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</si>
  <si>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</si>
  <si>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</si>
  <si>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</si>
  <si>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</si>
  <si>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</si>
  <si>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</si>
  <si>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</si>
  <si>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</si>
  <si>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</si>
  <si>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</si>
  <si>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</si>
  <si>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</si>
  <si>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</si>
  <si>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</si>
  <si>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</si>
  <si>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</si>
  <si>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</si>
  <si>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</si>
  <si>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</si>
  <si>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</si>
  <si>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R&amp;D expense</t>
  </si>
  <si>
    <t>Do you have R&amp;D expenses to capitalize?</t>
  </si>
  <si>
    <t xml:space="preserve"> If you want to capitalize R&amp;D, you have to input the numbers into the R&amp;D worksheet. </t>
  </si>
  <si>
    <t>Don't adjust operating income for leases or R&amp;D, if you plan to use the spreadsheet option to do so. (see below)</t>
  </si>
  <si>
    <t>First X months: Last year</t>
  </si>
  <si>
    <t>First X months: Current year</t>
  </si>
  <si>
    <t>If you are not working in US dollars, you should add the inflation differential to the industry averages.</t>
  </si>
  <si>
    <t>Numbers from your base year below ( in consistent units)</t>
  </si>
  <si>
    <t>Total Risk Premium</t>
  </si>
  <si>
    <t>Asia</t>
  </si>
  <si>
    <t>Caa3</t>
  </si>
  <si>
    <t>Financial Center</t>
  </si>
  <si>
    <t>Kenya</t>
  </si>
  <si>
    <t>St. Maarten</t>
  </si>
  <si>
    <t>Default Spread (Weighted average)</t>
  </si>
  <si>
    <t>Total ERP (Weighted Average)</t>
  </si>
  <si>
    <t>Country Risk Premium (Weighted Average)</t>
  </si>
  <si>
    <t>Asia without Japan</t>
  </si>
  <si>
    <t>Investment Companies</t>
  </si>
  <si>
    <t>Bonaire</t>
  </si>
  <si>
    <t>Malawi</t>
  </si>
  <si>
    <t>Uganda</t>
  </si>
  <si>
    <t>Africa average</t>
  </si>
  <si>
    <t>North America average</t>
  </si>
  <si>
    <t>Asia average</t>
  </si>
  <si>
    <t>Europe average</t>
  </si>
  <si>
    <t>Latin America average</t>
  </si>
  <si>
    <t>Oceania average</t>
  </si>
  <si>
    <t>EU average</t>
  </si>
  <si>
    <t>OECD average</t>
  </si>
  <si>
    <t>Global average</t>
  </si>
  <si>
    <t>Tax Rate</t>
  </si>
  <si>
    <t>Industry (US)</t>
  </si>
  <si>
    <t>Industry (Global)</t>
  </si>
  <si>
    <t>Market D/E Ratio</t>
  </si>
  <si>
    <t>Industry (Global data)</t>
  </si>
  <si>
    <t>Internet software and services</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</si>
  <si>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</si>
  <si>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</si>
  <si>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</si>
  <si>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</si>
  <si>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</si>
  <si>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</si>
  <si>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</si>
  <si>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</si>
  <si>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</si>
  <si>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</si>
  <si>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</si>
  <si>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</si>
  <si>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</si>
  <si>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</si>
  <si>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</si>
  <si>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</si>
  <si>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</si>
  <si>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</si>
  <si>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</si>
  <si>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</si>
  <si>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</si>
  <si>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</si>
  <si>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</si>
  <si>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</si>
  <si>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</si>
  <si>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</si>
  <si>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</si>
  <si>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</si>
  <si>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</si>
  <si>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</si>
  <si>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</si>
  <si>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</si>
  <si>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</si>
  <si>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Ratings and Default spreads (reordered from highest to lowest)</t>
  </si>
  <si>
    <t>If synethetic rating, input the type of company</t>
  </si>
  <si>
    <t>Estimated Company Default Spread =</t>
  </si>
  <si>
    <t>Estimated County Default Spread (if any) =</t>
  </si>
  <si>
    <t>Your inputs</t>
  </si>
  <si>
    <t>Computed number</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</si>
  <si>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</si>
  <si>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</si>
  <si>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</si>
  <si>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</si>
  <si>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</si>
  <si>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</si>
  <si>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</si>
  <si>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</si>
  <si>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</si>
  <si>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Revenue Growth rate: Last 5 years</t>
  </si>
  <si>
    <t>Expected Earnings growth: Next 5 years</t>
  </si>
  <si>
    <t>Tesla</t>
  </si>
  <si>
    <t>Auto &amp; Truck</t>
  </si>
  <si>
    <t>Unlevered beta corrected for cash</t>
  </si>
  <si>
    <t>Banks (Regional)</t>
  </si>
  <si>
    <t xml:space="preserve">Beverage </t>
  </si>
  <si>
    <t>Beverage (Alcoholic)</t>
  </si>
  <si>
    <t>Broadcasting</t>
  </si>
  <si>
    <t>Brokerage &amp; Investment Banking</t>
  </si>
  <si>
    <t>Business &amp; Consumer Services</t>
  </si>
  <si>
    <t>Coal &amp; Related Energy</t>
  </si>
  <si>
    <t>Computer Services</t>
  </si>
  <si>
    <t>Construction</t>
  </si>
  <si>
    <t>Diversified</t>
  </si>
  <si>
    <t>Electronics (Consumer &amp; Office)</t>
  </si>
  <si>
    <t>Engineering</t>
  </si>
  <si>
    <t>Environmental &amp; Waste Services</t>
  </si>
  <si>
    <t>Farming/Agriculture</t>
  </si>
  <si>
    <t>Financial Svcs.</t>
  </si>
  <si>
    <t>Financial Svcs. (Non-bank &amp; Insurance)</t>
  </si>
  <si>
    <t>Food Wholesalers</t>
  </si>
  <si>
    <t>Healthcare Equipment</t>
  </si>
  <si>
    <t>Healthcare Facilities</t>
  </si>
  <si>
    <t>Healthcare Products</t>
  </si>
  <si>
    <t>Healthcare Services</t>
  </si>
  <si>
    <t>Heathcare Information and Technology</t>
  </si>
  <si>
    <t>Heavy Construction</t>
  </si>
  <si>
    <t>Insurance (General)</t>
  </si>
  <si>
    <t>Investment Co.</t>
  </si>
  <si>
    <t>Metals &amp; Mining</t>
  </si>
  <si>
    <t>Office Equipment &amp; Services</t>
  </si>
  <si>
    <t>Oil/Gas (Integrated)</t>
  </si>
  <si>
    <t>Oil/Gas (Production and Exploration)</t>
  </si>
  <si>
    <t>Pharma &amp; Drugs</t>
  </si>
  <si>
    <t>Publshing &amp; Newspapers</t>
  </si>
  <si>
    <t>Real Estate</t>
  </si>
  <si>
    <t>Real Estate (Development)</t>
  </si>
  <si>
    <t>Real Estate (Operations &amp; Services)</t>
  </si>
  <si>
    <t>Retail (Automotive)</t>
  </si>
  <si>
    <t>Retail (Building Supply)</t>
  </si>
  <si>
    <t>Retail (Distributors)</t>
  </si>
  <si>
    <t>Retail (General)</t>
  </si>
  <si>
    <t>Retail (Grocery and Food)</t>
  </si>
  <si>
    <t>Retail (Internet)</t>
  </si>
  <si>
    <t>Retail (Special Lines)</t>
  </si>
  <si>
    <t>Rubber&amp; Tires</t>
  </si>
  <si>
    <t>Shipbuilding &amp; Marine</t>
  </si>
  <si>
    <t>Telecom (Wireless)</t>
  </si>
  <si>
    <t>Tranportation</t>
  </si>
  <si>
    <t>Utility (General)</t>
  </si>
  <si>
    <t>Utility (Water)</t>
  </si>
  <si>
    <t>Grand Total</t>
  </si>
  <si>
    <t>Market Debt to Capital</t>
  </si>
  <si>
    <t>Effective tax rate</t>
  </si>
  <si>
    <t>Dividend Payout</t>
  </si>
  <si>
    <t>Net Margin</t>
  </si>
  <si>
    <t>ROE</t>
  </si>
  <si>
    <t>ROIC</t>
  </si>
  <si>
    <t>Target Porsche revenues</t>
  </si>
  <si>
    <t>Average for US</t>
  </si>
  <si>
    <t xml:space="preserve">Year 10 ROC= 11.34% </t>
  </si>
  <si>
    <t>See cost of capital worksheet</t>
  </si>
  <si>
    <t>From last 10K</t>
  </si>
  <si>
    <t>95th percentile: Auto industry</t>
  </si>
  <si>
    <t>Used 80th percentile of US stock standard deviatons</t>
  </si>
  <si>
    <t>Treated it as 60% auto, 40% technology company for the moment</t>
  </si>
  <si>
    <t>Pre-tax operating income</t>
  </si>
  <si>
    <t>Base</t>
  </si>
</sst>
</file>

<file path=xl/styles.xml><?xml version="1.0" encoding="utf-8"?>
<styleSheet xmlns="http://schemas.openxmlformats.org/spreadsheetml/2006/main">
  <numFmts count="11">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409]* #,##0.00_);_([$$-409]* \(#,##0.00\);_([$$-409]* &quot;-&quot;??_);_(@_)"/>
  </numFmts>
  <fonts count="45">
    <font>
      <sz val="9"/>
      <name val="Geneva"/>
    </font>
    <font>
      <i/>
      <sz val="9"/>
      <name val="Geneva"/>
    </font>
    <font>
      <sz val="9"/>
      <name val="Geneva"/>
    </font>
    <font>
      <sz val="8"/>
      <name val="Geneva"/>
    </font>
    <font>
      <sz val="8"/>
      <name val="돋움"/>
      <family val="3"/>
    </font>
    <font>
      <sz val="8"/>
      <name val="Verdana"/>
    </font>
    <font>
      <sz val="9"/>
      <name val="Helv"/>
    </font>
    <font>
      <sz val="12"/>
      <name val="Arial"/>
      <family val="2"/>
    </font>
    <font>
      <b/>
      <i/>
      <sz val="12"/>
      <name val="Arial"/>
      <family val="2"/>
    </font>
    <font>
      <b/>
      <sz val="14"/>
      <name val="Times"/>
    </font>
    <font>
      <b/>
      <sz val="14"/>
      <name val="Geneva"/>
    </font>
    <font>
      <sz val="10"/>
      <name val="Times"/>
    </font>
    <font>
      <b/>
      <i/>
      <sz val="10"/>
      <name val="Times"/>
    </font>
    <font>
      <i/>
      <sz val="10"/>
      <name val="Times"/>
    </font>
    <font>
      <i/>
      <sz val="10"/>
      <name val="Geneva"/>
    </font>
    <font>
      <b/>
      <sz val="10"/>
      <name val="Times"/>
    </font>
    <font>
      <sz val="9"/>
      <color indexed="81"/>
      <name val="Geneva"/>
    </font>
    <font>
      <b/>
      <sz val="9"/>
      <color indexed="81"/>
      <name val="Geneva"/>
    </font>
    <font>
      <b/>
      <sz val="12"/>
      <name val="Times"/>
    </font>
    <font>
      <sz val="10"/>
      <name val="Geneva"/>
    </font>
    <font>
      <i/>
      <sz val="12"/>
      <name val="Times"/>
    </font>
    <font>
      <sz val="12"/>
      <name val="Times"/>
    </font>
    <font>
      <b/>
      <i/>
      <u/>
      <sz val="12"/>
      <name val="Times"/>
      <family val="1"/>
    </font>
    <font>
      <b/>
      <sz val="10"/>
      <name val="Helv"/>
    </font>
    <font>
      <sz val="10"/>
      <name val="Helv"/>
    </font>
    <font>
      <b/>
      <i/>
      <sz val="10"/>
      <name val="Helv"/>
    </font>
    <font>
      <i/>
      <sz val="10"/>
      <name val="Helv"/>
    </font>
    <font>
      <b/>
      <i/>
      <sz val="14"/>
      <name val="Times"/>
      <family val="1"/>
    </font>
    <font>
      <b/>
      <i/>
      <sz val="12"/>
      <name val="Times"/>
    </font>
    <font>
      <i/>
      <sz val="12"/>
      <name val="Geneva"/>
      <family val="2"/>
    </font>
    <font>
      <b/>
      <sz val="10"/>
      <name val="Geneva"/>
    </font>
    <font>
      <b/>
      <sz val="10"/>
      <name val="Arial"/>
      <family val="2"/>
    </font>
    <font>
      <sz val="10"/>
      <name val="Arial"/>
    </font>
    <font>
      <sz val="9"/>
      <name val="Times"/>
    </font>
    <font>
      <b/>
      <sz val="9"/>
      <name val="Times"/>
    </font>
    <font>
      <b/>
      <sz val="9"/>
      <name val="Helv"/>
    </font>
    <font>
      <i/>
      <sz val="14"/>
      <name val="Times"/>
    </font>
    <font>
      <sz val="12"/>
      <color theme="1"/>
      <name val="Calibri"/>
      <family val="2"/>
      <scheme val="minor"/>
    </font>
    <font>
      <i/>
      <sz val="10"/>
      <color rgb="FFFF0000"/>
      <name val="Helv"/>
    </font>
    <font>
      <sz val="12"/>
      <color rgb="FFFF0000"/>
      <name val="Times"/>
      <family val="1"/>
    </font>
    <font>
      <sz val="12"/>
      <color rgb="FF000000"/>
      <name val="Calibri"/>
      <family val="2"/>
    </font>
    <font>
      <i/>
      <sz val="12"/>
      <color theme="1"/>
      <name val="Calibri"/>
      <scheme val="minor"/>
    </font>
    <font>
      <b/>
      <sz val="10"/>
      <color theme="1"/>
      <name val="Helv"/>
    </font>
    <font>
      <sz val="10"/>
      <name val="Calibri"/>
      <scheme val="minor"/>
    </font>
    <font>
      <sz val="10"/>
      <color rgb="FFFF0000"/>
      <name val="Arial"/>
      <family val="2"/>
    </font>
  </fonts>
  <fills count="10">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167"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cellStyleXfs>
  <cellXfs count="288">
    <xf numFmtId="0" fontId="0" fillId="0" borderId="0" xfId="0"/>
    <xf numFmtId="0" fontId="0" fillId="0" borderId="1" xfId="0" applyBorder="1"/>
    <xf numFmtId="0" fontId="1" fillId="0" borderId="0" xfId="0" applyFont="1"/>
    <xf numFmtId="0" fontId="1" fillId="0" borderId="1" xfId="0" applyFont="1" applyBorder="1" applyAlignment="1">
      <alignment horizontal="center"/>
    </xf>
    <xf numFmtId="0" fontId="1" fillId="0" borderId="1" xfId="0" applyFont="1" applyBorder="1"/>
    <xf numFmtId="2" fontId="0" fillId="0" borderId="1" xfId="0" applyNumberFormat="1" applyBorder="1" applyAlignment="1">
      <alignment horizontal="center"/>
    </xf>
    <xf numFmtId="10" fontId="0" fillId="0" borderId="1" xfId="0" applyNumberFormat="1" applyBorder="1" applyAlignment="1">
      <alignment horizontal="center"/>
    </xf>
    <xf numFmtId="0" fontId="6" fillId="0" borderId="0" xfId="0" applyFont="1"/>
    <xf numFmtId="0" fontId="7" fillId="0" borderId="0" xfId="0" applyFont="1"/>
    <xf numFmtId="2" fontId="1" fillId="0" borderId="1" xfId="0" applyNumberFormat="1" applyFont="1" applyBorder="1" applyAlignment="1">
      <alignment horizontal="center"/>
    </xf>
    <xf numFmtId="10" fontId="1" fillId="0" borderId="1" xfId="0" applyNumberFormat="1" applyFont="1" applyBorder="1" applyAlignment="1">
      <alignment horizontal="center"/>
    </xf>
    <xf numFmtId="0" fontId="9" fillId="0" borderId="0" xfId="0" applyFont="1"/>
    <xf numFmtId="0" fontId="10" fillId="0" borderId="0" xfId="0" applyFont="1"/>
    <xf numFmtId="0" fontId="11" fillId="0" borderId="0" xfId="0" applyFont="1"/>
    <xf numFmtId="166" fontId="11" fillId="2" borderId="1" xfId="2" applyFont="1" applyFill="1" applyBorder="1"/>
    <xf numFmtId="10" fontId="11" fillId="2" borderId="1" xfId="3" applyNumberFormat="1" applyFont="1" applyFill="1" applyBorder="1"/>
    <xf numFmtId="10" fontId="11" fillId="2" borderId="1" xfId="0" applyNumberFormat="1" applyFont="1" applyFill="1" applyBorder="1"/>
    <xf numFmtId="2" fontId="11" fillId="2" borderId="1" xfId="0" applyNumberFormat="1" applyFont="1" applyFill="1" applyBorder="1"/>
    <xf numFmtId="4" fontId="11" fillId="2" borderId="1" xfId="0" applyNumberFormat="1"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5" fillId="0" borderId="1" xfId="0" applyFont="1" applyBorder="1"/>
    <xf numFmtId="0" fontId="11" fillId="0" borderId="1" xfId="0" applyFont="1" applyBorder="1"/>
    <xf numFmtId="10" fontId="15" fillId="0" borderId="0" xfId="0" applyNumberFormat="1" applyFont="1"/>
    <xf numFmtId="3" fontId="11" fillId="0" borderId="1" xfId="0" applyNumberFormat="1" applyFont="1" applyBorder="1"/>
    <xf numFmtId="10" fontId="15" fillId="0" borderId="1" xfId="0" applyNumberFormat="1" applyFont="1" applyBorder="1"/>
    <xf numFmtId="169" fontId="15" fillId="0" borderId="1" xfId="1" applyNumberFormat="1" applyFont="1" applyBorder="1"/>
    <xf numFmtId="10" fontId="11" fillId="0" borderId="1" xfId="0" applyNumberFormat="1" applyFont="1" applyBorder="1"/>
    <xf numFmtId="166" fontId="11" fillId="0" borderId="2" xfId="2" applyFont="1" applyBorder="1"/>
    <xf numFmtId="166" fontId="11" fillId="0" borderId="0" xfId="2" applyFont="1"/>
    <xf numFmtId="165" fontId="11" fillId="0" borderId="2" xfId="0" applyNumberFormat="1" applyFont="1" applyBorder="1"/>
    <xf numFmtId="166" fontId="11" fillId="2" borderId="1" xfId="0" applyNumberFormat="1" applyFont="1" applyFill="1" applyBorder="1"/>
    <xf numFmtId="0" fontId="9" fillId="0" borderId="0" xfId="0" applyFont="1" applyAlignment="1">
      <alignment horizontal="centerContinuous"/>
    </xf>
    <xf numFmtId="0" fontId="11" fillId="0" borderId="1" xfId="0" applyFont="1" applyBorder="1" applyAlignment="1">
      <alignment horizontal="center"/>
    </xf>
    <xf numFmtId="0" fontId="18" fillId="0" borderId="0" xfId="0" applyFont="1"/>
    <xf numFmtId="0" fontId="11" fillId="0" borderId="2" xfId="0" applyFont="1" applyBorder="1"/>
    <xf numFmtId="166" fontId="11" fillId="3" borderId="1" xfId="2" applyFont="1" applyFill="1" applyBorder="1"/>
    <xf numFmtId="166" fontId="11" fillId="0" borderId="0" xfId="2" applyFont="1" applyBorder="1"/>
    <xf numFmtId="0" fontId="11" fillId="2" borderId="1" xfId="0" applyFont="1" applyFill="1" applyBorder="1" applyAlignment="1">
      <alignment horizontal="center"/>
    </xf>
    <xf numFmtId="0" fontId="11" fillId="0" borderId="3" xfId="0" applyFont="1" applyBorder="1"/>
    <xf numFmtId="166" fontId="11" fillId="2" borderId="3" xfId="0" applyNumberFormat="1" applyFont="1" applyFill="1" applyBorder="1"/>
    <xf numFmtId="166" fontId="11" fillId="2" borderId="3" xfId="2" applyFont="1" applyFill="1" applyBorder="1"/>
    <xf numFmtId="0" fontId="11" fillId="2" borderId="2" xfId="0" applyFont="1" applyFill="1" applyBorder="1"/>
    <xf numFmtId="166" fontId="11" fillId="2" borderId="2" xfId="0" applyNumberFormat="1" applyFont="1" applyFill="1" applyBorder="1"/>
    <xf numFmtId="166" fontId="11" fillId="2" borderId="4" xfId="0" applyNumberFormat="1" applyFont="1" applyFill="1" applyBorder="1"/>
    <xf numFmtId="0" fontId="20" fillId="0" borderId="5" xfId="0" applyFont="1" applyBorder="1" applyAlignment="1">
      <alignment horizontal="center"/>
    </xf>
    <xf numFmtId="0" fontId="20" fillId="0" borderId="1" xfId="0" applyFont="1" applyBorder="1" applyAlignment="1">
      <alignment horizontal="center"/>
    </xf>
    <xf numFmtId="0" fontId="21" fillId="0" borderId="1" xfId="0" applyFont="1" applyBorder="1"/>
    <xf numFmtId="0" fontId="21" fillId="0" borderId="0" xfId="0" applyFont="1" applyBorder="1"/>
    <xf numFmtId="0" fontId="21" fillId="0" borderId="0" xfId="0" applyFont="1" applyFill="1" applyBorder="1"/>
    <xf numFmtId="0" fontId="21" fillId="0" borderId="0" xfId="0" applyFont="1"/>
    <xf numFmtId="0" fontId="21" fillId="0" borderId="1" xfId="0" applyFont="1" applyFill="1" applyBorder="1"/>
    <xf numFmtId="0" fontId="22" fillId="0" borderId="1" xfId="0" applyFont="1" applyBorder="1"/>
    <xf numFmtId="0" fontId="21" fillId="0" borderId="1" xfId="0" applyFont="1" applyBorder="1" applyAlignment="1">
      <alignment horizontal="center"/>
    </xf>
    <xf numFmtId="0" fontId="21" fillId="0" borderId="0" xfId="0" applyFont="1" applyBorder="1" applyAlignment="1">
      <alignment horizontal="center"/>
    </xf>
    <xf numFmtId="0" fontId="21" fillId="0" borderId="0" xfId="0" applyFont="1" applyAlignment="1">
      <alignment horizontal="center"/>
    </xf>
    <xf numFmtId="0" fontId="23" fillId="0" borderId="0" xfId="0" applyFont="1"/>
    <xf numFmtId="0" fontId="24" fillId="0" borderId="6" xfId="0" applyFont="1" applyBorder="1"/>
    <xf numFmtId="0" fontId="24" fillId="0" borderId="7" xfId="0" applyFont="1" applyBorder="1"/>
    <xf numFmtId="0" fontId="24" fillId="0" borderId="0" xfId="0" applyFont="1"/>
    <xf numFmtId="0" fontId="23" fillId="0" borderId="0" xfId="0" applyFont="1" applyAlignment="1"/>
    <xf numFmtId="0" fontId="24" fillId="0" borderId="8" xfId="0" applyFont="1" applyBorder="1"/>
    <xf numFmtId="0" fontId="24" fillId="0" borderId="9" xfId="0" applyFont="1" applyBorder="1"/>
    <xf numFmtId="0" fontId="24" fillId="0" borderId="10" xfId="0" applyFont="1" applyBorder="1"/>
    <xf numFmtId="0" fontId="24" fillId="0" borderId="1" xfId="0" applyFont="1" applyFill="1" applyBorder="1"/>
    <xf numFmtId="166" fontId="24" fillId="4" borderId="1" xfId="2" applyFont="1" applyFill="1" applyBorder="1" applyAlignment="1">
      <alignment horizontal="center"/>
    </xf>
    <xf numFmtId="0" fontId="38" fillId="0" borderId="0" xfId="0" applyFont="1"/>
    <xf numFmtId="0" fontId="24" fillId="0" borderId="0" xfId="0" applyFont="1" applyFill="1" applyBorder="1"/>
    <xf numFmtId="10" fontId="24" fillId="4" borderId="1" xfId="2" applyNumberFormat="1" applyFont="1" applyFill="1" applyBorder="1" applyAlignment="1">
      <alignment horizontal="center"/>
    </xf>
    <xf numFmtId="0" fontId="23" fillId="0" borderId="0" xfId="0" applyFont="1" applyFill="1" applyBorder="1"/>
    <xf numFmtId="166" fontId="24" fillId="0" borderId="0" xfId="2" applyFont="1" applyFill="1" applyBorder="1" applyAlignment="1">
      <alignment horizontal="center"/>
    </xf>
    <xf numFmtId="10" fontId="24" fillId="4" borderId="1" xfId="0" applyNumberFormat="1" applyFont="1" applyFill="1" applyBorder="1" applyAlignment="1">
      <alignment horizontal="center"/>
    </xf>
    <xf numFmtId="2" fontId="24" fillId="4" borderId="1" xfId="0" applyNumberFormat="1" applyFont="1" applyFill="1" applyBorder="1" applyAlignment="1">
      <alignment horizontal="center"/>
    </xf>
    <xf numFmtId="10" fontId="24" fillId="0" borderId="0" xfId="0" applyNumberFormat="1" applyFont="1" applyFill="1" applyBorder="1"/>
    <xf numFmtId="10" fontId="24" fillId="5" borderId="0" xfId="0" applyNumberFormat="1" applyFont="1" applyFill="1" applyBorder="1" applyAlignment="1">
      <alignment horizontal="center"/>
    </xf>
    <xf numFmtId="168" fontId="24" fillId="4" borderId="1" xfId="0" applyNumberFormat="1" applyFont="1" applyFill="1" applyBorder="1" applyAlignment="1">
      <alignment horizontal="center"/>
    </xf>
    <xf numFmtId="10" fontId="24" fillId="0" borderId="0" xfId="0" applyNumberFormat="1" applyFont="1" applyFill="1" applyBorder="1" applyAlignment="1">
      <alignment horizontal="center"/>
    </xf>
    <xf numFmtId="0" fontId="26" fillId="0" borderId="0" xfId="0" applyFont="1" applyFill="1" applyBorder="1" applyAlignment="1"/>
    <xf numFmtId="0" fontId="26" fillId="0" borderId="0" xfId="0" applyFont="1"/>
    <xf numFmtId="0" fontId="24" fillId="0" borderId="0" xfId="0" applyFont="1" applyFill="1" applyBorder="1" applyAlignment="1"/>
    <xf numFmtId="0" fontId="24" fillId="4" borderId="1" xfId="0" applyFont="1" applyFill="1" applyBorder="1" applyAlignment="1">
      <alignment horizontal="center"/>
    </xf>
    <xf numFmtId="9" fontId="24" fillId="4" borderId="1" xfId="0" applyNumberFormat="1" applyFont="1" applyFill="1" applyBorder="1" applyAlignment="1">
      <alignment horizontal="center"/>
    </xf>
    <xf numFmtId="9" fontId="24" fillId="5" borderId="0" xfId="0" applyNumberFormat="1" applyFont="1" applyFill="1" applyBorder="1" applyAlignment="1">
      <alignment horizontal="center"/>
    </xf>
    <xf numFmtId="0" fontId="7" fillId="0" borderId="0" xfId="0" applyFont="1" applyAlignment="1">
      <alignment horizontal="left"/>
    </xf>
    <xf numFmtId="10" fontId="11" fillId="4" borderId="2" xfId="0" applyNumberFormat="1" applyFont="1" applyFill="1" applyBorder="1" applyAlignment="1">
      <alignment horizontal="center"/>
    </xf>
    <xf numFmtId="165" fontId="11" fillId="2" borderId="2" xfId="0" applyNumberFormat="1" applyFont="1" applyFill="1" applyBorder="1"/>
    <xf numFmtId="0" fontId="24" fillId="0" borderId="0" xfId="0" applyFont="1" applyBorder="1"/>
    <xf numFmtId="0" fontId="25" fillId="5" borderId="0" xfId="0" applyFont="1" applyFill="1" applyBorder="1" applyAlignment="1"/>
    <xf numFmtId="0" fontId="26" fillId="5" borderId="0" xfId="0" applyFont="1" applyFill="1" applyBorder="1" applyAlignment="1"/>
    <xf numFmtId="166" fontId="24" fillId="4" borderId="1" xfId="2" applyFont="1" applyFill="1" applyBorder="1" applyAlignment="1">
      <alignment horizontal="center"/>
    </xf>
    <xf numFmtId="2" fontId="24" fillId="6" borderId="1" xfId="0" applyNumberFormat="1" applyFont="1" applyFill="1" applyBorder="1"/>
    <xf numFmtId="10" fontId="24" fillId="6" borderId="1" xfId="0" applyNumberFormat="1" applyFont="1" applyFill="1" applyBorder="1"/>
    <xf numFmtId="10" fontId="24" fillId="6" borderId="1" xfId="3" applyNumberFormat="1" applyFont="1" applyFill="1" applyBorder="1"/>
    <xf numFmtId="0" fontId="23" fillId="0" borderId="11" xfId="0" applyFont="1" applyBorder="1"/>
    <xf numFmtId="0" fontId="24" fillId="0" borderId="12" xfId="0" applyFont="1" applyBorder="1"/>
    <xf numFmtId="0" fontId="24" fillId="0" borderId="13" xfId="0" applyFont="1" applyBorder="1"/>
    <xf numFmtId="0" fontId="21" fillId="6" borderId="1" xfId="0" applyFont="1" applyFill="1" applyBorder="1"/>
    <xf numFmtId="10" fontId="21" fillId="6" borderId="1" xfId="3" applyNumberFormat="1" applyFont="1" applyFill="1" applyBorder="1" applyAlignment="1">
      <alignment horizontal="center"/>
    </xf>
    <xf numFmtId="10" fontId="21" fillId="6" borderId="1" xfId="0" applyNumberFormat="1" applyFont="1" applyFill="1" applyBorder="1" applyAlignment="1">
      <alignment horizontal="center"/>
    </xf>
    <xf numFmtId="166" fontId="21" fillId="6" borderId="1" xfId="2" applyFont="1" applyFill="1" applyBorder="1"/>
    <xf numFmtId="166" fontId="21" fillId="6" borderId="1" xfId="2" applyFont="1" applyFill="1" applyBorder="1" applyAlignment="1">
      <alignment horizontal="center"/>
    </xf>
    <xf numFmtId="10" fontId="21" fillId="6" borderId="1" xfId="3" applyNumberFormat="1" applyFont="1" applyFill="1" applyBorder="1"/>
    <xf numFmtId="10" fontId="21" fillId="6" borderId="1" xfId="2" applyNumberFormat="1" applyFont="1" applyFill="1" applyBorder="1"/>
    <xf numFmtId="10" fontId="21" fillId="6" borderId="1" xfId="2" applyNumberFormat="1" applyFont="1" applyFill="1" applyBorder="1" applyAlignment="1">
      <alignment horizontal="center"/>
    </xf>
    <xf numFmtId="166" fontId="21" fillId="6" borderId="1" xfId="0" applyNumberFormat="1" applyFont="1" applyFill="1" applyBorder="1" applyAlignment="1">
      <alignment horizontal="center"/>
    </xf>
    <xf numFmtId="0" fontId="21" fillId="6" borderId="1" xfId="0" applyFont="1" applyFill="1" applyBorder="1" applyAlignment="1">
      <alignment horizontal="center"/>
    </xf>
    <xf numFmtId="166" fontId="21" fillId="6" borderId="1" xfId="0" applyNumberFormat="1" applyFont="1" applyFill="1" applyBorder="1"/>
    <xf numFmtId="10" fontId="21" fillId="6" borderId="1" xfId="0" applyNumberFormat="1" applyFont="1" applyFill="1" applyBorder="1"/>
    <xf numFmtId="168" fontId="21" fillId="6" borderId="1" xfId="0" applyNumberFormat="1" applyFont="1" applyFill="1" applyBorder="1"/>
    <xf numFmtId="165" fontId="21" fillId="6" borderId="1" xfId="0" applyNumberFormat="1" applyFont="1" applyFill="1" applyBorder="1"/>
    <xf numFmtId="167" fontId="21" fillId="6" borderId="1" xfId="1" applyNumberFormat="1" applyFont="1" applyFill="1" applyBorder="1"/>
    <xf numFmtId="166" fontId="39" fillId="6" borderId="1" xfId="2" applyNumberFormat="1" applyFont="1" applyFill="1" applyBorder="1"/>
    <xf numFmtId="166" fontId="21" fillId="6" borderId="1" xfId="2" applyNumberFormat="1" applyFont="1" applyFill="1" applyBorder="1"/>
    <xf numFmtId="2" fontId="21" fillId="6" borderId="1" xfId="0" applyNumberFormat="1" applyFont="1" applyFill="1" applyBorder="1" applyAlignment="1">
      <alignment horizontal="center"/>
    </xf>
    <xf numFmtId="172" fontId="21" fillId="6" borderId="1" xfId="0" applyNumberFormat="1" applyFont="1" applyFill="1" applyBorder="1"/>
    <xf numFmtId="172" fontId="21" fillId="6" borderId="1" xfId="0" applyNumberFormat="1" applyFont="1" applyFill="1" applyBorder="1" applyAlignment="1">
      <alignment horizontal="center"/>
    </xf>
    <xf numFmtId="166" fontId="21" fillId="7" borderId="1" xfId="2" applyFont="1" applyFill="1" applyBorder="1" applyAlignment="1">
      <alignment horizontal="center"/>
    </xf>
    <xf numFmtId="10" fontId="21" fillId="7" borderId="1" xfId="3" applyNumberFormat="1" applyFont="1" applyFill="1" applyBorder="1" applyAlignment="1">
      <alignment horizontal="center"/>
    </xf>
    <xf numFmtId="166" fontId="0" fillId="7" borderId="1" xfId="0" applyNumberFormat="1" applyFill="1" applyBorder="1"/>
    <xf numFmtId="0" fontId="27" fillId="0" borderId="0" xfId="0" applyFont="1"/>
    <xf numFmtId="0" fontId="15" fillId="0" borderId="0" xfId="0" applyFont="1" applyBorder="1"/>
    <xf numFmtId="0" fontId="11" fillId="0" borderId="0" xfId="0" applyFont="1" applyBorder="1"/>
    <xf numFmtId="0" fontId="11" fillId="3" borderId="1" xfId="0" applyFont="1" applyFill="1" applyBorder="1"/>
    <xf numFmtId="0" fontId="11" fillId="0" borderId="0" xfId="0" applyFont="1" applyFill="1"/>
    <xf numFmtId="0" fontId="11" fillId="0" borderId="0"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6" borderId="1" xfId="0" applyNumberFormat="1" applyFont="1" applyFill="1" applyBorder="1"/>
    <xf numFmtId="166" fontId="11" fillId="6" borderId="1" xfId="0" applyNumberFormat="1" applyFont="1" applyFill="1" applyBorder="1"/>
    <xf numFmtId="166" fontId="11" fillId="6" borderId="1" xfId="2" applyFont="1" applyFill="1" applyBorder="1"/>
    <xf numFmtId="10" fontId="11" fillId="6" borderId="1" xfId="3" applyNumberFormat="1" applyFont="1" applyFill="1" applyBorder="1"/>
    <xf numFmtId="10" fontId="11" fillId="6" borderId="3" xfId="0" applyNumberFormat="1" applyFont="1" applyFill="1" applyBorder="1"/>
    <xf numFmtId="10" fontId="11" fillId="6" borderId="1" xfId="0" applyNumberFormat="1" applyFont="1" applyFill="1" applyBorder="1"/>
    <xf numFmtId="10" fontId="11" fillId="6" borderId="14" xfId="3" applyNumberFormat="1" applyFont="1" applyFill="1" applyBorder="1"/>
    <xf numFmtId="10" fontId="11" fillId="6" borderId="2" xfId="3" applyNumberFormat="1" applyFont="1" applyFill="1" applyBorder="1"/>
    <xf numFmtId="2" fontId="11" fillId="6" borderId="1" xfId="2" applyNumberFormat="1" applyFont="1" applyFill="1" applyBorder="1"/>
    <xf numFmtId="0" fontId="28" fillId="0" borderId="0" xfId="0" applyFont="1"/>
    <xf numFmtId="0" fontId="29" fillId="0" borderId="0" xfId="0" applyFont="1"/>
    <xf numFmtId="0" fontId="19" fillId="0" borderId="0" xfId="0" applyFont="1"/>
    <xf numFmtId="0" fontId="11" fillId="3" borderId="1" xfId="0" applyFont="1" applyFill="1" applyBorder="1" applyAlignment="1">
      <alignment horizontal="center"/>
    </xf>
    <xf numFmtId="10" fontId="15" fillId="0" borderId="0" xfId="0" applyNumberFormat="1" applyFont="1" applyBorder="1" applyAlignment="1">
      <alignment horizontal="center"/>
    </xf>
    <xf numFmtId="10" fontId="12" fillId="0" borderId="0" xfId="0" applyNumberFormat="1" applyFont="1" applyBorder="1" applyAlignment="1">
      <alignment horizontal="center"/>
    </xf>
    <xf numFmtId="0" fontId="13" fillId="0" borderId="1" xfId="0" applyFont="1" applyBorder="1" applyAlignment="1">
      <alignment horizontal="centerContinuous"/>
    </xf>
    <xf numFmtId="0" fontId="13" fillId="0" borderId="1" xfId="0" applyFont="1" applyBorder="1"/>
    <xf numFmtId="0" fontId="13" fillId="0" borderId="0" xfId="0" applyFont="1" applyAlignment="1"/>
    <xf numFmtId="0" fontId="11" fillId="0" borderId="0" xfId="0" applyFont="1" applyAlignment="1">
      <alignment horizontal="centerContinuous"/>
    </xf>
    <xf numFmtId="10" fontId="11" fillId="0" borderId="1" xfId="0" applyNumberFormat="1" applyFont="1" applyBorder="1" applyAlignment="1">
      <alignment horizontal="center"/>
    </xf>
    <xf numFmtId="10" fontId="11" fillId="0" borderId="15" xfId="0" applyNumberFormat="1" applyFont="1" applyBorder="1" applyAlignment="1">
      <alignment horizontal="center"/>
    </xf>
    <xf numFmtId="2" fontId="11" fillId="0" borderId="1" xfId="0" applyNumberFormat="1" applyFont="1" applyBorder="1" applyAlignment="1">
      <alignment horizontal="center"/>
    </xf>
    <xf numFmtId="0" fontId="11" fillId="0" borderId="1" xfId="0" applyFont="1" applyBorder="1" applyAlignment="1">
      <alignment horizontal="centerContinuous"/>
    </xf>
    <xf numFmtId="10" fontId="11" fillId="6" borderId="2" xfId="0" applyNumberFormat="1" applyFont="1" applyFill="1" applyBorder="1"/>
    <xf numFmtId="2" fontId="15" fillId="6" borderId="2" xfId="0" applyNumberFormat="1" applyFont="1" applyFill="1" applyBorder="1" applyAlignment="1">
      <alignment horizontal="center"/>
    </xf>
    <xf numFmtId="0" fontId="30" fillId="6" borderId="4" xfId="0" applyFont="1" applyFill="1" applyBorder="1" applyAlignment="1">
      <alignment horizontal="center"/>
    </xf>
    <xf numFmtId="10" fontId="15" fillId="6" borderId="2" xfId="3" applyNumberFormat="1" applyFont="1" applyFill="1" applyBorder="1" applyAlignment="1">
      <alignment horizontal="center"/>
    </xf>
    <xf numFmtId="10" fontId="15" fillId="6" borderId="2" xfId="0" applyNumberFormat="1" applyFont="1" applyFill="1" applyBorder="1" applyAlignment="1">
      <alignment horizontal="center"/>
    </xf>
    <xf numFmtId="0" fontId="32" fillId="0" borderId="0" xfId="0" applyFont="1"/>
    <xf numFmtId="0" fontId="6" fillId="5" borderId="0" xfId="0" applyFont="1" applyFill="1"/>
    <xf numFmtId="0" fontId="31" fillId="6" borderId="1" xfId="0" applyFont="1" applyFill="1" applyBorder="1"/>
    <xf numFmtId="0" fontId="32" fillId="6" borderId="1" xfId="0" applyFont="1" applyFill="1" applyBorder="1"/>
    <xf numFmtId="166" fontId="32" fillId="6" borderId="1" xfId="2" applyFont="1" applyFill="1" applyBorder="1"/>
    <xf numFmtId="10" fontId="32" fillId="6" borderId="1" xfId="0" applyNumberFormat="1" applyFont="1" applyFill="1" applyBorder="1"/>
    <xf numFmtId="0" fontId="32" fillId="6" borderId="3" xfId="0" applyFont="1" applyFill="1" applyBorder="1"/>
    <xf numFmtId="10" fontId="32" fillId="6" borderId="3" xfId="0" applyNumberFormat="1" applyFont="1" applyFill="1" applyBorder="1" applyAlignment="1">
      <alignment horizontal="right"/>
    </xf>
    <xf numFmtId="0" fontId="32" fillId="0" borderId="11" xfId="0" applyFont="1" applyBorder="1"/>
    <xf numFmtId="173" fontId="21" fillId="6" borderId="1" xfId="0" applyNumberFormat="1" applyFont="1" applyFill="1" applyBorder="1" applyAlignment="1">
      <alignment horizontal="center"/>
    </xf>
    <xf numFmtId="0" fontId="21" fillId="0" borderId="0" xfId="0" applyFont="1" applyBorder="1" applyAlignment="1">
      <alignment horizontal="left"/>
    </xf>
    <xf numFmtId="0" fontId="23" fillId="0" borderId="12" xfId="0" applyFont="1" applyBorder="1"/>
    <xf numFmtId="0" fontId="24" fillId="6" borderId="1" xfId="0" applyFont="1" applyFill="1" applyBorder="1"/>
    <xf numFmtId="0" fontId="24" fillId="0" borderId="0" xfId="0" applyFont="1" applyAlignment="1"/>
    <xf numFmtId="0" fontId="24" fillId="4" borderId="1" xfId="0" applyFont="1" applyFill="1" applyBorder="1" applyAlignment="1"/>
    <xf numFmtId="2" fontId="24" fillId="4" borderId="15" xfId="2" applyNumberFormat="1" applyFont="1" applyFill="1" applyBorder="1" applyAlignment="1">
      <alignment horizontal="center"/>
    </xf>
    <xf numFmtId="10" fontId="24" fillId="4" borderId="1" xfId="0" applyNumberFormat="1" applyFont="1" applyFill="1" applyBorder="1" applyAlignment="1">
      <alignment horizontal="center"/>
    </xf>
    <xf numFmtId="0" fontId="24" fillId="0" borderId="1" xfId="0" applyFont="1" applyBorder="1"/>
    <xf numFmtId="0" fontId="0" fillId="0" borderId="1" xfId="0" applyBorder="1" applyAlignment="1">
      <alignment horizontal="center"/>
    </xf>
    <xf numFmtId="0" fontId="28" fillId="0" borderId="1" xfId="0" applyFont="1" applyBorder="1"/>
    <xf numFmtId="0" fontId="11" fillId="4" borderId="1" xfId="0" applyFont="1" applyFill="1" applyBorder="1"/>
    <xf numFmtId="0" fontId="11" fillId="6" borderId="1" xfId="0" applyFont="1" applyFill="1" applyBorder="1"/>
    <xf numFmtId="0" fontId="12" fillId="0" borderId="1" xfId="0" applyFont="1" applyBorder="1"/>
    <xf numFmtId="171" fontId="11" fillId="6" borderId="1" xfId="3" applyNumberFormat="1" applyFont="1" applyFill="1" applyBorder="1"/>
    <xf numFmtId="171" fontId="11" fillId="6" borderId="1" xfId="0" applyNumberFormat="1" applyFont="1" applyFill="1" applyBorder="1"/>
    <xf numFmtId="10" fontId="24" fillId="6" borderId="16" xfId="3" applyNumberFormat="1" applyFont="1" applyFill="1" applyBorder="1"/>
    <xf numFmtId="2" fontId="11" fillId="3" borderId="1" xfId="0" applyNumberFormat="1" applyFont="1" applyFill="1" applyBorder="1"/>
    <xf numFmtId="10" fontId="24" fillId="6" borderId="3" xfId="3" applyNumberFormat="1" applyFont="1" applyFill="1" applyBorder="1"/>
    <xf numFmtId="10" fontId="24" fillId="5" borderId="0" xfId="3" applyNumberFormat="1" applyFont="1" applyFill="1" applyBorder="1"/>
    <xf numFmtId="0" fontId="24" fillId="0" borderId="17" xfId="0" applyFont="1" applyBorder="1"/>
    <xf numFmtId="0" fontId="6" fillId="0" borderId="18" xfId="0" applyFont="1" applyBorder="1"/>
    <xf numFmtId="0" fontId="6" fillId="0" borderId="19" xfId="0" applyFont="1" applyBorder="1"/>
    <xf numFmtId="0" fontId="23" fillId="0" borderId="0" xfId="0" applyFont="1" applyBorder="1"/>
    <xf numFmtId="166" fontId="24" fillId="4" borderId="15" xfId="2" applyFont="1" applyFill="1" applyBorder="1" applyAlignment="1">
      <alignment horizontal="center"/>
    </xf>
    <xf numFmtId="0" fontId="11" fillId="4" borderId="1" xfId="0" applyFont="1" applyFill="1" applyBorder="1"/>
    <xf numFmtId="174" fontId="11" fillId="4" borderId="1" xfId="2" applyNumberFormat="1" applyFont="1" applyFill="1" applyBorder="1"/>
    <xf numFmtId="173" fontId="11" fillId="6" borderId="1" xfId="0" applyNumberFormat="1" applyFont="1" applyFill="1" applyBorder="1"/>
    <xf numFmtId="174" fontId="11" fillId="6" borderId="1" xfId="0" applyNumberFormat="1" applyFont="1" applyFill="1" applyBorder="1"/>
    <xf numFmtId="0" fontId="0" fillId="6" borderId="1" xfId="0" applyFill="1" applyBorder="1"/>
    <xf numFmtId="174" fontId="2" fillId="6" borderId="1" xfId="2" applyNumberFormat="1" applyFont="1" applyFill="1" applyBorder="1"/>
    <xf numFmtId="173"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33" fillId="0" borderId="1" xfId="0" applyNumberFormat="1" applyFont="1" applyBorder="1" applyAlignment="1">
      <alignment horizontal="center"/>
    </xf>
    <xf numFmtId="2" fontId="33" fillId="0" borderId="0" xfId="0" applyNumberFormat="1" applyFont="1"/>
    <xf numFmtId="2" fontId="11" fillId="0" borderId="0" xfId="0" applyNumberFormat="1" applyFont="1"/>
    <xf numFmtId="1" fontId="33" fillId="0" borderId="1" xfId="0" applyNumberFormat="1" applyFont="1" applyBorder="1" applyAlignment="1">
      <alignment horizontal="center"/>
    </xf>
    <xf numFmtId="2" fontId="33" fillId="3" borderId="1" xfId="0" applyNumberFormat="1" applyFont="1" applyFill="1" applyBorder="1" applyAlignment="1">
      <alignment horizontal="center"/>
    </xf>
    <xf numFmtId="2" fontId="34" fillId="0" borderId="0" xfId="0" applyNumberFormat="1" applyFont="1"/>
    <xf numFmtId="2" fontId="33" fillId="0" borderId="14" xfId="0" applyNumberFormat="1" applyFont="1" applyBorder="1" applyAlignment="1">
      <alignment horizontal="centerContinuous"/>
    </xf>
    <xf numFmtId="2" fontId="33" fillId="0" borderId="20" xfId="0" applyNumberFormat="1" applyFont="1" applyBorder="1" applyAlignment="1">
      <alignment horizontal="centerContinuous"/>
    </xf>
    <xf numFmtId="166" fontId="33" fillId="0" borderId="1" xfId="2" applyFont="1" applyBorder="1"/>
    <xf numFmtId="2" fontId="33" fillId="0" borderId="3" xfId="0" applyNumberFormat="1" applyFont="1" applyBorder="1" applyAlignment="1">
      <alignment horizontal="center"/>
    </xf>
    <xf numFmtId="166" fontId="33" fillId="0" borderId="3" xfId="2" applyFont="1" applyBorder="1"/>
    <xf numFmtId="168" fontId="11" fillId="0" borderId="2" xfId="0" applyNumberFormat="1" applyFont="1" applyBorder="1"/>
    <xf numFmtId="168" fontId="11" fillId="0" borderId="21" xfId="0" applyNumberFormat="1" applyFont="1" applyBorder="1"/>
    <xf numFmtId="164" fontId="11" fillId="0" borderId="1" xfId="2" applyNumberFormat="1" applyFont="1" applyBorder="1"/>
    <xf numFmtId="166" fontId="24" fillId="8" borderId="20" xfId="0" applyNumberFormat="1" applyFont="1" applyFill="1" applyBorder="1" applyAlignment="1">
      <alignment horizontal="center"/>
    </xf>
    <xf numFmtId="166" fontId="38" fillId="9" borderId="20" xfId="0" applyNumberFormat="1" applyFont="1" applyFill="1" applyBorder="1" applyAlignment="1">
      <alignment horizontal="left"/>
    </xf>
    <xf numFmtId="0" fontId="0" fillId="0" borderId="1" xfId="0" applyFill="1" applyBorder="1" applyAlignment="1">
      <alignment horizontal="center"/>
    </xf>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11" fillId="6" borderId="2" xfId="0" applyNumberFormat="1" applyFont="1" applyFill="1" applyBorder="1"/>
    <xf numFmtId="0" fontId="26" fillId="0" borderId="12" xfId="0" applyFont="1" applyBorder="1"/>
    <xf numFmtId="0" fontId="35" fillId="0" borderId="0" xfId="0" applyFont="1"/>
    <xf numFmtId="0" fontId="24" fillId="0" borderId="22" xfId="0" applyFont="1" applyBorder="1"/>
    <xf numFmtId="0" fontId="24" fillId="0" borderId="23" xfId="0" applyFont="1" applyBorder="1"/>
    <xf numFmtId="0" fontId="15" fillId="5" borderId="24" xfId="0" applyFont="1" applyFill="1" applyBorder="1" applyAlignment="1">
      <alignment vertical="center" wrapText="1"/>
    </xf>
    <xf numFmtId="0" fontId="12" fillId="5" borderId="15" xfId="0" applyFont="1" applyFill="1" applyBorder="1" applyAlignment="1">
      <alignment horizontal="center" vertical="center" wrapText="1"/>
    </xf>
    <xf numFmtId="0" fontId="12" fillId="5" borderId="25"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1" fillId="6" borderId="26" xfId="0" applyFont="1" applyFill="1" applyBorder="1" applyAlignment="1">
      <alignment horizontal="left" vertical="center" wrapText="1"/>
    </xf>
    <xf numFmtId="9" fontId="11" fillId="6" borderId="1" xfId="3" applyFont="1" applyFill="1" applyBorder="1" applyAlignment="1">
      <alignment horizontal="left" vertical="center" wrapText="1"/>
    </xf>
    <xf numFmtId="0" fontId="11" fillId="6" borderId="26" xfId="0" applyFont="1" applyFill="1" applyBorder="1" applyAlignment="1">
      <alignment horizontal="left" vertical="center"/>
    </xf>
    <xf numFmtId="0" fontId="11" fillId="6" borderId="1" xfId="0" applyFont="1" applyFill="1" applyBorder="1" applyAlignment="1">
      <alignment horizontal="left"/>
    </xf>
    <xf numFmtId="0" fontId="11" fillId="6" borderId="26" xfId="0" applyFont="1" applyFill="1" applyBorder="1" applyAlignment="1">
      <alignment horizontal="left"/>
    </xf>
    <xf numFmtId="10" fontId="11" fillId="6" borderId="16" xfId="3" applyNumberFormat="1" applyFont="1" applyFill="1" applyBorder="1" applyAlignment="1">
      <alignment horizontal="left"/>
    </xf>
    <xf numFmtId="0" fontId="11" fillId="6" borderId="27" xfId="0" applyFont="1" applyFill="1" applyBorder="1" applyAlignment="1">
      <alignment horizontal="left"/>
    </xf>
    <xf numFmtId="0" fontId="11" fillId="5" borderId="24" xfId="0" applyFont="1" applyFill="1" applyBorder="1" applyAlignment="1">
      <alignment vertical="center"/>
    </xf>
    <xf numFmtId="0" fontId="11" fillId="5" borderId="28" xfId="0" applyFont="1" applyFill="1" applyBorder="1"/>
    <xf numFmtId="0" fontId="11" fillId="5" borderId="29" xfId="0" applyFont="1" applyFill="1" applyBorder="1"/>
    <xf numFmtId="0" fontId="28" fillId="0" borderId="20" xfId="0" applyFont="1" applyBorder="1" applyAlignment="1">
      <alignment horizontal="center"/>
    </xf>
    <xf numFmtId="0" fontId="28" fillId="0" borderId="20" xfId="0" applyFont="1" applyBorder="1"/>
    <xf numFmtId="0" fontId="28" fillId="0" borderId="5" xfId="0" applyFont="1" applyBorder="1" applyAlignment="1">
      <alignment horizontal="center"/>
    </xf>
    <xf numFmtId="0" fontId="21" fillId="0" borderId="15" xfId="0" applyFont="1" applyBorder="1"/>
    <xf numFmtId="0" fontId="21" fillId="0" borderId="30" xfId="0" applyFont="1" applyBorder="1" applyAlignment="1">
      <alignment horizontal="center"/>
    </xf>
    <xf numFmtId="10" fontId="21" fillId="0" borderId="30" xfId="0" applyNumberFormat="1" applyFont="1" applyBorder="1" applyAlignment="1">
      <alignment horizontal="center"/>
    </xf>
    <xf numFmtId="10" fontId="21" fillId="0" borderId="30" xfId="0" applyNumberFormat="1" applyFont="1" applyBorder="1"/>
    <xf numFmtId="10" fontId="21" fillId="0" borderId="31" xfId="0" applyNumberFormat="1" applyFont="1" applyBorder="1" applyAlignment="1">
      <alignment horizontal="center"/>
    </xf>
    <xf numFmtId="0" fontId="40" fillId="0" borderId="15" xfId="0" applyFont="1" applyBorder="1"/>
    <xf numFmtId="0" fontId="19" fillId="0" borderId="15" xfId="0" applyFont="1" applyBorder="1" applyAlignment="1">
      <alignment horizontal="left"/>
    </xf>
    <xf numFmtId="10" fontId="19" fillId="0" borderId="30" xfId="0" applyNumberFormat="1" applyFont="1" applyBorder="1"/>
    <xf numFmtId="0" fontId="41" fillId="0" borderId="1" xfId="0" applyFont="1" applyBorder="1"/>
    <xf numFmtId="0" fontId="41" fillId="0" borderId="1" xfId="0" applyFont="1" applyBorder="1" applyAlignment="1">
      <alignment horizontal="center"/>
    </xf>
    <xf numFmtId="10" fontId="37" fillId="0" borderId="1" xfId="3" applyNumberFormat="1" applyFont="1" applyBorder="1" applyAlignment="1">
      <alignment horizontal="center"/>
    </xf>
    <xf numFmtId="0" fontId="19" fillId="6" borderId="15" xfId="0" applyFont="1" applyFill="1" applyBorder="1"/>
    <xf numFmtId="0" fontId="19" fillId="6" borderId="30" xfId="0" applyFont="1" applyFill="1" applyBorder="1"/>
    <xf numFmtId="2" fontId="0" fillId="0" borderId="0" xfId="0" applyNumberFormat="1"/>
    <xf numFmtId="10" fontId="0" fillId="0" borderId="0" xfId="0" applyNumberFormat="1"/>
    <xf numFmtId="10" fontId="0" fillId="0" borderId="0" xfId="3" applyNumberFormat="1" applyFont="1"/>
    <xf numFmtId="0" fontId="26" fillId="0" borderId="0" xfId="0" applyFont="1" applyFill="1" applyBorder="1"/>
    <xf numFmtId="168" fontId="1" fillId="0" borderId="0" xfId="0" applyNumberFormat="1" applyFont="1" applyAlignment="1">
      <alignment horizontal="center"/>
    </xf>
    <xf numFmtId="168" fontId="1" fillId="0" borderId="0" xfId="0" applyNumberFormat="1" applyFont="1"/>
    <xf numFmtId="17" fontId="23" fillId="4" borderId="1" xfId="0" applyNumberFormat="1" applyFont="1" applyFill="1" applyBorder="1" applyAlignment="1">
      <alignment horizontal="center"/>
    </xf>
    <xf numFmtId="0" fontId="42" fillId="4" borderId="1" xfId="0" applyFont="1" applyFill="1" applyBorder="1" applyAlignment="1">
      <alignment horizontal="center"/>
    </xf>
    <xf numFmtId="0" fontId="11" fillId="4" borderId="1" xfId="0" applyFont="1" applyFill="1" applyBorder="1"/>
    <xf numFmtId="10" fontId="11" fillId="4" borderId="1" xfId="0" applyNumberFormat="1" applyFont="1" applyFill="1" applyBorder="1" applyAlignment="1">
      <alignment horizontal="center"/>
    </xf>
    <xf numFmtId="0" fontId="24" fillId="4" borderId="1" xfId="0" applyFont="1" applyFill="1" applyBorder="1" applyAlignment="1"/>
    <xf numFmtId="10" fontId="11" fillId="6" borderId="1" xfId="0" applyNumberFormat="1" applyFont="1" applyFill="1" applyBorder="1" applyAlignment="1">
      <alignment horizontal="center"/>
    </xf>
    <xf numFmtId="170" fontId="11" fillId="3" borderId="1" xfId="0" applyNumberFormat="1" applyFont="1" applyFill="1" applyBorder="1"/>
    <xf numFmtId="0" fontId="43" fillId="0" borderId="1" xfId="0" applyFont="1" applyBorder="1" applyAlignment="1">
      <alignment horizontal="center"/>
    </xf>
    <xf numFmtId="9" fontId="11" fillId="6" borderId="1" xfId="0" applyNumberFormat="1" applyFont="1" applyFill="1" applyBorder="1" applyAlignment="1">
      <alignment horizontal="center"/>
    </xf>
    <xf numFmtId="0" fontId="11" fillId="6" borderId="2" xfId="0" applyFont="1" applyFill="1" applyBorder="1" applyAlignment="1">
      <alignment horizontal="center"/>
    </xf>
    <xf numFmtId="0" fontId="36" fillId="0" borderId="0" xfId="0" applyFont="1"/>
    <xf numFmtId="0" fontId="36" fillId="4" borderId="1" xfId="0" applyFont="1" applyFill="1" applyBorder="1"/>
    <xf numFmtId="0" fontId="12" fillId="6" borderId="1" xfId="0" applyFont="1" applyFill="1" applyBorder="1"/>
    <xf numFmtId="2" fontId="11" fillId="4" borderId="1" xfId="0" applyNumberFormat="1" applyFont="1" applyFill="1" applyBorder="1"/>
    <xf numFmtId="0" fontId="27" fillId="0" borderId="0" xfId="0" applyFont="1" applyFill="1" applyBorder="1" applyAlignment="1">
      <alignment horizontal="left"/>
    </xf>
    <xf numFmtId="166" fontId="38" fillId="0" borderId="0" xfId="0" applyNumberFormat="1" applyFont="1"/>
    <xf numFmtId="172" fontId="0" fillId="0" borderId="0" xfId="0" applyNumberFormat="1"/>
    <xf numFmtId="0" fontId="25" fillId="0" borderId="0" xfId="0" applyFont="1" applyFill="1" applyBorder="1" applyAlignment="1"/>
    <xf numFmtId="0" fontId="23" fillId="0" borderId="32" xfId="0" applyFont="1" applyBorder="1" applyAlignment="1">
      <alignment horizontal="center"/>
    </xf>
    <xf numFmtId="0" fontId="23" fillId="0" borderId="9" xfId="0" applyFont="1" applyBorder="1" applyAlignment="1">
      <alignment horizontal="center"/>
    </xf>
    <xf numFmtId="0" fontId="23" fillId="0" borderId="33" xfId="0" applyFont="1" applyBorder="1" applyAlignment="1">
      <alignment horizontal="center"/>
    </xf>
    <xf numFmtId="0" fontId="23" fillId="0" borderId="34" xfId="0" applyFont="1" applyBorder="1" applyAlignment="1">
      <alignment horizontal="center"/>
    </xf>
    <xf numFmtId="10" fontId="44" fillId="0" borderId="32" xfId="0" applyNumberFormat="1" applyFont="1" applyBorder="1" applyAlignment="1">
      <alignment horizontal="center"/>
    </xf>
    <xf numFmtId="10" fontId="44" fillId="0" borderId="34" xfId="0" applyNumberFormat="1" applyFont="1" applyBorder="1" applyAlignment="1">
      <alignment horizontal="center"/>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GB"/>
  <c:style val="18"/>
  <c:chart>
    <c:plotArea>
      <c:layout/>
      <c:barChart>
        <c:barDir val="col"/>
        <c:grouping val="clustered"/>
        <c:ser>
          <c:idx val="1"/>
          <c:order val="0"/>
          <c:tx>
            <c:strRef>
              <c:f>'Summary sheet'!$B$1</c:f>
              <c:strCache>
                <c:ptCount val="1"/>
                <c:pt idx="0">
                  <c:v>Revenues</c:v>
                </c:pt>
              </c:strCache>
            </c:strRef>
          </c:tx>
          <c:spPr>
            <a:gradFill rotWithShape="0">
              <a:gsLst>
                <a:gs pos="0">
                  <a:srgbClr val="FF9A99"/>
                </a:gs>
                <a:gs pos="100000">
                  <a:srgbClr val="D1403C"/>
                </a:gs>
              </a:gsLst>
              <a:lin ang="5400000"/>
            </a:gradFill>
            <a:ln w="25400">
              <a:noFill/>
            </a:ln>
            <a:effectLst>
              <a:outerShdw dist="35921" dir="2700000" algn="br">
                <a:srgbClr val="000000"/>
              </a:outerShdw>
            </a:effectLst>
          </c:spPr>
          <c:cat>
            <c:strRef>
              <c:f>'Summary sheet'!$A$2:$A$12</c:f>
              <c:strCache>
                <c:ptCount val="11"/>
                <c:pt idx="0">
                  <c:v>Base</c:v>
                </c:pt>
                <c:pt idx="1">
                  <c:v>1</c:v>
                </c:pt>
                <c:pt idx="2">
                  <c:v>2</c:v>
                </c:pt>
                <c:pt idx="3">
                  <c:v>3</c:v>
                </c:pt>
                <c:pt idx="4">
                  <c:v>4</c:v>
                </c:pt>
                <c:pt idx="5">
                  <c:v>5</c:v>
                </c:pt>
                <c:pt idx="6">
                  <c:v>6</c:v>
                </c:pt>
                <c:pt idx="7">
                  <c:v>7</c:v>
                </c:pt>
                <c:pt idx="8">
                  <c:v>8</c:v>
                </c:pt>
                <c:pt idx="9">
                  <c:v>9</c:v>
                </c:pt>
                <c:pt idx="10">
                  <c:v>10</c:v>
                </c:pt>
              </c:strCache>
            </c:strRef>
          </c:cat>
          <c:val>
            <c:numRef>
              <c:f>'Summary sheet'!$B$2:$B$12</c:f>
              <c:numCache>
                <c:formatCode>_("$"* #,##0_);_("$"* \(#,##0\);_("$"* "-"??_);_(@_)</c:formatCode>
                <c:ptCount val="11"/>
                <c:pt idx="0">
                  <c:v>1328.6959999999999</c:v>
                </c:pt>
                <c:pt idx="1">
                  <c:v>2258.7831999999999</c:v>
                </c:pt>
                <c:pt idx="2">
                  <c:v>3839.9314399999998</c:v>
                </c:pt>
                <c:pt idx="3">
                  <c:v>6527.8834479999996</c:v>
                </c:pt>
                <c:pt idx="4">
                  <c:v>11097.401861599999</c:v>
                </c:pt>
                <c:pt idx="5">
                  <c:v>18865.583164719999</c:v>
                </c:pt>
                <c:pt idx="6">
                  <c:v>29534.070444369157</c:v>
                </c:pt>
                <c:pt idx="7">
                  <c:v>42263.254805892269</c:v>
                </c:pt>
                <c:pt idx="8">
                  <c:v>54794.309855839325</c:v>
                </c:pt>
                <c:pt idx="9">
                  <c:v>63670.988052485292</c:v>
                </c:pt>
                <c:pt idx="10">
                  <c:v>65421.940223928628</c:v>
                </c:pt>
              </c:numCache>
            </c:numRef>
          </c:val>
        </c:ser>
        <c:axId val="46185856"/>
        <c:axId val="47257088"/>
      </c:barChart>
      <c:lineChart>
        <c:grouping val="standard"/>
        <c:ser>
          <c:idx val="2"/>
          <c:order val="1"/>
          <c:tx>
            <c:strRef>
              <c:f>'Summary sheet'!$C$1</c:f>
              <c:strCache>
                <c:ptCount val="1"/>
                <c:pt idx="0">
                  <c:v>Pre-tax operating income</c:v>
                </c:pt>
              </c:strCache>
            </c:strRef>
          </c:tx>
          <c:spPr>
            <a:ln w="38100">
              <a:solidFill>
                <a:srgbClr val="90713A"/>
              </a:solidFill>
              <a:prstDash val="solid"/>
            </a:ln>
          </c:spPr>
          <c:marker>
            <c:spPr>
              <a:gradFill rotWithShape="0">
                <a:gsLst>
                  <a:gs pos="0">
                    <a:srgbClr val="DCFFA0"/>
                  </a:gs>
                  <a:gs pos="100000">
                    <a:srgbClr val="A0CA4A"/>
                  </a:gs>
                </a:gsLst>
                <a:lin ang="5400000"/>
              </a:gradFill>
              <a:ln>
                <a:solidFill>
                  <a:srgbClr val="90713A"/>
                </a:solidFill>
                <a:prstDash val="solid"/>
              </a:ln>
              <a:effectLst>
                <a:outerShdw dist="35921" dir="2700000" algn="br">
                  <a:srgbClr val="000000"/>
                </a:outerShdw>
              </a:effectLst>
            </c:spPr>
          </c:marker>
          <c:val>
            <c:numRef>
              <c:f>'Summary sheet'!$C$2:$C$12</c:f>
              <c:numCache>
                <c:formatCode>_("$"* #,##0_);_("$"* \(#,##0\);_("$"* "-"??_);_(@_)</c:formatCode>
                <c:ptCount val="11"/>
                <c:pt idx="0">
                  <c:v>-21.857000000000028</c:v>
                </c:pt>
                <c:pt idx="1">
                  <c:v>-5.2064200000000671</c:v>
                </c:pt>
                <c:pt idx="2">
                  <c:v>45.464901999999945</c:v>
                </c:pt>
                <c:pt idx="3">
                  <c:v>169.6272205999999</c:v>
                </c:pt>
                <c:pt idx="4">
                  <c:v>445.33898325999985</c:v>
                </c:pt>
                <c:pt idx="5">
                  <c:v>1023.9298755499998</c:v>
                </c:pt>
                <c:pt idx="6">
                  <c:v>2020.7215372480487</c:v>
                </c:pt>
                <c:pt idx="7">
                  <c:v>3489.4661025356017</c:v>
                </c:pt>
                <c:pt idx="8">
                  <c:v>5299.1581119515768</c:v>
                </c:pt>
                <c:pt idx="9">
                  <c:v>7058.2476163241972</c:v>
                </c:pt>
                <c:pt idx="10">
                  <c:v>8177.7425279910785</c:v>
                </c:pt>
              </c:numCache>
            </c:numRef>
          </c:val>
        </c:ser>
        <c:marker val="1"/>
        <c:axId val="47259008"/>
        <c:axId val="47268992"/>
      </c:lineChart>
      <c:catAx>
        <c:axId val="46185856"/>
        <c:scaling>
          <c:orientation val="minMax"/>
        </c:scaling>
        <c:axPos val="b"/>
        <c:numFmt formatCode="General" sourceLinked="1"/>
        <c:tickLblPos val="nextTo"/>
        <c:spPr>
          <a:ln w="3175">
            <a:solidFill>
              <a:srgbClr val="808080"/>
            </a:solidFill>
            <a:prstDash val="solid"/>
          </a:ln>
        </c:spPr>
        <c:crossAx val="47257088"/>
        <c:crosses val="autoZero"/>
        <c:auto val="1"/>
        <c:lblAlgn val="ctr"/>
        <c:lblOffset val="100"/>
      </c:catAx>
      <c:valAx>
        <c:axId val="47257088"/>
        <c:scaling>
          <c:orientation val="minMax"/>
        </c:scaling>
        <c:axPos val="l"/>
        <c:majorGridlines>
          <c:spPr>
            <a:ln w="3175">
              <a:solidFill>
                <a:srgbClr val="808080"/>
              </a:solidFill>
              <a:prstDash val="solid"/>
            </a:ln>
          </c:spPr>
        </c:majorGridlines>
        <c:title>
          <c:tx>
            <c:rich>
              <a:bodyPr rot="-5400000" vert="horz"/>
              <a:lstStyle/>
              <a:p>
                <a:pPr>
                  <a:defRPr/>
                </a:pPr>
                <a:r>
                  <a:rPr lang="en-US"/>
                  <a:t>Revenues (in billions)</a:t>
                </a:r>
              </a:p>
            </c:rich>
          </c:tx>
          <c:spPr>
            <a:noFill/>
            <a:ln w="25400">
              <a:noFill/>
            </a:ln>
          </c:spPr>
        </c:title>
        <c:numFmt formatCode="_(&quot;$&quot;* #,##0_);_(&quot;$&quot;* \(#,##0\);_(&quot;$&quot;* &quot;-&quot;??_);_(@_)" sourceLinked="1"/>
        <c:tickLblPos val="nextTo"/>
        <c:spPr>
          <a:ln w="3175">
            <a:solidFill>
              <a:srgbClr val="808080"/>
            </a:solidFill>
            <a:prstDash val="solid"/>
          </a:ln>
        </c:spPr>
        <c:crossAx val="46185856"/>
        <c:crosses val="autoZero"/>
        <c:crossBetween val="between"/>
      </c:valAx>
      <c:catAx>
        <c:axId val="47259008"/>
        <c:scaling>
          <c:orientation val="minMax"/>
        </c:scaling>
        <c:delete val="1"/>
        <c:axPos val="b"/>
        <c:tickLblPos val="none"/>
        <c:crossAx val="47268992"/>
        <c:crosses val="autoZero"/>
        <c:auto val="1"/>
        <c:lblAlgn val="ctr"/>
        <c:lblOffset val="100"/>
      </c:catAx>
      <c:valAx>
        <c:axId val="47268992"/>
        <c:scaling>
          <c:orientation val="minMax"/>
        </c:scaling>
        <c:axPos val="r"/>
        <c:title>
          <c:tx>
            <c:rich>
              <a:bodyPr rot="-5400000" vert="horz"/>
              <a:lstStyle/>
              <a:p>
                <a:pPr>
                  <a:defRPr/>
                </a:pPr>
                <a:r>
                  <a:rPr lang="en-US"/>
                  <a:t>Pre-tax Operating Income</a:t>
                </a:r>
              </a:p>
            </c:rich>
          </c:tx>
          <c:spPr>
            <a:noFill/>
            <a:ln w="25400">
              <a:noFill/>
            </a:ln>
          </c:spPr>
        </c:title>
        <c:numFmt formatCode="_(&quot;$&quot;* #,##0_);_(&quot;$&quot;* \(#,##0\);_(&quot;$&quot;* &quot;-&quot;??_);_(@_)" sourceLinked="1"/>
        <c:tickLblPos val="nextTo"/>
        <c:spPr>
          <a:ln w="3175">
            <a:solidFill>
              <a:srgbClr val="808080"/>
            </a:solidFill>
            <a:prstDash val="solid"/>
          </a:ln>
        </c:spPr>
        <c:crossAx val="47259008"/>
        <c:crosses val="max"/>
        <c:crossBetween val="between"/>
      </c:valAx>
      <c:spPr>
        <a:solidFill>
          <a:srgbClr val="FFFFFF"/>
        </a:solidFill>
        <a:ln w="25400">
          <a:noFill/>
        </a:ln>
      </c:spPr>
    </c:plotArea>
    <c:legend>
      <c:legendPos val="r"/>
      <c:layout>
        <c:manualLayout>
          <c:xMode val="edge"/>
          <c:yMode val="edge"/>
          <c:x val="0.78309232480533919"/>
          <c:y val="0.43898305084745776"/>
          <c:w val="0.2002224694104561"/>
          <c:h val="8.9830508474576284E-2"/>
        </c:manualLayout>
      </c:layout>
      <c:spPr>
        <a:noFill/>
        <a:ln w="25400">
          <a:noFill/>
        </a:ln>
      </c:spPr>
    </c:legend>
    <c:plotVisOnly val="1"/>
    <c:dispBlanksAs val="gap"/>
  </c:chart>
  <c:spPr>
    <a:solidFill>
      <a:srgbClr val="FFFFFF"/>
    </a:solidFill>
    <a:ln w="3175">
      <a:solidFill>
        <a:srgbClr val="808080"/>
      </a:solidFill>
      <a:prstDash val="solid"/>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39" workbookViewId="0"/>
  </sheetViews>
  <pageMargins left="0.75" right="0.75" top="1" bottom="1" header="0.5" footer="0.5"/>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60960</xdr:rowOff>
    </xdr:from>
    <xdr:ext cx="2215478" cy="609013"/>
    <xdr:sp macro="" textlink="">
      <xdr:nvSpPr>
        <xdr:cNvPr id="3" name="TextBox 2"/>
        <xdr:cNvSpPr txBox="1"/>
      </xdr:nvSpPr>
      <xdr:spPr>
        <a:xfrm>
          <a:off x="13022580" y="609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50165</xdr:rowOff>
    </xdr:from>
    <xdr:ext cx="4613892" cy="781240"/>
    <xdr:sp macro="" textlink="">
      <xdr:nvSpPr>
        <xdr:cNvPr id="4" name="TextBox 3"/>
        <xdr:cNvSpPr txBox="1"/>
      </xdr:nvSpPr>
      <xdr:spPr>
        <a:xfrm>
          <a:off x="11097260" y="8173085"/>
          <a:ext cx="461389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40005</xdr:colOff>
      <xdr:row>6</xdr:row>
      <xdr:rowOff>151130</xdr:rowOff>
    </xdr:from>
    <xdr:ext cx="2083041" cy="609013"/>
    <xdr:sp macro="" textlink="">
      <xdr:nvSpPr>
        <xdr:cNvPr id="2" name="TextBox 1"/>
        <xdr:cNvSpPr txBox="1"/>
      </xdr:nvSpPr>
      <xdr:spPr>
        <a:xfrm>
          <a:off x="13847445" y="1339850"/>
          <a:ext cx="208304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141605</xdr:rowOff>
    </xdr:from>
    <xdr:ext cx="2865013" cy="436786"/>
    <xdr:sp macro="" textlink="">
      <xdr:nvSpPr>
        <xdr:cNvPr id="5" name="TextBox 4"/>
        <xdr:cNvSpPr txBox="1"/>
      </xdr:nvSpPr>
      <xdr:spPr>
        <a:xfrm>
          <a:off x="13817600" y="735965"/>
          <a:ext cx="286501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absoluteAnchor>
    <xdr:pos x="0" y="0"/>
    <xdr:ext cx="85629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N58"/>
  <sheetViews>
    <sheetView topLeftCell="A16" zoomScale="143" zoomScaleNormal="143" workbookViewId="0">
      <selection activeCell="A21" sqref="A21"/>
    </sheetView>
  </sheetViews>
  <sheetFormatPr defaultColWidth="10.85546875" defaultRowHeight="10.5"/>
  <cols>
    <col min="1" max="1" width="49.7109375" style="7" customWidth="1"/>
    <col min="2" max="2" width="19.7109375" style="7" customWidth="1"/>
    <col min="3" max="3" width="10.85546875" style="7"/>
    <col min="4" max="4" width="12.42578125" style="7" customWidth="1"/>
    <col min="5" max="7" width="10.85546875" style="7"/>
    <col min="8" max="8" width="11" style="7" bestFit="1" customWidth="1"/>
    <col min="9" max="9" width="10.85546875" style="7"/>
    <col min="10" max="10" width="15" style="7" bestFit="1" customWidth="1"/>
    <col min="11" max="11" width="17.42578125" style="7" bestFit="1" customWidth="1"/>
    <col min="12" max="16384" width="10.85546875" style="7"/>
  </cols>
  <sheetData>
    <row r="1" spans="1:10" ht="12.75">
      <c r="A1" s="225" t="s">
        <v>528</v>
      </c>
      <c r="B1" s="264">
        <v>40056</v>
      </c>
      <c r="C1" s="186" t="s">
        <v>529</v>
      </c>
      <c r="D1" s="187"/>
      <c r="E1" s="187"/>
      <c r="F1" s="187"/>
      <c r="G1" s="187"/>
      <c r="H1" s="187"/>
      <c r="I1" s="187"/>
      <c r="J1" s="188"/>
    </row>
    <row r="2" spans="1:10" s="61" customFormat="1" ht="13.5" thickBot="1">
      <c r="A2" s="58" t="s">
        <v>35</v>
      </c>
      <c r="B2" s="265" t="s">
        <v>655</v>
      </c>
      <c r="C2" s="226" t="s">
        <v>193</v>
      </c>
      <c r="D2" s="88"/>
      <c r="E2" s="88"/>
      <c r="F2" s="88"/>
      <c r="G2" s="88"/>
      <c r="H2" s="88"/>
      <c r="I2" s="88"/>
      <c r="J2" s="227"/>
    </row>
    <row r="3" spans="1:10" s="61" customFormat="1" ht="13.5" thickBot="1">
      <c r="A3" s="282" t="s">
        <v>575</v>
      </c>
      <c r="B3" s="283"/>
      <c r="C3" s="284"/>
      <c r="D3" s="284"/>
      <c r="E3" s="284"/>
      <c r="F3" s="284"/>
      <c r="G3" s="284"/>
      <c r="H3" s="284"/>
      <c r="I3" s="284"/>
      <c r="J3" s="285"/>
    </row>
    <row r="4" spans="1:10" s="61" customFormat="1" ht="12.75">
      <c r="A4" s="62"/>
      <c r="B4" s="62" t="s">
        <v>278</v>
      </c>
      <c r="C4" s="189" t="s">
        <v>279</v>
      </c>
      <c r="D4" s="88"/>
      <c r="E4" s="88"/>
      <c r="F4" s="88"/>
      <c r="G4" s="88"/>
      <c r="H4" s="88"/>
      <c r="I4" s="88"/>
    </row>
    <row r="5" spans="1:10" s="61" customFormat="1" ht="12.75">
      <c r="A5" s="170" t="s">
        <v>612</v>
      </c>
      <c r="B5" s="268" t="s">
        <v>520</v>
      </c>
      <c r="C5" s="189"/>
      <c r="D5" s="88"/>
      <c r="E5" s="88">
        <f>B9/B8</f>
        <v>-0.16310954499750133</v>
      </c>
      <c r="F5" s="88"/>
      <c r="G5" s="88"/>
      <c r="H5" s="88"/>
      <c r="I5" s="88"/>
    </row>
    <row r="6" spans="1:10" s="61" customFormat="1" ht="12.75">
      <c r="A6" s="170" t="s">
        <v>600</v>
      </c>
      <c r="B6" s="171" t="s">
        <v>105</v>
      </c>
      <c r="C6" s="88"/>
      <c r="D6" s="88"/>
      <c r="E6" s="88"/>
      <c r="F6" s="88"/>
      <c r="G6" s="88"/>
      <c r="H6" s="88"/>
      <c r="I6" s="88"/>
    </row>
    <row r="7" spans="1:10" s="61" customFormat="1" ht="12.75">
      <c r="A7" s="170" t="s">
        <v>601</v>
      </c>
      <c r="B7" s="171" t="s">
        <v>656</v>
      </c>
      <c r="C7" s="88"/>
      <c r="D7" s="88"/>
      <c r="E7" s="88"/>
      <c r="F7" s="88"/>
      <c r="G7" s="88"/>
      <c r="H7" s="88"/>
      <c r="I7" s="88"/>
    </row>
    <row r="8" spans="1:10" s="61" customFormat="1" ht="12.75">
      <c r="A8" s="66" t="s">
        <v>11</v>
      </c>
      <c r="B8" s="67">
        <f>'Traiing 12 month'!E2</f>
        <v>1328.6959999999999</v>
      </c>
      <c r="C8" s="91">
        <f>'Traiing 12 month'!B2</f>
        <v>413.25599999999997</v>
      </c>
      <c r="D8" s="68"/>
    </row>
    <row r="9" spans="1:10" s="61" customFormat="1" ht="12.75">
      <c r="A9" s="66" t="s">
        <v>30</v>
      </c>
      <c r="B9" s="67">
        <f>'Traiing 12 month'!E4</f>
        <v>-216.72300000000001</v>
      </c>
      <c r="C9" s="91">
        <f>'Traiing 12 month'!B4</f>
        <v>-394.28300000000002</v>
      </c>
      <c r="D9" s="68" t="s">
        <v>571</v>
      </c>
    </row>
    <row r="10" spans="1:10" s="61" customFormat="1" ht="12.75">
      <c r="A10" s="66" t="s">
        <v>605</v>
      </c>
      <c r="B10" s="91">
        <f>-'Traiing 12 month'!E5</f>
        <v>19.826000000000001</v>
      </c>
      <c r="C10" s="91">
        <f>-'Traiing 12 month'!B5</f>
        <v>-0.254</v>
      </c>
      <c r="D10" s="68"/>
    </row>
    <row r="11" spans="1:10" s="61" customFormat="1" ht="12.75">
      <c r="A11" s="66" t="s">
        <v>31</v>
      </c>
      <c r="B11" s="67">
        <f>'Traiing 12 month'!D6</f>
        <v>629.42999999999995</v>
      </c>
      <c r="C11" s="91">
        <f>'Traiing 12 month'!B6</f>
        <v>124.7</v>
      </c>
      <c r="D11" s="68"/>
    </row>
    <row r="12" spans="1:10" s="61" customFormat="1" ht="12.75">
      <c r="A12" s="66" t="s">
        <v>32</v>
      </c>
      <c r="B12" s="67">
        <f>'Traiing 12 month'!D7</f>
        <v>578.74</v>
      </c>
      <c r="C12" s="91">
        <f>'Traiing 12 month'!B7</f>
        <v>452.34000000000003</v>
      </c>
      <c r="D12" s="68"/>
    </row>
    <row r="13" spans="1:10" s="61" customFormat="1" ht="12.75">
      <c r="A13" s="174" t="s">
        <v>569</v>
      </c>
      <c r="B13" s="215" t="s">
        <v>60</v>
      </c>
      <c r="C13" s="216" t="s">
        <v>570</v>
      </c>
      <c r="D13" s="68"/>
    </row>
    <row r="14" spans="1:10" s="61" customFormat="1" ht="12.75">
      <c r="A14" s="66" t="s">
        <v>345</v>
      </c>
      <c r="B14" s="91" t="s">
        <v>54</v>
      </c>
      <c r="C14" s="68" t="s">
        <v>348</v>
      </c>
      <c r="D14" s="68"/>
    </row>
    <row r="15" spans="1:10" s="61" customFormat="1" ht="12.75">
      <c r="A15" s="66" t="s">
        <v>346</v>
      </c>
      <c r="B15" s="67">
        <f>'Traiing 12 month'!B9</f>
        <v>201.89</v>
      </c>
      <c r="C15" s="91">
        <f>'Traiing 12 month'!D9</f>
        <v>746.06</v>
      </c>
      <c r="D15" s="68"/>
    </row>
    <row r="16" spans="1:10" s="61" customFormat="1" ht="12.75">
      <c r="A16" s="66" t="s">
        <v>530</v>
      </c>
      <c r="B16" s="190">
        <v>0</v>
      </c>
      <c r="C16" s="91">
        <v>0</v>
      </c>
      <c r="D16" s="68"/>
    </row>
    <row r="17" spans="1:11" s="61" customFormat="1" ht="12.75">
      <c r="A17" s="66" t="s">
        <v>534</v>
      </c>
      <c r="B17" s="190">
        <v>0</v>
      </c>
      <c r="C17" s="91">
        <v>0</v>
      </c>
      <c r="D17" s="68"/>
    </row>
    <row r="18" spans="1:11" s="61" customFormat="1" ht="13.5" thickBot="1">
      <c r="A18" s="66" t="s">
        <v>33</v>
      </c>
      <c r="B18" s="172">
        <f>'Traiing 12 month'!D12</f>
        <v>121.45</v>
      </c>
      <c r="C18" s="68"/>
    </row>
    <row r="19" spans="1:11" s="61" customFormat="1" ht="12.75">
      <c r="A19" s="66" t="s">
        <v>34</v>
      </c>
      <c r="B19" s="67">
        <v>168.76</v>
      </c>
      <c r="C19" s="68"/>
      <c r="E19" s="95" t="s">
        <v>344</v>
      </c>
      <c r="F19" s="59"/>
      <c r="G19" s="59"/>
      <c r="H19" s="59"/>
      <c r="I19" s="59"/>
      <c r="J19" s="59"/>
      <c r="K19" s="60"/>
    </row>
    <row r="20" spans="1:11" s="61" customFormat="1" ht="12.75">
      <c r="A20" s="69" t="s">
        <v>197</v>
      </c>
      <c r="B20" s="70">
        <v>0</v>
      </c>
      <c r="C20" s="68"/>
      <c r="E20" s="224" t="s">
        <v>574</v>
      </c>
      <c r="F20" s="88"/>
      <c r="G20" s="88"/>
      <c r="H20" s="88"/>
      <c r="I20" s="88"/>
      <c r="J20" s="88"/>
      <c r="K20" s="97"/>
    </row>
    <row r="21" spans="1:11" s="61" customFormat="1" ht="12.75">
      <c r="A21" s="69" t="s">
        <v>198</v>
      </c>
      <c r="B21" s="70">
        <v>0.35</v>
      </c>
      <c r="C21" s="68"/>
      <c r="E21" s="168"/>
      <c r="F21" s="88"/>
      <c r="G21" s="88"/>
      <c r="H21" s="88"/>
      <c r="I21" s="174" t="s">
        <v>340</v>
      </c>
      <c r="J21" s="174" t="s">
        <v>342</v>
      </c>
      <c r="K21" s="97" t="s">
        <v>603</v>
      </c>
    </row>
    <row r="22" spans="1:11" s="61" customFormat="1" ht="12.75">
      <c r="A22" s="71" t="s">
        <v>36</v>
      </c>
      <c r="B22" s="72"/>
      <c r="C22" s="279"/>
      <c r="E22" s="96" t="s">
        <v>274</v>
      </c>
      <c r="F22" s="88"/>
      <c r="G22" s="88"/>
      <c r="H22" s="88"/>
      <c r="I22" s="93">
        <f>IF(C8&gt;0,B8/C8-1, "NA")</f>
        <v>2.2151886481986951</v>
      </c>
      <c r="J22" s="93">
        <f>VLOOKUP(B6,'Industry Averages(US)'!A2:S100,3)</f>
        <v>0.42349999999999999</v>
      </c>
      <c r="K22" s="94">
        <f>VLOOKUP(B7,'Global industry averages'!A2:N98,13)</f>
        <v>0.77995587826572754</v>
      </c>
    </row>
    <row r="23" spans="1:11" s="61" customFormat="1" ht="12.75">
      <c r="A23" s="66" t="s">
        <v>50</v>
      </c>
      <c r="B23" s="73">
        <v>0.7</v>
      </c>
      <c r="C23" s="68" t="s">
        <v>712</v>
      </c>
      <c r="E23" s="96" t="s">
        <v>275</v>
      </c>
      <c r="F23" s="88"/>
      <c r="G23" s="88"/>
      <c r="H23" s="88"/>
      <c r="I23" s="93">
        <f>'Valuation output'!B4</f>
        <v>-1.6449962971213903E-2</v>
      </c>
      <c r="J23" s="94">
        <f>VLOOKUP(B6,'Industry Averages(US)'!A2:S100,4)</f>
        <v>5.8000000000000003E-2</v>
      </c>
      <c r="K23" s="94">
        <f>VLOOKUP(B7,'Global industry averages'!A2:N98,9)</f>
        <v>5.9816542052863103E-2</v>
      </c>
    </row>
    <row r="24" spans="1:11" s="61" customFormat="1" ht="12.75">
      <c r="A24" s="66" t="s">
        <v>52</v>
      </c>
      <c r="B24" s="73">
        <v>0.125</v>
      </c>
      <c r="C24" s="68" t="s">
        <v>717</v>
      </c>
      <c r="E24" s="96" t="s">
        <v>276</v>
      </c>
      <c r="F24" s="88"/>
      <c r="G24" s="88"/>
      <c r="H24" s="88"/>
      <c r="I24" s="92">
        <f>B8/(B11+B12-B15)</f>
        <v>1.3204038637357394</v>
      </c>
      <c r="J24" s="169">
        <f>VLOOKUP(B6,'Industry Averages(US)'!A2:S100,14)</f>
        <v>1.41</v>
      </c>
      <c r="K24" s="92">
        <f>VLOOKUP(B7,'Global industry averages'!A2:N98,12)</f>
        <v>1.4864379768030893</v>
      </c>
    </row>
    <row r="25" spans="1:11" s="61" customFormat="1" ht="12.75">
      <c r="A25" s="66" t="s">
        <v>38</v>
      </c>
      <c r="B25" s="74">
        <v>1.41</v>
      </c>
      <c r="C25" s="68" t="s">
        <v>713</v>
      </c>
      <c r="E25" s="96" t="s">
        <v>277</v>
      </c>
      <c r="F25" s="88"/>
      <c r="G25" s="88"/>
      <c r="H25" s="88"/>
      <c r="I25" s="94">
        <f>B9*(1-B20)/(C11+C12-C15-C16+C17)</f>
        <v>1.2822328718494864</v>
      </c>
      <c r="J25" s="94">
        <f>VLOOKUP(B6,'Industry Averages(US)'!A2:S100,5)</f>
        <v>5.7700000000000001E-2</v>
      </c>
      <c r="K25" s="94">
        <f>VLOOKUP(B7,'Global industry averages'!A2:N97,11)</f>
        <v>7.8258241873819898E-2</v>
      </c>
    </row>
    <row r="26" spans="1:11" s="61" customFormat="1" ht="12.75">
      <c r="A26" s="71" t="s">
        <v>37</v>
      </c>
      <c r="B26" s="75"/>
      <c r="C26" s="68" t="s">
        <v>714</v>
      </c>
      <c r="E26" s="96" t="s">
        <v>527</v>
      </c>
      <c r="F26" s="88"/>
      <c r="G26" s="88"/>
      <c r="H26" s="88"/>
      <c r="I26" s="185"/>
      <c r="J26" s="184">
        <f>VLOOKUP(B6,'Industry Averages(US)'!A2:S100,10)</f>
        <v>0.59230000000000005</v>
      </c>
      <c r="K26" s="97"/>
    </row>
    <row r="27" spans="1:11" s="61" customFormat="1" ht="13.5" thickBot="1">
      <c r="A27" s="66" t="s">
        <v>28</v>
      </c>
      <c r="B27" s="73">
        <v>2.75E-2</v>
      </c>
      <c r="C27" s="68"/>
      <c r="E27" s="63" t="s">
        <v>526</v>
      </c>
      <c r="F27" s="64"/>
      <c r="G27" s="64"/>
      <c r="H27" s="64"/>
      <c r="I27" s="64"/>
      <c r="J27" s="182">
        <f>VLOOKUP(B6,'Industry Averages(US)'!A2:S100,13)</f>
        <v>6.7900000000000002E-2</v>
      </c>
      <c r="K27" s="65"/>
    </row>
    <row r="28" spans="1:11" s="61" customFormat="1" ht="12.75">
      <c r="A28" s="66" t="s">
        <v>40</v>
      </c>
      <c r="B28" s="73">
        <f>'Cost of capital worksheet'!E48</f>
        <v>0.10032187379768158</v>
      </c>
      <c r="C28" s="68" t="s">
        <v>715</v>
      </c>
    </row>
    <row r="29" spans="1:11" s="61" customFormat="1" ht="12.75">
      <c r="A29" s="71" t="s">
        <v>92</v>
      </c>
      <c r="B29" s="76"/>
      <c r="C29" s="68" t="s">
        <v>719</v>
      </c>
    </row>
    <row r="30" spans="1:11" s="61" customFormat="1" ht="12.75">
      <c r="A30" s="69" t="s">
        <v>347</v>
      </c>
      <c r="B30" s="173" t="s">
        <v>60</v>
      </c>
      <c r="C30" s="68"/>
    </row>
    <row r="31" spans="1:11" s="61" customFormat="1" ht="12.75">
      <c r="A31" s="69" t="s">
        <v>93</v>
      </c>
      <c r="B31" s="74">
        <v>25.007999999999999</v>
      </c>
      <c r="C31" s="68" t="s">
        <v>716</v>
      </c>
    </row>
    <row r="32" spans="1:11" s="61" customFormat="1" ht="12.75">
      <c r="A32" s="69" t="s">
        <v>94</v>
      </c>
      <c r="B32" s="77">
        <v>21.2</v>
      </c>
      <c r="C32" s="68" t="s">
        <v>716</v>
      </c>
    </row>
    <row r="33" spans="1:14" s="61" customFormat="1" ht="12.75">
      <c r="A33" s="69" t="s">
        <v>95</v>
      </c>
      <c r="B33" s="74">
        <f>6.99/2</f>
        <v>3.4950000000000001</v>
      </c>
      <c r="C33" s="68" t="s">
        <v>716</v>
      </c>
    </row>
    <row r="34" spans="1:14" s="61" customFormat="1" ht="12.75">
      <c r="A34" s="69" t="s">
        <v>96</v>
      </c>
      <c r="B34" s="73">
        <v>0.5</v>
      </c>
      <c r="C34" s="68" t="s">
        <v>718</v>
      </c>
    </row>
    <row r="35" spans="1:14" s="61" customFormat="1" ht="12.75">
      <c r="A35" s="69"/>
      <c r="B35" s="78"/>
      <c r="C35" s="76"/>
      <c r="D35" s="68"/>
    </row>
    <row r="36" spans="1:14" s="61" customFormat="1" ht="12.75">
      <c r="A36" s="281" t="s">
        <v>199</v>
      </c>
      <c r="B36" s="281"/>
      <c r="C36" s="89"/>
      <c r="D36" s="68"/>
    </row>
    <row r="37" spans="1:14" s="80" customFormat="1" ht="12.75">
      <c r="A37" s="79" t="s">
        <v>200</v>
      </c>
      <c r="B37" s="79"/>
      <c r="C37" s="90"/>
      <c r="D37" s="68"/>
      <c r="H37" s="61"/>
      <c r="I37" s="61"/>
      <c r="J37" s="61"/>
      <c r="K37" s="61"/>
      <c r="L37" s="61"/>
      <c r="M37" s="61"/>
      <c r="N37" s="61"/>
    </row>
    <row r="38" spans="1:14" s="61" customFormat="1" ht="12.75">
      <c r="A38" s="81" t="s">
        <v>41</v>
      </c>
      <c r="B38" s="82" t="s">
        <v>60</v>
      </c>
      <c r="C38" s="68" t="s">
        <v>57</v>
      </c>
    </row>
    <row r="39" spans="1:14" s="61" customFormat="1" ht="12.75">
      <c r="A39" s="81" t="s">
        <v>43</v>
      </c>
      <c r="B39" s="83">
        <v>0.08</v>
      </c>
      <c r="C39" s="68" t="s">
        <v>236</v>
      </c>
      <c r="N39" s="80"/>
    </row>
    <row r="40" spans="1:14" s="80" customFormat="1" ht="12.75">
      <c r="A40" s="80" t="s">
        <v>201</v>
      </c>
      <c r="C40" s="68"/>
      <c r="N40" s="61"/>
    </row>
    <row r="41" spans="1:14" s="61" customFormat="1" ht="12.75">
      <c r="A41" s="61" t="s">
        <v>41</v>
      </c>
      <c r="B41" s="82" t="s">
        <v>54</v>
      </c>
      <c r="C41" s="68" t="s">
        <v>56</v>
      </c>
    </row>
    <row r="42" spans="1:14" s="61" customFormat="1" ht="12.75">
      <c r="A42" s="61" t="s">
        <v>42</v>
      </c>
      <c r="B42" s="83">
        <v>0.12</v>
      </c>
      <c r="C42" s="68" t="s">
        <v>237</v>
      </c>
      <c r="N42" s="80"/>
    </row>
    <row r="43" spans="1:14" s="61" customFormat="1" ht="12.75">
      <c r="A43" s="80" t="s">
        <v>232</v>
      </c>
      <c r="C43" s="68"/>
      <c r="H43" s="80"/>
      <c r="I43" s="80"/>
      <c r="J43" s="80"/>
      <c r="K43" s="80"/>
      <c r="L43" s="80"/>
      <c r="M43" s="80"/>
    </row>
    <row r="44" spans="1:14" s="61" customFormat="1" ht="12.75">
      <c r="A44" s="61" t="s">
        <v>41</v>
      </c>
      <c r="B44" s="82" t="s">
        <v>60</v>
      </c>
      <c r="C44" s="68" t="s">
        <v>207</v>
      </c>
    </row>
    <row r="45" spans="1:14" s="61" customFormat="1" ht="12.75">
      <c r="A45" s="61" t="s">
        <v>202</v>
      </c>
      <c r="B45" s="83">
        <v>0.1</v>
      </c>
      <c r="C45" s="68" t="s">
        <v>58</v>
      </c>
    </row>
    <row r="46" spans="1:14" s="61" customFormat="1" ht="12.75">
      <c r="A46" s="61" t="s">
        <v>205</v>
      </c>
      <c r="B46" s="83" t="s">
        <v>337</v>
      </c>
      <c r="C46" s="68" t="s">
        <v>196</v>
      </c>
    </row>
    <row r="47" spans="1:14" s="61" customFormat="1" ht="12.75">
      <c r="A47" s="61" t="s">
        <v>338</v>
      </c>
      <c r="B47" s="83">
        <v>0.5</v>
      </c>
      <c r="C47" s="68" t="s">
        <v>206</v>
      </c>
    </row>
    <row r="48" spans="1:14" s="61" customFormat="1" ht="12.75">
      <c r="A48" s="80" t="s">
        <v>234</v>
      </c>
      <c r="B48" s="84"/>
      <c r="C48" s="68"/>
    </row>
    <row r="49" spans="1:14" s="61" customFormat="1" ht="12.75">
      <c r="A49" s="61" t="s">
        <v>41</v>
      </c>
      <c r="B49" s="83" t="s">
        <v>54</v>
      </c>
      <c r="C49" s="68"/>
    </row>
    <row r="50" spans="1:14" s="61" customFormat="1" ht="12.75">
      <c r="A50" s="80" t="s">
        <v>231</v>
      </c>
      <c r="C50" s="68"/>
    </row>
    <row r="51" spans="1:14" s="61" customFormat="1" ht="12.75">
      <c r="A51" s="61" t="s">
        <v>41</v>
      </c>
      <c r="B51" s="82" t="s">
        <v>60</v>
      </c>
      <c r="C51" s="68" t="s">
        <v>59</v>
      </c>
    </row>
    <row r="52" spans="1:14" s="61" customFormat="1" ht="12.75">
      <c r="A52" s="61" t="s">
        <v>51</v>
      </c>
      <c r="B52" s="77">
        <v>1070</v>
      </c>
      <c r="C52" s="68" t="s">
        <v>716</v>
      </c>
    </row>
    <row r="53" spans="1:14" ht="12.75">
      <c r="H53" s="61"/>
      <c r="I53" s="61"/>
      <c r="J53" s="61"/>
      <c r="K53" s="61"/>
      <c r="L53" s="61"/>
      <c r="M53" s="61"/>
      <c r="N53" s="61"/>
    </row>
    <row r="54" spans="1:14" ht="12.75">
      <c r="H54" s="61"/>
      <c r="I54" s="61"/>
      <c r="J54" s="61"/>
      <c r="K54" s="61"/>
      <c r="L54" s="61"/>
      <c r="M54" s="61"/>
      <c r="N54" s="61"/>
    </row>
    <row r="55" spans="1:14" ht="12.75">
      <c r="H55" s="61"/>
      <c r="I55" s="61"/>
      <c r="J55" s="61"/>
      <c r="K55" s="61"/>
      <c r="L55" s="61"/>
      <c r="M55" s="61"/>
    </row>
    <row r="58" spans="1:14">
      <c r="A58" s="158"/>
    </row>
  </sheetData>
  <mergeCells count="2">
    <mergeCell ref="A36:B36"/>
    <mergeCell ref="A3:J3"/>
  </mergeCells>
  <phoneticPr fontId="5" type="noConversion"/>
  <dataValidations count="5">
    <dataValidation type="list" allowBlank="1" showInputMessage="1" showErrorMessage="1" sqref="B6">
      <formula1>'Industry Averages(US)'!$A$2:$A$100</formula1>
    </dataValidation>
    <dataValidation type="list" allowBlank="1" showInputMessage="1" showErrorMessage="1" sqref="B38 B41 B44 B51 B49 B14 B30 B13">
      <formula1>'Answer keys'!$A$2:$A$3</formula1>
    </dataValidation>
    <dataValidation type="list" allowBlank="1" showInputMessage="1" showErrorMessage="1" sqref="B46">
      <formula1>'Answer keys'!$B$2:$B$3</formula1>
    </dataValidation>
    <dataValidation type="list" allowBlank="1" showInputMessage="1" showErrorMessage="1" sqref="B7">
      <formula1>'Global industry averages'!$A$2:$A$97</formula1>
    </dataValidation>
    <dataValidation type="list" allowBlank="1" showInputMessage="1" showErrorMessage="1" sqref="B5">
      <formula1>'Country equity risk premiums'!$A$2:$A$119</formula1>
    </dataValidation>
  </dataValidations>
  <pageMargins left="0.75" right="0.75" top="1" bottom="1" header="0.5" footer="0.5"/>
  <pageSetup orientation="portrait" horizontalDpi="4294967292" verticalDpi="4294967292"/>
  <headerFooter alignWithMargins="0"/>
  <legacyDrawing r:id="rId1"/>
</worksheet>
</file>

<file path=xl/worksheets/sheet10.xml><?xml version="1.0" encoding="utf-8"?>
<worksheet xmlns="http://schemas.openxmlformats.org/spreadsheetml/2006/main" xmlns:r="http://schemas.openxmlformats.org/officeDocument/2006/relationships">
  <dimension ref="A1:B140"/>
  <sheetViews>
    <sheetView topLeftCell="A88" workbookViewId="0">
      <selection activeCell="B2" sqref="B2"/>
    </sheetView>
  </sheetViews>
  <sheetFormatPr defaultColWidth="11.42578125" defaultRowHeight="12"/>
  <cols>
    <col min="1" max="1" width="18.7109375" bestFit="1" customWidth="1"/>
  </cols>
  <sheetData>
    <row r="1" spans="1:2" ht="15.75">
      <c r="A1" s="253" t="s">
        <v>473</v>
      </c>
      <c r="B1" s="254" t="s">
        <v>599</v>
      </c>
    </row>
    <row r="2" spans="1:2" ht="15.75">
      <c r="A2" s="1" t="s">
        <v>349</v>
      </c>
      <c r="B2" s="255">
        <v>0.2</v>
      </c>
    </row>
    <row r="3" spans="1:2" ht="15.75">
      <c r="A3" s="1" t="s">
        <v>350</v>
      </c>
      <c r="B3" s="255">
        <v>0.1</v>
      </c>
    </row>
    <row r="4" spans="1:2" ht="15.75">
      <c r="A4" s="1" t="s">
        <v>351</v>
      </c>
      <c r="B4" s="255">
        <v>0.35</v>
      </c>
    </row>
    <row r="5" spans="1:2" ht="15.75">
      <c r="A5" s="1" t="s">
        <v>352</v>
      </c>
      <c r="B5" s="255">
        <v>0.35</v>
      </c>
    </row>
    <row r="6" spans="1:2" ht="15.75">
      <c r="A6" s="1" t="s">
        <v>353</v>
      </c>
      <c r="B6" s="255">
        <v>0.2</v>
      </c>
    </row>
    <row r="7" spans="1:2" ht="15.75">
      <c r="A7" s="1" t="s">
        <v>354</v>
      </c>
      <c r="B7" s="255">
        <v>0.28000000000000003</v>
      </c>
    </row>
    <row r="8" spans="1:2" ht="15.75">
      <c r="A8" s="1" t="s">
        <v>355</v>
      </c>
      <c r="B8" s="255">
        <v>0.3</v>
      </c>
    </row>
    <row r="9" spans="1:2" ht="15.75">
      <c r="A9" s="1" t="s">
        <v>356</v>
      </c>
      <c r="B9" s="255">
        <v>0.25</v>
      </c>
    </row>
    <row r="10" spans="1:2" ht="15.75">
      <c r="A10" s="1" t="s">
        <v>357</v>
      </c>
      <c r="B10" s="255">
        <v>0</v>
      </c>
    </row>
    <row r="11" spans="1:2" ht="15.75">
      <c r="A11" s="1" t="s">
        <v>358</v>
      </c>
      <c r="B11" s="255">
        <v>0</v>
      </c>
    </row>
    <row r="12" spans="1:2" ht="15.75">
      <c r="A12" s="1" t="s">
        <v>359</v>
      </c>
      <c r="B12" s="255">
        <v>0.27500000000000002</v>
      </c>
    </row>
    <row r="13" spans="1:2" ht="15.75">
      <c r="A13" s="1" t="s">
        <v>360</v>
      </c>
      <c r="B13" s="255">
        <v>0.25</v>
      </c>
    </row>
    <row r="14" spans="1:2" ht="15.75">
      <c r="A14" s="1" t="s">
        <v>361</v>
      </c>
      <c r="B14" s="255">
        <v>0.18</v>
      </c>
    </row>
    <row r="15" spans="1:2" ht="15.75">
      <c r="A15" s="1" t="s">
        <v>362</v>
      </c>
      <c r="B15" s="255">
        <v>0.33990000000000004</v>
      </c>
    </row>
    <row r="16" spans="1:2" ht="15.75">
      <c r="A16" s="1" t="s">
        <v>363</v>
      </c>
      <c r="B16" s="255">
        <v>0</v>
      </c>
    </row>
    <row r="17" spans="1:2" ht="15.75">
      <c r="A17" s="1" t="s">
        <v>364</v>
      </c>
      <c r="B17" s="255">
        <v>0.25</v>
      </c>
    </row>
    <row r="18" spans="1:2" ht="15.75">
      <c r="A18" s="1" t="s">
        <v>587</v>
      </c>
      <c r="B18" s="255">
        <v>0</v>
      </c>
    </row>
    <row r="19" spans="1:2" ht="15.75">
      <c r="A19" s="1" t="s">
        <v>365</v>
      </c>
      <c r="B19" s="255">
        <v>0.1</v>
      </c>
    </row>
    <row r="20" spans="1:2" ht="15.75">
      <c r="A20" s="1" t="s">
        <v>366</v>
      </c>
      <c r="B20" s="255">
        <v>0.22</v>
      </c>
    </row>
    <row r="21" spans="1:2" ht="15.75">
      <c r="A21" s="1" t="s">
        <v>367</v>
      </c>
      <c r="B21" s="255">
        <v>0.34</v>
      </c>
    </row>
    <row r="22" spans="1:2" ht="15.75">
      <c r="A22" s="1" t="s">
        <v>368</v>
      </c>
      <c r="B22" s="255">
        <v>0.1</v>
      </c>
    </row>
    <row r="23" spans="1:2" ht="15.75">
      <c r="A23" s="1" t="s">
        <v>369</v>
      </c>
      <c r="B23" s="255">
        <v>0.2</v>
      </c>
    </row>
    <row r="24" spans="1:2" ht="15.75">
      <c r="A24" s="1" t="s">
        <v>370</v>
      </c>
      <c r="B24" s="255">
        <v>0.26</v>
      </c>
    </row>
    <row r="25" spans="1:2" ht="15.75">
      <c r="A25" s="1" t="s">
        <v>371</v>
      </c>
      <c r="B25" s="255">
        <v>0</v>
      </c>
    </row>
    <row r="26" spans="1:2" ht="15.75">
      <c r="A26" s="1" t="s">
        <v>372</v>
      </c>
      <c r="B26" s="255">
        <v>0.185</v>
      </c>
    </row>
    <row r="27" spans="1:2" ht="15.75">
      <c r="A27" s="1" t="s">
        <v>373</v>
      </c>
      <c r="B27" s="255">
        <v>0.25</v>
      </c>
    </row>
    <row r="28" spans="1:2" ht="15.75">
      <c r="A28" s="1" t="s">
        <v>374</v>
      </c>
      <c r="B28" s="255">
        <v>0.33</v>
      </c>
    </row>
    <row r="29" spans="1:2" ht="15.75">
      <c r="A29" s="1" t="s">
        <v>375</v>
      </c>
      <c r="B29" s="255">
        <v>0.3</v>
      </c>
    </row>
    <row r="30" spans="1:2" ht="15.75">
      <c r="A30" s="1" t="s">
        <v>376</v>
      </c>
      <c r="B30" s="255">
        <v>0.2</v>
      </c>
    </row>
    <row r="31" spans="1:2" ht="15.75">
      <c r="A31" s="1" t="s">
        <v>377</v>
      </c>
      <c r="B31" s="255">
        <v>0.27500000000000002</v>
      </c>
    </row>
    <row r="32" spans="1:2" ht="15.75">
      <c r="A32" s="1" t="s">
        <v>378</v>
      </c>
      <c r="B32" s="255">
        <v>0.1</v>
      </c>
    </row>
    <row r="33" spans="1:2" ht="15.75">
      <c r="A33" s="1" t="s">
        <v>379</v>
      </c>
      <c r="B33" s="255">
        <v>0.19</v>
      </c>
    </row>
    <row r="34" spans="1:2" ht="15.75">
      <c r="A34" s="1" t="s">
        <v>380</v>
      </c>
      <c r="B34" s="255">
        <v>0.25</v>
      </c>
    </row>
    <row r="35" spans="1:2" ht="15.75">
      <c r="A35" s="1" t="s">
        <v>381</v>
      </c>
      <c r="B35" s="255">
        <v>0.28999999999999998</v>
      </c>
    </row>
    <row r="36" spans="1:2" ht="15.75">
      <c r="A36" s="1" t="s">
        <v>382</v>
      </c>
      <c r="B36" s="255">
        <v>0.23</v>
      </c>
    </row>
    <row r="37" spans="1:2" ht="15.75">
      <c r="A37" s="1" t="s">
        <v>383</v>
      </c>
      <c r="B37" s="255">
        <v>0.25</v>
      </c>
    </row>
    <row r="38" spans="1:2" ht="15.75">
      <c r="A38" s="1" t="s">
        <v>384</v>
      </c>
      <c r="B38" s="255">
        <v>0.21</v>
      </c>
    </row>
    <row r="39" spans="1:2" ht="15.75">
      <c r="A39" s="1" t="s">
        <v>504</v>
      </c>
      <c r="B39" s="255">
        <v>0.3</v>
      </c>
    </row>
    <row r="40" spans="1:2" ht="15.75">
      <c r="A40" s="1" t="s">
        <v>385</v>
      </c>
      <c r="B40" s="255">
        <v>0.28000000000000003</v>
      </c>
    </row>
    <row r="41" spans="1:2" ht="15.75">
      <c r="A41" s="1" t="s">
        <v>386</v>
      </c>
      <c r="B41" s="255">
        <v>0.245</v>
      </c>
    </row>
    <row r="42" spans="1:2" ht="15.75">
      <c r="A42" s="1" t="s">
        <v>387</v>
      </c>
      <c r="B42" s="255">
        <v>0.33329999999999999</v>
      </c>
    </row>
    <row r="43" spans="1:2" ht="15.75">
      <c r="A43" s="1" t="s">
        <v>506</v>
      </c>
      <c r="B43" s="255">
        <v>0</v>
      </c>
    </row>
    <row r="44" spans="1:2" ht="15.75">
      <c r="A44" s="1" t="s">
        <v>388</v>
      </c>
      <c r="B44" s="255">
        <v>0.29480000000000001</v>
      </c>
    </row>
    <row r="45" spans="1:2" ht="15.75">
      <c r="A45" s="1" t="s">
        <v>389</v>
      </c>
      <c r="B45" s="255">
        <v>0.1</v>
      </c>
    </row>
    <row r="46" spans="1:2" ht="15.75">
      <c r="A46" s="1" t="s">
        <v>390</v>
      </c>
      <c r="B46" s="255">
        <v>0.2</v>
      </c>
    </row>
    <row r="47" spans="1:2" ht="15.75">
      <c r="A47" s="1" t="s">
        <v>391</v>
      </c>
      <c r="B47" s="255">
        <v>0.31</v>
      </c>
    </row>
    <row r="48" spans="1:2" ht="15.75">
      <c r="A48" s="1" t="s">
        <v>392</v>
      </c>
      <c r="B48" s="255">
        <v>0</v>
      </c>
    </row>
    <row r="49" spans="1:2" ht="15.75">
      <c r="A49" s="1" t="s">
        <v>393</v>
      </c>
      <c r="B49" s="255">
        <v>0.35</v>
      </c>
    </row>
    <row r="50" spans="1:2" ht="15.75">
      <c r="A50" s="1" t="s">
        <v>394</v>
      </c>
      <c r="B50" s="255">
        <v>0.16500000000000001</v>
      </c>
    </row>
    <row r="51" spans="1:2" ht="15.75">
      <c r="A51" s="1" t="s">
        <v>395</v>
      </c>
      <c r="B51" s="255">
        <v>0.19</v>
      </c>
    </row>
    <row r="52" spans="1:2" ht="15.75">
      <c r="A52" s="1" t="s">
        <v>396</v>
      </c>
      <c r="B52" s="255">
        <v>0.2</v>
      </c>
    </row>
    <row r="53" spans="1:2" ht="15.75">
      <c r="A53" s="1" t="s">
        <v>397</v>
      </c>
      <c r="B53" s="255">
        <v>0.32450000000000001</v>
      </c>
    </row>
    <row r="54" spans="1:2" ht="15.75">
      <c r="A54" s="1" t="s">
        <v>398</v>
      </c>
      <c r="B54" s="255">
        <v>0.25</v>
      </c>
    </row>
    <row r="55" spans="1:2" ht="15.75">
      <c r="A55" s="1" t="s">
        <v>399</v>
      </c>
      <c r="B55" s="255">
        <v>0.125</v>
      </c>
    </row>
    <row r="56" spans="1:2" ht="15.75">
      <c r="A56" s="1" t="s">
        <v>400</v>
      </c>
      <c r="B56" s="255">
        <v>0</v>
      </c>
    </row>
    <row r="57" spans="1:2" ht="15.75">
      <c r="A57" s="1" t="s">
        <v>401</v>
      </c>
      <c r="B57" s="255">
        <v>0.25</v>
      </c>
    </row>
    <row r="58" spans="1:2" ht="15.75">
      <c r="A58" s="1" t="s">
        <v>402</v>
      </c>
      <c r="B58" s="255">
        <v>0.314</v>
      </c>
    </row>
    <row r="59" spans="1:2" ht="15.75">
      <c r="A59" s="1" t="s">
        <v>403</v>
      </c>
      <c r="B59" s="255">
        <v>0.33329999999999999</v>
      </c>
    </row>
    <row r="60" spans="1:2" ht="15.75">
      <c r="A60" s="1" t="s">
        <v>404</v>
      </c>
      <c r="B60" s="255">
        <v>0.38009999999999999</v>
      </c>
    </row>
    <row r="61" spans="1:2" ht="15.75">
      <c r="A61" s="1" t="s">
        <v>405</v>
      </c>
      <c r="B61" s="255">
        <v>0</v>
      </c>
    </row>
    <row r="62" spans="1:2" ht="15.75">
      <c r="A62" s="1" t="s">
        <v>406</v>
      </c>
      <c r="B62" s="255">
        <v>0.14000000000000001</v>
      </c>
    </row>
    <row r="63" spans="1:2" ht="15.75">
      <c r="A63" s="1" t="s">
        <v>407</v>
      </c>
      <c r="B63" s="255">
        <v>0.2</v>
      </c>
    </row>
    <row r="64" spans="1:2" ht="15.75">
      <c r="A64" s="1" t="s">
        <v>580</v>
      </c>
      <c r="B64" s="255">
        <v>0.3</v>
      </c>
    </row>
    <row r="65" spans="1:2" ht="15.75">
      <c r="A65" s="1" t="s">
        <v>408</v>
      </c>
      <c r="B65" s="255">
        <v>0.24199999999999999</v>
      </c>
    </row>
    <row r="66" spans="1:2" ht="15.75">
      <c r="A66" s="1" t="s">
        <v>409</v>
      </c>
      <c r="B66" s="255">
        <v>0.15</v>
      </c>
    </row>
    <row r="67" spans="1:2" ht="15.75">
      <c r="A67" s="1" t="s">
        <v>410</v>
      </c>
      <c r="B67" s="255">
        <v>0.15</v>
      </c>
    </row>
    <row r="68" spans="1:2" ht="15.75">
      <c r="A68" s="1" t="s">
        <v>411</v>
      </c>
      <c r="B68" s="255">
        <v>0.2</v>
      </c>
    </row>
    <row r="69" spans="1:2" ht="15.75">
      <c r="A69" s="1" t="s">
        <v>412</v>
      </c>
      <c r="B69" s="255">
        <v>0.125</v>
      </c>
    </row>
    <row r="70" spans="1:2" ht="15.75">
      <c r="A70" s="1" t="s">
        <v>413</v>
      </c>
      <c r="B70" s="255">
        <v>0.15</v>
      </c>
    </row>
    <row r="71" spans="1:2" ht="15.75">
      <c r="A71" s="1" t="s">
        <v>414</v>
      </c>
      <c r="B71" s="255">
        <v>0.28800000000000003</v>
      </c>
    </row>
    <row r="72" spans="1:2" ht="15.75">
      <c r="A72" s="1" t="s">
        <v>415</v>
      </c>
      <c r="B72" s="255">
        <v>0.12</v>
      </c>
    </row>
    <row r="73" spans="1:2" ht="15.75">
      <c r="A73" s="1" t="s">
        <v>416</v>
      </c>
      <c r="B73" s="255">
        <v>0.1</v>
      </c>
    </row>
    <row r="74" spans="1:2" ht="15.75">
      <c r="A74" s="1" t="s">
        <v>588</v>
      </c>
      <c r="B74" s="255">
        <v>0.3</v>
      </c>
    </row>
    <row r="75" spans="1:2" ht="15.75">
      <c r="A75" s="1" t="s">
        <v>417</v>
      </c>
      <c r="B75" s="255">
        <v>0.25</v>
      </c>
    </row>
    <row r="76" spans="1:2" ht="15.75">
      <c r="A76" s="1" t="s">
        <v>418</v>
      </c>
      <c r="B76" s="255">
        <v>0.35</v>
      </c>
    </row>
    <row r="77" spans="1:2" ht="15.75">
      <c r="A77" s="1" t="s">
        <v>419</v>
      </c>
      <c r="B77" s="255">
        <v>0.15</v>
      </c>
    </row>
    <row r="78" spans="1:2" ht="15.75">
      <c r="A78" s="1" t="s">
        <v>420</v>
      </c>
      <c r="B78" s="255">
        <v>0.3</v>
      </c>
    </row>
    <row r="79" spans="1:2" ht="15.75">
      <c r="A79" s="1" t="s">
        <v>421</v>
      </c>
      <c r="B79" s="255">
        <v>0.09</v>
      </c>
    </row>
    <row r="80" spans="1:2" ht="15.75">
      <c r="A80" s="1" t="s">
        <v>422</v>
      </c>
      <c r="B80" s="255">
        <v>0.32</v>
      </c>
    </row>
    <row r="81" spans="1:2" ht="15.75">
      <c r="A81" s="1" t="s">
        <v>423</v>
      </c>
      <c r="B81" s="255">
        <v>0.34</v>
      </c>
    </row>
    <row r="82" spans="1:2" ht="15.75">
      <c r="A82" s="1" t="s">
        <v>424</v>
      </c>
      <c r="B82" s="255">
        <v>0.25</v>
      </c>
    </row>
    <row r="83" spans="1:2" ht="15.75">
      <c r="A83" s="1" t="s">
        <v>425</v>
      </c>
      <c r="B83" s="255">
        <v>0.28000000000000003</v>
      </c>
    </row>
    <row r="84" spans="1:2" ht="15.75">
      <c r="A84" s="1" t="s">
        <v>426</v>
      </c>
      <c r="B84" s="255">
        <v>0.3</v>
      </c>
    </row>
    <row r="85" spans="1:2" ht="15.75">
      <c r="A85" s="1" t="s">
        <v>427</v>
      </c>
      <c r="B85" s="255">
        <v>0.28000000000000003</v>
      </c>
    </row>
    <row r="86" spans="1:2" ht="15.75">
      <c r="A86" s="1" t="s">
        <v>428</v>
      </c>
      <c r="B86" s="255">
        <v>0.12</v>
      </c>
    </row>
    <row r="87" spans="1:2" ht="15.75">
      <c r="A87" s="1" t="s">
        <v>429</v>
      </c>
      <c r="B87" s="255">
        <v>0.35</v>
      </c>
    </row>
    <row r="88" spans="1:2" ht="15.75">
      <c r="A88" s="1" t="s">
        <v>430</v>
      </c>
      <c r="B88" s="255">
        <v>0.25</v>
      </c>
    </row>
    <row r="89" spans="1:2" ht="15.75">
      <c r="A89" s="1" t="s">
        <v>431</v>
      </c>
      <c r="B89" s="255">
        <v>0.3</v>
      </c>
    </row>
    <row r="90" spans="1:2" ht="15.75">
      <c r="A90" s="1" t="s">
        <v>432</v>
      </c>
      <c r="B90" s="255">
        <v>0.1</v>
      </c>
    </row>
    <row r="91" spans="1:2" ht="15.75">
      <c r="A91" s="1" t="s">
        <v>433</v>
      </c>
      <c r="B91" s="255">
        <v>0.3</v>
      </c>
    </row>
    <row r="92" spans="1:2" ht="15.75">
      <c r="A92" s="1" t="s">
        <v>434</v>
      </c>
      <c r="B92" s="255">
        <v>0.3</v>
      </c>
    </row>
    <row r="93" spans="1:2" ht="15.75">
      <c r="A93" s="1" t="s">
        <v>435</v>
      </c>
      <c r="B93" s="255">
        <v>0.19</v>
      </c>
    </row>
    <row r="94" spans="1:2" ht="15.75">
      <c r="A94" s="1" t="s">
        <v>436</v>
      </c>
      <c r="B94" s="255">
        <v>0.25</v>
      </c>
    </row>
    <row r="95" spans="1:2" ht="15.75">
      <c r="A95" s="1" t="s">
        <v>437</v>
      </c>
      <c r="B95" s="255">
        <v>0.1</v>
      </c>
    </row>
    <row r="96" spans="1:2" ht="15.75">
      <c r="A96" s="1" t="s">
        <v>438</v>
      </c>
      <c r="B96" s="255">
        <v>0.16</v>
      </c>
    </row>
    <row r="97" spans="1:2" ht="15.75">
      <c r="A97" s="1" t="s">
        <v>439</v>
      </c>
      <c r="B97" s="255">
        <v>0.2</v>
      </c>
    </row>
    <row r="98" spans="1:2" ht="15.75">
      <c r="A98" s="1" t="s">
        <v>440</v>
      </c>
      <c r="B98" s="255">
        <v>0</v>
      </c>
    </row>
    <row r="99" spans="1:2" ht="15.75">
      <c r="A99" s="1" t="s">
        <v>441</v>
      </c>
      <c r="B99" s="255">
        <v>0.27</v>
      </c>
    </row>
    <row r="100" spans="1:2" ht="15.75">
      <c r="A100" s="1" t="s">
        <v>442</v>
      </c>
      <c r="B100" s="255">
        <v>0.2</v>
      </c>
    </row>
    <row r="101" spans="1:2" ht="15.75">
      <c r="A101" s="1" t="s">
        <v>443</v>
      </c>
      <c r="B101" s="255">
        <v>0.1</v>
      </c>
    </row>
    <row r="102" spans="1:2" ht="15.75">
      <c r="A102" s="1" t="s">
        <v>444</v>
      </c>
      <c r="B102" s="255">
        <v>0.17</v>
      </c>
    </row>
    <row r="103" spans="1:2" ht="15.75">
      <c r="A103" s="1" t="s">
        <v>445</v>
      </c>
      <c r="B103" s="255">
        <v>0.19</v>
      </c>
    </row>
    <row r="104" spans="1:2" ht="15.75">
      <c r="A104" s="1" t="s">
        <v>446</v>
      </c>
      <c r="B104" s="255">
        <v>0.18</v>
      </c>
    </row>
    <row r="105" spans="1:2" ht="15.75">
      <c r="A105" s="1" t="s">
        <v>447</v>
      </c>
      <c r="B105" s="255">
        <v>0.34549999999999997</v>
      </c>
    </row>
    <row r="106" spans="1:2" ht="15.75">
      <c r="A106" s="1" t="s">
        <v>448</v>
      </c>
      <c r="B106" s="255">
        <v>0.3</v>
      </c>
    </row>
    <row r="107" spans="1:2" ht="15.75">
      <c r="A107" s="1" t="s">
        <v>449</v>
      </c>
      <c r="B107" s="255">
        <v>0.28000000000000003</v>
      </c>
    </row>
    <row r="108" spans="1:2" ht="15.75">
      <c r="A108" s="1" t="s">
        <v>450</v>
      </c>
      <c r="B108" s="255">
        <v>0</v>
      </c>
    </row>
    <row r="109" spans="1:2" ht="15.75">
      <c r="A109" s="1" t="s">
        <v>451</v>
      </c>
      <c r="B109" s="255">
        <v>0.34499999999999997</v>
      </c>
    </row>
    <row r="110" spans="1:2" ht="15.75">
      <c r="A110" s="1" t="s">
        <v>452</v>
      </c>
      <c r="B110" s="255">
        <v>0.35</v>
      </c>
    </row>
    <row r="111" spans="1:2" ht="15.75">
      <c r="A111" s="1" t="s">
        <v>453</v>
      </c>
      <c r="B111" s="255">
        <v>0.26300000000000001</v>
      </c>
    </row>
    <row r="112" spans="1:2" ht="15.75">
      <c r="A112" s="1" t="s">
        <v>454</v>
      </c>
      <c r="B112" s="255">
        <v>0.21170000000000003</v>
      </c>
    </row>
    <row r="113" spans="1:2" ht="15.75">
      <c r="A113" s="1" t="s">
        <v>455</v>
      </c>
      <c r="B113" s="255">
        <v>0.28000000000000003</v>
      </c>
    </row>
    <row r="114" spans="1:2" ht="15.75">
      <c r="A114" s="1" t="s">
        <v>456</v>
      </c>
      <c r="B114" s="255">
        <v>0.17</v>
      </c>
    </row>
    <row r="115" spans="1:2" ht="15.75">
      <c r="A115" s="1" t="s">
        <v>457</v>
      </c>
      <c r="B115" s="255">
        <v>0.3</v>
      </c>
    </row>
    <row r="116" spans="1:2" ht="15.75">
      <c r="A116" s="1" t="s">
        <v>458</v>
      </c>
      <c r="B116" s="255">
        <v>0.23</v>
      </c>
    </row>
    <row r="117" spans="1:2" ht="15.75">
      <c r="A117" s="1" t="s">
        <v>459</v>
      </c>
      <c r="B117" s="255">
        <v>0.25</v>
      </c>
    </row>
    <row r="118" spans="1:2" ht="15.75">
      <c r="A118" s="1" t="s">
        <v>460</v>
      </c>
      <c r="B118" s="255">
        <v>0.3</v>
      </c>
    </row>
    <row r="119" spans="1:2" ht="15.75">
      <c r="A119" s="1" t="s">
        <v>461</v>
      </c>
      <c r="B119" s="255">
        <v>0.2</v>
      </c>
    </row>
    <row r="120" spans="1:2" ht="15.75">
      <c r="A120" s="1" t="s">
        <v>589</v>
      </c>
      <c r="B120" s="255">
        <v>0.3</v>
      </c>
    </row>
    <row r="121" spans="1:2" ht="15.75">
      <c r="A121" s="1" t="s">
        <v>462</v>
      </c>
      <c r="B121" s="255">
        <v>0.21</v>
      </c>
    </row>
    <row r="122" spans="1:2" ht="15.75">
      <c r="A122" s="1" t="s">
        <v>463</v>
      </c>
      <c r="B122" s="255">
        <v>0.55000000000000004</v>
      </c>
    </row>
    <row r="123" spans="1:2" ht="15.75">
      <c r="A123" s="1" t="s">
        <v>464</v>
      </c>
      <c r="B123" s="255">
        <v>0.24</v>
      </c>
    </row>
    <row r="124" spans="1:2" ht="15.75">
      <c r="A124" s="1" t="s">
        <v>465</v>
      </c>
      <c r="B124" s="255">
        <v>0.4</v>
      </c>
    </row>
    <row r="125" spans="1:2" ht="15.75">
      <c r="A125" s="1" t="s">
        <v>466</v>
      </c>
      <c r="B125" s="255">
        <v>0.25</v>
      </c>
    </row>
    <row r="126" spans="1:2" ht="15.75">
      <c r="A126" s="1" t="s">
        <v>467</v>
      </c>
      <c r="B126" s="255">
        <v>0</v>
      </c>
    </row>
    <row r="127" spans="1:2" ht="15.75">
      <c r="A127" s="1" t="s">
        <v>468</v>
      </c>
      <c r="B127" s="255">
        <v>0.34</v>
      </c>
    </row>
    <row r="128" spans="1:2" ht="15.75">
      <c r="A128" s="1" t="s">
        <v>469</v>
      </c>
      <c r="B128" s="255">
        <v>0.25</v>
      </c>
    </row>
    <row r="129" spans="1:2" ht="15.75">
      <c r="A129" s="1" t="s">
        <v>470</v>
      </c>
      <c r="B129" s="255">
        <v>0.2</v>
      </c>
    </row>
    <row r="130" spans="1:2" ht="15.75">
      <c r="A130" s="1" t="s">
        <v>471</v>
      </c>
      <c r="B130" s="255">
        <v>0.35</v>
      </c>
    </row>
    <row r="131" spans="1:2" ht="15.75">
      <c r="A131" s="1" t="s">
        <v>472</v>
      </c>
      <c r="B131" s="255">
        <v>0.25750000000000001</v>
      </c>
    </row>
    <row r="132" spans="1:2" ht="15.75">
      <c r="A132" s="1" t="s">
        <v>590</v>
      </c>
      <c r="B132" s="255">
        <v>0.29020000000000001</v>
      </c>
    </row>
    <row r="133" spans="1:2" ht="15.75">
      <c r="A133" s="1" t="s">
        <v>591</v>
      </c>
      <c r="B133" s="255">
        <v>0.33</v>
      </c>
    </row>
    <row r="134" spans="1:2" ht="15.75">
      <c r="A134" s="1" t="s">
        <v>592</v>
      </c>
      <c r="B134" s="255">
        <v>0.22889999999999999</v>
      </c>
    </row>
    <row r="135" spans="1:2" ht="15.75">
      <c r="A135" s="1" t="s">
        <v>593</v>
      </c>
      <c r="B135" s="255">
        <v>0.20499999999999999</v>
      </c>
    </row>
    <row r="136" spans="1:2" ht="15.75">
      <c r="A136" s="1" t="s">
        <v>594</v>
      </c>
      <c r="B136" s="255">
        <v>0.28300000000000003</v>
      </c>
    </row>
    <row r="137" spans="1:2" ht="15.75">
      <c r="A137" s="1" t="s">
        <v>595</v>
      </c>
      <c r="B137" s="255">
        <v>0.28600000000000003</v>
      </c>
    </row>
    <row r="138" spans="1:2" ht="15.75">
      <c r="A138" s="1" t="s">
        <v>596</v>
      </c>
      <c r="B138" s="255">
        <v>0.22600000000000001</v>
      </c>
    </row>
    <row r="139" spans="1:2" ht="15.75">
      <c r="A139" s="1" t="s">
        <v>597</v>
      </c>
      <c r="B139" s="255">
        <v>0.2525</v>
      </c>
    </row>
    <row r="140" spans="1:2" ht="15.75">
      <c r="A140" s="1" t="s">
        <v>598</v>
      </c>
      <c r="B140" s="255">
        <v>0.24429999999999999</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F130"/>
  <sheetViews>
    <sheetView topLeftCell="A67" workbookViewId="0">
      <selection activeCell="F130" sqref="A1:F130"/>
    </sheetView>
  </sheetViews>
  <sheetFormatPr defaultColWidth="11.42578125" defaultRowHeight="12"/>
  <cols>
    <col min="1" max="1" width="20.85546875" customWidth="1"/>
    <col min="2" max="2" width="14" customWidth="1"/>
    <col min="3" max="3" width="28.85546875" bestFit="1" customWidth="1"/>
    <col min="4" max="4" width="25.85546875" customWidth="1"/>
    <col min="5" max="5" width="20.28515625" bestFit="1" customWidth="1"/>
    <col min="6" max="6" width="20.85546875" bestFit="1" customWidth="1"/>
  </cols>
  <sheetData>
    <row r="1" spans="1:6" ht="15.75">
      <c r="A1" s="176" t="s">
        <v>473</v>
      </c>
      <c r="B1" s="242" t="s">
        <v>474</v>
      </c>
      <c r="C1" s="243" t="s">
        <v>475</v>
      </c>
      <c r="D1" s="243" t="s">
        <v>576</v>
      </c>
      <c r="E1" s="244" t="s">
        <v>476</v>
      </c>
      <c r="F1" s="176" t="s">
        <v>477</v>
      </c>
    </row>
    <row r="2" spans="1:6" ht="15.75">
      <c r="A2" s="245" t="s">
        <v>350</v>
      </c>
      <c r="B2" s="246" t="s">
        <v>479</v>
      </c>
      <c r="C2" s="247">
        <v>0.04</v>
      </c>
      <c r="D2" s="248">
        <v>0.11799999999999999</v>
      </c>
      <c r="E2" s="249">
        <v>0.06</v>
      </c>
      <c r="F2" s="250" t="s">
        <v>480</v>
      </c>
    </row>
    <row r="3" spans="1:6" ht="15.75">
      <c r="A3" s="245" t="s">
        <v>351</v>
      </c>
      <c r="B3" s="246" t="s">
        <v>481</v>
      </c>
      <c r="C3" s="247">
        <v>3.2500000000000001E-2</v>
      </c>
      <c r="D3" s="248">
        <v>0.10680000000000001</v>
      </c>
      <c r="E3" s="249">
        <v>4.8800000000000003E-2</v>
      </c>
      <c r="F3" s="250" t="s">
        <v>482</v>
      </c>
    </row>
    <row r="4" spans="1:6" ht="15.75">
      <c r="A4" s="245" t="s">
        <v>352</v>
      </c>
      <c r="B4" s="246" t="s">
        <v>483</v>
      </c>
      <c r="C4" s="247">
        <v>0.06</v>
      </c>
      <c r="D4" s="248">
        <v>0.14799999999999999</v>
      </c>
      <c r="E4" s="249">
        <v>0.09</v>
      </c>
      <c r="F4" s="250" t="s">
        <v>484</v>
      </c>
    </row>
    <row r="5" spans="1:6" ht="15.75">
      <c r="A5" s="245" t="s">
        <v>353</v>
      </c>
      <c r="B5" s="246" t="s">
        <v>485</v>
      </c>
      <c r="C5" s="247">
        <v>2.75E-2</v>
      </c>
      <c r="D5" s="248">
        <v>9.9299999999999999E-2</v>
      </c>
      <c r="E5" s="249">
        <v>4.1300000000000003E-2</v>
      </c>
      <c r="F5" s="250" t="s">
        <v>480</v>
      </c>
    </row>
    <row r="6" spans="1:6" ht="15.75">
      <c r="A6" s="245" t="s">
        <v>355</v>
      </c>
      <c r="B6" s="246" t="s">
        <v>486</v>
      </c>
      <c r="C6" s="247">
        <v>0</v>
      </c>
      <c r="D6" s="248">
        <v>5.8000000000000003E-2</v>
      </c>
      <c r="E6" s="249">
        <v>0</v>
      </c>
      <c r="F6" s="250" t="s">
        <v>487</v>
      </c>
    </row>
    <row r="7" spans="1:6" ht="15.75">
      <c r="A7" s="245" t="s">
        <v>356</v>
      </c>
      <c r="B7" s="246" t="s">
        <v>486</v>
      </c>
      <c r="C7" s="247">
        <v>0</v>
      </c>
      <c r="D7" s="248">
        <v>5.8000000000000003E-2</v>
      </c>
      <c r="E7" s="249">
        <v>0</v>
      </c>
      <c r="F7" s="250" t="s">
        <v>478</v>
      </c>
    </row>
    <row r="8" spans="1:6" ht="15.75">
      <c r="A8" s="245" t="s">
        <v>488</v>
      </c>
      <c r="B8" s="246" t="s">
        <v>489</v>
      </c>
      <c r="C8" s="247">
        <v>0.02</v>
      </c>
      <c r="D8" s="248">
        <v>8.7999999999999995E-2</v>
      </c>
      <c r="E8" s="249">
        <v>0.03</v>
      </c>
      <c r="F8" s="250" t="s">
        <v>480</v>
      </c>
    </row>
    <row r="9" spans="1:6" ht="15.75">
      <c r="A9" s="245" t="s">
        <v>357</v>
      </c>
      <c r="B9" s="246" t="s">
        <v>492</v>
      </c>
      <c r="C9" s="247">
        <v>1.4999999999999999E-2</v>
      </c>
      <c r="D9" s="248">
        <v>8.0500000000000002E-2</v>
      </c>
      <c r="E9" s="249">
        <v>2.2499999999999999E-2</v>
      </c>
      <c r="F9" s="250" t="s">
        <v>491</v>
      </c>
    </row>
    <row r="10" spans="1:6" ht="15.75">
      <c r="A10" s="245" t="s">
        <v>358</v>
      </c>
      <c r="B10" s="246" t="s">
        <v>492</v>
      </c>
      <c r="C10" s="247">
        <v>1.4999999999999999E-2</v>
      </c>
      <c r="D10" s="248">
        <v>8.0500000000000002E-2</v>
      </c>
      <c r="E10" s="249">
        <v>2.2499999999999999E-2</v>
      </c>
      <c r="F10" s="250" t="s">
        <v>493</v>
      </c>
    </row>
    <row r="11" spans="1:6" ht="15.75">
      <c r="A11" s="245" t="s">
        <v>359</v>
      </c>
      <c r="B11" s="246" t="s">
        <v>481</v>
      </c>
      <c r="C11" s="247">
        <v>3.2500000000000001E-2</v>
      </c>
      <c r="D11" s="248">
        <v>0.10680000000000001</v>
      </c>
      <c r="E11" s="249">
        <v>4.8800000000000003E-2</v>
      </c>
      <c r="F11" s="250" t="s">
        <v>577</v>
      </c>
    </row>
    <row r="12" spans="1:6" ht="15.75">
      <c r="A12" s="245" t="s">
        <v>360</v>
      </c>
      <c r="B12" s="246" t="s">
        <v>489</v>
      </c>
      <c r="C12" s="247">
        <v>0.02</v>
      </c>
      <c r="D12" s="248">
        <v>8.7999999999999995E-2</v>
      </c>
      <c r="E12" s="249">
        <v>0.03</v>
      </c>
      <c r="F12" s="250" t="s">
        <v>491</v>
      </c>
    </row>
    <row r="13" spans="1:6" ht="15.75">
      <c r="A13" s="245" t="s">
        <v>361</v>
      </c>
      <c r="B13" s="246" t="s">
        <v>483</v>
      </c>
      <c r="C13" s="247">
        <v>0.06</v>
      </c>
      <c r="D13" s="248">
        <v>0.14799999999999999</v>
      </c>
      <c r="E13" s="249">
        <v>0.09</v>
      </c>
      <c r="F13" s="250" t="s">
        <v>480</v>
      </c>
    </row>
    <row r="14" spans="1:6" ht="15.75">
      <c r="A14" s="245" t="s">
        <v>362</v>
      </c>
      <c r="B14" s="246" t="s">
        <v>494</v>
      </c>
      <c r="C14" s="247">
        <v>7.0000000000000001E-3</v>
      </c>
      <c r="D14" s="248">
        <v>6.8500000000000005E-2</v>
      </c>
      <c r="E14" s="249">
        <v>1.0500000000000001E-2</v>
      </c>
      <c r="F14" s="250" t="s">
        <v>478</v>
      </c>
    </row>
    <row r="15" spans="1:6" ht="15.75">
      <c r="A15" s="245" t="s">
        <v>495</v>
      </c>
      <c r="B15" s="246" t="s">
        <v>578</v>
      </c>
      <c r="C15" s="247">
        <v>0.1</v>
      </c>
      <c r="D15" s="248">
        <v>0.20799999999999999</v>
      </c>
      <c r="E15" s="249">
        <v>0.15</v>
      </c>
      <c r="F15" s="250" t="s">
        <v>484</v>
      </c>
    </row>
    <row r="16" spans="1:6" ht="15.75">
      <c r="A16" s="245" t="s">
        <v>363</v>
      </c>
      <c r="B16" s="246" t="s">
        <v>496</v>
      </c>
      <c r="C16" s="247">
        <v>5.0000000000000001E-3</v>
      </c>
      <c r="D16" s="248">
        <v>6.5500000000000003E-2</v>
      </c>
      <c r="E16" s="249">
        <v>7.4999999999999997E-3</v>
      </c>
      <c r="F16" s="250" t="s">
        <v>491</v>
      </c>
    </row>
    <row r="17" spans="1:6" ht="15.75">
      <c r="A17" s="245" t="s">
        <v>364</v>
      </c>
      <c r="B17" s="246" t="s">
        <v>481</v>
      </c>
      <c r="C17" s="247">
        <v>3.2500000000000001E-2</v>
      </c>
      <c r="D17" s="248">
        <v>0.10680000000000001</v>
      </c>
      <c r="E17" s="249">
        <v>4.8800000000000003E-2</v>
      </c>
      <c r="F17" s="250" t="s">
        <v>484</v>
      </c>
    </row>
    <row r="18" spans="1:6" ht="15.75">
      <c r="A18" s="245" t="s">
        <v>365</v>
      </c>
      <c r="B18" s="246" t="s">
        <v>483</v>
      </c>
      <c r="C18" s="247">
        <v>0.06</v>
      </c>
      <c r="D18" s="248">
        <v>0.14799999999999999</v>
      </c>
      <c r="E18" s="249">
        <v>0.09</v>
      </c>
      <c r="F18" s="250" t="s">
        <v>480</v>
      </c>
    </row>
    <row r="19" spans="1:6" ht="15.75">
      <c r="A19" s="245" t="s">
        <v>366</v>
      </c>
      <c r="B19" s="246" t="s">
        <v>497</v>
      </c>
      <c r="C19" s="247">
        <v>0.01</v>
      </c>
      <c r="D19" s="248">
        <v>7.2999999999999995E-2</v>
      </c>
      <c r="E19" s="249">
        <v>1.4999999999999999E-2</v>
      </c>
      <c r="F19" s="250" t="s">
        <v>482</v>
      </c>
    </row>
    <row r="20" spans="1:6" ht="15.75">
      <c r="A20" s="245" t="s">
        <v>367</v>
      </c>
      <c r="B20" s="246" t="s">
        <v>498</v>
      </c>
      <c r="C20" s="247">
        <v>1.7500000000000002E-2</v>
      </c>
      <c r="D20" s="248">
        <v>8.43E-2</v>
      </c>
      <c r="E20" s="249">
        <v>2.63E-2</v>
      </c>
      <c r="F20" s="250" t="s">
        <v>484</v>
      </c>
    </row>
    <row r="21" spans="1:6" ht="15.75">
      <c r="A21" s="245" t="s">
        <v>368</v>
      </c>
      <c r="B21" s="246" t="s">
        <v>498</v>
      </c>
      <c r="C21" s="247">
        <v>1.7500000000000002E-2</v>
      </c>
      <c r="D21" s="248">
        <v>8.43E-2</v>
      </c>
      <c r="E21" s="249">
        <v>2.63E-2</v>
      </c>
      <c r="F21" s="250" t="s">
        <v>480</v>
      </c>
    </row>
    <row r="22" spans="1:6" ht="15.75">
      <c r="A22" s="245" t="s">
        <v>369</v>
      </c>
      <c r="B22" s="246" t="s">
        <v>499</v>
      </c>
      <c r="C22" s="247">
        <v>0.05</v>
      </c>
      <c r="D22" s="248">
        <v>0.13300000000000001</v>
      </c>
      <c r="E22" s="249">
        <v>7.4999999999999997E-2</v>
      </c>
      <c r="F22" s="250" t="s">
        <v>577</v>
      </c>
    </row>
    <row r="23" spans="1:6" ht="15.75">
      <c r="A23" s="245" t="s">
        <v>370</v>
      </c>
      <c r="B23" s="246" t="s">
        <v>486</v>
      </c>
      <c r="C23" s="247">
        <v>0</v>
      </c>
      <c r="D23" s="248">
        <v>5.8000000000000003E-2</v>
      </c>
      <c r="E23" s="249">
        <v>0</v>
      </c>
      <c r="F23" s="250" t="s">
        <v>500</v>
      </c>
    </row>
    <row r="24" spans="1:6" ht="15.75">
      <c r="A24" s="245" t="s">
        <v>371</v>
      </c>
      <c r="B24" s="246" t="s">
        <v>494</v>
      </c>
      <c r="C24" s="247">
        <v>7.0000000000000001E-3</v>
      </c>
      <c r="D24" s="248">
        <v>6.8500000000000005E-2</v>
      </c>
      <c r="E24" s="249">
        <v>1.0500000000000001E-2</v>
      </c>
      <c r="F24" s="250" t="s">
        <v>491</v>
      </c>
    </row>
    <row r="25" spans="1:6" ht="15.75">
      <c r="A25" s="245" t="s">
        <v>372</v>
      </c>
      <c r="B25" s="246" t="s">
        <v>494</v>
      </c>
      <c r="C25" s="247">
        <v>7.0000000000000001E-3</v>
      </c>
      <c r="D25" s="248">
        <v>6.8500000000000005E-2</v>
      </c>
      <c r="E25" s="249">
        <v>1.0500000000000001E-2</v>
      </c>
      <c r="F25" s="250" t="s">
        <v>484</v>
      </c>
    </row>
    <row r="26" spans="1:6" ht="15.75">
      <c r="A26" s="245" t="s">
        <v>373</v>
      </c>
      <c r="B26" s="246" t="s">
        <v>494</v>
      </c>
      <c r="C26" s="247">
        <v>7.0000000000000001E-3</v>
      </c>
      <c r="D26" s="248">
        <v>6.8500000000000005E-2</v>
      </c>
      <c r="E26" s="249">
        <v>1.0500000000000001E-2</v>
      </c>
      <c r="F26" s="250" t="s">
        <v>577</v>
      </c>
    </row>
    <row r="27" spans="1:6" ht="15.75">
      <c r="A27" s="245" t="s">
        <v>374</v>
      </c>
      <c r="B27" s="246" t="s">
        <v>489</v>
      </c>
      <c r="C27" s="247">
        <v>0.02</v>
      </c>
      <c r="D27" s="248">
        <v>8.7999999999999995E-2</v>
      </c>
      <c r="E27" s="249">
        <v>0.03</v>
      </c>
      <c r="F27" s="250" t="s">
        <v>484</v>
      </c>
    </row>
    <row r="28" spans="1:6" ht="15.75">
      <c r="A28" s="245" t="s">
        <v>375</v>
      </c>
      <c r="B28" s="246" t="s">
        <v>489</v>
      </c>
      <c r="C28" s="247">
        <v>0.02</v>
      </c>
      <c r="D28" s="248">
        <v>8.7999999999999995E-2</v>
      </c>
      <c r="E28" s="249">
        <v>0.03</v>
      </c>
      <c r="F28" s="250" t="s">
        <v>484</v>
      </c>
    </row>
    <row r="29" spans="1:6" ht="15.75">
      <c r="A29" s="245" t="s">
        <v>376</v>
      </c>
      <c r="B29" s="246" t="s">
        <v>489</v>
      </c>
      <c r="C29" s="247">
        <v>0.02</v>
      </c>
      <c r="D29" s="248">
        <v>8.7999999999999995E-2</v>
      </c>
      <c r="E29" s="249">
        <v>0.03</v>
      </c>
      <c r="F29" s="250" t="s">
        <v>480</v>
      </c>
    </row>
    <row r="30" spans="1:6" ht="15.75">
      <c r="A30" s="245" t="s">
        <v>501</v>
      </c>
      <c r="B30" s="246" t="s">
        <v>502</v>
      </c>
      <c r="C30" s="247">
        <v>7.0000000000000007E-2</v>
      </c>
      <c r="D30" s="248">
        <v>0.16300000000000001</v>
      </c>
      <c r="E30" s="249">
        <v>0.105</v>
      </c>
      <c r="F30" s="250" t="s">
        <v>491</v>
      </c>
    </row>
    <row r="31" spans="1:6" ht="15.75">
      <c r="A31" s="245" t="s">
        <v>378</v>
      </c>
      <c r="B31" s="246" t="s">
        <v>483</v>
      </c>
      <c r="C31" s="247">
        <v>0.06</v>
      </c>
      <c r="D31" s="248">
        <v>0.14799999999999999</v>
      </c>
      <c r="E31" s="249">
        <v>0.09</v>
      </c>
      <c r="F31" s="250" t="s">
        <v>478</v>
      </c>
    </row>
    <row r="32" spans="1:6" ht="15.75">
      <c r="A32" s="245" t="s">
        <v>379</v>
      </c>
      <c r="B32" s="246" t="s">
        <v>503</v>
      </c>
      <c r="C32" s="247">
        <v>8.5000000000000006E-3</v>
      </c>
      <c r="D32" s="248">
        <v>7.0800000000000002E-2</v>
      </c>
      <c r="E32" s="249">
        <v>1.2800000000000001E-2</v>
      </c>
      <c r="F32" s="250" t="s">
        <v>480</v>
      </c>
    </row>
    <row r="33" spans="1:6" ht="15.75">
      <c r="A33" s="245" t="s">
        <v>380</v>
      </c>
      <c r="B33" s="246" t="s">
        <v>486</v>
      </c>
      <c r="C33" s="247">
        <v>0</v>
      </c>
      <c r="D33" s="248">
        <v>5.8000000000000003E-2</v>
      </c>
      <c r="E33" s="249">
        <v>0</v>
      </c>
      <c r="F33" s="250" t="s">
        <v>478</v>
      </c>
    </row>
    <row r="34" spans="1:6" ht="15.75">
      <c r="A34" s="245" t="s">
        <v>381</v>
      </c>
      <c r="B34" s="246" t="s">
        <v>479</v>
      </c>
      <c r="C34" s="247">
        <v>0.04</v>
      </c>
      <c r="D34" s="248">
        <v>0.11799999999999999</v>
      </c>
      <c r="E34" s="249">
        <v>0.06</v>
      </c>
      <c r="F34" s="250" t="s">
        <v>491</v>
      </c>
    </row>
    <row r="35" spans="1:6" ht="15.75">
      <c r="A35" s="245" t="s">
        <v>382</v>
      </c>
      <c r="B35" s="246" t="s">
        <v>502</v>
      </c>
      <c r="C35" s="247">
        <v>7.0000000000000007E-2</v>
      </c>
      <c r="D35" s="248">
        <v>0.16300000000000001</v>
      </c>
      <c r="E35" s="249">
        <v>0.105</v>
      </c>
      <c r="F35" s="250" t="s">
        <v>484</v>
      </c>
    </row>
    <row r="36" spans="1:6" ht="15.75">
      <c r="A36" s="245" t="s">
        <v>383</v>
      </c>
      <c r="B36" s="246" t="s">
        <v>499</v>
      </c>
      <c r="C36" s="247">
        <v>0.05</v>
      </c>
      <c r="D36" s="248">
        <v>0.13300000000000001</v>
      </c>
      <c r="E36" s="249">
        <v>7.4999999999999997E-2</v>
      </c>
      <c r="F36" s="250" t="s">
        <v>482</v>
      </c>
    </row>
    <row r="37" spans="1:6" ht="15.75">
      <c r="A37" s="245" t="s">
        <v>504</v>
      </c>
      <c r="B37" s="246" t="s">
        <v>481</v>
      </c>
      <c r="C37" s="247">
        <v>3.2500000000000001E-2</v>
      </c>
      <c r="D37" s="248">
        <v>0.10680000000000001</v>
      </c>
      <c r="E37" s="249">
        <v>4.8800000000000003E-2</v>
      </c>
      <c r="F37" s="250" t="s">
        <v>484</v>
      </c>
    </row>
    <row r="38" spans="1:6" ht="15.75">
      <c r="A38" s="245" t="s">
        <v>384</v>
      </c>
      <c r="B38" s="246" t="s">
        <v>503</v>
      </c>
      <c r="C38" s="247">
        <v>8.5000000000000006E-3</v>
      </c>
      <c r="D38" s="248">
        <v>7.0800000000000002E-2</v>
      </c>
      <c r="E38" s="249">
        <v>1.2800000000000001E-2</v>
      </c>
      <c r="F38" s="250" t="s">
        <v>480</v>
      </c>
    </row>
    <row r="39" spans="1:6" ht="15.75">
      <c r="A39" s="245" t="s">
        <v>505</v>
      </c>
      <c r="B39" s="246" t="s">
        <v>479</v>
      </c>
      <c r="C39" s="247">
        <v>0.04</v>
      </c>
      <c r="D39" s="248">
        <v>0.11799999999999999</v>
      </c>
      <c r="E39" s="249">
        <v>0.06</v>
      </c>
      <c r="F39" s="250" t="s">
        <v>577</v>
      </c>
    </row>
    <row r="40" spans="1:6" ht="15.75">
      <c r="A40" s="245" t="s">
        <v>386</v>
      </c>
      <c r="B40" s="246" t="s">
        <v>486</v>
      </c>
      <c r="C40" s="247">
        <v>0</v>
      </c>
      <c r="D40" s="248">
        <v>5.8000000000000003E-2</v>
      </c>
      <c r="E40" s="249">
        <v>0</v>
      </c>
      <c r="F40" s="250" t="s">
        <v>478</v>
      </c>
    </row>
    <row r="41" spans="1:6" ht="15.75">
      <c r="A41" s="245" t="s">
        <v>387</v>
      </c>
      <c r="B41" s="246" t="s">
        <v>508</v>
      </c>
      <c r="C41" s="247">
        <v>2.5000000000000001E-3</v>
      </c>
      <c r="D41" s="248">
        <v>6.1800000000000001E-2</v>
      </c>
      <c r="E41" s="249">
        <v>3.8E-3</v>
      </c>
      <c r="F41" s="250" t="s">
        <v>478</v>
      </c>
    </row>
    <row r="42" spans="1:6" ht="15.75">
      <c r="A42" s="245" t="s">
        <v>506</v>
      </c>
      <c r="B42" s="246" t="s">
        <v>481</v>
      </c>
      <c r="C42" s="247">
        <v>3.2500000000000001E-2</v>
      </c>
      <c r="D42" s="248">
        <v>0.10680000000000001</v>
      </c>
      <c r="E42" s="249">
        <v>4.8800000000000003E-2</v>
      </c>
      <c r="F42" s="250" t="s">
        <v>480</v>
      </c>
    </row>
    <row r="43" spans="1:6" ht="15.75">
      <c r="A43" s="245" t="s">
        <v>388</v>
      </c>
      <c r="B43" s="246" t="s">
        <v>486</v>
      </c>
      <c r="C43" s="247">
        <v>0</v>
      </c>
      <c r="D43" s="248">
        <v>5.8000000000000003E-2</v>
      </c>
      <c r="E43" s="249">
        <v>0</v>
      </c>
      <c r="F43" s="250" t="s">
        <v>478</v>
      </c>
    </row>
    <row r="44" spans="1:6" ht="15.75">
      <c r="A44" s="245" t="s">
        <v>390</v>
      </c>
      <c r="B44" s="246" t="s">
        <v>502</v>
      </c>
      <c r="C44" s="247">
        <v>7.0000000000000007E-2</v>
      </c>
      <c r="D44" s="248">
        <v>0.16300000000000001</v>
      </c>
      <c r="E44" s="249">
        <v>0.105</v>
      </c>
      <c r="F44" s="250" t="s">
        <v>478</v>
      </c>
    </row>
    <row r="45" spans="1:6" ht="15.75">
      <c r="A45" s="245" t="s">
        <v>391</v>
      </c>
      <c r="B45" s="246" t="s">
        <v>507</v>
      </c>
      <c r="C45" s="247">
        <v>2.4E-2</v>
      </c>
      <c r="D45" s="248">
        <v>9.4E-2</v>
      </c>
      <c r="E45" s="249">
        <v>3.5999999999999997E-2</v>
      </c>
      <c r="F45" s="250" t="s">
        <v>484</v>
      </c>
    </row>
    <row r="46" spans="1:6" ht="15.75">
      <c r="A46" s="245" t="s">
        <v>393</v>
      </c>
      <c r="B46" s="246" t="s">
        <v>499</v>
      </c>
      <c r="C46" s="247">
        <v>0.05</v>
      </c>
      <c r="D46" s="248">
        <v>0.13300000000000001</v>
      </c>
      <c r="E46" s="249">
        <v>7.4999999999999997E-2</v>
      </c>
      <c r="F46" s="250" t="s">
        <v>484</v>
      </c>
    </row>
    <row r="47" spans="1:6" ht="15.75">
      <c r="A47" s="245" t="s">
        <v>394</v>
      </c>
      <c r="B47" s="246" t="s">
        <v>508</v>
      </c>
      <c r="C47" s="247">
        <v>2.5000000000000001E-3</v>
      </c>
      <c r="D47" s="248">
        <v>6.1800000000000001E-2</v>
      </c>
      <c r="E47" s="249">
        <v>3.8E-3</v>
      </c>
      <c r="F47" s="250" t="s">
        <v>577</v>
      </c>
    </row>
    <row r="48" spans="1:6" ht="15.75">
      <c r="A48" s="245" t="s">
        <v>395</v>
      </c>
      <c r="B48" s="246" t="s">
        <v>507</v>
      </c>
      <c r="C48" s="247">
        <v>2.4E-2</v>
      </c>
      <c r="D48" s="248">
        <v>9.4E-2</v>
      </c>
      <c r="E48" s="249">
        <v>3.5999999999999997E-2</v>
      </c>
      <c r="F48" s="250" t="s">
        <v>480</v>
      </c>
    </row>
    <row r="49" spans="1:6" ht="15.75">
      <c r="A49" s="245" t="s">
        <v>396</v>
      </c>
      <c r="B49" s="246" t="s">
        <v>489</v>
      </c>
      <c r="C49" s="247">
        <v>0.02</v>
      </c>
      <c r="D49" s="248">
        <v>8.7999999999999995E-2</v>
      </c>
      <c r="E49" s="249">
        <v>0.03</v>
      </c>
      <c r="F49" s="250" t="s">
        <v>478</v>
      </c>
    </row>
    <row r="50" spans="1:6" ht="15.75">
      <c r="A50" s="245" t="s">
        <v>397</v>
      </c>
      <c r="B50" s="246" t="s">
        <v>489</v>
      </c>
      <c r="C50" s="247">
        <v>0.02</v>
      </c>
      <c r="D50" s="248">
        <v>8.7999999999999995E-2</v>
      </c>
      <c r="E50" s="249">
        <v>0.03</v>
      </c>
      <c r="F50" s="250" t="s">
        <v>577</v>
      </c>
    </row>
    <row r="51" spans="1:6" ht="15.75">
      <c r="A51" s="245" t="s">
        <v>398</v>
      </c>
      <c r="B51" s="246" t="s">
        <v>489</v>
      </c>
      <c r="C51" s="247">
        <v>0.02</v>
      </c>
      <c r="D51" s="248">
        <v>8.7999999999999995E-2</v>
      </c>
      <c r="E51" s="249">
        <v>0.03</v>
      </c>
      <c r="F51" s="250" t="s">
        <v>577</v>
      </c>
    </row>
    <row r="52" spans="1:6" ht="15.75">
      <c r="A52" s="245" t="s">
        <v>399</v>
      </c>
      <c r="B52" s="246" t="s">
        <v>507</v>
      </c>
      <c r="C52" s="247">
        <v>2.4E-2</v>
      </c>
      <c r="D52" s="248">
        <v>9.4E-2</v>
      </c>
      <c r="E52" s="249">
        <v>3.5999999999999997E-2</v>
      </c>
      <c r="F52" s="250" t="s">
        <v>478</v>
      </c>
    </row>
    <row r="53" spans="1:6" ht="15.75">
      <c r="A53" s="245" t="s">
        <v>400</v>
      </c>
      <c r="B53" s="246" t="s">
        <v>486</v>
      </c>
      <c r="C53" s="247">
        <v>0</v>
      </c>
      <c r="D53" s="248">
        <v>5.8000000000000003E-2</v>
      </c>
      <c r="E53" s="249">
        <v>0</v>
      </c>
      <c r="F53" s="250" t="s">
        <v>579</v>
      </c>
    </row>
    <row r="54" spans="1:6" ht="15.75">
      <c r="A54" s="245" t="s">
        <v>401</v>
      </c>
      <c r="B54" s="246" t="s">
        <v>503</v>
      </c>
      <c r="C54" s="247">
        <v>8.5000000000000006E-3</v>
      </c>
      <c r="D54" s="248">
        <v>7.0800000000000002E-2</v>
      </c>
      <c r="E54" s="249">
        <v>1.2800000000000001E-2</v>
      </c>
      <c r="F54" s="250" t="s">
        <v>493</v>
      </c>
    </row>
    <row r="55" spans="1:6" ht="15.75">
      <c r="A55" s="245" t="s">
        <v>402</v>
      </c>
      <c r="B55" s="246" t="s">
        <v>498</v>
      </c>
      <c r="C55" s="247">
        <v>1.7500000000000002E-2</v>
      </c>
      <c r="D55" s="248">
        <v>8.43E-2</v>
      </c>
      <c r="E55" s="249">
        <v>2.63E-2</v>
      </c>
      <c r="F55" s="250" t="s">
        <v>478</v>
      </c>
    </row>
    <row r="56" spans="1:6" ht="15.75">
      <c r="A56" s="245" t="s">
        <v>403</v>
      </c>
      <c r="B56" s="246" t="s">
        <v>483</v>
      </c>
      <c r="C56" s="247">
        <v>0.06</v>
      </c>
      <c r="D56" s="248">
        <v>0.14799999999999999</v>
      </c>
      <c r="E56" s="249">
        <v>0.09</v>
      </c>
      <c r="F56" s="250" t="s">
        <v>491</v>
      </c>
    </row>
    <row r="57" spans="1:6" ht="15.75">
      <c r="A57" s="245" t="s">
        <v>404</v>
      </c>
      <c r="B57" s="246" t="s">
        <v>494</v>
      </c>
      <c r="C57" s="247">
        <v>7.0000000000000001E-3</v>
      </c>
      <c r="D57" s="248">
        <v>6.8500000000000005E-2</v>
      </c>
      <c r="E57" s="249">
        <v>1.0500000000000001E-2</v>
      </c>
      <c r="F57" s="250" t="s">
        <v>577</v>
      </c>
    </row>
    <row r="58" spans="1:6" ht="15.75">
      <c r="A58" s="245" t="s">
        <v>406</v>
      </c>
      <c r="B58" s="246" t="s">
        <v>485</v>
      </c>
      <c r="C58" s="247">
        <v>2.75E-2</v>
      </c>
      <c r="D58" s="248">
        <v>9.9299999999999999E-2</v>
      </c>
      <c r="E58" s="249">
        <v>4.1300000000000003E-2</v>
      </c>
      <c r="F58" s="250" t="s">
        <v>493</v>
      </c>
    </row>
    <row r="59" spans="1:6" ht="15.75">
      <c r="A59" s="245" t="s">
        <v>407</v>
      </c>
      <c r="B59" s="246" t="s">
        <v>498</v>
      </c>
      <c r="C59" s="247">
        <v>1.7500000000000002E-2</v>
      </c>
      <c r="D59" s="248">
        <v>8.43E-2</v>
      </c>
      <c r="E59" s="249">
        <v>2.63E-2</v>
      </c>
      <c r="F59" s="250" t="s">
        <v>480</v>
      </c>
    </row>
    <row r="60" spans="1:6" ht="15.75">
      <c r="A60" s="245" t="s">
        <v>580</v>
      </c>
      <c r="B60" s="246" t="s">
        <v>479</v>
      </c>
      <c r="C60" s="247">
        <v>0.04</v>
      </c>
      <c r="D60" s="248">
        <v>0.11799999999999999</v>
      </c>
      <c r="E60" s="249">
        <v>0.06</v>
      </c>
      <c r="F60" s="250" t="s">
        <v>482</v>
      </c>
    </row>
    <row r="61" spans="1:6" ht="15.75">
      <c r="A61" s="245" t="s">
        <v>509</v>
      </c>
      <c r="B61" s="246" t="s">
        <v>494</v>
      </c>
      <c r="C61" s="247">
        <v>7.0000000000000001E-3</v>
      </c>
      <c r="D61" s="248">
        <v>6.8500000000000005E-2</v>
      </c>
      <c r="E61" s="249">
        <v>1.0500000000000001E-2</v>
      </c>
      <c r="F61" s="250" t="s">
        <v>577</v>
      </c>
    </row>
    <row r="62" spans="1:6" ht="15.75">
      <c r="A62" s="245" t="s">
        <v>409</v>
      </c>
      <c r="B62" s="246" t="s">
        <v>496</v>
      </c>
      <c r="C62" s="247">
        <v>5.0000000000000001E-3</v>
      </c>
      <c r="D62" s="248">
        <v>6.5500000000000003E-2</v>
      </c>
      <c r="E62" s="249">
        <v>7.4999999999999997E-3</v>
      </c>
      <c r="F62" s="250" t="s">
        <v>493</v>
      </c>
    </row>
    <row r="63" spans="1:6" ht="15.75">
      <c r="A63" s="245" t="s">
        <v>410</v>
      </c>
      <c r="B63" s="246" t="s">
        <v>489</v>
      </c>
      <c r="C63" s="247">
        <v>0.02</v>
      </c>
      <c r="D63" s="248">
        <v>8.7999999999999995E-2</v>
      </c>
      <c r="E63" s="249">
        <v>0.03</v>
      </c>
      <c r="F63" s="250" t="s">
        <v>480</v>
      </c>
    </row>
    <row r="64" spans="1:6" ht="15.75">
      <c r="A64" s="245" t="s">
        <v>510</v>
      </c>
      <c r="B64" s="246" t="s">
        <v>479</v>
      </c>
      <c r="C64" s="247">
        <v>0.04</v>
      </c>
      <c r="D64" s="248">
        <v>0.11799999999999999</v>
      </c>
      <c r="E64" s="249">
        <v>0.06</v>
      </c>
      <c r="F64" s="250" t="s">
        <v>493</v>
      </c>
    </row>
    <row r="65" spans="1:6" ht="15.75">
      <c r="A65" s="245" t="s">
        <v>413</v>
      </c>
      <c r="B65" s="246" t="s">
        <v>492</v>
      </c>
      <c r="C65" s="247">
        <v>1.4999999999999999E-2</v>
      </c>
      <c r="D65" s="248">
        <v>8.0500000000000002E-2</v>
      </c>
      <c r="E65" s="249">
        <v>2.2499999999999999E-2</v>
      </c>
      <c r="F65" s="250" t="s">
        <v>480</v>
      </c>
    </row>
    <row r="66" spans="1:6" ht="15.75">
      <c r="A66" s="245" t="s">
        <v>414</v>
      </c>
      <c r="B66" s="246" t="s">
        <v>486</v>
      </c>
      <c r="C66" s="247">
        <v>0</v>
      </c>
      <c r="D66" s="248">
        <v>5.8000000000000003E-2</v>
      </c>
      <c r="E66" s="249">
        <v>0</v>
      </c>
      <c r="F66" s="250" t="s">
        <v>478</v>
      </c>
    </row>
    <row r="67" spans="1:6" ht="15.75">
      <c r="A67" s="245" t="s">
        <v>511</v>
      </c>
      <c r="B67" s="246" t="s">
        <v>494</v>
      </c>
      <c r="C67" s="247">
        <v>7.0000000000000001E-3</v>
      </c>
      <c r="D67" s="248">
        <v>6.8500000000000005E-2</v>
      </c>
      <c r="E67" s="249">
        <v>1.0500000000000001E-2</v>
      </c>
      <c r="F67" s="250" t="s">
        <v>577</v>
      </c>
    </row>
    <row r="68" spans="1:6" ht="15.75">
      <c r="A68" s="245" t="s">
        <v>417</v>
      </c>
      <c r="B68" s="246" t="s">
        <v>490</v>
      </c>
      <c r="C68" s="247">
        <v>1.15E-2</v>
      </c>
      <c r="D68" s="248">
        <v>7.5300000000000006E-2</v>
      </c>
      <c r="E68" s="249">
        <v>1.7299999999999999E-2</v>
      </c>
      <c r="F68" s="250" t="s">
        <v>577</v>
      </c>
    </row>
    <row r="69" spans="1:6" ht="15.75">
      <c r="A69" s="245" t="s">
        <v>418</v>
      </c>
      <c r="B69" s="246" t="s">
        <v>490</v>
      </c>
      <c r="C69" s="247">
        <v>1.15E-2</v>
      </c>
      <c r="D69" s="248">
        <v>7.5300000000000006E-2</v>
      </c>
      <c r="E69" s="249">
        <v>1.7299999999999999E-2</v>
      </c>
      <c r="F69" s="250" t="s">
        <v>478</v>
      </c>
    </row>
    <row r="70" spans="1:6" ht="15.75">
      <c r="A70" s="245" t="s">
        <v>419</v>
      </c>
      <c r="B70" s="246" t="s">
        <v>492</v>
      </c>
      <c r="C70" s="247">
        <v>1.4999999999999999E-2</v>
      </c>
      <c r="D70" s="248">
        <v>8.0500000000000002E-2</v>
      </c>
      <c r="E70" s="249">
        <v>2.2499999999999999E-2</v>
      </c>
      <c r="F70" s="250" t="s">
        <v>482</v>
      </c>
    </row>
    <row r="71" spans="1:6" ht="15.75">
      <c r="A71" s="245" t="s">
        <v>420</v>
      </c>
      <c r="B71" s="246" t="s">
        <v>492</v>
      </c>
      <c r="C71" s="247">
        <v>1.4999999999999999E-2</v>
      </c>
      <c r="D71" s="248">
        <v>8.0500000000000002E-2</v>
      </c>
      <c r="E71" s="249">
        <v>2.2499999999999999E-2</v>
      </c>
      <c r="F71" s="250" t="s">
        <v>484</v>
      </c>
    </row>
    <row r="72" spans="1:6" ht="15.75">
      <c r="A72" s="245" t="s">
        <v>512</v>
      </c>
      <c r="B72" s="246" t="s">
        <v>483</v>
      </c>
      <c r="C72" s="247">
        <v>0.06</v>
      </c>
      <c r="D72" s="248">
        <v>0.14799999999999999</v>
      </c>
      <c r="E72" s="249">
        <v>0.09</v>
      </c>
      <c r="F72" s="250" t="s">
        <v>480</v>
      </c>
    </row>
    <row r="73" spans="1:6" ht="15.75">
      <c r="A73" s="245" t="s">
        <v>513</v>
      </c>
      <c r="B73" s="246" t="s">
        <v>479</v>
      </c>
      <c r="C73" s="247">
        <v>0.04</v>
      </c>
      <c r="D73" s="248">
        <v>0.11799999999999999</v>
      </c>
      <c r="E73" s="249">
        <v>0.06</v>
      </c>
      <c r="F73" s="250" t="s">
        <v>577</v>
      </c>
    </row>
    <row r="74" spans="1:6" ht="15.75">
      <c r="A74" s="245" t="s">
        <v>421</v>
      </c>
      <c r="B74" s="246" t="s">
        <v>481</v>
      </c>
      <c r="C74" s="247">
        <v>3.2500000000000001E-2</v>
      </c>
      <c r="D74" s="248">
        <v>0.10680000000000001</v>
      </c>
      <c r="E74" s="249">
        <v>4.8800000000000003E-2</v>
      </c>
      <c r="F74" s="250" t="s">
        <v>480</v>
      </c>
    </row>
    <row r="75" spans="1:6" ht="15.75">
      <c r="A75" s="245" t="s">
        <v>514</v>
      </c>
      <c r="B75" s="246" t="s">
        <v>507</v>
      </c>
      <c r="C75" s="247">
        <v>2.4E-2</v>
      </c>
      <c r="D75" s="248">
        <v>9.4E-2</v>
      </c>
      <c r="E75" s="249">
        <v>3.5999999999999997E-2</v>
      </c>
      <c r="F75" s="250" t="s">
        <v>482</v>
      </c>
    </row>
    <row r="76" spans="1:6" ht="15.75">
      <c r="A76" s="245" t="s">
        <v>423</v>
      </c>
      <c r="B76" s="246" t="s">
        <v>489</v>
      </c>
      <c r="C76" s="247">
        <v>0.02</v>
      </c>
      <c r="D76" s="248">
        <v>8.7999999999999995E-2</v>
      </c>
      <c r="E76" s="249">
        <v>0.03</v>
      </c>
      <c r="F76" s="250" t="s">
        <v>482</v>
      </c>
    </row>
    <row r="77" spans="1:6" ht="15.75">
      <c r="A77" s="245" t="s">
        <v>424</v>
      </c>
      <c r="B77" s="246" t="s">
        <v>486</v>
      </c>
      <c r="C77" s="247">
        <v>0</v>
      </c>
      <c r="D77" s="248">
        <v>5.8000000000000003E-2</v>
      </c>
      <c r="E77" s="249">
        <v>0</v>
      </c>
      <c r="F77" s="250" t="s">
        <v>478</v>
      </c>
    </row>
    <row r="78" spans="1:6" ht="15.75">
      <c r="A78" s="245" t="s">
        <v>425</v>
      </c>
      <c r="B78" s="246" t="s">
        <v>486</v>
      </c>
      <c r="C78" s="247">
        <v>0</v>
      </c>
      <c r="D78" s="248">
        <v>5.8000000000000003E-2</v>
      </c>
      <c r="E78" s="249">
        <v>0</v>
      </c>
      <c r="F78" s="250" t="s">
        <v>487</v>
      </c>
    </row>
    <row r="79" spans="1:6" ht="15.75">
      <c r="A79" s="245" t="s">
        <v>515</v>
      </c>
      <c r="B79" s="246" t="s">
        <v>483</v>
      </c>
      <c r="C79" s="247">
        <v>0.06</v>
      </c>
      <c r="D79" s="248">
        <v>0.14799999999999999</v>
      </c>
      <c r="E79" s="249">
        <v>0.09</v>
      </c>
      <c r="F79" s="250" t="s">
        <v>484</v>
      </c>
    </row>
    <row r="80" spans="1:6" ht="15.75">
      <c r="A80" s="245" t="s">
        <v>426</v>
      </c>
      <c r="B80" s="246" t="s">
        <v>481</v>
      </c>
      <c r="C80" s="247">
        <v>3.2500000000000001E-2</v>
      </c>
      <c r="D80" s="248">
        <v>0.10680000000000001</v>
      </c>
      <c r="E80" s="249">
        <v>4.8800000000000003E-2</v>
      </c>
      <c r="F80" s="250" t="s">
        <v>482</v>
      </c>
    </row>
    <row r="81" spans="1:6" ht="15.75">
      <c r="A81" s="245" t="s">
        <v>427</v>
      </c>
      <c r="B81" s="246" t="s">
        <v>486</v>
      </c>
      <c r="C81" s="247">
        <v>0</v>
      </c>
      <c r="D81" s="248">
        <v>5.8000000000000003E-2</v>
      </c>
      <c r="E81" s="249">
        <v>0</v>
      </c>
      <c r="F81" s="250" t="s">
        <v>478</v>
      </c>
    </row>
    <row r="82" spans="1:6" ht="15.75">
      <c r="A82" s="245" t="s">
        <v>428</v>
      </c>
      <c r="B82" s="246" t="s">
        <v>503</v>
      </c>
      <c r="C82" s="247">
        <v>8.5000000000000006E-3</v>
      </c>
      <c r="D82" s="248">
        <v>7.0800000000000002E-2</v>
      </c>
      <c r="E82" s="249">
        <v>1.2800000000000001E-2</v>
      </c>
      <c r="F82" s="250" t="s">
        <v>493</v>
      </c>
    </row>
    <row r="83" spans="1:6" ht="15.75">
      <c r="A83" s="245" t="s">
        <v>429</v>
      </c>
      <c r="B83" s="246" t="s">
        <v>502</v>
      </c>
      <c r="C83" s="247">
        <v>7.0000000000000007E-2</v>
      </c>
      <c r="D83" s="248">
        <v>0.16300000000000001</v>
      </c>
      <c r="E83" s="249">
        <v>0.105</v>
      </c>
      <c r="F83" s="250" t="s">
        <v>577</v>
      </c>
    </row>
    <row r="84" spans="1:6" ht="15.75">
      <c r="A84" s="245" t="s">
        <v>430</v>
      </c>
      <c r="B84" s="246" t="s">
        <v>498</v>
      </c>
      <c r="C84" s="247">
        <v>1.7500000000000002E-2</v>
      </c>
      <c r="D84" s="248">
        <v>8.43E-2</v>
      </c>
      <c r="E84" s="249">
        <v>2.63E-2</v>
      </c>
      <c r="F84" s="250" t="s">
        <v>484</v>
      </c>
    </row>
    <row r="85" spans="1:6" ht="15.75">
      <c r="A85" s="245" t="s">
        <v>431</v>
      </c>
      <c r="B85" s="246" t="s">
        <v>479</v>
      </c>
      <c r="C85" s="247">
        <v>0.04</v>
      </c>
      <c r="D85" s="248">
        <v>0.11799999999999999</v>
      </c>
      <c r="E85" s="249">
        <v>0.06</v>
      </c>
      <c r="F85" s="250" t="s">
        <v>577</v>
      </c>
    </row>
    <row r="86" spans="1:6" ht="15.75">
      <c r="A86" s="245" t="s">
        <v>432</v>
      </c>
      <c r="B86" s="246" t="s">
        <v>479</v>
      </c>
      <c r="C86" s="247">
        <v>0.04</v>
      </c>
      <c r="D86" s="248">
        <v>0.11799999999999999</v>
      </c>
      <c r="E86" s="249">
        <v>0.06</v>
      </c>
      <c r="F86" s="250" t="s">
        <v>484</v>
      </c>
    </row>
    <row r="87" spans="1:6" ht="15.75">
      <c r="A87" s="245" t="s">
        <v>433</v>
      </c>
      <c r="B87" s="246" t="s">
        <v>498</v>
      </c>
      <c r="C87" s="247">
        <v>1.7500000000000002E-2</v>
      </c>
      <c r="D87" s="248">
        <v>8.43E-2</v>
      </c>
      <c r="E87" s="249">
        <v>2.63E-2</v>
      </c>
      <c r="F87" s="250" t="s">
        <v>484</v>
      </c>
    </row>
    <row r="88" spans="1:6" ht="15.75">
      <c r="A88" s="245" t="s">
        <v>434</v>
      </c>
      <c r="B88" s="246" t="s">
        <v>507</v>
      </c>
      <c r="C88" s="247">
        <v>2.4E-2</v>
      </c>
      <c r="D88" s="248">
        <v>9.4E-2</v>
      </c>
      <c r="E88" s="249">
        <v>3.5999999999999997E-2</v>
      </c>
      <c r="F88" s="250" t="s">
        <v>577</v>
      </c>
    </row>
    <row r="89" spans="1:6" ht="15.75">
      <c r="A89" s="245" t="s">
        <v>435</v>
      </c>
      <c r="B89" s="246" t="s">
        <v>497</v>
      </c>
      <c r="C89" s="247">
        <v>0.01</v>
      </c>
      <c r="D89" s="248">
        <v>7.2999999999999995E-2</v>
      </c>
      <c r="E89" s="249">
        <v>1.4999999999999999E-2</v>
      </c>
      <c r="F89" s="250" t="s">
        <v>480</v>
      </c>
    </row>
    <row r="90" spans="1:6" ht="15.75">
      <c r="A90" s="245" t="s">
        <v>436</v>
      </c>
      <c r="B90" s="246" t="s">
        <v>481</v>
      </c>
      <c r="C90" s="247">
        <v>3.2500000000000001E-2</v>
      </c>
      <c r="D90" s="248">
        <v>0.10680000000000001</v>
      </c>
      <c r="E90" s="249">
        <v>4.8800000000000003E-2</v>
      </c>
      <c r="F90" s="250" t="s">
        <v>478</v>
      </c>
    </row>
    <row r="91" spans="1:6" ht="15.75">
      <c r="A91" s="245" t="s">
        <v>437</v>
      </c>
      <c r="B91" s="246" t="s">
        <v>496</v>
      </c>
      <c r="C91" s="247">
        <v>5.0000000000000001E-3</v>
      </c>
      <c r="D91" s="248">
        <v>6.5500000000000003E-2</v>
      </c>
      <c r="E91" s="249">
        <v>7.4999999999999997E-3</v>
      </c>
      <c r="F91" s="250" t="s">
        <v>493</v>
      </c>
    </row>
    <row r="92" spans="1:6" ht="15.75">
      <c r="A92" s="245" t="s">
        <v>438</v>
      </c>
      <c r="B92" s="246" t="s">
        <v>489</v>
      </c>
      <c r="C92" s="247">
        <v>0.02</v>
      </c>
      <c r="D92" s="248">
        <v>8.7999999999999995E-2</v>
      </c>
      <c r="E92" s="249">
        <v>0.03</v>
      </c>
      <c r="F92" s="250" t="s">
        <v>480</v>
      </c>
    </row>
    <row r="93" spans="1:6" ht="15.75">
      <c r="A93" s="245" t="s">
        <v>439</v>
      </c>
      <c r="B93" s="246" t="s">
        <v>492</v>
      </c>
      <c r="C93" s="247">
        <v>1.4999999999999999E-2</v>
      </c>
      <c r="D93" s="248">
        <v>8.0500000000000002E-2</v>
      </c>
      <c r="E93" s="249">
        <v>2.2499999999999999E-2</v>
      </c>
      <c r="F93" s="250" t="s">
        <v>480</v>
      </c>
    </row>
    <row r="94" spans="1:6" ht="15.75">
      <c r="A94" s="245" t="s">
        <v>442</v>
      </c>
      <c r="B94" s="246" t="s">
        <v>494</v>
      </c>
      <c r="C94" s="247">
        <v>7.0000000000000001E-3</v>
      </c>
      <c r="D94" s="248">
        <v>6.8500000000000005E-2</v>
      </c>
      <c r="E94" s="249">
        <v>1.0500000000000001E-2</v>
      </c>
      <c r="F94" s="250" t="s">
        <v>493</v>
      </c>
    </row>
    <row r="95" spans="1:6" ht="15.75">
      <c r="A95" s="245" t="s">
        <v>516</v>
      </c>
      <c r="B95" s="246" t="s">
        <v>479</v>
      </c>
      <c r="C95" s="247">
        <v>0.04</v>
      </c>
      <c r="D95" s="248">
        <v>0.11799999999999999</v>
      </c>
      <c r="E95" s="249">
        <v>0.06</v>
      </c>
      <c r="F95" s="250" t="s">
        <v>482</v>
      </c>
    </row>
    <row r="96" spans="1:6" ht="15.75">
      <c r="A96" s="245" t="s">
        <v>444</v>
      </c>
      <c r="B96" s="246" t="s">
        <v>486</v>
      </c>
      <c r="C96" s="247">
        <v>0</v>
      </c>
      <c r="D96" s="248">
        <v>5.8000000000000003E-2</v>
      </c>
      <c r="E96" s="249">
        <v>0</v>
      </c>
      <c r="F96" s="250" t="s">
        <v>577</v>
      </c>
    </row>
    <row r="97" spans="1:6" ht="15.75">
      <c r="A97" s="245" t="s">
        <v>517</v>
      </c>
      <c r="B97" s="246" t="s">
        <v>497</v>
      </c>
      <c r="C97" s="247">
        <v>0.01</v>
      </c>
      <c r="D97" s="248">
        <v>7.2999999999999995E-2</v>
      </c>
      <c r="E97" s="249">
        <v>1.4999999999999999E-2</v>
      </c>
      <c r="F97" s="250" t="s">
        <v>480</v>
      </c>
    </row>
    <row r="98" spans="1:6" ht="15.75">
      <c r="A98" s="245" t="s">
        <v>446</v>
      </c>
      <c r="B98" s="246" t="s">
        <v>498</v>
      </c>
      <c r="C98" s="247">
        <v>1.7500000000000002E-2</v>
      </c>
      <c r="D98" s="248">
        <v>8.43E-2</v>
      </c>
      <c r="E98" s="249">
        <v>2.63E-2</v>
      </c>
      <c r="F98" s="250" t="s">
        <v>478</v>
      </c>
    </row>
    <row r="99" spans="1:6" ht="15.75">
      <c r="A99" s="245" t="s">
        <v>447</v>
      </c>
      <c r="B99" s="246" t="s">
        <v>492</v>
      </c>
      <c r="C99" s="247">
        <v>1.4999999999999999E-2</v>
      </c>
      <c r="D99" s="248">
        <v>8.0500000000000002E-2</v>
      </c>
      <c r="E99" s="249">
        <v>2.2499999999999999E-2</v>
      </c>
      <c r="F99" s="250" t="s">
        <v>482</v>
      </c>
    </row>
    <row r="100" spans="1:6" ht="15.75">
      <c r="A100" s="245" t="s">
        <v>448</v>
      </c>
      <c r="B100" s="246" t="s">
        <v>489</v>
      </c>
      <c r="C100" s="247">
        <v>0.02</v>
      </c>
      <c r="D100" s="248">
        <v>8.7999999999999995E-2</v>
      </c>
      <c r="E100" s="249">
        <v>0.03</v>
      </c>
      <c r="F100" s="250" t="s">
        <v>478</v>
      </c>
    </row>
    <row r="101" spans="1:6" ht="15.75">
      <c r="A101" s="245" t="s">
        <v>449</v>
      </c>
      <c r="B101" s="246" t="s">
        <v>479</v>
      </c>
      <c r="C101" s="247">
        <v>0.04</v>
      </c>
      <c r="D101" s="248">
        <v>0.11799999999999999</v>
      </c>
      <c r="E101" s="249">
        <v>0.06</v>
      </c>
      <c r="F101" s="250" t="s">
        <v>577</v>
      </c>
    </row>
    <row r="102" spans="1:6" ht="15.75">
      <c r="A102" s="245" t="s">
        <v>581</v>
      </c>
      <c r="B102" s="246" t="s">
        <v>492</v>
      </c>
      <c r="C102" s="247">
        <v>1.4999999999999999E-2</v>
      </c>
      <c r="D102" s="248">
        <v>8.0500000000000002E-2</v>
      </c>
      <c r="E102" s="249">
        <v>2.2499999999999999E-2</v>
      </c>
      <c r="F102" s="250" t="s">
        <v>491</v>
      </c>
    </row>
    <row r="103" spans="1:6" ht="15.75">
      <c r="A103" s="245" t="s">
        <v>518</v>
      </c>
      <c r="B103" s="246" t="s">
        <v>499</v>
      </c>
      <c r="C103" s="247">
        <v>0.05</v>
      </c>
      <c r="D103" s="248">
        <v>0.13300000000000001</v>
      </c>
      <c r="E103" s="249">
        <v>7.4999999999999997E-2</v>
      </c>
      <c r="F103" s="250" t="s">
        <v>491</v>
      </c>
    </row>
    <row r="104" spans="1:6" ht="15.75">
      <c r="A104" s="245" t="s">
        <v>519</v>
      </c>
      <c r="B104" s="246" t="s">
        <v>481</v>
      </c>
      <c r="C104" s="247">
        <v>3.2500000000000001E-2</v>
      </c>
      <c r="D104" s="248">
        <v>0.10680000000000001</v>
      </c>
      <c r="E104" s="249">
        <v>4.8800000000000003E-2</v>
      </c>
      <c r="F104" s="250" t="s">
        <v>491</v>
      </c>
    </row>
    <row r="105" spans="1:6" ht="15.75">
      <c r="A105" s="245" t="s">
        <v>453</v>
      </c>
      <c r="B105" s="246" t="s">
        <v>486</v>
      </c>
      <c r="C105" s="247">
        <v>0</v>
      </c>
      <c r="D105" s="248">
        <v>5.8000000000000003E-2</v>
      </c>
      <c r="E105" s="249">
        <v>0</v>
      </c>
      <c r="F105" s="250" t="s">
        <v>478</v>
      </c>
    </row>
    <row r="106" spans="1:6" ht="15.75">
      <c r="A106" s="245" t="s">
        <v>454</v>
      </c>
      <c r="B106" s="246" t="s">
        <v>486</v>
      </c>
      <c r="C106" s="247">
        <v>0</v>
      </c>
      <c r="D106" s="248">
        <v>5.8000000000000003E-2</v>
      </c>
      <c r="E106" s="249">
        <v>0</v>
      </c>
      <c r="F106" s="250" t="s">
        <v>478</v>
      </c>
    </row>
    <row r="107" spans="1:6" ht="15.75">
      <c r="A107" s="245" t="s">
        <v>456</v>
      </c>
      <c r="B107" s="246" t="s">
        <v>494</v>
      </c>
      <c r="C107" s="247">
        <v>7.0000000000000001E-3</v>
      </c>
      <c r="D107" s="248">
        <v>6.8500000000000005E-2</v>
      </c>
      <c r="E107" s="249">
        <v>1.0500000000000001E-2</v>
      </c>
      <c r="F107" s="250" t="s">
        <v>577</v>
      </c>
    </row>
    <row r="108" spans="1:6" ht="15.75">
      <c r="A108" s="245" t="s">
        <v>458</v>
      </c>
      <c r="B108" s="246" t="s">
        <v>492</v>
      </c>
      <c r="C108" s="247">
        <v>1.4999999999999999E-2</v>
      </c>
      <c r="D108" s="248">
        <v>8.0500000000000002E-2</v>
      </c>
      <c r="E108" s="249">
        <v>2.2499999999999999E-2</v>
      </c>
      <c r="F108" s="250" t="s">
        <v>577</v>
      </c>
    </row>
    <row r="109" spans="1:6" ht="15.75">
      <c r="A109" s="245" t="s">
        <v>459</v>
      </c>
      <c r="B109" s="246" t="s">
        <v>492</v>
      </c>
      <c r="C109" s="247">
        <v>1.4999999999999999E-2</v>
      </c>
      <c r="D109" s="248">
        <v>8.0500000000000002E-2</v>
      </c>
      <c r="E109" s="249">
        <v>2.2499999999999999E-2</v>
      </c>
      <c r="F109" s="250" t="s">
        <v>491</v>
      </c>
    </row>
    <row r="110" spans="1:6" ht="15.75">
      <c r="A110" s="245" t="s">
        <v>460</v>
      </c>
      <c r="B110" s="246" t="s">
        <v>489</v>
      </c>
      <c r="C110" s="247">
        <v>0.02</v>
      </c>
      <c r="D110" s="248">
        <v>8.7999999999999995E-2</v>
      </c>
      <c r="E110" s="249">
        <v>0.03</v>
      </c>
      <c r="F110" s="250" t="s">
        <v>482</v>
      </c>
    </row>
    <row r="111" spans="1:6" ht="15.75">
      <c r="A111" s="245" t="s">
        <v>461</v>
      </c>
      <c r="B111" s="246" t="s">
        <v>507</v>
      </c>
      <c r="C111" s="247">
        <v>2.4E-2</v>
      </c>
      <c r="D111" s="248">
        <v>9.4E-2</v>
      </c>
      <c r="E111" s="249">
        <v>3.5999999999999997E-2</v>
      </c>
      <c r="F111" s="250" t="s">
        <v>478</v>
      </c>
    </row>
    <row r="112" spans="1:6" ht="15.75">
      <c r="A112" s="245" t="s">
        <v>462</v>
      </c>
      <c r="B112" s="246" t="s">
        <v>483</v>
      </c>
      <c r="C112" s="247">
        <v>0.06</v>
      </c>
      <c r="D112" s="248">
        <v>0.14799999999999999</v>
      </c>
      <c r="E112" s="249">
        <v>0.09</v>
      </c>
      <c r="F112" s="250" t="s">
        <v>480</v>
      </c>
    </row>
    <row r="113" spans="1:6" ht="15.75">
      <c r="A113" s="245" t="s">
        <v>463</v>
      </c>
      <c r="B113" s="246" t="s">
        <v>496</v>
      </c>
      <c r="C113" s="247">
        <v>5.0000000000000001E-3</v>
      </c>
      <c r="D113" s="248">
        <v>6.5500000000000003E-2</v>
      </c>
      <c r="E113" s="249">
        <v>7.4999999999999997E-3</v>
      </c>
      <c r="F113" s="250" t="s">
        <v>493</v>
      </c>
    </row>
    <row r="114" spans="1:6" ht="15.75">
      <c r="A114" s="245" t="s">
        <v>464</v>
      </c>
      <c r="B114" s="246" t="s">
        <v>486</v>
      </c>
      <c r="C114" s="247">
        <v>0</v>
      </c>
      <c r="D114" s="248">
        <v>5.8000000000000003E-2</v>
      </c>
      <c r="E114" s="249">
        <v>0</v>
      </c>
      <c r="F114" s="250" t="s">
        <v>478</v>
      </c>
    </row>
    <row r="115" spans="1:6" ht="15.75">
      <c r="A115" s="245" t="s">
        <v>520</v>
      </c>
      <c r="B115" s="246" t="s">
        <v>486</v>
      </c>
      <c r="C115" s="247">
        <v>0</v>
      </c>
      <c r="D115" s="248">
        <v>5.8000000000000003E-2</v>
      </c>
      <c r="E115" s="249">
        <v>0</v>
      </c>
      <c r="F115" s="250" t="s">
        <v>500</v>
      </c>
    </row>
    <row r="116" spans="1:6" ht="15.75">
      <c r="A116" s="245" t="s">
        <v>466</v>
      </c>
      <c r="B116" s="246" t="s">
        <v>489</v>
      </c>
      <c r="C116" s="247">
        <v>0.02</v>
      </c>
      <c r="D116" s="248">
        <v>8.7999999999999995E-2</v>
      </c>
      <c r="E116" s="249">
        <v>0.03</v>
      </c>
      <c r="F116" s="250" t="s">
        <v>484</v>
      </c>
    </row>
    <row r="117" spans="1:6" ht="15.75">
      <c r="A117" s="245" t="s">
        <v>468</v>
      </c>
      <c r="B117" s="246" t="s">
        <v>479</v>
      </c>
      <c r="C117" s="247">
        <v>0.04</v>
      </c>
      <c r="D117" s="248">
        <v>0.11799999999999999</v>
      </c>
      <c r="E117" s="249">
        <v>0.06</v>
      </c>
      <c r="F117" s="250" t="s">
        <v>484</v>
      </c>
    </row>
    <row r="118" spans="1:6" ht="15.75">
      <c r="A118" s="245" t="s">
        <v>469</v>
      </c>
      <c r="B118" s="246" t="s">
        <v>499</v>
      </c>
      <c r="C118" s="247">
        <v>0.05</v>
      </c>
      <c r="D118" s="248">
        <v>0.13300000000000001</v>
      </c>
      <c r="E118" s="249">
        <v>7.4999999999999997E-2</v>
      </c>
      <c r="F118" s="250" t="s">
        <v>577</v>
      </c>
    </row>
    <row r="119" spans="1:6" ht="15.75">
      <c r="A119" s="245" t="s">
        <v>471</v>
      </c>
      <c r="B119" s="246" t="s">
        <v>479</v>
      </c>
      <c r="C119" s="247">
        <v>0.04</v>
      </c>
      <c r="D119" s="248">
        <v>0.11799999999999999</v>
      </c>
      <c r="E119" s="249">
        <v>0.06</v>
      </c>
      <c r="F119" s="250" t="s">
        <v>482</v>
      </c>
    </row>
    <row r="120" spans="1:6" ht="12.75">
      <c r="A120" s="256" t="s">
        <v>525</v>
      </c>
      <c r="B120" s="257" t="s">
        <v>582</v>
      </c>
      <c r="C120" s="257" t="s">
        <v>583</v>
      </c>
      <c r="D120" s="257" t="s">
        <v>584</v>
      </c>
      <c r="E120" s="140"/>
      <c r="F120" s="140"/>
    </row>
    <row r="121" spans="1:6" ht="12.75">
      <c r="A121" s="251" t="s">
        <v>482</v>
      </c>
      <c r="B121" s="252">
        <v>2.86E-2</v>
      </c>
      <c r="C121" s="252">
        <v>0.1009</v>
      </c>
      <c r="D121" s="252">
        <v>4.2900000000000001E-2</v>
      </c>
      <c r="E121" s="140"/>
      <c r="F121" s="140"/>
    </row>
    <row r="122" spans="1:6" ht="12.75">
      <c r="A122" s="251" t="s">
        <v>487</v>
      </c>
      <c r="B122" s="252">
        <v>0</v>
      </c>
      <c r="C122" s="252">
        <v>5.8000000000000003E-2</v>
      </c>
      <c r="D122" s="252">
        <v>0</v>
      </c>
      <c r="E122" s="140"/>
      <c r="F122" s="140"/>
    </row>
    <row r="123" spans="1:6" ht="12.75">
      <c r="A123" s="251" t="s">
        <v>491</v>
      </c>
      <c r="B123" s="252">
        <v>4.5199999999999997E-2</v>
      </c>
      <c r="C123" s="252">
        <v>0.12570000000000001</v>
      </c>
      <c r="D123" s="252">
        <v>6.7699999999999996E-2</v>
      </c>
      <c r="E123" s="140"/>
      <c r="F123" s="140"/>
    </row>
    <row r="124" spans="1:6" ht="12.75">
      <c r="A124" s="251" t="s">
        <v>484</v>
      </c>
      <c r="B124" s="252">
        <v>2.2599999999999999E-2</v>
      </c>
      <c r="C124" s="252">
        <v>9.1800000000000007E-2</v>
      </c>
      <c r="D124" s="252">
        <v>3.3799999999999997E-2</v>
      </c>
      <c r="E124" s="140"/>
      <c r="F124" s="140"/>
    </row>
    <row r="125" spans="1:6" ht="12.75">
      <c r="A125" s="251" t="s">
        <v>480</v>
      </c>
      <c r="B125" s="252">
        <v>1.7899999999999999E-2</v>
      </c>
      <c r="C125" s="252">
        <v>8.48E-2</v>
      </c>
      <c r="D125" s="252">
        <v>2.6800000000000001E-2</v>
      </c>
      <c r="E125" s="140"/>
      <c r="F125" s="140"/>
    </row>
    <row r="126" spans="1:6" ht="12.75">
      <c r="A126" s="251" t="s">
        <v>493</v>
      </c>
      <c r="B126" s="252">
        <v>7.7000000000000002E-3</v>
      </c>
      <c r="C126" s="252">
        <v>6.9599999999999995E-2</v>
      </c>
      <c r="D126" s="252">
        <v>1.1599999999999999E-2</v>
      </c>
      <c r="E126" s="140"/>
      <c r="F126" s="140"/>
    </row>
    <row r="127" spans="1:6" ht="12.75">
      <c r="A127" s="251" t="s">
        <v>500</v>
      </c>
      <c r="B127" s="252">
        <v>0</v>
      </c>
      <c r="C127" s="252">
        <v>5.8000000000000003E-2</v>
      </c>
      <c r="D127" s="252">
        <v>0</v>
      </c>
      <c r="E127" s="140"/>
      <c r="F127" s="140"/>
    </row>
    <row r="128" spans="1:6" ht="12.75">
      <c r="A128" s="251" t="s">
        <v>478</v>
      </c>
      <c r="B128" s="252">
        <v>7.0000000000000001E-3</v>
      </c>
      <c r="C128" s="252">
        <v>6.8500000000000005E-2</v>
      </c>
      <c r="D128" s="252">
        <v>1.0500000000000001E-2</v>
      </c>
      <c r="E128" s="140"/>
      <c r="F128" s="140"/>
    </row>
    <row r="129" spans="1:6" ht="12.75">
      <c r="A129" s="251" t="s">
        <v>585</v>
      </c>
      <c r="B129" s="252">
        <v>1.18E-2</v>
      </c>
      <c r="C129" s="252">
        <v>7.5800000000000006E-2</v>
      </c>
      <c r="D129" s="252">
        <v>1.78E-2</v>
      </c>
      <c r="E129" s="140"/>
      <c r="F129" s="140"/>
    </row>
    <row r="130" spans="1:6" ht="12.75">
      <c r="A130" s="251" t="s">
        <v>404</v>
      </c>
      <c r="B130" s="252">
        <v>7.0000000000000001E-3</v>
      </c>
      <c r="C130" s="252">
        <v>6.8500000000000005E-2</v>
      </c>
      <c r="D130" s="252">
        <v>1.0500000000000001E-2</v>
      </c>
      <c r="E130" s="140"/>
      <c r="F130" s="140"/>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dimension ref="A1:E22"/>
  <sheetViews>
    <sheetView workbookViewId="0">
      <selection activeCell="E2" sqref="E2"/>
    </sheetView>
  </sheetViews>
  <sheetFormatPr defaultColWidth="11.42578125" defaultRowHeight="12"/>
  <cols>
    <col min="1" max="1" width="34" bestFit="1" customWidth="1"/>
    <col min="2" max="2" width="16" style="198" customWidth="1"/>
    <col min="3" max="3" width="19.85546875" style="198" bestFit="1" customWidth="1"/>
    <col min="4" max="4" width="22.140625" style="198" bestFit="1" customWidth="1"/>
    <col min="5" max="5" width="14.140625" bestFit="1" customWidth="1"/>
  </cols>
  <sheetData>
    <row r="1" spans="1:5">
      <c r="B1" s="175" t="s">
        <v>538</v>
      </c>
      <c r="C1" s="175" t="s">
        <v>572</v>
      </c>
      <c r="D1" s="175" t="s">
        <v>573</v>
      </c>
      <c r="E1" s="217" t="s">
        <v>539</v>
      </c>
    </row>
    <row r="2" spans="1:5" ht="12.75">
      <c r="A2" s="66" t="s">
        <v>11</v>
      </c>
      <c r="B2" s="218">
        <v>413.25599999999997</v>
      </c>
      <c r="C2" s="218">
        <v>41.3</v>
      </c>
      <c r="D2" s="218">
        <v>956.74</v>
      </c>
      <c r="E2" s="219">
        <f>B2-C2+D2</f>
        <v>1328.6959999999999</v>
      </c>
    </row>
    <row r="3" spans="1:5" ht="12.75">
      <c r="A3" s="66" t="s">
        <v>568</v>
      </c>
      <c r="B3" s="218">
        <v>273.97800000000001</v>
      </c>
      <c r="C3" s="218">
        <v>107.17</v>
      </c>
      <c r="D3" s="218">
        <v>143.25</v>
      </c>
      <c r="E3" s="219">
        <f>B3-C3+D3</f>
        <v>310.05799999999999</v>
      </c>
    </row>
    <row r="4" spans="1:5" ht="12.75">
      <c r="A4" s="66" t="s">
        <v>30</v>
      </c>
      <c r="B4" s="218">
        <v>-394.28300000000002</v>
      </c>
      <c r="C4" s="218">
        <v>-194.94</v>
      </c>
      <c r="D4" s="218">
        <v>-17.38</v>
      </c>
      <c r="E4" s="219">
        <f>B4-C4+D4</f>
        <v>-216.72300000000001</v>
      </c>
    </row>
    <row r="5" spans="1:5" ht="12.75">
      <c r="A5" s="66" t="s">
        <v>606</v>
      </c>
      <c r="B5" s="218">
        <v>0.254</v>
      </c>
      <c r="C5" s="218">
        <v>20.23</v>
      </c>
      <c r="D5" s="218">
        <v>0.15</v>
      </c>
      <c r="E5" s="219">
        <f>B5-C5+D5</f>
        <v>-19.826000000000001</v>
      </c>
    </row>
    <row r="6" spans="1:5" ht="12.75">
      <c r="A6" s="66" t="s">
        <v>31</v>
      </c>
      <c r="B6" s="218">
        <v>124.7</v>
      </c>
      <c r="C6" s="218"/>
      <c r="D6" s="218">
        <v>629.42999999999995</v>
      </c>
      <c r="E6" s="219"/>
    </row>
    <row r="7" spans="1:5" ht="12.75">
      <c r="A7" s="66" t="s">
        <v>32</v>
      </c>
      <c r="B7" s="218">
        <f>401.5+50.84</f>
        <v>452.34000000000003</v>
      </c>
      <c r="C7" s="218"/>
      <c r="D7" s="218">
        <f>578.74</f>
        <v>578.74</v>
      </c>
      <c r="E7" s="219"/>
    </row>
    <row r="8" spans="1:5" ht="12.75">
      <c r="A8" s="66" t="s">
        <v>345</v>
      </c>
      <c r="B8" s="218"/>
      <c r="C8" s="218"/>
      <c r="D8" s="218"/>
      <c r="E8" s="219"/>
    </row>
    <row r="9" spans="1:5" ht="12.75">
      <c r="A9" s="66" t="s">
        <v>346</v>
      </c>
      <c r="B9" s="218">
        <v>201.89</v>
      </c>
      <c r="C9" s="218"/>
      <c r="D9" s="218">
        <v>746.06</v>
      </c>
      <c r="E9" s="219"/>
    </row>
    <row r="10" spans="1:5" ht="12.75">
      <c r="A10" s="66" t="s">
        <v>530</v>
      </c>
      <c r="B10" s="218">
        <v>0</v>
      </c>
      <c r="C10" s="218"/>
      <c r="D10" s="218">
        <v>0</v>
      </c>
      <c r="E10" s="219"/>
    </row>
    <row r="11" spans="1:5" ht="12.75">
      <c r="A11" s="66" t="s">
        <v>534</v>
      </c>
      <c r="B11" s="218">
        <v>0</v>
      </c>
      <c r="C11" s="218"/>
      <c r="D11" s="218">
        <v>0</v>
      </c>
      <c r="E11" s="219"/>
    </row>
    <row r="12" spans="1:5" ht="12.75">
      <c r="A12" s="66" t="s">
        <v>33</v>
      </c>
      <c r="B12" s="218">
        <v>121.45</v>
      </c>
      <c r="C12" s="218"/>
      <c r="D12" s="218">
        <v>121.45</v>
      </c>
      <c r="E12" s="219"/>
    </row>
    <row r="13" spans="1:5" ht="12.75">
      <c r="A13" s="66" t="s">
        <v>34</v>
      </c>
      <c r="B13" s="220"/>
      <c r="C13" s="218"/>
      <c r="D13" s="218"/>
      <c r="E13" s="219"/>
    </row>
    <row r="14" spans="1:5" ht="12.75">
      <c r="A14" s="66" t="s">
        <v>197</v>
      </c>
      <c r="B14" s="199">
        <v>0</v>
      </c>
      <c r="C14" s="199">
        <f>294/1318</f>
        <v>0.22306525037936267</v>
      </c>
      <c r="D14" s="199">
        <v>0</v>
      </c>
      <c r="E14" s="1"/>
    </row>
    <row r="15" spans="1:5" ht="12.75">
      <c r="A15" s="66" t="s">
        <v>198</v>
      </c>
      <c r="B15" s="175"/>
      <c r="C15" s="175"/>
      <c r="D15" s="175"/>
      <c r="E15" s="1"/>
    </row>
    <row r="16" spans="1:5" s="2" customFormat="1" ht="12.75">
      <c r="A16" s="261" t="s">
        <v>540</v>
      </c>
      <c r="B16" s="262"/>
      <c r="C16" s="262"/>
      <c r="D16" s="262"/>
      <c r="E16" s="263"/>
    </row>
    <row r="17" spans="1:5" ht="12.75">
      <c r="A17" s="69" t="s">
        <v>541</v>
      </c>
      <c r="B17" s="221">
        <v>142</v>
      </c>
      <c r="C17" s="221"/>
      <c r="D17" s="221" t="s">
        <v>191</v>
      </c>
      <c r="E17" s="222"/>
    </row>
    <row r="18" spans="1:5" ht="12.75">
      <c r="A18" s="69" t="s">
        <v>542</v>
      </c>
      <c r="B18" s="221">
        <v>128</v>
      </c>
      <c r="C18" s="221"/>
      <c r="D18" s="221" t="s">
        <v>191</v>
      </c>
      <c r="E18" s="222"/>
    </row>
    <row r="19" spans="1:5" ht="12.75">
      <c r="A19" s="69" t="s">
        <v>543</v>
      </c>
      <c r="B19" s="221">
        <v>117</v>
      </c>
      <c r="C19" s="221"/>
      <c r="D19" s="221" t="s">
        <v>191</v>
      </c>
      <c r="E19" s="222"/>
    </row>
    <row r="20" spans="1:5" ht="12.75">
      <c r="A20" s="69" t="s">
        <v>544</v>
      </c>
      <c r="B20" s="221">
        <v>110</v>
      </c>
      <c r="C20" s="221"/>
      <c r="D20" s="221" t="s">
        <v>191</v>
      </c>
      <c r="E20" s="222"/>
    </row>
    <row r="21" spans="1:5" ht="12.75">
      <c r="A21" s="69" t="s">
        <v>545</v>
      </c>
      <c r="B21" s="221">
        <v>102</v>
      </c>
      <c r="C21" s="221"/>
      <c r="D21" s="221" t="s">
        <v>191</v>
      </c>
      <c r="E21" s="222"/>
    </row>
    <row r="22" spans="1:5" ht="12.75">
      <c r="A22" s="69" t="s">
        <v>546</v>
      </c>
      <c r="B22" s="221">
        <v>252</v>
      </c>
      <c r="C22" s="221"/>
      <c r="D22" s="221" t="s">
        <v>191</v>
      </c>
      <c r="E22" s="222"/>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dimension ref="A1:F6"/>
  <sheetViews>
    <sheetView workbookViewId="0">
      <selection activeCell="F6" sqref="F6"/>
    </sheetView>
  </sheetViews>
  <sheetFormatPr defaultColWidth="11.42578125" defaultRowHeight="12"/>
  <cols>
    <col min="1" max="1" width="6.7109375" bestFit="1" customWidth="1"/>
    <col min="2" max="2" width="17" bestFit="1" customWidth="1"/>
    <col min="3" max="3" width="19.140625" bestFit="1" customWidth="1"/>
  </cols>
  <sheetData>
    <row r="1" spans="1:6">
      <c r="A1" t="s">
        <v>341</v>
      </c>
      <c r="B1" t="s">
        <v>343</v>
      </c>
      <c r="C1" t="s">
        <v>608</v>
      </c>
      <c r="D1" t="s">
        <v>616</v>
      </c>
      <c r="E1" t="s">
        <v>618</v>
      </c>
      <c r="F1" t="s">
        <v>645</v>
      </c>
    </row>
    <row r="2" spans="1:6">
      <c r="A2" t="s">
        <v>60</v>
      </c>
      <c r="B2" t="s">
        <v>195</v>
      </c>
      <c r="C2" t="s">
        <v>609</v>
      </c>
      <c r="D2" t="s">
        <v>617</v>
      </c>
      <c r="E2">
        <v>1</v>
      </c>
      <c r="F2" t="s">
        <v>617</v>
      </c>
    </row>
    <row r="3" spans="1:6">
      <c r="A3" t="s">
        <v>54</v>
      </c>
      <c r="B3" t="s">
        <v>337</v>
      </c>
      <c r="C3" t="s">
        <v>612</v>
      </c>
      <c r="D3" t="s">
        <v>618</v>
      </c>
      <c r="E3">
        <v>2</v>
      </c>
      <c r="F3" t="s">
        <v>650</v>
      </c>
    </row>
    <row r="4" spans="1:6">
      <c r="C4" t="s">
        <v>610</v>
      </c>
      <c r="D4" t="s">
        <v>619</v>
      </c>
      <c r="F4" t="s">
        <v>651</v>
      </c>
    </row>
    <row r="5" spans="1:6">
      <c r="C5" t="s">
        <v>611</v>
      </c>
      <c r="F5" t="s">
        <v>652</v>
      </c>
    </row>
    <row r="6" spans="1:6">
      <c r="F6" t="s">
        <v>649</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O98"/>
  <sheetViews>
    <sheetView tabSelected="1" workbookViewId="0">
      <pane xSplit="1" ySplit="1" topLeftCell="B23" activePane="bottomRight" state="frozen"/>
      <selection pane="topRight" activeCell="B1" sqref="B1"/>
      <selection pane="bottomLeft" activeCell="A2" sqref="A2"/>
      <selection pane="bottomRight" activeCell="A67" sqref="A67:XFD67"/>
    </sheetView>
  </sheetViews>
  <sheetFormatPr defaultColWidth="11.42578125" defaultRowHeight="12"/>
  <cols>
    <col min="1" max="1" width="34.85546875" bestFit="1" customWidth="1"/>
    <col min="2" max="2" width="15" bestFit="1" customWidth="1"/>
    <col min="3" max="3" width="30" bestFit="1" customWidth="1"/>
    <col min="6" max="6" width="10.85546875" style="260" customWidth="1"/>
    <col min="8" max="11" width="10.85546875" style="260" customWidth="1"/>
    <col min="13" max="13" width="31.28515625" bestFit="1" customWidth="1"/>
  </cols>
  <sheetData>
    <row r="1" spans="1:15">
      <c r="A1" t="s">
        <v>99</v>
      </c>
      <c r="B1" t="s">
        <v>265</v>
      </c>
      <c r="C1" s="258" t="s">
        <v>657</v>
      </c>
      <c r="D1" t="s">
        <v>602</v>
      </c>
      <c r="E1" s="259" t="s">
        <v>706</v>
      </c>
      <c r="F1" s="260" t="s">
        <v>707</v>
      </c>
      <c r="G1" s="259" t="s">
        <v>708</v>
      </c>
      <c r="H1" s="260" t="s">
        <v>709</v>
      </c>
      <c r="I1" s="260" t="s">
        <v>17</v>
      </c>
      <c r="J1" s="260" t="s">
        <v>710</v>
      </c>
      <c r="K1" s="260" t="s">
        <v>711</v>
      </c>
      <c r="L1" t="s">
        <v>192</v>
      </c>
      <c r="M1" t="s">
        <v>260</v>
      </c>
      <c r="N1" t="s">
        <v>653</v>
      </c>
      <c r="O1" t="s">
        <v>654</v>
      </c>
    </row>
    <row r="2" spans="1:15">
      <c r="A2" t="s">
        <v>100</v>
      </c>
      <c r="B2">
        <v>255</v>
      </c>
      <c r="C2" s="258">
        <v>0.98131280630781181</v>
      </c>
      <c r="D2" s="259">
        <v>0.32285400930218305</v>
      </c>
      <c r="E2" s="259">
        <v>0.24405868450479382</v>
      </c>
      <c r="F2" s="260">
        <v>0.13915961767489343</v>
      </c>
      <c r="G2" s="259">
        <v>0.34691743497599337</v>
      </c>
      <c r="H2" s="260">
        <v>3.862336823924635E-2</v>
      </c>
      <c r="I2" s="260">
        <v>8.1014197612115826E-2</v>
      </c>
      <c r="J2" s="260">
        <v>9.4246479629392435E-2</v>
      </c>
      <c r="K2" s="260">
        <v>0.42521222963308486</v>
      </c>
      <c r="L2" s="258">
        <v>4.5285076315439978</v>
      </c>
      <c r="M2" s="258">
        <v>0.938341047980359</v>
      </c>
      <c r="N2" s="260">
        <v>6.8193518518518556E-2</v>
      </c>
      <c r="O2" s="260">
        <v>0.21095999999999995</v>
      </c>
    </row>
    <row r="3" spans="1:15">
      <c r="A3" t="s">
        <v>101</v>
      </c>
      <c r="B3">
        <v>210</v>
      </c>
      <c r="C3" s="258">
        <v>0.89204352220412209</v>
      </c>
      <c r="D3" s="259">
        <v>0.26267436064240562</v>
      </c>
      <c r="E3" s="259">
        <v>0.20803016900475105</v>
      </c>
      <c r="F3" s="260">
        <v>0.13311977094505284</v>
      </c>
      <c r="G3" s="259">
        <v>0.33178759766626276</v>
      </c>
      <c r="H3" s="260">
        <v>5.3501326958236339E-2</v>
      </c>
      <c r="I3" s="260">
        <v>8.9103799228532649E-2</v>
      </c>
      <c r="J3" s="260">
        <v>0.16426310461110014</v>
      </c>
      <c r="K3" s="260">
        <v>0.35497158656567274</v>
      </c>
      <c r="L3" s="258">
        <v>4.8614081526644268</v>
      </c>
      <c r="M3" s="258">
        <v>0.9945361918433846</v>
      </c>
      <c r="N3" s="260">
        <v>5.4511127819548859E-2</v>
      </c>
      <c r="O3" s="260">
        <v>0.12243676470588234</v>
      </c>
    </row>
    <row r="4" spans="1:15">
      <c r="A4" t="s">
        <v>102</v>
      </c>
      <c r="B4">
        <v>160</v>
      </c>
      <c r="C4" s="258">
        <v>0.6018867893188159</v>
      </c>
      <c r="D4" s="259">
        <v>1.0091679601276586</v>
      </c>
      <c r="E4" s="259">
        <v>0.50228153153683475</v>
      </c>
      <c r="F4" s="260">
        <v>0.16149706853436283</v>
      </c>
      <c r="G4" s="259">
        <v>0.51209411105948777</v>
      </c>
      <c r="H4" s="260">
        <v>1.6590868234295456E-2</v>
      </c>
      <c r="I4" s="260">
        <v>4.8409206289273941E-2</v>
      </c>
      <c r="J4" s="260">
        <v>6.3498800360123883E-2</v>
      </c>
      <c r="K4" s="260">
        <v>6.9419578043321925E-2</v>
      </c>
      <c r="L4" s="258">
        <v>1.6670556726590411</v>
      </c>
      <c r="M4" s="258">
        <v>0.79184122403737056</v>
      </c>
      <c r="N4" s="260">
        <v>9.5037870370370356E-2</v>
      </c>
      <c r="O4" s="260">
        <v>0.21781746031746033</v>
      </c>
    </row>
    <row r="5" spans="1:15">
      <c r="A5" t="s">
        <v>103</v>
      </c>
      <c r="B5">
        <v>1166</v>
      </c>
      <c r="C5" s="258">
        <v>0.99609190230075251</v>
      </c>
      <c r="D5" s="259">
        <v>0.17841250953933321</v>
      </c>
      <c r="E5" s="259">
        <v>0.15140072605736213</v>
      </c>
      <c r="F5" s="260">
        <v>0.13417496890087285</v>
      </c>
      <c r="G5" s="259">
        <v>0.37804651987997434</v>
      </c>
      <c r="H5" s="260">
        <v>6.476104647537112E-2</v>
      </c>
      <c r="I5" s="260">
        <v>0.11698748618783013</v>
      </c>
      <c r="J5" s="260">
        <v>0.1291916419237209</v>
      </c>
      <c r="K5" s="260">
        <v>0.15045425471198526</v>
      </c>
      <c r="L5" s="258">
        <v>1.5453554145186614</v>
      </c>
      <c r="M5" s="258">
        <v>1.5517609448255061</v>
      </c>
      <c r="N5" s="260">
        <v>8.0546992700729958E-2</v>
      </c>
      <c r="O5" s="260">
        <v>0.14168521739130435</v>
      </c>
    </row>
    <row r="6" spans="1:15">
      <c r="A6" t="s">
        <v>656</v>
      </c>
      <c r="B6">
        <v>130</v>
      </c>
      <c r="C6" s="258">
        <v>0.77491449097641596</v>
      </c>
      <c r="D6" s="259">
        <v>0.93905562387948138</v>
      </c>
      <c r="E6" s="259">
        <v>0.4842850366513502</v>
      </c>
      <c r="F6" s="260">
        <v>0.12660546185393126</v>
      </c>
      <c r="G6" s="259">
        <v>0.16299350807323257</v>
      </c>
      <c r="H6" s="260">
        <v>5.807048414388008E-2</v>
      </c>
      <c r="I6" s="260">
        <v>5.9816542052863103E-2</v>
      </c>
      <c r="J6" s="260">
        <v>0.18614886657796392</v>
      </c>
      <c r="K6" s="260">
        <v>7.8258241873819898E-2</v>
      </c>
      <c r="L6" s="258">
        <v>1.4864379768030893</v>
      </c>
      <c r="M6" s="258">
        <v>0.77995587826572754</v>
      </c>
      <c r="N6" s="260">
        <v>7.8859770114942523E-2</v>
      </c>
      <c r="O6" s="260">
        <v>0.16778124999999999</v>
      </c>
    </row>
    <row r="7" spans="1:15">
      <c r="A7" t="s">
        <v>104</v>
      </c>
      <c r="B7">
        <v>624</v>
      </c>
      <c r="C7" s="258">
        <v>1.1883348847461743</v>
      </c>
      <c r="D7" s="259">
        <v>0.36995263266137757</v>
      </c>
      <c r="E7" s="259">
        <v>0.27004775482103965</v>
      </c>
      <c r="F7" s="260">
        <v>0.16547177435032676</v>
      </c>
      <c r="G7" s="259">
        <v>0.12540066844086628</v>
      </c>
      <c r="H7" s="260">
        <v>4.1969740036133713E-2</v>
      </c>
      <c r="I7" s="260">
        <v>6.5998100347522015E-2</v>
      </c>
      <c r="J7" s="260">
        <v>0.13903094059836443</v>
      </c>
      <c r="K7" s="260">
        <v>0.1433463602260584</v>
      </c>
      <c r="L7" s="258">
        <v>2.4969435809237148</v>
      </c>
      <c r="M7" s="258">
        <v>0.56450530761370621</v>
      </c>
      <c r="N7" s="260">
        <v>7.6088383838383844E-2</v>
      </c>
      <c r="O7" s="260">
        <v>0.15868089887640452</v>
      </c>
    </row>
    <row r="8" spans="1:15">
      <c r="A8" t="s">
        <v>106</v>
      </c>
      <c r="B8">
        <v>568</v>
      </c>
      <c r="C8" s="258">
        <v>0.30641993555388308</v>
      </c>
      <c r="D8" s="259">
        <v>3.6711701448508722</v>
      </c>
      <c r="E8" s="259">
        <v>0.78592087871123228</v>
      </c>
      <c r="F8" s="260">
        <v>0.18931380774478773</v>
      </c>
      <c r="G8" s="259">
        <v>0.3202396384425511</v>
      </c>
      <c r="H8" s="260">
        <v>0.20419909161883287</v>
      </c>
      <c r="I8" s="260">
        <v>2.5289153743102981E-3</v>
      </c>
      <c r="J8" s="260">
        <v>8.9735310186350073E-2</v>
      </c>
      <c r="K8" s="260">
        <v>1.588267406032971E-4</v>
      </c>
      <c r="L8" s="258">
        <v>9.0904397967275827E-2</v>
      </c>
      <c r="M8" s="258">
        <v>11.36126107792408</v>
      </c>
      <c r="N8" s="260">
        <v>9.3329150000000055E-2</v>
      </c>
      <c r="O8" s="260">
        <v>0.15269697368421048</v>
      </c>
    </row>
    <row r="9" spans="1:15">
      <c r="A9" t="s">
        <v>658</v>
      </c>
      <c r="B9">
        <v>944</v>
      </c>
      <c r="C9" s="258">
        <v>0.4411297738164468</v>
      </c>
      <c r="D9" s="259">
        <v>1.4234191720500726</v>
      </c>
      <c r="E9" s="259">
        <v>0.58735987090749242</v>
      </c>
      <c r="F9" s="260">
        <v>0.18854689553676668</v>
      </c>
      <c r="G9" s="259">
        <v>0.15949533615369282</v>
      </c>
      <c r="H9" s="260">
        <v>0.18677176811870971</v>
      </c>
      <c r="I9" s="260">
        <v>5.1830082891675855E-6</v>
      </c>
      <c r="J9" s="260">
        <v>7.1673593218695333E-2</v>
      </c>
      <c r="K9" s="260">
        <v>1.2956023920285343E-6</v>
      </c>
      <c r="L9" s="258">
        <v>0.22976523508766486</v>
      </c>
      <c r="M9" s="258">
        <v>3.9193947291704645</v>
      </c>
      <c r="N9" s="260">
        <v>4.0468153846153855E-2</v>
      </c>
      <c r="O9" s="260">
        <v>7.6817977528089901E-2</v>
      </c>
    </row>
    <row r="10" spans="1:15">
      <c r="A10" t="s">
        <v>659</v>
      </c>
      <c r="B10">
        <v>99</v>
      </c>
      <c r="C10" s="258">
        <v>0.73995617484726073</v>
      </c>
      <c r="D10" s="259">
        <v>0.21285855678300111</v>
      </c>
      <c r="E10" s="259">
        <v>0.17550155011280905</v>
      </c>
      <c r="F10" s="260">
        <v>0.12824592966020384</v>
      </c>
      <c r="G10" s="259">
        <v>0.3071296400090619</v>
      </c>
      <c r="H10" s="260">
        <v>0.10115919047989652</v>
      </c>
      <c r="I10" s="260">
        <v>0.14767959369907338</v>
      </c>
      <c r="J10" s="260">
        <v>0.21288409434966529</v>
      </c>
      <c r="K10" s="260">
        <v>0.18974582117364186</v>
      </c>
      <c r="L10" s="258">
        <v>1.6024849083771933</v>
      </c>
      <c r="M10" s="258">
        <v>2.2290604470483215</v>
      </c>
      <c r="N10" s="260">
        <v>9.1908928571428572E-2</v>
      </c>
      <c r="O10" s="260">
        <v>0.14055000000000001</v>
      </c>
    </row>
    <row r="11" spans="1:15">
      <c r="A11" t="s">
        <v>660</v>
      </c>
      <c r="B11">
        <v>209</v>
      </c>
      <c r="C11" s="258">
        <v>0.67593061352456685</v>
      </c>
      <c r="D11" s="259">
        <v>0.24361704323360311</v>
      </c>
      <c r="E11" s="259">
        <v>0.19589394062995458</v>
      </c>
      <c r="F11" s="260">
        <v>0.18596275952026767</v>
      </c>
      <c r="G11" s="259">
        <v>0.33047162943952946</v>
      </c>
      <c r="H11" s="260">
        <v>0.11692981713292433</v>
      </c>
      <c r="I11" s="260">
        <v>0.18888084812283265</v>
      </c>
      <c r="J11" s="260">
        <v>0.17269482194047803</v>
      </c>
      <c r="K11" s="260">
        <v>0.14323312476484668</v>
      </c>
      <c r="L11" s="258">
        <v>0.89352115621305861</v>
      </c>
      <c r="M11" s="258">
        <v>2.9056053088393909</v>
      </c>
      <c r="N11" s="260">
        <v>9.4648947368421082E-2</v>
      </c>
      <c r="O11" s="260">
        <v>0.17422692307692308</v>
      </c>
    </row>
    <row r="12" spans="1:15">
      <c r="A12" t="s">
        <v>109</v>
      </c>
      <c r="B12">
        <v>666</v>
      </c>
      <c r="C12" s="258">
        <v>1.0534174232761304</v>
      </c>
      <c r="D12" s="259">
        <v>0.13066268585950153</v>
      </c>
      <c r="E12" s="259">
        <v>0.11556292384423655</v>
      </c>
      <c r="F12" s="260">
        <v>2.9118060456114103E-2</v>
      </c>
      <c r="G12" s="259">
        <v>0.34780460975473915</v>
      </c>
      <c r="H12" s="260">
        <v>8.0754565538543058E-2</v>
      </c>
      <c r="I12" s="260">
        <v>0.17159921646461276</v>
      </c>
      <c r="J12" s="260">
        <v>7.2469480177325032E-2</v>
      </c>
      <c r="K12" s="260">
        <v>0.1145416572343344</v>
      </c>
      <c r="L12" s="258">
        <v>0.8041379103641797</v>
      </c>
      <c r="M12" s="258">
        <v>6.5236163504747005</v>
      </c>
      <c r="N12" s="260">
        <v>0.18820254019292598</v>
      </c>
      <c r="O12" s="260">
        <v>0.21890392156862745</v>
      </c>
    </row>
    <row r="13" spans="1:15">
      <c r="A13" t="s">
        <v>661</v>
      </c>
      <c r="B13">
        <v>144</v>
      </c>
      <c r="C13" s="258">
        <v>1.0280865480180033</v>
      </c>
      <c r="D13" s="259">
        <v>0.4012362070014312</v>
      </c>
      <c r="E13" s="259">
        <v>0.28634444713647156</v>
      </c>
      <c r="F13" s="260">
        <v>0.17522339928121536</v>
      </c>
      <c r="G13" s="259">
        <v>0.31737056506961159</v>
      </c>
      <c r="H13" s="260">
        <v>8.4862585590908465E-2</v>
      </c>
      <c r="I13" s="260">
        <v>0.15894673538630358</v>
      </c>
      <c r="J13" s="260">
        <v>0.13118372308279064</v>
      </c>
      <c r="K13" s="260">
        <v>0.15032039838526717</v>
      </c>
      <c r="L13" s="258">
        <v>1.1240793053518594</v>
      </c>
      <c r="M13" s="258">
        <v>2.0616147393360218</v>
      </c>
      <c r="N13" s="260">
        <v>6.8699795918367362E-2</v>
      </c>
      <c r="O13" s="260">
        <v>5.9023999999999993E-2</v>
      </c>
    </row>
    <row r="14" spans="1:15">
      <c r="A14" t="s">
        <v>662</v>
      </c>
      <c r="B14">
        <v>525</v>
      </c>
      <c r="C14" s="258">
        <v>0.27696203234691474</v>
      </c>
      <c r="D14" s="259">
        <v>4.1534599750851804</v>
      </c>
      <c r="E14" s="259">
        <v>0.80595560946731304</v>
      </c>
      <c r="F14" s="260">
        <v>0.11360196721685252</v>
      </c>
      <c r="G14" s="259">
        <v>0.36866002998161551</v>
      </c>
      <c r="H14" s="260">
        <v>5.0191497398526151E-2</v>
      </c>
      <c r="I14" s="260">
        <v>1.7985000474503177E-3</v>
      </c>
      <c r="J14" s="260">
        <v>4.1313180507171005E-2</v>
      </c>
      <c r="K14" s="260">
        <v>1.5844142217180348E-4</v>
      </c>
      <c r="L14" s="258">
        <v>0.16834549391105746</v>
      </c>
      <c r="M14" s="258">
        <v>6.0830507942289973</v>
      </c>
      <c r="N14" s="260">
        <v>5.5402318339100393E-2</v>
      </c>
      <c r="O14" s="260">
        <v>0.1690995918367347</v>
      </c>
    </row>
    <row r="15" spans="1:15">
      <c r="A15" t="s">
        <v>110</v>
      </c>
      <c r="B15">
        <v>420</v>
      </c>
      <c r="C15" s="258">
        <v>0.80637586171289621</v>
      </c>
      <c r="D15" s="259">
        <v>0.4477057753681698</v>
      </c>
      <c r="E15" s="259">
        <v>0.30925190945951192</v>
      </c>
      <c r="F15" s="260">
        <v>0.16082122573623181</v>
      </c>
      <c r="G15" s="259">
        <v>0.36745843434736003</v>
      </c>
      <c r="H15" s="260">
        <v>2.4556354504291184E-2</v>
      </c>
      <c r="I15" s="260">
        <v>6.1355729351064418E-2</v>
      </c>
      <c r="J15" s="260">
        <v>5.1312005021682983E-2</v>
      </c>
      <c r="K15" s="260">
        <v>7.5771576506971847E-2</v>
      </c>
      <c r="L15" s="258">
        <v>1.7106827542551879</v>
      </c>
      <c r="M15" s="258">
        <v>0.88884617165094026</v>
      </c>
      <c r="N15" s="260">
        <v>1.8354837545126349E-2</v>
      </c>
      <c r="O15" s="260">
        <v>0.19073254237288131</v>
      </c>
    </row>
    <row r="16" spans="1:15">
      <c r="A16" t="s">
        <v>663</v>
      </c>
      <c r="B16">
        <v>709</v>
      </c>
      <c r="C16" s="258">
        <v>0.82720134885164998</v>
      </c>
      <c r="D16" s="259">
        <v>0.2513232436309617</v>
      </c>
      <c r="E16" s="259">
        <v>0.20084598037330278</v>
      </c>
      <c r="F16" s="260">
        <v>0.1810984403199698</v>
      </c>
      <c r="G16" s="259">
        <v>0.40688527640795918</v>
      </c>
      <c r="H16" s="260">
        <v>4.2008599745244707E-2</v>
      </c>
      <c r="I16" s="260">
        <v>7.8548818188333369E-2</v>
      </c>
      <c r="J16" s="260">
        <v>0.12282915308368489</v>
      </c>
      <c r="K16" s="260">
        <v>0.19569178986420643</v>
      </c>
      <c r="L16" s="258">
        <v>3.2345070891023759</v>
      </c>
      <c r="M16" s="258">
        <v>1.0903961369382813</v>
      </c>
      <c r="N16" s="260">
        <v>7.6378689655172458E-2</v>
      </c>
      <c r="O16" s="260">
        <v>0.15232718390804598</v>
      </c>
    </row>
    <row r="17" spans="1:15">
      <c r="A17" t="s">
        <v>111</v>
      </c>
      <c r="B17">
        <v>65</v>
      </c>
      <c r="C17" s="258">
        <v>0.75546628838830421</v>
      </c>
      <c r="D17" s="259">
        <v>0.56797031280617394</v>
      </c>
      <c r="E17" s="259">
        <v>0.3622328230116077</v>
      </c>
      <c r="F17" s="260">
        <v>0.14420905205944332</v>
      </c>
      <c r="G17" s="259">
        <v>0.15906591747186419</v>
      </c>
      <c r="H17" s="260">
        <v>9.7921087486857114E-2</v>
      </c>
      <c r="I17" s="260">
        <v>0.18408274350797957</v>
      </c>
      <c r="J17" s="260">
        <v>0.26040309188147293</v>
      </c>
      <c r="K17" s="260">
        <v>0.15332607716990518</v>
      </c>
      <c r="L17" s="258">
        <v>1.0753176281434917</v>
      </c>
      <c r="M17" s="258">
        <v>2.3845722600372961</v>
      </c>
      <c r="N17" s="260">
        <v>0.11667955555555555</v>
      </c>
      <c r="O17" s="260">
        <v>5.5080666666666687E-2</v>
      </c>
    </row>
    <row r="18" spans="1:15">
      <c r="A18" t="s">
        <v>112</v>
      </c>
      <c r="B18">
        <v>760</v>
      </c>
      <c r="C18" s="258">
        <v>0.85521980476824322</v>
      </c>
      <c r="D18" s="259">
        <v>0.4012822363293399</v>
      </c>
      <c r="E18" s="259">
        <v>0.28636788929866058</v>
      </c>
      <c r="F18" s="260">
        <v>0.13560934631730118</v>
      </c>
      <c r="G18" s="259">
        <v>0.57818321924443761</v>
      </c>
      <c r="H18" s="260">
        <v>3.7947864146923957E-2</v>
      </c>
      <c r="I18" s="260">
        <v>6.6864753462089935E-2</v>
      </c>
      <c r="J18" s="260">
        <v>8.0252286058217756E-2</v>
      </c>
      <c r="K18" s="260">
        <v>7.9882461255535817E-2</v>
      </c>
      <c r="L18" s="258">
        <v>1.3162419423304721</v>
      </c>
      <c r="M18" s="258">
        <v>1.0606392555027859</v>
      </c>
      <c r="N18" s="260">
        <v>6.7559544419134407E-2</v>
      </c>
      <c r="O18" s="260">
        <v>0.15996428571428578</v>
      </c>
    </row>
    <row r="19" spans="1:15">
      <c r="A19" t="s">
        <v>113</v>
      </c>
      <c r="B19">
        <v>86</v>
      </c>
      <c r="C19" s="258">
        <v>1.1120778099220623</v>
      </c>
      <c r="D19" s="259">
        <v>0.42990734690671512</v>
      </c>
      <c r="E19" s="259">
        <v>0.3006539884117132</v>
      </c>
      <c r="F19" s="260">
        <v>0.20085321260663414</v>
      </c>
      <c r="G19" s="259">
        <v>0.43493653823900535</v>
      </c>
      <c r="H19" s="260">
        <v>3.427503465720716E-2</v>
      </c>
      <c r="I19" s="260">
        <v>7.9623263013607684E-2</v>
      </c>
      <c r="J19" s="260">
        <v>9.8390178038563023E-2</v>
      </c>
      <c r="K19" s="260">
        <v>0.10520439986310327</v>
      </c>
      <c r="L19" s="258">
        <v>1.7837911632234948</v>
      </c>
      <c r="M19" s="258">
        <v>0.96230927653888787</v>
      </c>
      <c r="N19" s="260">
        <v>7.1402333333333332E-2</v>
      </c>
      <c r="O19" s="260">
        <v>0.15671923076923072</v>
      </c>
    </row>
    <row r="20" spans="1:15">
      <c r="A20" t="s">
        <v>114</v>
      </c>
      <c r="B20">
        <v>693</v>
      </c>
      <c r="C20" s="258">
        <v>0.98760993688238308</v>
      </c>
      <c r="D20" s="259">
        <v>0.20552205402128948</v>
      </c>
      <c r="E20" s="259">
        <v>0.17048386077693437</v>
      </c>
      <c r="F20" s="260">
        <v>0.16989302087685376</v>
      </c>
      <c r="G20" s="259">
        <v>0.30494459347408093</v>
      </c>
      <c r="H20" s="260">
        <v>7.9956873833185005E-2</v>
      </c>
      <c r="I20" s="260">
        <v>0.12654674583283432</v>
      </c>
      <c r="J20" s="260">
        <v>0.14694662312815943</v>
      </c>
      <c r="K20" s="260">
        <v>0.15643950043198421</v>
      </c>
      <c r="L20" s="258">
        <v>1.483864254694512</v>
      </c>
      <c r="M20" s="258">
        <v>1.520622105749295</v>
      </c>
      <c r="N20" s="260">
        <v>0.10949838164251209</v>
      </c>
      <c r="O20" s="260">
        <v>0.15120170542635658</v>
      </c>
    </row>
    <row r="21" spans="1:15">
      <c r="A21" t="s">
        <v>664</v>
      </c>
      <c r="B21">
        <v>322</v>
      </c>
      <c r="C21" s="258">
        <v>1.0757548208715932</v>
      </c>
      <c r="D21" s="259">
        <v>0.2594770096065892</v>
      </c>
      <c r="E21" s="259">
        <v>0.20601964754214891</v>
      </c>
      <c r="F21" s="260">
        <v>6.3649507592880461E-2</v>
      </c>
      <c r="G21" s="259">
        <v>0.55142638507916986</v>
      </c>
      <c r="H21" s="260">
        <v>8.1999582657146408E-2</v>
      </c>
      <c r="I21" s="260">
        <v>0.15677351527593569</v>
      </c>
      <c r="J21" s="260">
        <v>0.10916985740378013</v>
      </c>
      <c r="K21" s="260">
        <v>0.15358305657666582</v>
      </c>
      <c r="L21" s="258">
        <v>0.94163848080597057</v>
      </c>
      <c r="M21" s="258">
        <v>1.8090612687790892</v>
      </c>
      <c r="N21" s="260">
        <v>0.15299490384615386</v>
      </c>
      <c r="O21" s="260">
        <v>0.14795106382978723</v>
      </c>
    </row>
    <row r="22" spans="1:15">
      <c r="A22" t="s">
        <v>665</v>
      </c>
      <c r="B22">
        <v>938</v>
      </c>
      <c r="C22" s="258">
        <v>0.97045602237558959</v>
      </c>
      <c r="D22" s="259">
        <v>0.15815125276710823</v>
      </c>
      <c r="E22" s="259">
        <v>0.13655492094771385</v>
      </c>
      <c r="F22" s="260">
        <v>0.17314043826913458</v>
      </c>
      <c r="G22" s="259">
        <v>0.21364322589931811</v>
      </c>
      <c r="H22" s="260">
        <v>5.4440207340011253E-2</v>
      </c>
      <c r="I22" s="260">
        <v>8.1632271602018761E-2</v>
      </c>
      <c r="J22" s="260">
        <v>0.20432417520941148</v>
      </c>
      <c r="K22" s="260">
        <v>0.28099025926948523</v>
      </c>
      <c r="L22" s="258">
        <v>4.5646674660928932</v>
      </c>
      <c r="M22" s="258">
        <v>0.89591153732602291</v>
      </c>
      <c r="N22" s="260">
        <v>9.1980833333333289E-2</v>
      </c>
      <c r="O22" s="260">
        <v>0.1471932835820895</v>
      </c>
    </row>
    <row r="23" spans="1:15">
      <c r="A23" t="s">
        <v>266</v>
      </c>
      <c r="B23">
        <v>1068</v>
      </c>
      <c r="C23" s="258">
        <v>1.1209826591692842</v>
      </c>
      <c r="D23" s="259">
        <v>7.3319320400439314E-2</v>
      </c>
      <c r="E23" s="259">
        <v>6.8310817672680102E-2</v>
      </c>
      <c r="F23" s="260">
        <v>0.11678616137799916</v>
      </c>
      <c r="G23" s="259">
        <v>0.27503439810353125</v>
      </c>
      <c r="H23" s="260">
        <v>0.14493953007243082</v>
      </c>
      <c r="I23" s="260">
        <v>0.2249776516435234</v>
      </c>
      <c r="J23" s="260">
        <v>0.16622455321494858</v>
      </c>
      <c r="K23" s="260">
        <v>0.40080070456084116</v>
      </c>
      <c r="L23" s="258">
        <v>1.9652042416314639</v>
      </c>
      <c r="M23" s="258">
        <v>3.2233775926743333</v>
      </c>
      <c r="N23" s="260">
        <v>0.10538717728055086</v>
      </c>
      <c r="O23" s="260">
        <v>0.19642245989304818</v>
      </c>
    </row>
    <row r="24" spans="1:15">
      <c r="A24" t="s">
        <v>116</v>
      </c>
      <c r="B24">
        <v>371</v>
      </c>
      <c r="C24" s="258">
        <v>1.0399414870001082</v>
      </c>
      <c r="D24" s="259">
        <v>0.16055733591747715</v>
      </c>
      <c r="E24" s="259">
        <v>0.13834502695254497</v>
      </c>
      <c r="F24" s="260">
        <v>0.12319420695893937</v>
      </c>
      <c r="G24" s="259">
        <v>0.16876877870603219</v>
      </c>
      <c r="H24" s="260">
        <v>5.0163651565618285E-2</v>
      </c>
      <c r="I24" s="260">
        <v>9.9607454855767705E-2</v>
      </c>
      <c r="J24" s="260">
        <v>0.17060782502642483</v>
      </c>
      <c r="K24" s="260">
        <v>0.32202830527160198</v>
      </c>
      <c r="L24" s="258">
        <v>3.2790118216026256</v>
      </c>
      <c r="M24" s="258">
        <v>0.90047080968510262</v>
      </c>
      <c r="N24" s="260">
        <v>2.1116044776119335E-3</v>
      </c>
      <c r="O24" s="260">
        <v>0.48319133333333314</v>
      </c>
    </row>
    <row r="25" spans="1:15">
      <c r="A25" t="s">
        <v>666</v>
      </c>
      <c r="B25">
        <v>466</v>
      </c>
      <c r="C25" s="258">
        <v>0.74593681266894696</v>
      </c>
      <c r="D25" s="259">
        <v>0.48570393012533347</v>
      </c>
      <c r="E25" s="259">
        <v>0.32691838547156543</v>
      </c>
      <c r="F25" s="260">
        <v>0.14870416263118147</v>
      </c>
      <c r="G25" s="259">
        <v>0.5094710027819449</v>
      </c>
      <c r="H25" s="260">
        <v>5.1664082193031667E-2</v>
      </c>
      <c r="I25" s="260">
        <v>0.10845816846244229</v>
      </c>
      <c r="J25" s="260">
        <v>7.2507818241525246E-2</v>
      </c>
      <c r="K25" s="260">
        <v>7.8913691447329737E-2</v>
      </c>
      <c r="L25" s="258">
        <v>0.84818569185834414</v>
      </c>
      <c r="M25" s="258">
        <v>1.7046008133536841</v>
      </c>
      <c r="N25" s="260">
        <v>0.10746176245210724</v>
      </c>
      <c r="O25" s="260">
        <v>0.18758888888888892</v>
      </c>
    </row>
    <row r="26" spans="1:15">
      <c r="A26" t="s">
        <v>667</v>
      </c>
      <c r="B26">
        <v>365</v>
      </c>
      <c r="C26" s="258">
        <v>0.66529741542395393</v>
      </c>
      <c r="D26" s="259">
        <v>0.7908106036987248</v>
      </c>
      <c r="E26" s="259">
        <v>0.44159365712118936</v>
      </c>
      <c r="F26" s="260">
        <v>0.13263854043735607</v>
      </c>
      <c r="G26" s="259">
        <v>0.25917903617564952</v>
      </c>
      <c r="H26" s="260">
        <v>6.179527022629034E-2</v>
      </c>
      <c r="I26" s="260">
        <v>9.247910759284636E-2</v>
      </c>
      <c r="J26" s="260">
        <v>0.11533935395760675</v>
      </c>
      <c r="K26" s="260">
        <v>7.6154021526734297E-2</v>
      </c>
      <c r="L26" s="258">
        <v>0.88374518187887385</v>
      </c>
      <c r="M26" s="258">
        <v>1.4581180395235493</v>
      </c>
      <c r="N26" s="260">
        <v>7.647413654618479E-2</v>
      </c>
      <c r="O26" s="260">
        <v>0.13981737704918026</v>
      </c>
    </row>
    <row r="27" spans="1:15">
      <c r="A27" t="s">
        <v>120</v>
      </c>
      <c r="B27">
        <v>145</v>
      </c>
      <c r="C27" s="258">
        <v>1.1031024607727393</v>
      </c>
      <c r="D27" s="259">
        <v>0.20255881501219714</v>
      </c>
      <c r="E27" s="259">
        <v>0.16843984051635982</v>
      </c>
      <c r="F27" s="260">
        <v>0.14290141158144692</v>
      </c>
      <c r="G27" s="259" t="s">
        <v>191</v>
      </c>
      <c r="H27" s="260">
        <v>-1.403993632183039E-2</v>
      </c>
      <c r="I27" s="260">
        <v>0.11075388321943491</v>
      </c>
      <c r="J27" s="260">
        <v>-2.5651076399905947E-2</v>
      </c>
      <c r="K27" s="260">
        <v>0.210148719249623</v>
      </c>
      <c r="L27" s="258">
        <v>2.6367933686297889</v>
      </c>
      <c r="M27" s="258">
        <v>0.96511695809216491</v>
      </c>
      <c r="N27" s="260">
        <v>0.15142337837837835</v>
      </c>
      <c r="O27" s="260">
        <v>0.20398800000000006</v>
      </c>
    </row>
    <row r="28" spans="1:15">
      <c r="A28" t="s">
        <v>124</v>
      </c>
      <c r="B28">
        <v>847</v>
      </c>
      <c r="C28" s="258">
        <v>0.96498817235180312</v>
      </c>
      <c r="D28" s="259">
        <v>0.29890508146898059</v>
      </c>
      <c r="E28" s="259">
        <v>0.23012080384729697</v>
      </c>
      <c r="F28" s="260">
        <v>0.13879982555845974</v>
      </c>
      <c r="G28" s="259">
        <v>0.50695734295947326</v>
      </c>
      <c r="H28" s="260">
        <v>3.2981334006264594E-2</v>
      </c>
      <c r="I28" s="260">
        <v>6.8612011908143214E-2</v>
      </c>
      <c r="J28" s="260">
        <v>7.2416667716564506E-2</v>
      </c>
      <c r="K28" s="260">
        <v>0.11046869484965495</v>
      </c>
      <c r="L28" s="258">
        <v>2.0982041236579421</v>
      </c>
      <c r="M28" s="258">
        <v>1.0090025938388396</v>
      </c>
      <c r="N28" s="260">
        <v>8.4314759825327532E-2</v>
      </c>
      <c r="O28" s="260">
        <v>0.20522314814814824</v>
      </c>
    </row>
    <row r="29" spans="1:15">
      <c r="A29" t="s">
        <v>125</v>
      </c>
      <c r="B29">
        <v>1188</v>
      </c>
      <c r="C29" s="258">
        <v>1.0126468071010164</v>
      </c>
      <c r="D29" s="259">
        <v>0.3179539137357722</v>
      </c>
      <c r="E29" s="259">
        <v>0.24124812743605287</v>
      </c>
      <c r="F29" s="260">
        <v>0.12331604344824043</v>
      </c>
      <c r="G29" s="259">
        <v>0.30540175710218997</v>
      </c>
      <c r="H29" s="260">
        <v>2.7825870237122782E-2</v>
      </c>
      <c r="I29" s="260">
        <v>4.47780232075419E-2</v>
      </c>
      <c r="J29" s="260">
        <v>6.1990022184553732E-2</v>
      </c>
      <c r="K29" s="260">
        <v>6.4702747579660533E-2</v>
      </c>
      <c r="L29" s="258">
        <v>1.8502090139555101</v>
      </c>
      <c r="M29" s="258">
        <v>0.74214957341570864</v>
      </c>
      <c r="N29" s="260">
        <v>2.239268068331144E-2</v>
      </c>
      <c r="O29" s="260">
        <v>0.18274247311827962</v>
      </c>
    </row>
    <row r="30" spans="1:15">
      <c r="A30" t="s">
        <v>668</v>
      </c>
      <c r="B30">
        <v>208</v>
      </c>
      <c r="C30" s="258">
        <v>0.96113277902845695</v>
      </c>
      <c r="D30" s="259">
        <v>0.57730257176406763</v>
      </c>
      <c r="E30" s="259">
        <v>0.36600623247472924</v>
      </c>
      <c r="F30" s="260">
        <v>0.12165777718118474</v>
      </c>
      <c r="G30" s="259" t="s">
        <v>191</v>
      </c>
      <c r="H30" s="260">
        <v>-5.2058401906441995E-2</v>
      </c>
      <c r="I30" s="260">
        <v>2.3227349369953552E-2</v>
      </c>
      <c r="J30" s="260">
        <v>-0.13505139326274726</v>
      </c>
      <c r="K30" s="260">
        <v>3.5699157424977139E-2</v>
      </c>
      <c r="L30" s="258">
        <v>2.4504434877885344</v>
      </c>
      <c r="M30" s="258">
        <v>0.48953442238428213</v>
      </c>
      <c r="N30" s="260">
        <v>-1.3428731343283587E-2</v>
      </c>
      <c r="O30" s="260">
        <v>0.16821447368421052</v>
      </c>
    </row>
    <row r="31" spans="1:15">
      <c r="A31" t="s">
        <v>669</v>
      </c>
      <c r="B31">
        <v>1141</v>
      </c>
      <c r="C31" s="258">
        <v>0.806942599122774</v>
      </c>
      <c r="D31" s="259">
        <v>0.83035618098293806</v>
      </c>
      <c r="E31" s="259">
        <v>0.45365824947635064</v>
      </c>
      <c r="F31" s="260">
        <v>0.1701593567499837</v>
      </c>
      <c r="G31" s="259">
        <v>0.59225755453907281</v>
      </c>
      <c r="H31" s="260">
        <v>1.7919433055986027E-2</v>
      </c>
      <c r="I31" s="260">
        <v>4.5211626841720524E-2</v>
      </c>
      <c r="J31" s="260">
        <v>6.8304690734659806E-2</v>
      </c>
      <c r="K31" s="260">
        <v>7.925136959030997E-2</v>
      </c>
      <c r="L31" s="258">
        <v>2.2757879236704506</v>
      </c>
      <c r="M31" s="258">
        <v>0.56333709198447535</v>
      </c>
      <c r="N31" s="260">
        <v>8.5976369327073657E-2</v>
      </c>
      <c r="O31" s="260">
        <v>0.15760811518324608</v>
      </c>
    </row>
    <row r="32" spans="1:15">
      <c r="A32" t="s">
        <v>127</v>
      </c>
      <c r="B32">
        <v>356</v>
      </c>
      <c r="C32" s="258">
        <v>0.97495695079534028</v>
      </c>
      <c r="D32" s="259">
        <v>0.28710907696133081</v>
      </c>
      <c r="E32" s="259">
        <v>0.22306507047495289</v>
      </c>
      <c r="F32" s="260">
        <v>8.7949066261093514E-2</v>
      </c>
      <c r="G32" s="259">
        <v>0.28427055977719662</v>
      </c>
      <c r="H32" s="260">
        <v>7.8798511986352446E-2</v>
      </c>
      <c r="I32" s="260">
        <v>0.16463080885865039</v>
      </c>
      <c r="J32" s="260">
        <v>0.10390540803739289</v>
      </c>
      <c r="K32" s="260">
        <v>0.21134795712387125</v>
      </c>
      <c r="L32" s="258">
        <v>1.6925843357862418</v>
      </c>
      <c r="M32" s="258">
        <v>1.9410773455684867</v>
      </c>
      <c r="N32" s="260">
        <v>3.9765176470588234E-2</v>
      </c>
      <c r="O32" s="260">
        <v>0.20993333333333333</v>
      </c>
    </row>
    <row r="33" spans="1:15">
      <c r="A33" t="s">
        <v>670</v>
      </c>
      <c r="B33">
        <v>307</v>
      </c>
      <c r="C33" s="258">
        <v>0.86425489755210494</v>
      </c>
      <c r="D33" s="259">
        <v>0.40912672198311573</v>
      </c>
      <c r="E33" s="259">
        <v>0.29034061706482767</v>
      </c>
      <c r="F33" s="260">
        <v>0.11246000869189886</v>
      </c>
      <c r="G33" s="259">
        <v>0.62601294097956561</v>
      </c>
      <c r="H33" s="260">
        <v>2.9710954593442411E-2</v>
      </c>
      <c r="I33" s="260">
        <v>8.9249370064293065E-2</v>
      </c>
      <c r="J33" s="260">
        <v>6.7602532143196226E-2</v>
      </c>
      <c r="K33" s="260">
        <v>0.13279400819461726</v>
      </c>
      <c r="L33" s="258">
        <v>2.0421733652725154</v>
      </c>
      <c r="M33" s="258">
        <v>1.3060392784820389</v>
      </c>
      <c r="N33" s="260">
        <v>0.12012215827338124</v>
      </c>
      <c r="O33" s="260">
        <v>0.14791063829787229</v>
      </c>
    </row>
    <row r="34" spans="1:15">
      <c r="A34" t="s">
        <v>671</v>
      </c>
      <c r="B34">
        <v>331</v>
      </c>
      <c r="C34" s="258">
        <v>0.7364460527692519</v>
      </c>
      <c r="D34" s="259">
        <v>0.42899966363024877</v>
      </c>
      <c r="E34" s="259">
        <v>0.30020977229652568</v>
      </c>
      <c r="F34" s="260">
        <v>0.13556247840510444</v>
      </c>
      <c r="G34" s="259">
        <v>0.28833943451517013</v>
      </c>
      <c r="H34" s="260">
        <v>3.837710652601635E-2</v>
      </c>
      <c r="I34" s="260">
        <v>4.8427677043770774E-2</v>
      </c>
      <c r="J34" s="260">
        <v>0.10863252097695207</v>
      </c>
      <c r="K34" s="260">
        <v>7.7810684549381517E-2</v>
      </c>
      <c r="L34" s="258">
        <v>1.8238082439210621</v>
      </c>
      <c r="M34" s="258">
        <v>0.71311895626850841</v>
      </c>
      <c r="N34" s="260">
        <v>0.17258940540540546</v>
      </c>
      <c r="O34" s="260">
        <v>0.22128653846153845</v>
      </c>
    </row>
    <row r="35" spans="1:15">
      <c r="A35" t="s">
        <v>672</v>
      </c>
      <c r="B35">
        <v>520</v>
      </c>
      <c r="C35" s="258">
        <v>0.17637371978368482</v>
      </c>
      <c r="D35" s="259">
        <v>6.5645528817760352</v>
      </c>
      <c r="E35" s="259">
        <v>0.86780448023449919</v>
      </c>
      <c r="F35" s="260">
        <v>0.17109463744167927</v>
      </c>
      <c r="G35" s="259">
        <v>0.16509892038891955</v>
      </c>
      <c r="H35" s="260">
        <v>0.21775914751861072</v>
      </c>
      <c r="I35" s="260">
        <v>6.432171983044993E-2</v>
      </c>
      <c r="J35" s="260">
        <v>0.14391791597558273</v>
      </c>
      <c r="K35" s="260">
        <v>3.762917933293578E-3</v>
      </c>
      <c r="L35" s="258">
        <v>8.8488547310219948E-2</v>
      </c>
      <c r="M35" s="258">
        <v>11.593068386017858</v>
      </c>
      <c r="N35" s="260">
        <v>0.10600400696864103</v>
      </c>
      <c r="O35" s="260">
        <v>0.1659487804878049</v>
      </c>
    </row>
    <row r="36" spans="1:15">
      <c r="A36" t="s">
        <v>673</v>
      </c>
      <c r="B36">
        <v>149</v>
      </c>
      <c r="C36" s="258">
        <v>0.17122160803915809</v>
      </c>
      <c r="D36" s="259">
        <v>6.7935272492042094</v>
      </c>
      <c r="E36" s="259">
        <v>0.87168839371131868</v>
      </c>
      <c r="F36" s="260">
        <v>0.13668892432777491</v>
      </c>
      <c r="G36" s="259">
        <v>8.00710423629135E-2</v>
      </c>
      <c r="H36" s="260">
        <v>0.13696964400690392</v>
      </c>
      <c r="I36" s="260">
        <v>3.3146934190190228E-2</v>
      </c>
      <c r="J36" s="260">
        <v>6.4203167412393972E-2</v>
      </c>
      <c r="K36" s="260">
        <v>2.1662602878458276E-3</v>
      </c>
      <c r="L36" s="258">
        <v>8.6763883046586943E-2</v>
      </c>
      <c r="M36" s="258">
        <v>11.239090965913565</v>
      </c>
      <c r="N36" s="260">
        <v>0.1380515384615385</v>
      </c>
      <c r="O36" s="260">
        <v>0.21864374999999997</v>
      </c>
    </row>
    <row r="37" spans="1:15">
      <c r="A37" t="s">
        <v>131</v>
      </c>
      <c r="B37">
        <v>1223</v>
      </c>
      <c r="C37" s="258">
        <v>0.68950626304477247</v>
      </c>
      <c r="D37" s="259">
        <v>0.27675590844519332</v>
      </c>
      <c r="E37" s="259">
        <v>0.21676493260346127</v>
      </c>
      <c r="F37" s="260">
        <v>0.15803628956335183</v>
      </c>
      <c r="G37" s="259">
        <v>0.43332226955868974</v>
      </c>
      <c r="H37" s="260">
        <v>4.7874083300324957E-2</v>
      </c>
      <c r="I37" s="260">
        <v>8.0491098271383815E-2</v>
      </c>
      <c r="J37" s="260">
        <v>0.1230230107915221</v>
      </c>
      <c r="K37" s="260">
        <v>0.13627590951192259</v>
      </c>
      <c r="L37" s="258">
        <v>2.1251138473037412</v>
      </c>
      <c r="M37" s="258">
        <v>1.1950356983691612</v>
      </c>
      <c r="N37" s="260">
        <v>0.10361433427762043</v>
      </c>
      <c r="O37" s="260">
        <v>0.20444927536231891</v>
      </c>
    </row>
    <row r="38" spans="1:15">
      <c r="A38" t="s">
        <v>674</v>
      </c>
      <c r="B38">
        <v>115</v>
      </c>
      <c r="C38" s="258">
        <v>0.55963666843992022</v>
      </c>
      <c r="D38" s="259">
        <v>0.70982189092701631</v>
      </c>
      <c r="E38" s="259">
        <v>0.41514376128508401</v>
      </c>
      <c r="F38" s="260">
        <v>0.18448459039776946</v>
      </c>
      <c r="G38" s="259">
        <v>0.54156917815911843</v>
      </c>
      <c r="H38" s="260">
        <v>1.0561017435403872E-2</v>
      </c>
      <c r="I38" s="260">
        <v>2.9922078149158399E-2</v>
      </c>
      <c r="J38" s="260">
        <v>0.10561856099836123</v>
      </c>
      <c r="K38" s="260">
        <v>0.13976801342217993</v>
      </c>
      <c r="L38" s="258">
        <v>5.5067052023121397</v>
      </c>
      <c r="M38" s="258">
        <v>0.30072816223123988</v>
      </c>
      <c r="N38" s="260">
        <v>3.4304347826086955E-2</v>
      </c>
      <c r="O38" s="260">
        <v>0.11568461538461539</v>
      </c>
    </row>
    <row r="39" spans="1:15">
      <c r="A39" t="s">
        <v>134</v>
      </c>
      <c r="B39">
        <v>323</v>
      </c>
      <c r="C39" s="258">
        <v>0.93722712888273452</v>
      </c>
      <c r="D39" s="259">
        <v>0.26969510166779548</v>
      </c>
      <c r="E39" s="259">
        <v>0.21240934245831156</v>
      </c>
      <c r="F39" s="260">
        <v>0.14931356800377371</v>
      </c>
      <c r="G39" s="259">
        <v>0.30241870669138471</v>
      </c>
      <c r="H39" s="260">
        <v>4.1461754669831583E-2</v>
      </c>
      <c r="I39" s="260">
        <v>6.1099559332611311E-2</v>
      </c>
      <c r="J39" s="260">
        <v>0.12017637612584803</v>
      </c>
      <c r="K39" s="260">
        <v>0.13604092310535362</v>
      </c>
      <c r="L39" s="258">
        <v>2.6252338064546419</v>
      </c>
      <c r="M39" s="258">
        <v>0.7174563457332872</v>
      </c>
      <c r="N39" s="260">
        <v>3.6747342995169095E-2</v>
      </c>
      <c r="O39" s="260">
        <v>0.25073333333333331</v>
      </c>
    </row>
    <row r="40" spans="1:15">
      <c r="A40" t="s">
        <v>675</v>
      </c>
      <c r="B40">
        <v>448</v>
      </c>
      <c r="C40" s="258">
        <v>0.92133292758098317</v>
      </c>
      <c r="D40" s="259">
        <v>0.17325807797083129</v>
      </c>
      <c r="E40" s="259">
        <v>0.14767260607357924</v>
      </c>
      <c r="F40" s="260">
        <v>8.8704612088604654E-2</v>
      </c>
      <c r="G40" s="259">
        <v>0.37019450550011695</v>
      </c>
      <c r="H40" s="260">
        <v>9.9834666354727528E-2</v>
      </c>
      <c r="I40" s="260">
        <v>0.1820503607501299</v>
      </c>
      <c r="J40" s="260">
        <v>0.13265633975637964</v>
      </c>
      <c r="K40" s="260">
        <v>0.24362727108367219</v>
      </c>
      <c r="L40" s="258">
        <v>1.4955601153346501</v>
      </c>
      <c r="M40" s="258">
        <v>2.5549842928891935</v>
      </c>
      <c r="N40" s="260">
        <v>8.2670119521912375E-2</v>
      </c>
      <c r="O40" s="260">
        <v>0.15746168224299065</v>
      </c>
    </row>
    <row r="41" spans="1:15">
      <c r="A41" t="s">
        <v>676</v>
      </c>
      <c r="B41">
        <v>170</v>
      </c>
      <c r="C41" s="258">
        <v>0.53716220380509272</v>
      </c>
      <c r="D41" s="259">
        <v>0.80654450187434412</v>
      </c>
      <c r="E41" s="259">
        <v>0.44645703498448558</v>
      </c>
      <c r="F41" s="260">
        <v>0.16538599719658786</v>
      </c>
      <c r="G41" s="259">
        <v>0.15049190096829418</v>
      </c>
      <c r="H41" s="260">
        <v>4.2388837096212349E-2</v>
      </c>
      <c r="I41" s="260">
        <v>0.10370358638437478</v>
      </c>
      <c r="J41" s="260">
        <v>0.26494571578328074</v>
      </c>
      <c r="K41" s="260">
        <v>0.14161279452863604</v>
      </c>
      <c r="L41" s="258">
        <v>1.6436800020524898</v>
      </c>
      <c r="M41" s="258">
        <v>1.2813569227885169</v>
      </c>
      <c r="N41" s="260">
        <v>0.1771103636363637</v>
      </c>
      <c r="O41" s="260">
        <v>0.15739272727272718</v>
      </c>
    </row>
    <row r="42" spans="1:15">
      <c r="A42" t="s">
        <v>677</v>
      </c>
      <c r="B42">
        <v>155</v>
      </c>
      <c r="C42" s="258">
        <v>0.77806467678607028</v>
      </c>
      <c r="D42" s="259">
        <v>0.19419300312610141</v>
      </c>
      <c r="E42" s="259">
        <v>0.16261442046449129</v>
      </c>
      <c r="F42" s="260">
        <v>0.13493182593265249</v>
      </c>
      <c r="G42" s="259">
        <v>0.22734990183985709</v>
      </c>
      <c r="H42" s="260">
        <v>7.9536939530066006E-2</v>
      </c>
      <c r="I42" s="260">
        <v>0.12139873573304395</v>
      </c>
      <c r="J42" s="260">
        <v>0.1203120696789787</v>
      </c>
      <c r="K42" s="260">
        <v>0.14312109514949417</v>
      </c>
      <c r="L42" s="258">
        <v>1.3195166182224962</v>
      </c>
      <c r="M42" s="258">
        <v>2.4877221996201886</v>
      </c>
      <c r="N42" s="260">
        <v>0.14200838709677424</v>
      </c>
      <c r="O42" s="260">
        <v>0.18056976744186048</v>
      </c>
    </row>
    <row r="43" spans="1:15">
      <c r="A43" t="s">
        <v>678</v>
      </c>
      <c r="B43">
        <v>328</v>
      </c>
      <c r="C43" s="258">
        <v>0.80653607005090822</v>
      </c>
      <c r="D43" s="259">
        <v>0.31971414865244019</v>
      </c>
      <c r="E43" s="259">
        <v>0.24226015079015423</v>
      </c>
      <c r="F43" s="260">
        <v>0.17340626474002085</v>
      </c>
      <c r="G43" s="259">
        <v>0.16771109345716306</v>
      </c>
      <c r="H43" s="260">
        <v>2.4750826294600434E-2</v>
      </c>
      <c r="I43" s="260">
        <v>4.7694670670050274E-2</v>
      </c>
      <c r="J43" s="260">
        <v>0.13813834432361616</v>
      </c>
      <c r="K43" s="260">
        <v>0.30865733350331936</v>
      </c>
      <c r="L43" s="258">
        <v>7.1850472174188713</v>
      </c>
      <c r="M43" s="258">
        <v>0.46089951418959207</v>
      </c>
      <c r="N43" s="260">
        <v>0.1316736559139785</v>
      </c>
      <c r="O43" s="260">
        <v>0.16521136363636357</v>
      </c>
    </row>
    <row r="44" spans="1:15">
      <c r="A44" t="s">
        <v>679</v>
      </c>
      <c r="B44">
        <v>266</v>
      </c>
      <c r="C44" s="258">
        <v>0.95769960006570709</v>
      </c>
      <c r="D44" s="259">
        <v>0.20133005407188312</v>
      </c>
      <c r="E44" s="259">
        <v>0.16758929270892631</v>
      </c>
      <c r="F44" s="260">
        <v>8.1613314656114197E-2</v>
      </c>
      <c r="G44" s="259">
        <v>0.14885221977589477</v>
      </c>
      <c r="H44" s="260">
        <v>6.269419832011934E-2</v>
      </c>
      <c r="I44" s="260">
        <v>0.12095557165169515</v>
      </c>
      <c r="J44" s="260">
        <v>7.8364478088152417E-2</v>
      </c>
      <c r="K44" s="260">
        <v>0.1638924079003069</v>
      </c>
      <c r="L44" s="258">
        <v>1.5388007968032071</v>
      </c>
      <c r="M44" s="258">
        <v>2.3328822875018291</v>
      </c>
      <c r="N44" s="260">
        <v>0.12098006493506491</v>
      </c>
      <c r="O44" s="260">
        <v>0.21924999999999994</v>
      </c>
    </row>
    <row r="45" spans="1:15">
      <c r="A45" t="s">
        <v>680</v>
      </c>
      <c r="B45">
        <v>334</v>
      </c>
      <c r="C45" s="258">
        <v>0.98777968407137662</v>
      </c>
      <c r="D45" s="259">
        <v>0.60131865825097597</v>
      </c>
      <c r="E45" s="259">
        <v>0.37551467670261218</v>
      </c>
      <c r="F45" s="260">
        <v>0.17815265118590995</v>
      </c>
      <c r="G45" s="259">
        <v>0.31367295928068462</v>
      </c>
      <c r="H45" s="260">
        <v>4.7422838159981308E-2</v>
      </c>
      <c r="I45" s="260">
        <v>8.3167782226994932E-2</v>
      </c>
      <c r="J45" s="260">
        <v>0.15655875310546627</v>
      </c>
      <c r="K45" s="260">
        <v>0.11920762668622706</v>
      </c>
      <c r="L45" s="258">
        <v>1.5703830740544145</v>
      </c>
      <c r="M45" s="258">
        <v>0.99310795557872111</v>
      </c>
      <c r="N45" s="260">
        <v>9.7926962616822433E-2</v>
      </c>
      <c r="O45" s="260">
        <v>0.10969181818181817</v>
      </c>
    </row>
    <row r="46" spans="1:15">
      <c r="A46" t="s">
        <v>136</v>
      </c>
      <c r="B46">
        <v>155</v>
      </c>
      <c r="C46" s="258">
        <v>0.99953250774935265</v>
      </c>
      <c r="D46" s="259">
        <v>0.58094140689020923</v>
      </c>
      <c r="E46" s="259">
        <v>0.36746548882728675</v>
      </c>
      <c r="F46" s="260">
        <v>0.19215422200751384</v>
      </c>
      <c r="G46" s="259">
        <v>0.1451478351646075</v>
      </c>
      <c r="H46" s="260">
        <v>4.1558624569370366E-2</v>
      </c>
      <c r="I46" s="260">
        <v>6.6052295412322035E-2</v>
      </c>
      <c r="J46" s="260">
        <v>7.7348254386119156E-2</v>
      </c>
      <c r="K46" s="260">
        <v>5.9392944408518944E-2</v>
      </c>
      <c r="L46" s="258">
        <v>1.2431620321775052</v>
      </c>
      <c r="M46" s="258">
        <v>0.9852842770417638</v>
      </c>
      <c r="N46" s="260">
        <v>1.3634513274336237E-2</v>
      </c>
      <c r="O46" s="260">
        <v>0.10354644067796606</v>
      </c>
    </row>
    <row r="47" spans="1:15">
      <c r="A47" t="s">
        <v>137</v>
      </c>
      <c r="B47">
        <v>618</v>
      </c>
      <c r="C47" s="258">
        <v>0.8376390265636493</v>
      </c>
      <c r="D47" s="259">
        <v>0.30366043825575595</v>
      </c>
      <c r="E47" s="259">
        <v>0.23292908900575454</v>
      </c>
      <c r="F47" s="260">
        <v>0.12186971587012083</v>
      </c>
      <c r="G47" s="259">
        <v>0.36520289009123341</v>
      </c>
      <c r="H47" s="260">
        <v>5.7297807464902512E-2</v>
      </c>
      <c r="I47" s="260">
        <v>0.11797914928322414</v>
      </c>
      <c r="J47" s="260">
        <v>8.021211075012151E-2</v>
      </c>
      <c r="K47" s="260">
        <v>0.10345451818433932</v>
      </c>
      <c r="L47" s="258">
        <v>0.95017624028670411</v>
      </c>
      <c r="M47" s="258">
        <v>2.2367214764519407</v>
      </c>
      <c r="N47" s="260">
        <v>0.10034530555555561</v>
      </c>
      <c r="O47" s="260">
        <v>0.14853084112149531</v>
      </c>
    </row>
    <row r="48" spans="1:15">
      <c r="A48" t="s">
        <v>138</v>
      </c>
      <c r="B48">
        <v>456</v>
      </c>
      <c r="C48" s="258">
        <v>0.82443882380177191</v>
      </c>
      <c r="D48" s="259">
        <v>0.1425007187182826</v>
      </c>
      <c r="E48" s="259">
        <v>0.12472702763648798</v>
      </c>
      <c r="F48" s="260">
        <v>0.13978245053109692</v>
      </c>
      <c r="G48" s="259">
        <v>0.43815672817780654</v>
      </c>
      <c r="H48" s="260">
        <v>8.682774594203696E-2</v>
      </c>
      <c r="I48" s="260">
        <v>0.1434108368888912</v>
      </c>
      <c r="J48" s="260">
        <v>0.16859297245233154</v>
      </c>
      <c r="K48" s="260">
        <v>0.220788362053318</v>
      </c>
      <c r="L48" s="258">
        <v>2.1352040477370529</v>
      </c>
      <c r="M48" s="258">
        <v>2.0869523901656093</v>
      </c>
      <c r="N48" s="260">
        <v>0.11761748953974895</v>
      </c>
      <c r="O48" s="260">
        <v>0.16062499999999999</v>
      </c>
    </row>
    <row r="49" spans="1:15">
      <c r="A49" t="s">
        <v>141</v>
      </c>
      <c r="B49">
        <v>171</v>
      </c>
      <c r="C49" s="258">
        <v>0.98083321155298187</v>
      </c>
      <c r="D49" s="259">
        <v>0.1212529539627874</v>
      </c>
      <c r="E49" s="259">
        <v>0.10814058820023549</v>
      </c>
      <c r="F49" s="260">
        <v>0.16193277237551737</v>
      </c>
      <c r="G49" s="259">
        <v>0.31170390799523884</v>
      </c>
      <c r="H49" s="260">
        <v>0.10402596047114963</v>
      </c>
      <c r="I49" s="260">
        <v>0.22044992698719107</v>
      </c>
      <c r="J49" s="260">
        <v>0.15349634135996265</v>
      </c>
      <c r="K49" s="260">
        <v>0.42965822082651955</v>
      </c>
      <c r="L49" s="258">
        <v>2.3628885968790043</v>
      </c>
      <c r="M49" s="258">
        <v>3.0490106738873206</v>
      </c>
      <c r="N49" s="260">
        <v>6.2632038834951456E-2</v>
      </c>
      <c r="O49" s="260">
        <v>0.14572340425531918</v>
      </c>
    </row>
    <row r="50" spans="1:15">
      <c r="A50" t="s">
        <v>681</v>
      </c>
      <c r="B50">
        <v>220</v>
      </c>
      <c r="C50" s="258">
        <v>0.713771885072913</v>
      </c>
      <c r="D50" s="259">
        <v>0.57510713071748909</v>
      </c>
      <c r="E50" s="259">
        <v>0.36512254912814579</v>
      </c>
      <c r="F50" s="260">
        <v>0.13645540744885346</v>
      </c>
      <c r="G50" s="259">
        <v>0.21451491169699607</v>
      </c>
      <c r="H50" s="260">
        <v>5.8896474084073308E-2</v>
      </c>
      <c r="I50" s="260">
        <v>7.9607737132833478E-2</v>
      </c>
      <c r="J50" s="260">
        <v>0.11516650867187996</v>
      </c>
      <c r="K50" s="260">
        <v>0.10663154685357988</v>
      </c>
      <c r="L50" s="258">
        <v>1.5594996148538192</v>
      </c>
      <c r="M50" s="258">
        <v>0.67441092945781733</v>
      </c>
      <c r="N50" s="260">
        <v>5.9809339622641497E-2</v>
      </c>
      <c r="O50" s="260">
        <v>0.15554666666666667</v>
      </c>
    </row>
    <row r="51" spans="1:15">
      <c r="A51" t="s">
        <v>142</v>
      </c>
      <c r="B51">
        <v>117</v>
      </c>
      <c r="C51" s="258">
        <v>0.93570100048546667</v>
      </c>
      <c r="D51" s="259">
        <v>0.61348862574439811</v>
      </c>
      <c r="E51" s="259">
        <v>0.38022494609242091</v>
      </c>
      <c r="F51" s="260">
        <v>0.17281213692012987</v>
      </c>
      <c r="G51" s="259">
        <v>0.3475894223446705</v>
      </c>
      <c r="H51" s="260">
        <v>3.66796496420723E-2</v>
      </c>
      <c r="I51" s="260">
        <v>6.6046705636943259E-2</v>
      </c>
      <c r="J51" s="260">
        <v>7.6825860411437616E-2</v>
      </c>
      <c r="K51" s="260">
        <v>8.9543804290311599E-2</v>
      </c>
      <c r="L51" s="258">
        <v>1.503432371008983</v>
      </c>
      <c r="M51" s="258">
        <v>0.77306999173728497</v>
      </c>
      <c r="N51" s="260">
        <v>5.0657123287671225E-2</v>
      </c>
      <c r="O51" s="260">
        <v>0.12514037037037035</v>
      </c>
    </row>
    <row r="52" spans="1:15">
      <c r="A52" t="s">
        <v>143</v>
      </c>
      <c r="B52">
        <v>220</v>
      </c>
      <c r="C52" s="258">
        <v>0.65233911056609228</v>
      </c>
      <c r="D52" s="259">
        <v>0.39183641323135909</v>
      </c>
      <c r="E52" s="259">
        <v>0.28152476074515931</v>
      </c>
      <c r="F52" s="260">
        <v>0.11955135558142251</v>
      </c>
      <c r="G52" s="259">
        <v>0.31865051217906476</v>
      </c>
      <c r="H52" s="260">
        <v>4.423168622080606E-2</v>
      </c>
      <c r="I52" s="260">
        <v>7.6405923441471221E-2</v>
      </c>
      <c r="J52" s="260">
        <v>7.354002692472876E-2</v>
      </c>
      <c r="K52" s="260">
        <v>7.5800651914549391E-2</v>
      </c>
      <c r="L52" s="258">
        <v>1.229438069499061</v>
      </c>
      <c r="M52" s="258">
        <v>0.91090899225106114</v>
      </c>
      <c r="N52" s="260">
        <v>8.422740740740739E-2</v>
      </c>
      <c r="O52" s="260">
        <v>0.19509999999999997</v>
      </c>
    </row>
    <row r="53" spans="1:15">
      <c r="A53" t="s">
        <v>604</v>
      </c>
      <c r="B53">
        <v>715</v>
      </c>
      <c r="C53" s="258">
        <v>1.2164394795752738</v>
      </c>
      <c r="D53" s="259">
        <v>4.7189630773569052E-2</v>
      </c>
      <c r="E53" s="259">
        <v>4.5063118834274191E-2</v>
      </c>
      <c r="F53" s="260">
        <v>7.7677143383083486E-2</v>
      </c>
      <c r="G53" s="259">
        <v>4.2940942548123404E-2</v>
      </c>
      <c r="H53" s="260">
        <v>0.18744630180525673</v>
      </c>
      <c r="I53" s="260">
        <v>0.21155268706139005</v>
      </c>
      <c r="J53" s="260">
        <v>0.19320752389597776</v>
      </c>
      <c r="K53" s="260">
        <v>0.24000852015632079</v>
      </c>
      <c r="L53" s="258">
        <v>1.2549422864710691</v>
      </c>
      <c r="M53" s="258">
        <v>4.3368570412952305</v>
      </c>
      <c r="N53" s="260">
        <v>9.164672535211274E-2</v>
      </c>
      <c r="O53" s="260">
        <v>0.2377296296296296</v>
      </c>
    </row>
    <row r="54" spans="1:15">
      <c r="A54" t="s">
        <v>682</v>
      </c>
      <c r="B54">
        <v>448</v>
      </c>
      <c r="C54" s="258">
        <v>0.57796158558257804</v>
      </c>
      <c r="D54" s="259">
        <v>0.95776934265399827</v>
      </c>
      <c r="E54" s="259">
        <v>0.48921459836306536</v>
      </c>
      <c r="F54" s="260">
        <v>5.9708457605870138E-2</v>
      </c>
      <c r="G54" s="259">
        <v>0.38861216341403965</v>
      </c>
      <c r="H54" s="260">
        <v>0.14528890362817856</v>
      </c>
      <c r="I54" s="260">
        <v>0.11325887895843466</v>
      </c>
      <c r="J54" s="260">
        <v>8.1055958093813621E-2</v>
      </c>
      <c r="K54" s="260">
        <v>3.2061568701084037E-2</v>
      </c>
      <c r="L54" s="258">
        <v>0.29110754924812615</v>
      </c>
      <c r="M54" s="258">
        <v>3.6234876929551421</v>
      </c>
      <c r="N54" s="260">
        <v>8.4699124087591213E-2</v>
      </c>
      <c r="O54" s="260">
        <v>0.10659629629629631</v>
      </c>
    </row>
    <row r="55" spans="1:15">
      <c r="A55" t="s">
        <v>145</v>
      </c>
      <c r="B55">
        <v>1249</v>
      </c>
      <c r="C55" s="258">
        <v>1.0616242962155311</v>
      </c>
      <c r="D55" s="259">
        <v>0.25234116505139575</v>
      </c>
      <c r="E55" s="259">
        <v>0.20149554457953137</v>
      </c>
      <c r="F55" s="260">
        <v>0.17476985347537002</v>
      </c>
      <c r="G55" s="259">
        <v>0.32017373668819665</v>
      </c>
      <c r="H55" s="260">
        <v>5.3200575959943326E-2</v>
      </c>
      <c r="I55" s="260">
        <v>8.9204352720493971E-2</v>
      </c>
      <c r="J55" s="260">
        <v>0.10869640226810397</v>
      </c>
      <c r="K55" s="260">
        <v>0.12833536035812584</v>
      </c>
      <c r="L55" s="258">
        <v>1.8302297186091707</v>
      </c>
      <c r="M55" s="258">
        <v>1.1322649397767812</v>
      </c>
      <c r="N55" s="260">
        <v>3.8933150000000027E-2</v>
      </c>
      <c r="O55" s="260">
        <v>0.15817253218884117</v>
      </c>
    </row>
    <row r="56" spans="1:15">
      <c r="A56" t="s">
        <v>683</v>
      </c>
      <c r="B56">
        <v>1700</v>
      </c>
      <c r="C56" s="258">
        <v>1.077588444010954</v>
      </c>
      <c r="D56" s="259">
        <v>0.27002467327653118</v>
      </c>
      <c r="E56" s="259">
        <v>0.21261372236170473</v>
      </c>
      <c r="F56" s="260">
        <v>4.261176323606318E-2</v>
      </c>
      <c r="G56" s="259">
        <v>0.45898387238124688</v>
      </c>
      <c r="H56" s="260">
        <v>7.4430251434265932E-2</v>
      </c>
      <c r="I56" s="260">
        <v>0.15438431988927054</v>
      </c>
      <c r="J56" s="260">
        <v>0.1076293826341149</v>
      </c>
      <c r="K56" s="260">
        <v>0.12829366758384567</v>
      </c>
      <c r="L56" s="258">
        <v>1.003452417769306</v>
      </c>
      <c r="M56" s="258">
        <v>1.5796570538682242</v>
      </c>
      <c r="N56" s="260">
        <v>0.20444470046082949</v>
      </c>
      <c r="O56" s="260">
        <v>0.10672523809523808</v>
      </c>
    </row>
    <row r="57" spans="1:15">
      <c r="A57" t="s">
        <v>684</v>
      </c>
      <c r="B57">
        <v>162</v>
      </c>
      <c r="C57" s="258">
        <v>0.8111925401445732</v>
      </c>
      <c r="D57" s="259">
        <v>0.32172518449408138</v>
      </c>
      <c r="E57" s="259">
        <v>0.24341306972767457</v>
      </c>
      <c r="F57" s="260">
        <v>0.17479460512890282</v>
      </c>
      <c r="G57" s="259">
        <v>0.41760302581836367</v>
      </c>
      <c r="H57" s="260">
        <v>4.2454856627831557E-2</v>
      </c>
      <c r="I57" s="260">
        <v>7.3478214881544338E-2</v>
      </c>
      <c r="J57" s="260">
        <v>0.12397797311852346</v>
      </c>
      <c r="K57" s="260">
        <v>0.152120842672437</v>
      </c>
      <c r="L57" s="258">
        <v>2.5952912622753459</v>
      </c>
      <c r="M57" s="258">
        <v>0.72104769152801296</v>
      </c>
      <c r="N57" s="260">
        <v>2.5301403508771938E-2</v>
      </c>
      <c r="O57" s="260">
        <v>0.145785</v>
      </c>
    </row>
    <row r="58" spans="1:15">
      <c r="A58" t="s">
        <v>685</v>
      </c>
      <c r="B58">
        <v>55</v>
      </c>
      <c r="C58" s="258">
        <v>1.1217380663582095</v>
      </c>
      <c r="D58" s="259">
        <v>0.22110974966000363</v>
      </c>
      <c r="E58" s="259">
        <v>0.18107279032172799</v>
      </c>
      <c r="F58" s="260">
        <v>0.25527163074658776</v>
      </c>
      <c r="G58" s="259">
        <v>0.27548640759930776</v>
      </c>
      <c r="H58" s="260">
        <v>7.6789217883546118E-2</v>
      </c>
      <c r="I58" s="260">
        <v>0.10778228702832933</v>
      </c>
      <c r="J58" s="260">
        <v>0.16801912796082355</v>
      </c>
      <c r="K58" s="260">
        <v>0.12652732320691359</v>
      </c>
      <c r="L58" s="258">
        <v>1.692896955771231</v>
      </c>
      <c r="M58" s="258">
        <v>0.7351457642335234</v>
      </c>
      <c r="N58" s="260">
        <v>0.14004883720930231</v>
      </c>
      <c r="O58" s="260">
        <v>8.7998857142857156E-2</v>
      </c>
    </row>
    <row r="59" spans="1:15">
      <c r="A59" t="s">
        <v>686</v>
      </c>
      <c r="B59">
        <v>1219</v>
      </c>
      <c r="C59" s="258">
        <v>1.0496976595872094</v>
      </c>
      <c r="D59" s="259">
        <v>0.30674442351287806</v>
      </c>
      <c r="E59" s="259">
        <v>0.23473941651747562</v>
      </c>
      <c r="F59" s="260">
        <v>6.4063287535596883E-2</v>
      </c>
      <c r="G59" s="259">
        <v>0.44131061681687545</v>
      </c>
      <c r="H59" s="260">
        <v>7.3434839656367115E-2</v>
      </c>
      <c r="I59" s="260">
        <v>0.17881029142643576</v>
      </c>
      <c r="J59" s="260">
        <v>7.1350653515469528E-2</v>
      </c>
      <c r="K59" s="260">
        <v>8.6560432394260797E-2</v>
      </c>
      <c r="L59" s="258">
        <v>0.67715027987416665</v>
      </c>
      <c r="M59" s="258">
        <v>2.2053830839453354</v>
      </c>
      <c r="N59" s="260">
        <v>0.21471744466800793</v>
      </c>
      <c r="O59" s="260">
        <v>0.18546942708333336</v>
      </c>
    </row>
    <row r="60" spans="1:15">
      <c r="A60" t="s">
        <v>154</v>
      </c>
      <c r="B60">
        <v>198</v>
      </c>
      <c r="C60" s="258">
        <v>0.70137574124838231</v>
      </c>
      <c r="D60" s="259">
        <v>0.6184501640559521</v>
      </c>
      <c r="E60" s="259">
        <v>0.38212493519483581</v>
      </c>
      <c r="F60" s="260">
        <v>8.9196725153980569E-2</v>
      </c>
      <c r="G60" s="259">
        <v>1.1526548022092855</v>
      </c>
      <c r="H60" s="260">
        <v>5.0315345921991959E-2</v>
      </c>
      <c r="I60" s="260">
        <v>0.1037924698671696</v>
      </c>
      <c r="J60" s="260">
        <v>0.11001829826166515</v>
      </c>
      <c r="K60" s="260">
        <v>8.7056281374598629E-2</v>
      </c>
      <c r="L60" s="258">
        <v>0.73148170113936561</v>
      </c>
      <c r="M60" s="258">
        <v>2.230725966326768</v>
      </c>
      <c r="N60" s="260">
        <v>0.16368935779816518</v>
      </c>
      <c r="O60" s="260">
        <v>0.1739738461538462</v>
      </c>
    </row>
    <row r="61" spans="1:15">
      <c r="A61" t="s">
        <v>155</v>
      </c>
      <c r="B61">
        <v>570</v>
      </c>
      <c r="C61" s="258">
        <v>1.1201859459063455</v>
      </c>
      <c r="D61" s="259">
        <v>0.36673761616221728</v>
      </c>
      <c r="E61" s="259">
        <v>0.26833066700250202</v>
      </c>
      <c r="F61" s="260">
        <v>0.14218630071114549</v>
      </c>
      <c r="G61" s="259">
        <v>0.26591929630418132</v>
      </c>
      <c r="H61" s="260">
        <v>2.3551684219607235E-2</v>
      </c>
      <c r="I61" s="260">
        <v>4.2447162980928335E-2</v>
      </c>
      <c r="J61" s="260">
        <v>0.11205608582901963</v>
      </c>
      <c r="K61" s="260">
        <v>0.1101238512495032</v>
      </c>
      <c r="L61" s="258">
        <v>3.2779380568371916</v>
      </c>
      <c r="M61" s="258">
        <v>0.52178517197565</v>
      </c>
      <c r="N61" s="260">
        <v>0.15375774509803913</v>
      </c>
      <c r="O61" s="260">
        <v>0.26788618421052623</v>
      </c>
    </row>
    <row r="62" spans="1:15">
      <c r="A62" t="s">
        <v>156</v>
      </c>
      <c r="B62">
        <v>399</v>
      </c>
      <c r="C62" s="258">
        <v>0.64900522730761456</v>
      </c>
      <c r="D62" s="259">
        <v>0.63060379305006808</v>
      </c>
      <c r="E62" s="259">
        <v>0.38673023804913065</v>
      </c>
      <c r="F62" s="260">
        <v>0.17168078983501109</v>
      </c>
      <c r="G62" s="259">
        <v>0.43182901816236158</v>
      </c>
      <c r="H62" s="260">
        <v>2.7979305377621382E-2</v>
      </c>
      <c r="I62" s="260">
        <v>7.5112677635267661E-2</v>
      </c>
      <c r="J62" s="260">
        <v>7.7340295460836331E-2</v>
      </c>
      <c r="K62" s="260">
        <v>0.1105266130122913</v>
      </c>
      <c r="L62" s="258">
        <v>1.7407730165352109</v>
      </c>
      <c r="M62" s="258">
        <v>0.89466897392676226</v>
      </c>
      <c r="N62" s="260">
        <v>9.6125774058577459E-2</v>
      </c>
      <c r="O62" s="260">
        <v>0.16012682926829266</v>
      </c>
    </row>
    <row r="63" spans="1:15">
      <c r="A63" t="s">
        <v>157</v>
      </c>
      <c r="B63">
        <v>318</v>
      </c>
      <c r="C63" s="258">
        <v>0.6406801567005922</v>
      </c>
      <c r="D63" s="259">
        <v>0.91947428864646608</v>
      </c>
      <c r="E63" s="259">
        <v>0.47902401927709137</v>
      </c>
      <c r="F63" s="260">
        <v>0.11752427845115958</v>
      </c>
      <c r="G63" s="259">
        <v>0.80785832593876172</v>
      </c>
      <c r="H63" s="260">
        <v>1.9528918368241877E-2</v>
      </c>
      <c r="I63" s="260">
        <v>5.1751751316353359E-2</v>
      </c>
      <c r="J63" s="260">
        <v>3.4678800358791326E-2</v>
      </c>
      <c r="K63" s="260">
        <v>3.977068415370108E-2</v>
      </c>
      <c r="L63" s="258">
        <v>1.0229310528463218</v>
      </c>
      <c r="M63" s="258">
        <v>1.0610294672543215</v>
      </c>
      <c r="N63" s="260">
        <v>6.1749200000000018E-2</v>
      </c>
      <c r="O63" s="260">
        <v>0.13857394736842102</v>
      </c>
    </row>
    <row r="64" spans="1:15">
      <c r="A64" t="s">
        <v>687</v>
      </c>
      <c r="B64">
        <v>823</v>
      </c>
      <c r="C64" s="258">
        <v>0.87854751932400155</v>
      </c>
      <c r="D64" s="259">
        <v>0.14738193988584264</v>
      </c>
      <c r="E64" s="259">
        <v>0.12845063597611292</v>
      </c>
      <c r="F64" s="260">
        <v>0.12527630917514948</v>
      </c>
      <c r="G64" s="259">
        <v>0.44830470791248039</v>
      </c>
      <c r="H64" s="260">
        <v>0.12548165373860809</v>
      </c>
      <c r="I64" s="260">
        <v>0.21124547312139913</v>
      </c>
      <c r="J64" s="260">
        <v>0.13756466615615751</v>
      </c>
      <c r="K64" s="260">
        <v>0.18458485885143924</v>
      </c>
      <c r="L64" s="258">
        <v>1.1313130641911926</v>
      </c>
      <c r="M64" s="258">
        <v>2.7768781329496357</v>
      </c>
      <c r="N64" s="260">
        <v>0.13718281779661015</v>
      </c>
      <c r="O64" s="260">
        <v>0.18461901840490796</v>
      </c>
    </row>
    <row r="65" spans="1:15">
      <c r="A65" t="s">
        <v>162</v>
      </c>
      <c r="B65">
        <v>719</v>
      </c>
      <c r="C65" s="258">
        <v>0.46571159919936733</v>
      </c>
      <c r="D65" s="259">
        <v>1.0583687750729447</v>
      </c>
      <c r="E65" s="259">
        <v>0.51417840568215878</v>
      </c>
      <c r="F65" s="260">
        <v>0.15121433315735014</v>
      </c>
      <c r="G65" s="259">
        <v>0.93767391983536252</v>
      </c>
      <c r="H65" s="260">
        <v>3.6183440206134725E-2</v>
      </c>
      <c r="I65" s="260">
        <v>0.10490641017965401</v>
      </c>
      <c r="J65" s="260">
        <v>5.2288425233671075E-2</v>
      </c>
      <c r="K65" s="260">
        <v>5.1415934522440754E-2</v>
      </c>
      <c r="L65" s="258">
        <v>0.63882390558824897</v>
      </c>
      <c r="M65" s="258">
        <v>1.8008799264794775</v>
      </c>
      <c r="N65" s="260">
        <v>0.13968113350125949</v>
      </c>
      <c r="O65" s="260">
        <v>0.11643202072538869</v>
      </c>
    </row>
    <row r="66" spans="1:15">
      <c r="A66" t="s">
        <v>163</v>
      </c>
      <c r="B66">
        <v>1237</v>
      </c>
      <c r="C66" s="258">
        <v>1.1564456467576896</v>
      </c>
      <c r="D66" s="259">
        <v>0.1465523720712881</v>
      </c>
      <c r="E66" s="259">
        <v>0.12782004175398981</v>
      </c>
      <c r="F66" s="260">
        <v>3.5163894758326451E-2</v>
      </c>
      <c r="G66" s="259">
        <v>0.61888375896792258</v>
      </c>
      <c r="H66" s="260">
        <v>6.9809558409870617E-2</v>
      </c>
      <c r="I66" s="260">
        <v>0.18628072383920091</v>
      </c>
      <c r="J66" s="260">
        <v>4.9668588148544031E-2</v>
      </c>
      <c r="K66" s="260">
        <v>8.7868884581481482E-2</v>
      </c>
      <c r="L66" s="258">
        <v>0.58494360152731506</v>
      </c>
      <c r="M66" s="258">
        <v>3.0160871637482276</v>
      </c>
      <c r="N66" s="260">
        <v>0.40883678414096913</v>
      </c>
      <c r="O66" s="260">
        <v>0.18469026315789464</v>
      </c>
    </row>
    <row r="67" spans="1:15">
      <c r="A67" t="s">
        <v>688</v>
      </c>
      <c r="B67">
        <v>401</v>
      </c>
      <c r="C67" s="258">
        <v>0.74819549045732969</v>
      </c>
      <c r="D67" s="259">
        <v>0.39773242511614509</v>
      </c>
      <c r="E67" s="259">
        <v>0.28455548284436155</v>
      </c>
      <c r="F67" s="260">
        <v>0.15266991732439025</v>
      </c>
      <c r="G67" s="259">
        <v>17.315209792181161</v>
      </c>
      <c r="H67" s="260">
        <v>1.5744714237888361E-3</v>
      </c>
      <c r="I67" s="260">
        <v>7.9530336219990047E-2</v>
      </c>
      <c r="J67" s="260">
        <v>2.5763947429641824E-3</v>
      </c>
      <c r="K67" s="260">
        <v>0.10443540215658349</v>
      </c>
      <c r="L67" s="258">
        <v>1.790902713226729</v>
      </c>
      <c r="M67" s="258">
        <v>1.1827907209052237</v>
      </c>
      <c r="N67" s="260">
        <v>1.4528235294117649E-2</v>
      </c>
      <c r="O67" s="260">
        <v>-4.0463934426229489E-2</v>
      </c>
    </row>
    <row r="68" spans="1:15">
      <c r="A68" t="s">
        <v>168</v>
      </c>
      <c r="B68">
        <v>48</v>
      </c>
      <c r="C68" s="258">
        <v>0.14150887038897503</v>
      </c>
      <c r="D68" s="259">
        <v>5.6060416021906034</v>
      </c>
      <c r="E68" s="259">
        <v>0.84862341774105776</v>
      </c>
      <c r="F68" s="260">
        <v>2.9900643410690386E-2</v>
      </c>
      <c r="G68" s="259">
        <v>0.55739090025769955</v>
      </c>
      <c r="H68" s="260">
        <v>0.61889339742379113</v>
      </c>
      <c r="I68" s="260">
        <v>2.6709167718673911E-2</v>
      </c>
      <c r="J68" s="260">
        <v>0.10893496307020913</v>
      </c>
      <c r="K68" s="260">
        <v>6.9490982459198677E-4</v>
      </c>
      <c r="L68" s="258">
        <v>2.1027730843958935E-2</v>
      </c>
      <c r="M68" s="258">
        <v>47.027694432645113</v>
      </c>
      <c r="N68" s="260">
        <v>2.020526315789473E-2</v>
      </c>
      <c r="O68" s="260">
        <v>4.9420000000000006E-2</v>
      </c>
    </row>
    <row r="69" spans="1:15">
      <c r="A69" t="s">
        <v>169</v>
      </c>
      <c r="B69">
        <v>56</v>
      </c>
      <c r="C69" s="258">
        <v>0.46247723844838884</v>
      </c>
      <c r="D69" s="259">
        <v>0.65383130665697065</v>
      </c>
      <c r="E69" s="259">
        <v>0.39534340898323861</v>
      </c>
      <c r="F69" s="260">
        <v>0.21559827941420054</v>
      </c>
      <c r="G69" s="259">
        <v>0.24665614310999281</v>
      </c>
      <c r="H69" s="260">
        <v>9.0687833098883092E-2</v>
      </c>
      <c r="I69" s="260">
        <v>0.1799760520378999</v>
      </c>
      <c r="J69" s="260">
        <v>0.11677176289259959</v>
      </c>
      <c r="K69" s="260">
        <v>7.27314001115381E-2</v>
      </c>
      <c r="L69" s="258">
        <v>0.59510648102217589</v>
      </c>
      <c r="M69" s="258">
        <v>2.2670575572430249</v>
      </c>
      <c r="N69" s="260">
        <v>3.8290222222222225E-2</v>
      </c>
      <c r="O69" s="260">
        <v>0.17270250000000001</v>
      </c>
    </row>
    <row r="70" spans="1:15">
      <c r="A70" t="s">
        <v>689</v>
      </c>
      <c r="B70">
        <v>415</v>
      </c>
      <c r="C70" s="258">
        <v>0.68600875664195171</v>
      </c>
      <c r="D70" s="259">
        <v>0.7708545115861325</v>
      </c>
      <c r="E70" s="259">
        <v>0.43530087115721761</v>
      </c>
      <c r="F70" s="260">
        <v>0.12959918552261648</v>
      </c>
      <c r="G70" s="259">
        <v>0.22437695350275419</v>
      </c>
      <c r="H70" s="260">
        <v>0.13080000184855392</v>
      </c>
      <c r="I70" s="260">
        <v>0.15391785644426387</v>
      </c>
      <c r="J70" s="260">
        <v>8.5099548249833859E-2</v>
      </c>
      <c r="K70" s="260">
        <v>4.323068065845561E-2</v>
      </c>
      <c r="L70" s="258">
        <v>0.3149407091897547</v>
      </c>
      <c r="M70" s="258">
        <v>3.243399722069833</v>
      </c>
      <c r="N70" s="260">
        <v>5.647551020408164E-2</v>
      </c>
      <c r="O70" s="260">
        <v>0.18537355555555554</v>
      </c>
    </row>
    <row r="71" spans="1:15">
      <c r="A71" t="s">
        <v>690</v>
      </c>
      <c r="B71">
        <v>611</v>
      </c>
      <c r="C71" s="258">
        <v>0.84209470660450647</v>
      </c>
      <c r="D71" s="259">
        <v>0.64592560454768966</v>
      </c>
      <c r="E71" s="259">
        <v>0.39243912529399771</v>
      </c>
      <c r="F71" s="260">
        <v>0.17320779751389026</v>
      </c>
      <c r="G71" s="259">
        <v>0.32507751230984577</v>
      </c>
      <c r="H71" s="260">
        <v>0.19741140735495419</v>
      </c>
      <c r="I71" s="260">
        <v>0.24177438014744446</v>
      </c>
      <c r="J71" s="260">
        <v>0.1295688476320063</v>
      </c>
      <c r="K71" s="260">
        <v>7.2829995426871325E-2</v>
      </c>
      <c r="L71" s="258">
        <v>0.35775391566685766</v>
      </c>
      <c r="M71" s="258">
        <v>3.1001233183999117</v>
      </c>
      <c r="N71" s="260">
        <v>0.12444557894736849</v>
      </c>
      <c r="O71" s="260">
        <v>0.19952306818181811</v>
      </c>
    </row>
    <row r="72" spans="1:15">
      <c r="A72" t="s">
        <v>691</v>
      </c>
      <c r="B72">
        <v>439</v>
      </c>
      <c r="C72" s="258">
        <v>0.55885008199459507</v>
      </c>
      <c r="D72" s="259">
        <v>0.85838178285182165</v>
      </c>
      <c r="E72" s="259">
        <v>0.46189743720720966</v>
      </c>
      <c r="F72" s="260">
        <v>0.13512592888789257</v>
      </c>
      <c r="G72" s="259">
        <v>0.22356995233021629</v>
      </c>
      <c r="H72" s="260">
        <v>0.22993879924122251</v>
      </c>
      <c r="I72" s="260">
        <v>0.29362023765571643</v>
      </c>
      <c r="J72" s="260">
        <v>8.7591798764781695E-2</v>
      </c>
      <c r="K72" s="260">
        <v>4.5774822624652857E-2</v>
      </c>
      <c r="L72" s="258">
        <v>0.17507772378329567</v>
      </c>
      <c r="M72" s="258">
        <v>6.0330491882414297</v>
      </c>
      <c r="N72" s="260">
        <v>0.10175546558704462</v>
      </c>
      <c r="O72" s="260">
        <v>0.15898363636363635</v>
      </c>
    </row>
    <row r="73" spans="1:15">
      <c r="A73" t="s">
        <v>170</v>
      </c>
      <c r="B73">
        <v>292</v>
      </c>
      <c r="C73" s="258">
        <v>0.85962532499770583</v>
      </c>
      <c r="D73" s="259">
        <v>0.31837722264377571</v>
      </c>
      <c r="E73" s="259">
        <v>0.24149174999043574</v>
      </c>
      <c r="F73" s="260">
        <v>0.153036616419371</v>
      </c>
      <c r="G73" s="259">
        <v>0.28253423684554452</v>
      </c>
      <c r="H73" s="260">
        <v>5.9716173304799593E-2</v>
      </c>
      <c r="I73" s="260">
        <v>0.11005988402328172</v>
      </c>
      <c r="J73" s="260">
        <v>9.6543641298588737E-2</v>
      </c>
      <c r="K73" s="260">
        <v>0.10465064712137845</v>
      </c>
      <c r="L73" s="258">
        <v>1.3056284765850021</v>
      </c>
      <c r="M73" s="258">
        <v>1.3113308009175424</v>
      </c>
      <c r="N73" s="260">
        <v>1.9278839779005533E-2</v>
      </c>
      <c r="O73" s="260">
        <v>0.16353269230769235</v>
      </c>
    </row>
    <row r="74" spans="1:15">
      <c r="A74" t="s">
        <v>171</v>
      </c>
      <c r="B74">
        <v>35</v>
      </c>
      <c r="C74" s="258">
        <v>0.85852586609357462</v>
      </c>
      <c r="D74" s="259">
        <v>0.42788779905685909</v>
      </c>
      <c r="E74" s="259">
        <v>0.29966486116029933</v>
      </c>
      <c r="F74" s="260">
        <v>0.11474449308985862</v>
      </c>
      <c r="G74" s="259">
        <v>0.24173847558688022</v>
      </c>
      <c r="H74" s="260">
        <v>8.864108516509793E-2</v>
      </c>
      <c r="I74" s="260">
        <v>0.122955951055032</v>
      </c>
      <c r="J74" s="260">
        <v>0.14392365263547266</v>
      </c>
      <c r="K74" s="260">
        <v>0.15666046180161236</v>
      </c>
      <c r="L74" s="258">
        <v>1.250042691737536</v>
      </c>
      <c r="M74" s="258">
        <v>0.73247444741826551</v>
      </c>
      <c r="N74" s="260">
        <v>6.0190370370370366E-2</v>
      </c>
      <c r="O74" s="260">
        <v>0.1529625</v>
      </c>
    </row>
    <row r="75" spans="1:15">
      <c r="A75" t="s">
        <v>172</v>
      </c>
      <c r="B75">
        <v>298</v>
      </c>
      <c r="C75" s="258">
        <v>0.6222293474649695</v>
      </c>
      <c r="D75" s="259">
        <v>0.2325521987457202</v>
      </c>
      <c r="E75" s="259">
        <v>0.1886753347909905</v>
      </c>
      <c r="F75" s="260">
        <v>0.20902208001557498</v>
      </c>
      <c r="G75" s="259">
        <v>0.40978523745220963</v>
      </c>
      <c r="H75" s="260">
        <v>6.1415357125871692E-2</v>
      </c>
      <c r="I75" s="260">
        <v>0.11373371854502599</v>
      </c>
      <c r="J75" s="260">
        <v>0.19631804747123466</v>
      </c>
      <c r="K75" s="260">
        <v>0.18978398040723612</v>
      </c>
      <c r="L75" s="258">
        <v>2.1986622118295704</v>
      </c>
      <c r="M75" s="258">
        <v>1.55335949537561</v>
      </c>
      <c r="N75" s="260">
        <v>6.4833586956521763E-2</v>
      </c>
      <c r="O75" s="260">
        <v>0.15534263157894729</v>
      </c>
    </row>
    <row r="76" spans="1:15">
      <c r="A76" t="s">
        <v>692</v>
      </c>
      <c r="B76">
        <v>138</v>
      </c>
      <c r="C76" s="258">
        <v>0.74458978591639824</v>
      </c>
      <c r="D76" s="259">
        <v>0.51599210777480853</v>
      </c>
      <c r="E76" s="259">
        <v>0.34036595911583462</v>
      </c>
      <c r="F76" s="260">
        <v>0.19418999899345732</v>
      </c>
      <c r="G76" s="259">
        <v>0.16707367227570999</v>
      </c>
      <c r="H76" s="260">
        <v>2.8178681734171714E-2</v>
      </c>
      <c r="I76" s="260">
        <v>5.115970360431199E-2</v>
      </c>
      <c r="J76" s="260">
        <v>0.17681722990321677</v>
      </c>
      <c r="K76" s="260">
        <v>0.1295642364407921</v>
      </c>
      <c r="L76" s="258">
        <v>3.1065697173456903</v>
      </c>
      <c r="M76" s="258">
        <v>0.63128733223839062</v>
      </c>
      <c r="N76" s="260">
        <v>6.016524390243902E-2</v>
      </c>
      <c r="O76" s="260">
        <v>0.15756428571428574</v>
      </c>
    </row>
    <row r="77" spans="1:15">
      <c r="A77" t="s">
        <v>693</v>
      </c>
      <c r="B77">
        <v>51</v>
      </c>
      <c r="C77" s="258">
        <v>0.67643389863760539</v>
      </c>
      <c r="D77" s="259">
        <v>0.18795086276266601</v>
      </c>
      <c r="E77" s="259">
        <v>0.15821434089081146</v>
      </c>
      <c r="F77" s="260">
        <v>0.23149991805645453</v>
      </c>
      <c r="G77" s="259">
        <v>0.38169536802262488</v>
      </c>
      <c r="H77" s="260">
        <v>3.9104905237575156E-2</v>
      </c>
      <c r="I77" s="260">
        <v>7.4329230135734115E-2</v>
      </c>
      <c r="J77" s="260">
        <v>0.13278473782715688</v>
      </c>
      <c r="K77" s="260">
        <v>0.12752847877683246</v>
      </c>
      <c r="L77" s="258">
        <v>2.716956495956818</v>
      </c>
      <c r="M77" s="258">
        <v>0.95044154248456947</v>
      </c>
      <c r="N77" s="260">
        <v>5.1010322580645168E-2</v>
      </c>
      <c r="O77" s="260">
        <v>0.13614375000000001</v>
      </c>
    </row>
    <row r="78" spans="1:15">
      <c r="A78" t="s">
        <v>694</v>
      </c>
      <c r="B78">
        <v>842</v>
      </c>
      <c r="C78" s="258">
        <v>0.61181862427463385</v>
      </c>
      <c r="D78" s="259">
        <v>0.97725986776464446</v>
      </c>
      <c r="E78" s="259">
        <v>0.49424958433484412</v>
      </c>
      <c r="F78" s="260">
        <v>0.19161858728879921</v>
      </c>
      <c r="G78" s="259">
        <v>0.30473970648151311</v>
      </c>
      <c r="H78" s="260">
        <v>2.5956795188551731E-2</v>
      </c>
      <c r="I78" s="260">
        <v>3.5213673309508309E-2</v>
      </c>
      <c r="J78" s="260">
        <v>0.11505537452001545</v>
      </c>
      <c r="K78" s="260">
        <v>5.9033005064178926E-2</v>
      </c>
      <c r="L78" s="258">
        <v>2.0578082248880514</v>
      </c>
      <c r="M78" s="258">
        <v>0.57416048302530842</v>
      </c>
      <c r="N78" s="260">
        <v>6.2879579524680013E-2</v>
      </c>
      <c r="O78" s="260">
        <v>0.16590471698113202</v>
      </c>
    </row>
    <row r="79" spans="1:15">
      <c r="A79" t="s">
        <v>695</v>
      </c>
      <c r="B79">
        <v>226</v>
      </c>
      <c r="C79" s="258">
        <v>0.77614509301361545</v>
      </c>
      <c r="D79" s="259">
        <v>0.3206671606864917</v>
      </c>
      <c r="E79" s="259">
        <v>0.24280694654344762</v>
      </c>
      <c r="F79" s="260">
        <v>0.22208440799120893</v>
      </c>
      <c r="G79" s="259">
        <v>0.35735866476787975</v>
      </c>
      <c r="H79" s="260">
        <v>2.8222240632174427E-2</v>
      </c>
      <c r="I79" s="260">
        <v>5.1045242739652691E-2</v>
      </c>
      <c r="J79" s="260">
        <v>0.13345534276401574</v>
      </c>
      <c r="K79" s="260">
        <v>0.12281433543393164</v>
      </c>
      <c r="L79" s="258">
        <v>3.2830960651556982</v>
      </c>
      <c r="M79" s="258">
        <v>0.65051708191210256</v>
      </c>
      <c r="N79" s="260">
        <v>7.6910303030303051E-2</v>
      </c>
      <c r="O79" s="260">
        <v>0.15608163636363634</v>
      </c>
    </row>
    <row r="80" spans="1:15">
      <c r="A80" t="s">
        <v>696</v>
      </c>
      <c r="B80">
        <v>170</v>
      </c>
      <c r="C80" s="258">
        <v>0.53883320210388141</v>
      </c>
      <c r="D80" s="259">
        <v>0.38108132115438431</v>
      </c>
      <c r="E80" s="259">
        <v>0.27592967576728605</v>
      </c>
      <c r="F80" s="260">
        <v>0.23429834976182382</v>
      </c>
      <c r="G80" s="259">
        <v>0.39982567386956547</v>
      </c>
      <c r="H80" s="260">
        <v>2.1535981280594186E-2</v>
      </c>
      <c r="I80" s="260">
        <v>4.1442453248080095E-2</v>
      </c>
      <c r="J80" s="260">
        <v>0.12109185720802973</v>
      </c>
      <c r="K80" s="260">
        <v>0.12940696233612775</v>
      </c>
      <c r="L80" s="258">
        <v>3.9556312848066009</v>
      </c>
      <c r="M80" s="258">
        <v>0.48231525179877932</v>
      </c>
      <c r="N80" s="260">
        <v>5.9264913793103433E-2</v>
      </c>
      <c r="O80" s="260">
        <v>0.13191666666666665</v>
      </c>
    </row>
    <row r="81" spans="1:15">
      <c r="A81" t="s">
        <v>697</v>
      </c>
      <c r="B81">
        <v>108</v>
      </c>
      <c r="C81" s="258">
        <v>1.0809585904094681</v>
      </c>
      <c r="D81" s="259">
        <v>4.9967524442840257E-2</v>
      </c>
      <c r="E81" s="259">
        <v>4.7589590420289672E-2</v>
      </c>
      <c r="F81" s="260">
        <v>0.11104019915513458</v>
      </c>
      <c r="G81" s="259">
        <v>0.21173029441121505</v>
      </c>
      <c r="H81" s="260">
        <v>2.8320932710000336E-2</v>
      </c>
      <c r="I81" s="260">
        <v>5.0165908775816434E-2</v>
      </c>
      <c r="J81" s="260">
        <v>0.14072969077098335</v>
      </c>
      <c r="K81" s="260">
        <v>0.44105144417936853</v>
      </c>
      <c r="L81" s="258">
        <v>7.8235588976598569</v>
      </c>
      <c r="M81" s="258">
        <v>2.1112097622148145</v>
      </c>
      <c r="N81" s="260">
        <v>0.1255171428571428</v>
      </c>
      <c r="O81" s="260">
        <v>0.31942941176470596</v>
      </c>
    </row>
    <row r="82" spans="1:15">
      <c r="A82" t="s">
        <v>698</v>
      </c>
      <c r="B82">
        <v>536</v>
      </c>
      <c r="C82" s="258">
        <v>1.0097732353365025</v>
      </c>
      <c r="D82" s="259">
        <v>0.13846521421926775</v>
      </c>
      <c r="E82" s="259">
        <v>0.12162445763810525</v>
      </c>
      <c r="F82" s="260">
        <v>0.20099906012997903</v>
      </c>
      <c r="G82" s="259">
        <v>0.31625492671600097</v>
      </c>
      <c r="H82" s="260">
        <v>3.5332048685021711E-2</v>
      </c>
      <c r="I82" s="260">
        <v>6.6203841664265309E-2</v>
      </c>
      <c r="J82" s="260">
        <v>0.13634852355543031</v>
      </c>
      <c r="K82" s="260">
        <v>0.18526557247241501</v>
      </c>
      <c r="L82" s="258">
        <v>3.9357251813910565</v>
      </c>
      <c r="M82" s="258">
        <v>0.79393851389594006</v>
      </c>
      <c r="N82" s="260">
        <v>5.0006084507042255E-2</v>
      </c>
      <c r="O82" s="260">
        <v>0.12166972067039108</v>
      </c>
    </row>
    <row r="83" spans="1:15">
      <c r="A83" t="s">
        <v>699</v>
      </c>
      <c r="B83">
        <v>91</v>
      </c>
      <c r="C83" s="258">
        <v>0.83540255151589293</v>
      </c>
      <c r="D83" s="259">
        <v>0.51661990018090731</v>
      </c>
      <c r="E83" s="259">
        <v>0.34063900923315282</v>
      </c>
      <c r="F83" s="260">
        <v>0.16863410770069473</v>
      </c>
      <c r="G83" s="259">
        <v>0.16286086037556274</v>
      </c>
      <c r="H83" s="260">
        <v>4.7101283845691753E-2</v>
      </c>
      <c r="I83" s="260">
        <v>8.1014666844715519E-2</v>
      </c>
      <c r="J83" s="260">
        <v>0.15868866274633939</v>
      </c>
      <c r="K83" s="260">
        <v>0.11743574953244992</v>
      </c>
      <c r="L83" s="258">
        <v>1.7690917032377307</v>
      </c>
      <c r="M83" s="258">
        <v>0.78034034588094747</v>
      </c>
      <c r="N83" s="260">
        <v>0.10448872727272727</v>
      </c>
      <c r="O83" s="260">
        <v>0.35670000000000002</v>
      </c>
    </row>
    <row r="84" spans="1:15">
      <c r="A84" t="s">
        <v>178</v>
      </c>
      <c r="B84">
        <v>564</v>
      </c>
      <c r="C84" s="258">
        <v>1.1951111769105758</v>
      </c>
      <c r="D84" s="259">
        <v>0.13876727835002259</v>
      </c>
      <c r="E84" s="259">
        <v>0.12185745146373068</v>
      </c>
      <c r="F84" s="260">
        <v>8.1865534112857768E-2</v>
      </c>
      <c r="G84" s="259">
        <v>0.3844159488711002</v>
      </c>
      <c r="H84" s="260">
        <v>7.2108027990282056E-2</v>
      </c>
      <c r="I84" s="260">
        <v>0.11304414245383274</v>
      </c>
      <c r="J84" s="260">
        <v>0.10198236053112676</v>
      </c>
      <c r="K84" s="260">
        <v>0.12923674209955568</v>
      </c>
      <c r="L84" s="258">
        <v>1.3033747048715254</v>
      </c>
      <c r="M84" s="258">
        <v>1.6611199188872057</v>
      </c>
      <c r="N84" s="260">
        <v>5.7029520958083786E-2</v>
      </c>
      <c r="O84" s="260">
        <v>0.17728076923076921</v>
      </c>
    </row>
    <row r="85" spans="1:15">
      <c r="A85" t="s">
        <v>179</v>
      </c>
      <c r="B85">
        <v>264</v>
      </c>
      <c r="C85" s="258">
        <v>1.4884850652482655</v>
      </c>
      <c r="D85" s="259">
        <v>0.22441067373727866</v>
      </c>
      <c r="E85" s="259">
        <v>0.18328055982418723</v>
      </c>
      <c r="F85" s="260">
        <v>7.8220330178763328E-2</v>
      </c>
      <c r="G85" s="259" t="s">
        <v>191</v>
      </c>
      <c r="H85" s="260">
        <v>-1.3725178529108734E-2</v>
      </c>
      <c r="I85" s="260">
        <v>7.8210144772517837E-2</v>
      </c>
      <c r="J85" s="260">
        <v>-1.6594550237347485E-2</v>
      </c>
      <c r="K85" s="260">
        <v>7.9663135430841955E-2</v>
      </c>
      <c r="L85" s="258">
        <v>1.2070717291954853</v>
      </c>
      <c r="M85" s="258">
        <v>1.5211266147931457</v>
      </c>
      <c r="N85" s="260">
        <v>8.6603378378378466E-3</v>
      </c>
      <c r="O85" s="260">
        <v>0.12938728813559328</v>
      </c>
    </row>
    <row r="86" spans="1:15">
      <c r="A86" t="s">
        <v>700</v>
      </c>
      <c r="B86">
        <v>351</v>
      </c>
      <c r="C86" s="258">
        <v>0.67943737587117603</v>
      </c>
      <c r="D86" s="259">
        <v>0.90708266590415831</v>
      </c>
      <c r="E86" s="259">
        <v>0.47563888137701965</v>
      </c>
      <c r="F86" s="260">
        <v>0.11282263784898455</v>
      </c>
      <c r="G86" s="259">
        <v>4.9714458391445913</v>
      </c>
      <c r="H86" s="260">
        <v>3.5187588423111161E-3</v>
      </c>
      <c r="I86" s="260">
        <v>5.053346367914989E-2</v>
      </c>
      <c r="J86" s="260">
        <v>5.3693012722046537E-3</v>
      </c>
      <c r="K86" s="260">
        <v>2.9658550158644766E-2</v>
      </c>
      <c r="L86" s="258">
        <v>0.82482600469485401</v>
      </c>
      <c r="M86" s="258">
        <v>1.2362135865826847</v>
      </c>
      <c r="N86" s="260">
        <v>8.502009174311928E-2</v>
      </c>
      <c r="O86" s="260">
        <v>1.8723239436619708E-2</v>
      </c>
    </row>
    <row r="87" spans="1:15">
      <c r="A87" t="s">
        <v>180</v>
      </c>
      <c r="B87">
        <v>95</v>
      </c>
      <c r="C87" s="258">
        <v>1.0625745588883744</v>
      </c>
      <c r="D87" s="259">
        <v>7.4166038462712358E-2</v>
      </c>
      <c r="E87" s="259">
        <v>6.9045227466746878E-2</v>
      </c>
      <c r="F87" s="260">
        <v>0.16816489888712244</v>
      </c>
      <c r="G87" s="259">
        <v>0.18130121566689711</v>
      </c>
      <c r="H87" s="260">
        <v>7.1605527346568984E-2</v>
      </c>
      <c r="I87" s="260">
        <v>9.8148346260372596E-2</v>
      </c>
      <c r="J87" s="260">
        <v>0.16285188850096152</v>
      </c>
      <c r="K87" s="260">
        <v>0.18162099718869681</v>
      </c>
      <c r="L87" s="258">
        <v>2.1224223114715013</v>
      </c>
      <c r="M87" s="258">
        <v>1.2745583314977604</v>
      </c>
      <c r="N87" s="260">
        <v>8.9848799999999965E-2</v>
      </c>
      <c r="O87" s="260">
        <v>0.14722916666666666</v>
      </c>
    </row>
    <row r="88" spans="1:15">
      <c r="A88" t="s">
        <v>273</v>
      </c>
      <c r="B88">
        <v>725</v>
      </c>
      <c r="C88" s="258">
        <v>0.86176075857312295</v>
      </c>
      <c r="D88" s="259">
        <v>0.81017739734699612</v>
      </c>
      <c r="E88" s="259">
        <v>0.44756795578952407</v>
      </c>
      <c r="F88" s="260">
        <v>0.12676501987562283</v>
      </c>
      <c r="G88" s="259">
        <v>4.114254266931165</v>
      </c>
      <c r="H88" s="260">
        <v>3.252065398094963E-3</v>
      </c>
      <c r="I88" s="260">
        <v>3.8624528895659552E-2</v>
      </c>
      <c r="J88" s="260">
        <v>7.1754651712338533E-3</v>
      </c>
      <c r="K88" s="260">
        <v>3.9699000469562609E-2</v>
      </c>
      <c r="L88" s="258">
        <v>1.3566779998527492</v>
      </c>
      <c r="M88" s="258">
        <v>0.74630113806999543</v>
      </c>
      <c r="N88" s="260">
        <v>8.3488937198067645E-2</v>
      </c>
      <c r="O88" s="260">
        <v>0.17150891089108913</v>
      </c>
    </row>
    <row r="89" spans="1:15">
      <c r="A89" t="s">
        <v>701</v>
      </c>
      <c r="B89">
        <v>117</v>
      </c>
      <c r="C89" s="258">
        <v>0.7949809663324604</v>
      </c>
      <c r="D89" s="259">
        <v>0.31987181735428366</v>
      </c>
      <c r="E89" s="259">
        <v>0.24235066856376614</v>
      </c>
      <c r="F89" s="260">
        <v>0.14756589171578821</v>
      </c>
      <c r="G89" s="259">
        <v>1.1137504908395501</v>
      </c>
      <c r="H89" s="260">
        <v>4.9038949478821835E-2</v>
      </c>
      <c r="I89" s="260">
        <v>0.16860547140026799</v>
      </c>
      <c r="J89" s="260">
        <v>6.287594568565473E-2</v>
      </c>
      <c r="K89" s="260">
        <v>0.12458700319836691</v>
      </c>
      <c r="L89" s="258">
        <v>0.9567925072795207</v>
      </c>
      <c r="M89" s="258">
        <v>1.8716334698373602</v>
      </c>
      <c r="N89" s="260">
        <v>8.4322027027027027E-2</v>
      </c>
      <c r="O89" s="260">
        <v>0.11641874999999997</v>
      </c>
    </row>
    <row r="90" spans="1:15">
      <c r="A90" t="s">
        <v>181</v>
      </c>
      <c r="B90">
        <v>550</v>
      </c>
      <c r="C90" s="258">
        <v>1.1840291680545039</v>
      </c>
      <c r="D90" s="259">
        <v>0.15229622542804117</v>
      </c>
      <c r="E90" s="259">
        <v>0.1321675989795662</v>
      </c>
      <c r="F90" s="260">
        <v>9.0902557017808874E-2</v>
      </c>
      <c r="G90" s="259">
        <v>0.46053266708053731</v>
      </c>
      <c r="H90" s="260">
        <v>5.8953067155691811E-2</v>
      </c>
      <c r="I90" s="260">
        <v>7.462199940806577E-2</v>
      </c>
      <c r="J90" s="260">
        <v>9.4317207124694352E-2</v>
      </c>
      <c r="K90" s="260">
        <v>0.11819701789794725</v>
      </c>
      <c r="L90" s="258">
        <v>1.9256100372650315</v>
      </c>
      <c r="M90" s="258">
        <v>1.3674961737803535</v>
      </c>
      <c r="N90" s="260">
        <v>3.5465621118012464E-2</v>
      </c>
      <c r="O90" s="260">
        <v>0.18691704545454543</v>
      </c>
    </row>
    <row r="91" spans="1:15">
      <c r="A91" t="s">
        <v>182</v>
      </c>
      <c r="B91">
        <v>325</v>
      </c>
      <c r="C91" s="258">
        <v>0.62996984955317947</v>
      </c>
      <c r="D91" s="259">
        <v>0.65539117052119555</v>
      </c>
      <c r="E91" s="259">
        <v>0.39591317278492394</v>
      </c>
      <c r="F91" s="260">
        <v>0.11920703995126393</v>
      </c>
      <c r="G91" s="259">
        <v>1.0339697949541493</v>
      </c>
      <c r="H91" s="260">
        <v>5.5795320953155154E-2</v>
      </c>
      <c r="I91" s="260">
        <v>0.14711522732832852</v>
      </c>
      <c r="J91" s="260">
        <v>9.0142400645158716E-2</v>
      </c>
      <c r="K91" s="260">
        <v>0.12331212771077386</v>
      </c>
      <c r="L91" s="258">
        <v>0.9834016635045989</v>
      </c>
      <c r="M91" s="258">
        <v>1.5585572069142131</v>
      </c>
      <c r="N91" s="260">
        <v>7.8780638297872366E-2</v>
      </c>
      <c r="O91" s="260">
        <v>8.7909708737864092E-2</v>
      </c>
    </row>
    <row r="92" spans="1:15">
      <c r="A92" t="s">
        <v>184</v>
      </c>
      <c r="B92">
        <v>295</v>
      </c>
      <c r="C92" s="258">
        <v>1.6637483459917994E-2</v>
      </c>
      <c r="D92" s="259">
        <v>54.324645444664448</v>
      </c>
      <c r="E92" s="259">
        <v>0.98192487286700836</v>
      </c>
      <c r="F92" s="260">
        <v>0.18113273979047551</v>
      </c>
      <c r="G92" s="259">
        <v>9.1577641741400706E-2</v>
      </c>
      <c r="H92" s="260">
        <v>0.3906671476315644</v>
      </c>
      <c r="I92" s="260">
        <v>5.9168972719338825E-3</v>
      </c>
      <c r="J92" s="260">
        <v>-0.12111315907996777</v>
      </c>
      <c r="K92" s="260">
        <v>-2.4656018583649233E-5</v>
      </c>
      <c r="L92" s="258">
        <v>8.9526740535990062E-3</v>
      </c>
      <c r="M92" s="258">
        <v>112.28359791108633</v>
      </c>
      <c r="N92" s="260">
        <v>7.2674387755102016E-2</v>
      </c>
      <c r="O92" s="260">
        <v>8.2893750000000016E-2</v>
      </c>
    </row>
    <row r="93" spans="1:15">
      <c r="A93" t="s">
        <v>185</v>
      </c>
      <c r="B93">
        <v>48</v>
      </c>
      <c r="C93" s="258">
        <v>0.49225901740391947</v>
      </c>
      <c r="D93" s="259">
        <v>0.15475655890102114</v>
      </c>
      <c r="E93" s="259">
        <v>0.13401660956860253</v>
      </c>
      <c r="F93" s="260">
        <v>0.19698487088734332</v>
      </c>
      <c r="G93" s="259">
        <v>0.63681362086194226</v>
      </c>
      <c r="H93" s="260">
        <v>0.1671479066045681</v>
      </c>
      <c r="I93" s="260">
        <v>0.28102217527804751</v>
      </c>
      <c r="J93" s="260">
        <v>0.44217828595447878</v>
      </c>
      <c r="K93" s="260">
        <v>0.47517024923157059</v>
      </c>
      <c r="L93" s="258">
        <v>2.4389838058440465</v>
      </c>
      <c r="M93" s="258">
        <v>3.3339500949080891</v>
      </c>
      <c r="N93" s="260">
        <v>6.1840357142857148E-2</v>
      </c>
      <c r="O93" s="260">
        <v>9.4594117647058829E-2</v>
      </c>
    </row>
    <row r="94" spans="1:15">
      <c r="A94" t="s">
        <v>702</v>
      </c>
      <c r="B94">
        <v>223</v>
      </c>
      <c r="C94" s="258">
        <v>0.74714545066601834</v>
      </c>
      <c r="D94" s="259">
        <v>0.48749708232221639</v>
      </c>
      <c r="E94" s="259">
        <v>0.32772977380309004</v>
      </c>
      <c r="F94" s="260">
        <v>0.19613021401302577</v>
      </c>
      <c r="G94" s="259">
        <v>0.42975743412378825</v>
      </c>
      <c r="H94" s="260">
        <v>5.0073520345969839E-2</v>
      </c>
      <c r="I94" s="260">
        <v>8.4565687379420218E-2</v>
      </c>
      <c r="J94" s="260">
        <v>0.13013099081182752</v>
      </c>
      <c r="K94" s="260">
        <v>0.10366702098750585</v>
      </c>
      <c r="L94" s="258">
        <v>1.5974978209037471</v>
      </c>
      <c r="M94" s="258">
        <v>1.1373791491810881</v>
      </c>
      <c r="N94" s="260">
        <v>0.11172653061224488</v>
      </c>
      <c r="O94" s="260">
        <v>0.14340619047619044</v>
      </c>
    </row>
    <row r="95" spans="1:15">
      <c r="A95" t="s">
        <v>187</v>
      </c>
      <c r="B95">
        <v>185</v>
      </c>
      <c r="C95" s="258">
        <v>0.55142819258754749</v>
      </c>
      <c r="D95" s="259">
        <v>0.77546130223515553</v>
      </c>
      <c r="E95" s="259">
        <v>0.43676609637107572</v>
      </c>
      <c r="F95" s="260">
        <v>0.2199122599369534</v>
      </c>
      <c r="G95" s="259">
        <v>0.21812551194103877</v>
      </c>
      <c r="H95" s="260">
        <v>2.9465857176536724E-2</v>
      </c>
      <c r="I95" s="260">
        <v>6.1624276467070395E-2</v>
      </c>
      <c r="J95" s="260">
        <v>0.10184953838667171</v>
      </c>
      <c r="K95" s="260">
        <v>7.8110579216747855E-2</v>
      </c>
      <c r="L95" s="258">
        <v>1.719017269098458</v>
      </c>
      <c r="M95" s="258">
        <v>0.78651434901874073</v>
      </c>
      <c r="N95" s="260">
        <v>3.0354491525423716E-2</v>
      </c>
      <c r="O95" s="260">
        <v>0.13647162790697673</v>
      </c>
    </row>
    <row r="96" spans="1:15">
      <c r="A96" t="s">
        <v>703</v>
      </c>
      <c r="B96">
        <v>61</v>
      </c>
      <c r="C96" s="258">
        <v>0.40924296272334543</v>
      </c>
      <c r="D96" s="259">
        <v>1.071545652846446</v>
      </c>
      <c r="E96" s="259">
        <v>0.51726866428170126</v>
      </c>
      <c r="F96" s="260">
        <v>0.23562575538381228</v>
      </c>
      <c r="G96" s="259">
        <v>0.91001278335839153</v>
      </c>
      <c r="H96" s="260">
        <v>3.7059941957485985E-2</v>
      </c>
      <c r="I96" s="260">
        <v>0.10480085437795794</v>
      </c>
      <c r="J96" s="260">
        <v>7.058431686340684E-2</v>
      </c>
      <c r="K96" s="260">
        <v>8.1162241392525508E-2</v>
      </c>
      <c r="L96" s="258">
        <v>1.0017311492537291</v>
      </c>
      <c r="M96" s="258">
        <v>1.237676867421589</v>
      </c>
      <c r="N96" s="260">
        <v>8.4893999999999997E-2</v>
      </c>
      <c r="O96" s="260">
        <v>5.6291891891891911E-2</v>
      </c>
    </row>
    <row r="97" spans="1:15">
      <c r="A97" t="s">
        <v>704</v>
      </c>
      <c r="B97">
        <v>97</v>
      </c>
      <c r="C97" s="258">
        <v>0.52986933397094194</v>
      </c>
      <c r="D97" s="259">
        <v>0.63175398649617698</v>
      </c>
      <c r="E97" s="259">
        <v>0.38716252065222528</v>
      </c>
      <c r="F97" s="260">
        <v>0.14778558636229275</v>
      </c>
      <c r="G97" s="259">
        <v>0.54812697255876175</v>
      </c>
      <c r="H97" s="260">
        <v>0.16275558535976425</v>
      </c>
      <c r="I97" s="260">
        <v>0.27530904590779515</v>
      </c>
      <c r="J97" s="260">
        <v>0.12471742167885883</v>
      </c>
      <c r="K97" s="260">
        <v>8.8055381506844832E-2</v>
      </c>
      <c r="L97" s="258">
        <v>0.35872089990485506</v>
      </c>
      <c r="M97" s="258">
        <v>4.0312912943769517</v>
      </c>
      <c r="N97" s="260">
        <v>0.17203677419354835</v>
      </c>
      <c r="O97" s="260">
        <v>0.12973076923076923</v>
      </c>
    </row>
    <row r="98" spans="1:15">
      <c r="A98" t="s">
        <v>705</v>
      </c>
      <c r="B98">
        <v>40943</v>
      </c>
      <c r="C98" s="258">
        <v>0.63559108132979381</v>
      </c>
      <c r="D98" s="259">
        <v>0.98955756046437759</v>
      </c>
      <c r="E98" s="259">
        <v>0.49737568800643672</v>
      </c>
      <c r="F98" s="260">
        <v>0.13402898988096504</v>
      </c>
      <c r="G98" s="259">
        <v>0.37494725138081358</v>
      </c>
      <c r="H98" s="260">
        <v>5.7360219643461982E-2</v>
      </c>
      <c r="I98" s="260">
        <v>8.6331279606182462E-2</v>
      </c>
      <c r="J98" s="260">
        <v>0.10486543314268132</v>
      </c>
      <c r="K98" s="260">
        <v>5.1075731078413587E-2</v>
      </c>
      <c r="L98" s="258">
        <v>0.77082719211284889</v>
      </c>
      <c r="M98" s="258">
        <v>1.7597823349023778</v>
      </c>
      <c r="N98" s="260">
        <v>8.9357259482871806E-2</v>
      </c>
      <c r="O98" s="260">
        <v>0.16070197439353071</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dimension ref="A1:C12"/>
  <sheetViews>
    <sheetView workbookViewId="0">
      <selection sqref="A1:C12"/>
    </sheetView>
  </sheetViews>
  <sheetFormatPr defaultColWidth="11.42578125" defaultRowHeight="12"/>
  <cols>
    <col min="2" max="2" width="11.7109375" bestFit="1" customWidth="1"/>
  </cols>
  <sheetData>
    <row r="1" spans="1:3">
      <c r="A1" t="s">
        <v>211</v>
      </c>
      <c r="B1" t="s">
        <v>11</v>
      </c>
      <c r="C1" t="s">
        <v>720</v>
      </c>
    </row>
    <row r="2" spans="1:3">
      <c r="A2" t="s">
        <v>721</v>
      </c>
      <c r="B2" s="280">
        <f>'Valuation output'!B3</f>
        <v>1328.6959999999999</v>
      </c>
      <c r="C2" s="280">
        <f>'Valuation output'!B5</f>
        <v>-21.857000000000028</v>
      </c>
    </row>
    <row r="3" spans="1:3">
      <c r="A3">
        <v>1</v>
      </c>
      <c r="B3" s="280">
        <f>'Valuation output'!C3</f>
        <v>2258.7831999999999</v>
      </c>
      <c r="C3" s="280">
        <f>'Valuation output'!C5</f>
        <v>-5.2064200000000671</v>
      </c>
    </row>
    <row r="4" spans="1:3">
      <c r="A4">
        <v>2</v>
      </c>
      <c r="B4" s="280">
        <f>'Valuation output'!D3</f>
        <v>3839.9314399999998</v>
      </c>
      <c r="C4" s="280">
        <f>'Valuation output'!D5</f>
        <v>45.464901999999945</v>
      </c>
    </row>
    <row r="5" spans="1:3">
      <c r="A5">
        <v>3</v>
      </c>
      <c r="B5" s="280">
        <f>'Valuation output'!E3</f>
        <v>6527.8834479999996</v>
      </c>
      <c r="C5" s="280">
        <f>'Valuation output'!E5</f>
        <v>169.6272205999999</v>
      </c>
    </row>
    <row r="6" spans="1:3">
      <c r="A6">
        <v>4</v>
      </c>
      <c r="B6" s="280">
        <f>'Valuation output'!F3</f>
        <v>11097.401861599999</v>
      </c>
      <c r="C6" s="280">
        <f>'Valuation output'!F5</f>
        <v>445.33898325999985</v>
      </c>
    </row>
    <row r="7" spans="1:3">
      <c r="A7">
        <v>5</v>
      </c>
      <c r="B7" s="280">
        <f>'Valuation output'!G3</f>
        <v>18865.583164719999</v>
      </c>
      <c r="C7" s="280">
        <f>'Valuation output'!G5</f>
        <v>1023.9298755499998</v>
      </c>
    </row>
    <row r="8" spans="1:3">
      <c r="A8">
        <v>6</v>
      </c>
      <c r="B8" s="280">
        <f>'Valuation output'!H3</f>
        <v>29534.070444369157</v>
      </c>
      <c r="C8" s="280">
        <f>'Valuation output'!H5</f>
        <v>2020.7215372480487</v>
      </c>
    </row>
    <row r="9" spans="1:3">
      <c r="A9">
        <v>7</v>
      </c>
      <c r="B9" s="280">
        <f>'Valuation output'!I3</f>
        <v>42263.254805892269</v>
      </c>
      <c r="C9" s="280">
        <f>'Valuation output'!I5</f>
        <v>3489.4661025356017</v>
      </c>
    </row>
    <row r="10" spans="1:3">
      <c r="A10">
        <v>8</v>
      </c>
      <c r="B10" s="280">
        <f>'Valuation output'!J3</f>
        <v>54794.309855839325</v>
      </c>
      <c r="C10" s="280">
        <f>'Valuation output'!J5</f>
        <v>5299.1581119515768</v>
      </c>
    </row>
    <row r="11" spans="1:3">
      <c r="A11">
        <v>9</v>
      </c>
      <c r="B11" s="280">
        <f>'Valuation output'!K3</f>
        <v>63670.988052485292</v>
      </c>
      <c r="C11" s="280">
        <f>'Valuation output'!K5</f>
        <v>7058.2476163241972</v>
      </c>
    </row>
    <row r="12" spans="1:3">
      <c r="A12">
        <v>10</v>
      </c>
      <c r="B12" s="280">
        <f>'Valuation output'!L3</f>
        <v>65421.940223928628</v>
      </c>
      <c r="C12" s="280">
        <f>'Valuation output'!L5</f>
        <v>8177.7425279910785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N41"/>
  <sheetViews>
    <sheetView topLeftCell="A4" zoomScale="125" zoomScaleNormal="125" workbookViewId="0">
      <selection activeCell="B6" sqref="B6"/>
    </sheetView>
  </sheetViews>
  <sheetFormatPr defaultColWidth="11.42578125" defaultRowHeight="15.75"/>
  <cols>
    <col min="1" max="1" width="23" style="52" bestFit="1" customWidth="1"/>
    <col min="2" max="2" width="14.28515625" style="52" customWidth="1"/>
    <col min="3" max="13" width="14.28515625" style="57" customWidth="1"/>
    <col min="14" max="14" width="12.7109375" bestFit="1" customWidth="1"/>
  </cols>
  <sheetData>
    <row r="1" spans="1:14">
      <c r="A1" s="47"/>
      <c r="B1" s="48" t="s">
        <v>14</v>
      </c>
      <c r="C1" s="48">
        <v>1</v>
      </c>
      <c r="D1" s="48">
        <v>2</v>
      </c>
      <c r="E1" s="48">
        <v>3</v>
      </c>
      <c r="F1" s="48">
        <v>4</v>
      </c>
      <c r="G1" s="48">
        <v>5</v>
      </c>
      <c r="H1" s="48">
        <v>6</v>
      </c>
      <c r="I1" s="48">
        <v>7</v>
      </c>
      <c r="J1" s="48">
        <v>8</v>
      </c>
      <c r="K1" s="48">
        <v>9</v>
      </c>
      <c r="L1" s="48">
        <v>10</v>
      </c>
      <c r="M1" s="55" t="s">
        <v>46</v>
      </c>
    </row>
    <row r="2" spans="1:14">
      <c r="A2" s="50" t="s">
        <v>21</v>
      </c>
      <c r="B2" s="98"/>
      <c r="C2" s="99">
        <f>'Input sheet'!B23</f>
        <v>0.7</v>
      </c>
      <c r="D2" s="99">
        <f>C2</f>
        <v>0.7</v>
      </c>
      <c r="E2" s="99">
        <f>D2</f>
        <v>0.7</v>
      </c>
      <c r="F2" s="99">
        <f>E2</f>
        <v>0.7</v>
      </c>
      <c r="G2" s="99">
        <f>F2</f>
        <v>0.7</v>
      </c>
      <c r="H2" s="99">
        <f>G2-((G2-'Input sheet'!B27)/5)</f>
        <v>0.56549999999999989</v>
      </c>
      <c r="I2" s="99">
        <f>G2-((G2-'Input sheet'!B27)/5)*2</f>
        <v>0.43099999999999994</v>
      </c>
      <c r="J2" s="99">
        <f>G2-((G2-'Input sheet'!B27)/5)*3</f>
        <v>0.29649999999999993</v>
      </c>
      <c r="K2" s="99">
        <f>G2-((G2-'Input sheet'!B27)/5)*4</f>
        <v>0.16199999999999992</v>
      </c>
      <c r="L2" s="99">
        <f>G2-((G2-'Input sheet'!B27)/5)*5</f>
        <v>2.7499999999999858E-2</v>
      </c>
      <c r="M2" s="100">
        <f>L2</f>
        <v>2.7499999999999858E-2</v>
      </c>
    </row>
    <row r="3" spans="1:14">
      <c r="A3" s="50" t="s">
        <v>11</v>
      </c>
      <c r="B3" s="101">
        <f>'Input sheet'!B8</f>
        <v>1328.6959999999999</v>
      </c>
      <c r="C3" s="102">
        <f>B3*(1+C2)</f>
        <v>2258.7831999999999</v>
      </c>
      <c r="D3" s="102">
        <f t="shared" ref="D3:L3" si="0">C3*(1+D2)</f>
        <v>3839.9314399999998</v>
      </c>
      <c r="E3" s="102">
        <f t="shared" si="0"/>
        <v>6527.8834479999996</v>
      </c>
      <c r="F3" s="102">
        <f t="shared" si="0"/>
        <v>11097.401861599999</v>
      </c>
      <c r="G3" s="102">
        <f t="shared" si="0"/>
        <v>18865.583164719999</v>
      </c>
      <c r="H3" s="102">
        <f t="shared" si="0"/>
        <v>29534.070444369157</v>
      </c>
      <c r="I3" s="102">
        <f t="shared" si="0"/>
        <v>42263.254805892269</v>
      </c>
      <c r="J3" s="102">
        <f t="shared" si="0"/>
        <v>54794.309855839325</v>
      </c>
      <c r="K3" s="102">
        <f t="shared" si="0"/>
        <v>63670.988052485292</v>
      </c>
      <c r="L3" s="102">
        <f t="shared" si="0"/>
        <v>65421.940223928628</v>
      </c>
      <c r="M3" s="118">
        <f>L3*(1+M2)</f>
        <v>67221.043580086654</v>
      </c>
    </row>
    <row r="4" spans="1:14">
      <c r="A4" s="50" t="s">
        <v>27</v>
      </c>
      <c r="B4" s="103">
        <f>B5/B3</f>
        <v>-1.6449962971213903E-2</v>
      </c>
      <c r="C4" s="99">
        <f>'Input sheet'!$B$24-(('Input sheet'!$B$24-$B$4)/10)*(10-C1)</f>
        <v>-2.3049666740925234E-3</v>
      </c>
      <c r="D4" s="99">
        <f>'Input sheet'!$B$24-(('Input sheet'!$B$24-$B$4)/10)*(10-D1)</f>
        <v>1.184002962302888E-2</v>
      </c>
      <c r="E4" s="99">
        <f>'Input sheet'!$B$24-(('Input sheet'!$B$24-$B$4)/10)*(10-E1)</f>
        <v>2.598502592015027E-2</v>
      </c>
      <c r="F4" s="99">
        <f>'Input sheet'!$B$24-(('Input sheet'!$B$24-$B$4)/10)*(10-F1)</f>
        <v>4.013002221727166E-2</v>
      </c>
      <c r="G4" s="99">
        <f>'Input sheet'!$B$24-(('Input sheet'!$B$24-$B$4)/10)*(10-G1)</f>
        <v>5.427501851439305E-2</v>
      </c>
      <c r="H4" s="99">
        <f>'Input sheet'!$B$24-(('Input sheet'!$B$24-$B$4)/10)*(10-H1)</f>
        <v>6.842001481151444E-2</v>
      </c>
      <c r="I4" s="99">
        <f>'Input sheet'!$B$24-(('Input sheet'!$B$24-$B$4)/10)*(10-I1)</f>
        <v>8.256501110863583E-2</v>
      </c>
      <c r="J4" s="99">
        <f>'Input sheet'!$B$24-(('Input sheet'!$B$24-$B$4)/10)*(10-J1)</f>
        <v>9.671000740575722E-2</v>
      </c>
      <c r="K4" s="99">
        <f>'Input sheet'!$B$24-(('Input sheet'!$B$24-$B$4)/10)*(10-K1)</f>
        <v>0.11085500370287861</v>
      </c>
      <c r="L4" s="99">
        <f>'Input sheet'!$B$24-(('Input sheet'!$B$24-$B$4)/10)*(10-L1)</f>
        <v>0.125</v>
      </c>
      <c r="M4" s="100">
        <f>L4</f>
        <v>0.125</v>
      </c>
    </row>
    <row r="5" spans="1:14">
      <c r="A5" s="50" t="s">
        <v>26</v>
      </c>
      <c r="B5" s="101">
        <f>IF('Input sheet'!B14="Yes",IF('Input sheet'!B13="Yes",'Input sheet'!B9+'Operating lease converter'!F32+'R&amp; D converter'!D39,'Input sheet'!B9+'Operating lease converter'!F32),IF('Input sheet'!B13="Yes",'Input sheet'!B9+'R&amp; D converter'!D39,'Input sheet'!B9))</f>
        <v>-21.857000000000028</v>
      </c>
      <c r="C5" s="102">
        <f t="shared" ref="C5:M5" si="1">C4*C3</f>
        <v>-5.2064200000000671</v>
      </c>
      <c r="D5" s="102">
        <f t="shared" si="1"/>
        <v>45.464901999999945</v>
      </c>
      <c r="E5" s="102">
        <f t="shared" si="1"/>
        <v>169.6272205999999</v>
      </c>
      <c r="F5" s="102">
        <f t="shared" si="1"/>
        <v>445.33898325999985</v>
      </c>
      <c r="G5" s="102">
        <f t="shared" si="1"/>
        <v>1023.9298755499998</v>
      </c>
      <c r="H5" s="102">
        <f t="shared" si="1"/>
        <v>2020.7215372480487</v>
      </c>
      <c r="I5" s="102">
        <f t="shared" si="1"/>
        <v>3489.4661025356017</v>
      </c>
      <c r="J5" s="102">
        <f t="shared" si="1"/>
        <v>5299.1581119515768</v>
      </c>
      <c r="K5" s="102">
        <f t="shared" si="1"/>
        <v>7058.2476163241972</v>
      </c>
      <c r="L5" s="102">
        <f t="shared" si="1"/>
        <v>8177.7425279910785</v>
      </c>
      <c r="M5" s="118">
        <f t="shared" si="1"/>
        <v>8402.6304475108318</v>
      </c>
      <c r="N5" s="120">
        <f>M5-B5</f>
        <v>8424.4874475108318</v>
      </c>
    </row>
    <row r="6" spans="1:14">
      <c r="A6" s="50" t="s">
        <v>233</v>
      </c>
      <c r="B6" s="104">
        <f>'Input sheet'!B20</f>
        <v>0</v>
      </c>
      <c r="C6" s="105">
        <f>B6</f>
        <v>0</v>
      </c>
      <c r="D6" s="105">
        <f>C6</f>
        <v>0</v>
      </c>
      <c r="E6" s="105">
        <f>D6</f>
        <v>0</v>
      </c>
      <c r="F6" s="105">
        <f>E6</f>
        <v>0</v>
      </c>
      <c r="G6" s="105">
        <f>F6</f>
        <v>0</v>
      </c>
      <c r="H6" s="105">
        <f>G6+($M$6-$G$6)/5</f>
        <v>6.9999999999999993E-2</v>
      </c>
      <c r="I6" s="105">
        <f>H6+($M$6-$G$6)/5</f>
        <v>0.13999999999999999</v>
      </c>
      <c r="J6" s="105">
        <f>I6+($M$6-$G$6)/5</f>
        <v>0.20999999999999996</v>
      </c>
      <c r="K6" s="105">
        <f>J6+($M$6-$G$6)/5</f>
        <v>0.27999999999999997</v>
      </c>
      <c r="L6" s="105">
        <f>K6+($M$6-$G$6)/5</f>
        <v>0.35</v>
      </c>
      <c r="M6" s="105">
        <f>IF('Input sheet'!B49="Yes",'Input sheet'!B20,'Input sheet'!B21)</f>
        <v>0.35</v>
      </c>
    </row>
    <row r="7" spans="1:14">
      <c r="A7" s="50" t="s">
        <v>12</v>
      </c>
      <c r="B7" s="101">
        <f>IF(B5&gt;0,B5*(1-B6),B5)</f>
        <v>-21.857000000000028</v>
      </c>
      <c r="C7" s="102">
        <f>IF(C5&gt;0,IF(C5&lt;B10,C5,C5-(C5-B10)*C6),C5)</f>
        <v>-5.2064200000000671</v>
      </c>
      <c r="D7" s="102">
        <f t="shared" ref="D7:L7" si="2">IF(D5&gt;0,IF(D5&lt;C10,D5,D5-(D5-C10)*D6),D5)</f>
        <v>45.464901999999945</v>
      </c>
      <c r="E7" s="102">
        <f t="shared" si="2"/>
        <v>169.6272205999999</v>
      </c>
      <c r="F7" s="102">
        <f t="shared" si="2"/>
        <v>445.33898325999985</v>
      </c>
      <c r="G7" s="102">
        <f t="shared" si="2"/>
        <v>1023.9298755499998</v>
      </c>
      <c r="H7" s="102">
        <f t="shared" si="2"/>
        <v>1879.2710296406854</v>
      </c>
      <c r="I7" s="102">
        <f t="shared" si="2"/>
        <v>3000.9408481806176</v>
      </c>
      <c r="J7" s="102">
        <f t="shared" si="2"/>
        <v>4186.3349084417459</v>
      </c>
      <c r="K7" s="102">
        <f t="shared" si="2"/>
        <v>5081.9382837534222</v>
      </c>
      <c r="L7" s="102">
        <f t="shared" si="2"/>
        <v>5315.5326431942012</v>
      </c>
      <c r="M7" s="102">
        <f>M5*(1-M6)</f>
        <v>5461.7097908820406</v>
      </c>
    </row>
    <row r="8" spans="1:14">
      <c r="A8" s="50" t="s">
        <v>15</v>
      </c>
      <c r="B8" s="101"/>
      <c r="C8" s="102">
        <f t="shared" ref="C8:L8" si="3">(C3-B3)/C38</f>
        <v>659.63631205673755</v>
      </c>
      <c r="D8" s="102">
        <f t="shared" si="3"/>
        <v>1121.3817304964539</v>
      </c>
      <c r="E8" s="102">
        <f t="shared" si="3"/>
        <v>1906.3489418439715</v>
      </c>
      <c r="F8" s="102">
        <f t="shared" si="3"/>
        <v>3240.7932011347516</v>
      </c>
      <c r="G8" s="102">
        <f t="shared" si="3"/>
        <v>5509.348441929078</v>
      </c>
      <c r="H8" s="102">
        <f t="shared" si="3"/>
        <v>7566.3030352121696</v>
      </c>
      <c r="I8" s="102">
        <f t="shared" si="3"/>
        <v>9027.790327321356</v>
      </c>
      <c r="J8" s="102">
        <f t="shared" si="3"/>
        <v>8887.2730850688349</v>
      </c>
      <c r="K8" s="102">
        <f t="shared" si="3"/>
        <v>6295.5164515219631</v>
      </c>
      <c r="L8" s="102">
        <f t="shared" si="3"/>
        <v>1241.8100506690325</v>
      </c>
      <c r="M8" s="106">
        <f>(M2/M40)*M7</f>
        <v>1877.4627406156922</v>
      </c>
      <c r="N8" s="120">
        <f>SUM(C8:M8)</f>
        <v>47333.664317870047</v>
      </c>
    </row>
    <row r="9" spans="1:14">
      <c r="A9" s="50" t="s">
        <v>16</v>
      </c>
      <c r="B9" s="101"/>
      <c r="C9" s="102">
        <f t="shared" ref="C9:L9" si="4">C7-C8</f>
        <v>-664.84273205673765</v>
      </c>
      <c r="D9" s="102">
        <f t="shared" si="4"/>
        <v>-1075.9168284964539</v>
      </c>
      <c r="E9" s="102">
        <f t="shared" si="4"/>
        <v>-1736.7217212439716</v>
      </c>
      <c r="F9" s="102">
        <f t="shared" si="4"/>
        <v>-2795.4542178747515</v>
      </c>
      <c r="G9" s="102">
        <f t="shared" si="4"/>
        <v>-4485.4185663790786</v>
      </c>
      <c r="H9" s="102">
        <f t="shared" si="4"/>
        <v>-5687.0320055714838</v>
      </c>
      <c r="I9" s="102">
        <f t="shared" si="4"/>
        <v>-6026.8494791407384</v>
      </c>
      <c r="J9" s="102">
        <f t="shared" si="4"/>
        <v>-4700.938176627089</v>
      </c>
      <c r="K9" s="102">
        <f t="shared" si="4"/>
        <v>-1213.5781677685409</v>
      </c>
      <c r="L9" s="102">
        <f t="shared" si="4"/>
        <v>4073.7225925251687</v>
      </c>
      <c r="M9" s="106">
        <f>M7-M8</f>
        <v>3584.2470502663482</v>
      </c>
    </row>
    <row r="10" spans="1:14">
      <c r="A10" s="50" t="s">
        <v>49</v>
      </c>
      <c r="B10" s="101">
        <f>IF('Input sheet'!B51="Yes",'Input sheet'!B52,0)</f>
        <v>1070</v>
      </c>
      <c r="C10" s="102">
        <f>IF(C5&lt;0,B10-C5,IF(B10&gt;C5,B10-C5,0))</f>
        <v>1075.20642</v>
      </c>
      <c r="D10" s="102">
        <f t="shared" ref="D10:M10" si="5">IF(D5&lt;0,C10-D5,IF(C10&gt;D5,C10-D5,0))</f>
        <v>1029.741518</v>
      </c>
      <c r="E10" s="102">
        <f t="shared" si="5"/>
        <v>860.11429740000017</v>
      </c>
      <c r="F10" s="102">
        <f t="shared" si="5"/>
        <v>414.77531414000032</v>
      </c>
      <c r="G10" s="102">
        <f t="shared" si="5"/>
        <v>0</v>
      </c>
      <c r="H10" s="102">
        <f t="shared" si="5"/>
        <v>0</v>
      </c>
      <c r="I10" s="102">
        <f t="shared" si="5"/>
        <v>0</v>
      </c>
      <c r="J10" s="102">
        <f t="shared" si="5"/>
        <v>0</v>
      </c>
      <c r="K10" s="102">
        <f t="shared" si="5"/>
        <v>0</v>
      </c>
      <c r="L10" s="102">
        <f t="shared" si="5"/>
        <v>0</v>
      </c>
      <c r="M10" s="102">
        <f t="shared" si="5"/>
        <v>0</v>
      </c>
    </row>
    <row r="11" spans="1:14">
      <c r="A11" s="50"/>
      <c r="B11" s="98"/>
      <c r="C11" s="107"/>
      <c r="D11" s="107"/>
      <c r="E11" s="107"/>
      <c r="F11" s="107"/>
      <c r="G11" s="107"/>
      <c r="H11" s="107"/>
      <c r="I11" s="107"/>
      <c r="J11" s="107"/>
      <c r="K11" s="107"/>
      <c r="L11" s="107"/>
      <c r="M11" s="107"/>
    </row>
    <row r="12" spans="1:14">
      <c r="A12" s="50" t="s">
        <v>238</v>
      </c>
      <c r="B12" s="103"/>
      <c r="C12" s="99">
        <f>'Input sheet'!B28</f>
        <v>0.10032187379768158</v>
      </c>
      <c r="D12" s="99">
        <f>C12</f>
        <v>0.10032187379768158</v>
      </c>
      <c r="E12" s="99">
        <f>D12</f>
        <v>0.10032187379768158</v>
      </c>
      <c r="F12" s="99">
        <f>E12</f>
        <v>0.10032187379768158</v>
      </c>
      <c r="G12" s="99">
        <f>F12</f>
        <v>0.10032187379768158</v>
      </c>
      <c r="H12" s="99">
        <f>G12-($G$12-$M$12)/5</f>
        <v>9.6257499038145261E-2</v>
      </c>
      <c r="I12" s="99">
        <f>H12-($G$12-$M$12)/5</f>
        <v>9.2193124278608943E-2</v>
      </c>
      <c r="J12" s="99">
        <f>I12-($G$12-$M$12)/5</f>
        <v>8.8128749519072624E-2</v>
      </c>
      <c r="K12" s="99">
        <f>J12-($G$12-$M$12)/5</f>
        <v>8.4064374759536306E-2</v>
      </c>
      <c r="L12" s="99">
        <f>K12-($G$12-$M$12)/5</f>
        <v>7.9999999999999988E-2</v>
      </c>
      <c r="M12" s="100">
        <f>IF('Input sheet'!B38="Yes",'Input sheet'!B39,'Input sheet'!B27+0.045)</f>
        <v>0.08</v>
      </c>
    </row>
    <row r="13" spans="1:14">
      <c r="A13" s="51" t="s">
        <v>239</v>
      </c>
      <c r="B13" s="98"/>
      <c r="C13" s="166">
        <f>1/(1+C12)</f>
        <v>0.90882497550336983</v>
      </c>
      <c r="D13" s="166">
        <f>C13*(1/(1+D12))</f>
        <v>0.8259628360987008</v>
      </c>
      <c r="E13" s="166">
        <f t="shared" ref="E13:L13" si="6">D13*(1/(1+E12))</f>
        <v>0.75065565428409564</v>
      </c>
      <c r="F13" s="166">
        <f t="shared" si="6"/>
        <v>0.68221460661620925</v>
      </c>
      <c r="G13" s="166">
        <f t="shared" si="6"/>
        <v>0.62001367314601741</v>
      </c>
      <c r="H13" s="166">
        <f t="shared" si="6"/>
        <v>0.56557302795193332</v>
      </c>
      <c r="I13" s="166">
        <f t="shared" si="6"/>
        <v>0.51783243767030029</v>
      </c>
      <c r="J13" s="166">
        <f t="shared" si="6"/>
        <v>0.47589261647499903</v>
      </c>
      <c r="K13" s="166">
        <f t="shared" si="6"/>
        <v>0.4389892588994635</v>
      </c>
      <c r="L13" s="166">
        <f t="shared" si="6"/>
        <v>0.40647153601802172</v>
      </c>
      <c r="M13" s="107"/>
    </row>
    <row r="14" spans="1:14">
      <c r="A14" s="51" t="s">
        <v>22</v>
      </c>
      <c r="B14" s="98"/>
      <c r="C14" s="102">
        <f t="shared" ref="C14:L14" si="7">C9*C13</f>
        <v>-604.22567967505802</v>
      </c>
      <c r="D14" s="102">
        <f t="shared" si="7"/>
        <v>-888.66731507125053</v>
      </c>
      <c r="E14" s="102">
        <f t="shared" si="7"/>
        <v>-1303.6799799697942</v>
      </c>
      <c r="F14" s="102">
        <f t="shared" si="7"/>
        <v>-1907.0996995610465</v>
      </c>
      <c r="G14" s="102">
        <f t="shared" si="7"/>
        <v>-2781.0208409380361</v>
      </c>
      <c r="H14" s="102">
        <f t="shared" si="7"/>
        <v>-3216.4319114506202</v>
      </c>
      <c r="I14" s="102">
        <f t="shared" si="7"/>
        <v>-3120.898157255428</v>
      </c>
      <c r="J14" s="102">
        <f t="shared" si="7"/>
        <v>-2237.1417687622766</v>
      </c>
      <c r="K14" s="102">
        <f t="shared" si="7"/>
        <v>-532.74778048528049</v>
      </c>
      <c r="L14" s="102">
        <f t="shared" si="7"/>
        <v>1655.8522794950229</v>
      </c>
      <c r="M14" s="107"/>
    </row>
    <row r="15" spans="1:14">
      <c r="A15" s="51"/>
      <c r="B15" s="50"/>
      <c r="C15" s="56"/>
      <c r="D15" s="56"/>
      <c r="E15" s="56"/>
      <c r="F15" s="56"/>
      <c r="G15" s="56"/>
      <c r="H15" s="56"/>
      <c r="I15" s="56"/>
      <c r="J15" s="56"/>
      <c r="K15" s="56"/>
      <c r="L15" s="56"/>
    </row>
    <row r="16" spans="1:14">
      <c r="A16" s="53" t="s">
        <v>23</v>
      </c>
      <c r="B16" s="101">
        <f>M9</f>
        <v>3584.2470502663482</v>
      </c>
      <c r="C16" s="56"/>
      <c r="D16" s="56"/>
      <c r="E16" s="56"/>
      <c r="F16" s="56"/>
      <c r="G16" s="56"/>
      <c r="H16" s="56"/>
      <c r="I16" s="56"/>
      <c r="J16" s="56"/>
      <c r="K16" s="56"/>
      <c r="L16" s="56"/>
    </row>
    <row r="17" spans="1:12">
      <c r="A17" s="53" t="s">
        <v>235</v>
      </c>
      <c r="B17" s="103">
        <f>M12</f>
        <v>0.08</v>
      </c>
      <c r="C17" s="56"/>
      <c r="D17" s="56"/>
      <c r="E17" s="56"/>
      <c r="F17" s="56"/>
      <c r="G17" s="56"/>
      <c r="H17" s="56"/>
      <c r="I17" s="56"/>
      <c r="J17" s="56"/>
      <c r="K17" s="56"/>
      <c r="L17" s="56"/>
    </row>
    <row r="18" spans="1:12">
      <c r="A18" s="53" t="s">
        <v>24</v>
      </c>
      <c r="B18" s="101">
        <f>B16/(B17-'Input sheet'!B27)</f>
        <v>68271.372386025672</v>
      </c>
      <c r="C18" s="56"/>
      <c r="D18" s="167"/>
      <c r="E18" s="56"/>
      <c r="F18" s="56"/>
      <c r="G18" s="56"/>
      <c r="H18" s="56"/>
      <c r="I18" s="56"/>
      <c r="J18" s="56"/>
      <c r="K18" s="56"/>
      <c r="L18" s="56"/>
    </row>
    <row r="19" spans="1:12">
      <c r="A19" s="53" t="s">
        <v>25</v>
      </c>
      <c r="B19" s="108">
        <f>B18*L13</f>
        <v>27750.369599806207</v>
      </c>
      <c r="C19" s="56"/>
      <c r="D19" s="56"/>
      <c r="E19" s="56"/>
      <c r="F19" s="56"/>
      <c r="G19" s="56"/>
      <c r="H19" s="56"/>
      <c r="I19" s="56"/>
      <c r="J19" s="56"/>
      <c r="K19" s="56"/>
      <c r="L19" s="56"/>
    </row>
    <row r="20" spans="1:12">
      <c r="A20" s="53" t="s">
        <v>47</v>
      </c>
      <c r="B20" s="108">
        <f>SUM(C14:L14)</f>
        <v>-14936.060853673767</v>
      </c>
      <c r="C20" s="56"/>
      <c r="D20" s="56"/>
      <c r="E20" s="56"/>
      <c r="F20" s="56"/>
      <c r="G20" s="56"/>
      <c r="H20" s="56"/>
      <c r="I20" s="56"/>
      <c r="J20" s="56"/>
      <c r="K20" s="56"/>
      <c r="L20" s="56"/>
    </row>
    <row r="21" spans="1:12">
      <c r="A21" s="53" t="s">
        <v>48</v>
      </c>
      <c r="B21" s="108">
        <f>B19+B20</f>
        <v>12814.308746132439</v>
      </c>
      <c r="C21" s="56"/>
      <c r="D21" s="56"/>
      <c r="E21" s="56"/>
      <c r="F21" s="56"/>
      <c r="G21" s="56"/>
      <c r="H21" s="56"/>
      <c r="I21" s="56"/>
      <c r="J21" s="56"/>
      <c r="K21" s="56"/>
      <c r="L21" s="56"/>
    </row>
    <row r="22" spans="1:12">
      <c r="A22" s="53" t="s">
        <v>203</v>
      </c>
      <c r="B22" s="109">
        <f>IF('Input sheet'!B44="Yes",'Input sheet'!B45,0)</f>
        <v>0.1</v>
      </c>
      <c r="C22" s="56"/>
      <c r="D22" s="56"/>
      <c r="E22" s="56"/>
      <c r="F22" s="56"/>
      <c r="G22" s="56"/>
      <c r="H22" s="56"/>
      <c r="I22" s="56"/>
      <c r="J22" s="56"/>
      <c r="K22" s="56"/>
      <c r="L22" s="56"/>
    </row>
    <row r="23" spans="1:12">
      <c r="A23" s="53" t="s">
        <v>204</v>
      </c>
      <c r="B23" s="110">
        <f>IF('Input sheet'!B46="B",('Input sheet'!B11+'Input sheet'!B12)*'Input sheet'!B47,'Valuation output'!B21*'Input sheet'!B47)</f>
        <v>6407.1543730662197</v>
      </c>
      <c r="C23" s="56"/>
      <c r="D23" s="56"/>
      <c r="E23" s="56"/>
      <c r="F23" s="56"/>
      <c r="G23" s="56"/>
      <c r="H23" s="56"/>
      <c r="I23" s="56"/>
      <c r="J23" s="56"/>
      <c r="K23" s="56"/>
      <c r="L23" s="56"/>
    </row>
    <row r="24" spans="1:12">
      <c r="A24" s="53" t="s">
        <v>45</v>
      </c>
      <c r="B24" s="101">
        <f>B21*(1-B22)+B23*B22</f>
        <v>12173.593308825819</v>
      </c>
      <c r="C24" s="56"/>
      <c r="D24" s="56"/>
      <c r="E24" s="56"/>
      <c r="F24" s="56"/>
      <c r="G24" s="56"/>
      <c r="H24" s="56"/>
      <c r="I24" s="56"/>
      <c r="J24" s="56"/>
      <c r="K24" s="56"/>
      <c r="L24" s="56"/>
    </row>
    <row r="25" spans="1:12">
      <c r="A25" s="53" t="s">
        <v>533</v>
      </c>
      <c r="B25" s="101">
        <f>IF('Input sheet'!B14="Yes",'Input sheet'!B12+'Operating lease converter'!C28,'Input sheet'!B12)</f>
        <v>578.74</v>
      </c>
      <c r="C25" s="56"/>
      <c r="D25" s="56"/>
      <c r="E25" s="56"/>
      <c r="F25" s="56"/>
      <c r="G25" s="56"/>
      <c r="H25" s="56"/>
      <c r="I25" s="56"/>
      <c r="J25" s="56"/>
      <c r="K25" s="56"/>
      <c r="L25" s="56"/>
    </row>
    <row r="26" spans="1:12">
      <c r="A26" s="53" t="s">
        <v>535</v>
      </c>
      <c r="B26" s="101">
        <f>'Input sheet'!B17</f>
        <v>0</v>
      </c>
      <c r="C26" s="56"/>
      <c r="D26" s="56"/>
      <c r="E26" s="56"/>
      <c r="F26" s="56"/>
      <c r="G26" s="56"/>
      <c r="H26" s="56"/>
      <c r="I26" s="56"/>
      <c r="J26" s="56"/>
      <c r="K26" s="56"/>
      <c r="L26" s="56"/>
    </row>
    <row r="27" spans="1:12">
      <c r="A27" s="53" t="s">
        <v>532</v>
      </c>
      <c r="B27" s="101">
        <f>'Input sheet'!B15</f>
        <v>201.89</v>
      </c>
      <c r="C27" s="56"/>
      <c r="D27" s="56"/>
      <c r="E27" s="56"/>
      <c r="F27" s="56"/>
      <c r="G27" s="56"/>
      <c r="H27" s="56"/>
      <c r="I27" s="56"/>
      <c r="J27" s="56"/>
      <c r="K27" s="56"/>
      <c r="L27" s="56"/>
    </row>
    <row r="28" spans="1:12">
      <c r="A28" s="53" t="s">
        <v>531</v>
      </c>
      <c r="B28" s="101">
        <f>'Input sheet'!B16</f>
        <v>0</v>
      </c>
      <c r="C28" s="56"/>
      <c r="D28" s="56"/>
      <c r="E28" s="56"/>
      <c r="F28" s="56"/>
      <c r="G28" s="56"/>
      <c r="H28" s="56"/>
      <c r="I28" s="56"/>
      <c r="J28" s="56"/>
      <c r="K28" s="56"/>
      <c r="L28" s="56"/>
    </row>
    <row r="29" spans="1:12">
      <c r="A29" s="53" t="s">
        <v>55</v>
      </c>
      <c r="B29" s="108">
        <f>B24-B25-B26+B27+B28</f>
        <v>11796.743308825819</v>
      </c>
      <c r="C29" s="56"/>
      <c r="D29" s="56"/>
      <c r="E29" s="56"/>
      <c r="F29" s="56"/>
      <c r="G29" s="56"/>
      <c r="H29" s="56"/>
      <c r="I29" s="56"/>
      <c r="J29" s="56"/>
      <c r="K29" s="56"/>
      <c r="L29" s="56"/>
    </row>
    <row r="30" spans="1:12">
      <c r="A30" s="53" t="s">
        <v>61</v>
      </c>
      <c r="B30" s="111">
        <f ca="1">IF('Input sheet'!B30="No",0,'Option value'!D27)</f>
        <v>3644.9688371520515</v>
      </c>
      <c r="C30" s="56"/>
      <c r="D30" s="56"/>
      <c r="E30" s="56"/>
      <c r="F30" s="56"/>
      <c r="G30" s="56"/>
      <c r="H30" s="56"/>
      <c r="I30" s="56"/>
      <c r="J30" s="56"/>
      <c r="K30" s="56"/>
      <c r="L30" s="56"/>
    </row>
    <row r="31" spans="1:12">
      <c r="A31" s="53" t="s">
        <v>62</v>
      </c>
      <c r="B31" s="108">
        <f ca="1">B29-B30</f>
        <v>8151.774471673767</v>
      </c>
      <c r="C31" s="56"/>
      <c r="D31" s="56"/>
      <c r="E31" s="56"/>
      <c r="F31" s="56"/>
      <c r="G31" s="56"/>
      <c r="H31" s="56"/>
      <c r="I31" s="56"/>
      <c r="J31" s="56"/>
      <c r="K31" s="56"/>
      <c r="L31" s="56"/>
    </row>
    <row r="32" spans="1:12">
      <c r="A32" s="53" t="s">
        <v>13</v>
      </c>
      <c r="B32" s="112">
        <f>'Input sheet'!B18</f>
        <v>121.45</v>
      </c>
      <c r="C32" s="56"/>
      <c r="D32" s="56"/>
      <c r="E32" s="56"/>
      <c r="F32" s="56"/>
      <c r="G32" s="56"/>
      <c r="H32" s="56"/>
      <c r="I32" s="56"/>
      <c r="J32" s="56"/>
      <c r="K32" s="56"/>
      <c r="L32" s="56"/>
    </row>
    <row r="33" spans="1:13">
      <c r="A33" s="53" t="s">
        <v>97</v>
      </c>
      <c r="B33" s="113">
        <f ca="1">B31/B32</f>
        <v>67.120415575741191</v>
      </c>
      <c r="C33" s="56"/>
      <c r="D33" s="56"/>
      <c r="E33" s="56"/>
      <c r="F33" s="56"/>
      <c r="G33" s="56"/>
      <c r="H33" s="56"/>
      <c r="I33" s="56"/>
      <c r="J33" s="56"/>
      <c r="K33" s="56"/>
      <c r="L33" s="56"/>
    </row>
    <row r="34" spans="1:13">
      <c r="A34" s="53" t="s">
        <v>194</v>
      </c>
      <c r="B34" s="114">
        <f>'Input sheet'!B19</f>
        <v>168.76</v>
      </c>
      <c r="C34" s="56"/>
      <c r="D34" s="56"/>
      <c r="E34" s="56"/>
      <c r="F34" s="56"/>
      <c r="G34" s="56"/>
      <c r="H34" s="56"/>
      <c r="I34" s="56"/>
      <c r="J34" s="56"/>
      <c r="K34" s="56"/>
      <c r="L34" s="56"/>
    </row>
    <row r="35" spans="1:13">
      <c r="A35" s="53" t="s">
        <v>53</v>
      </c>
      <c r="B35" s="104">
        <f ca="1">B34/B33</f>
        <v>2.5142871740650188</v>
      </c>
      <c r="C35" s="56"/>
      <c r="D35" s="56"/>
      <c r="E35" s="56"/>
      <c r="F35" s="56"/>
      <c r="G35" s="56"/>
      <c r="H35" s="56"/>
      <c r="I35" s="56"/>
      <c r="J35" s="56"/>
      <c r="K35" s="56"/>
      <c r="L35" s="56"/>
    </row>
    <row r="36" spans="1:13">
      <c r="A36" s="51"/>
      <c r="B36" s="50"/>
      <c r="C36" s="56"/>
      <c r="D36" s="56"/>
      <c r="E36" s="56"/>
      <c r="F36" s="56"/>
      <c r="G36" s="56"/>
      <c r="H36" s="56"/>
      <c r="I36" s="56"/>
      <c r="J36" s="56"/>
      <c r="K36" s="56"/>
      <c r="L36" s="56"/>
    </row>
    <row r="37" spans="1:13">
      <c r="A37" s="54" t="s">
        <v>18</v>
      </c>
      <c r="B37" s="98"/>
      <c r="C37" s="107"/>
      <c r="D37" s="107"/>
      <c r="E37" s="107"/>
      <c r="F37" s="107"/>
      <c r="G37" s="107"/>
      <c r="H37" s="107"/>
      <c r="I37" s="107"/>
      <c r="J37" s="107"/>
      <c r="K37" s="107"/>
      <c r="L37" s="107"/>
      <c r="M37" s="107" t="s">
        <v>44</v>
      </c>
    </row>
    <row r="38" spans="1:13">
      <c r="A38" s="49" t="s">
        <v>39</v>
      </c>
      <c r="B38" s="98"/>
      <c r="C38" s="115">
        <f>'Input sheet'!B25</f>
        <v>1.41</v>
      </c>
      <c r="D38" s="115">
        <f>C38</f>
        <v>1.41</v>
      </c>
      <c r="E38" s="115">
        <f t="shared" ref="E38:L38" si="8">D38</f>
        <v>1.41</v>
      </c>
      <c r="F38" s="115">
        <f t="shared" si="8"/>
        <v>1.41</v>
      </c>
      <c r="G38" s="115">
        <f t="shared" si="8"/>
        <v>1.41</v>
      </c>
      <c r="H38" s="115">
        <f t="shared" si="8"/>
        <v>1.41</v>
      </c>
      <c r="I38" s="115">
        <f t="shared" si="8"/>
        <v>1.41</v>
      </c>
      <c r="J38" s="115">
        <f t="shared" si="8"/>
        <v>1.41</v>
      </c>
      <c r="K38" s="115">
        <f t="shared" si="8"/>
        <v>1.41</v>
      </c>
      <c r="L38" s="115">
        <f t="shared" si="8"/>
        <v>1.41</v>
      </c>
      <c r="M38" s="107"/>
    </row>
    <row r="39" spans="1:13">
      <c r="A39" s="49" t="s">
        <v>19</v>
      </c>
      <c r="B39" s="116">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1698.1100000000001</v>
      </c>
      <c r="C39" s="117">
        <f t="shared" ref="C39:L39" si="9">B39+C8</f>
        <v>2357.7463120567377</v>
      </c>
      <c r="D39" s="117">
        <f t="shared" si="9"/>
        <v>3479.1280425531913</v>
      </c>
      <c r="E39" s="117">
        <f t="shared" si="9"/>
        <v>5385.4769843971626</v>
      </c>
      <c r="F39" s="117">
        <f t="shared" si="9"/>
        <v>8626.2701855319137</v>
      </c>
      <c r="G39" s="117">
        <f t="shared" si="9"/>
        <v>14135.618627460992</v>
      </c>
      <c r="H39" s="117">
        <f t="shared" si="9"/>
        <v>21701.921662673161</v>
      </c>
      <c r="I39" s="117">
        <f t="shared" si="9"/>
        <v>30729.711989994517</v>
      </c>
      <c r="J39" s="117">
        <f t="shared" si="9"/>
        <v>39616.985075063349</v>
      </c>
      <c r="K39" s="117">
        <f t="shared" si="9"/>
        <v>45912.501526585314</v>
      </c>
      <c r="L39" s="117">
        <f t="shared" si="9"/>
        <v>47154.311577254346</v>
      </c>
      <c r="M39" s="107"/>
    </row>
    <row r="40" spans="1:13">
      <c r="A40" s="49" t="s">
        <v>20</v>
      </c>
      <c r="B40" s="103">
        <f t="shared" ref="B40:L40" si="10">B7/B39</f>
        <v>-1.287136875702989E-2</v>
      </c>
      <c r="C40" s="99">
        <f t="shared" si="10"/>
        <v>-2.208218913704223E-3</v>
      </c>
      <c r="D40" s="99">
        <f t="shared" si="10"/>
        <v>1.3067901337323329E-2</v>
      </c>
      <c r="E40" s="99">
        <f t="shared" si="10"/>
        <v>3.1497158207424325E-2</v>
      </c>
      <c r="F40" s="99">
        <f t="shared" si="10"/>
        <v>5.1625902467897174E-2</v>
      </c>
      <c r="G40" s="99">
        <f t="shared" si="10"/>
        <v>7.2436155964255511E-2</v>
      </c>
      <c r="H40" s="99">
        <f t="shared" si="10"/>
        <v>8.6594683127669339E-2</v>
      </c>
      <c r="I40" s="99">
        <f t="shared" si="10"/>
        <v>9.7656003061718025E-2</v>
      </c>
      <c r="J40" s="99">
        <f t="shared" si="10"/>
        <v>0.1056702043456812</v>
      </c>
      <c r="K40" s="99">
        <f t="shared" si="10"/>
        <v>0.11068746234205429</v>
      </c>
      <c r="L40" s="119">
        <f t="shared" si="10"/>
        <v>0.11272633329585571</v>
      </c>
      <c r="M40" s="99">
        <f>IF('Input sheet'!B41="Yes",'Input sheet'!B42,'Valuation output'!L12)</f>
        <v>7.9999999999999988E-2</v>
      </c>
    </row>
    <row r="41" spans="1:13">
      <c r="A41" s="51"/>
    </row>
  </sheetData>
  <phoneticPr fontId="5" type="noConversion"/>
  <pageMargins left="0.75" right="0.75" top="1" bottom="1" header="0.5" footer="0.5"/>
  <pageSetup orientation="portrait"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J2" sqref="J2"/>
    </sheetView>
  </sheetViews>
  <sheetFormatPr defaultColWidth="11.42578125" defaultRowHeight="12"/>
  <sheetData>
    <row r="1" spans="1:7" s="12" customFormat="1" ht="18.75">
      <c r="A1" s="11" t="s">
        <v>63</v>
      </c>
      <c r="B1" s="11"/>
    </row>
    <row r="2" spans="1:7" ht="12.75">
      <c r="A2" s="13" t="s">
        <v>64</v>
      </c>
      <c r="B2" s="13"/>
      <c r="D2" s="33">
        <f>'Input sheet'!B19</f>
        <v>168.76</v>
      </c>
    </row>
    <row r="3" spans="1:7" ht="12.75">
      <c r="A3" s="13" t="s">
        <v>65</v>
      </c>
      <c r="B3" s="13"/>
      <c r="D3" s="14">
        <f>'Input sheet'!B32</f>
        <v>21.2</v>
      </c>
    </row>
    <row r="4" spans="1:7" ht="12.75">
      <c r="A4" s="13" t="s">
        <v>66</v>
      </c>
      <c r="B4" s="13"/>
      <c r="D4" s="17">
        <f>'Input sheet'!B33</f>
        <v>3.4950000000000001</v>
      </c>
    </row>
    <row r="5" spans="1:7" ht="12.75">
      <c r="A5" s="13" t="s">
        <v>67</v>
      </c>
      <c r="B5" s="13"/>
      <c r="D5" s="15">
        <f>'Input sheet'!B34</f>
        <v>0.5</v>
      </c>
      <c r="E5" s="13" t="s">
        <v>68</v>
      </c>
    </row>
    <row r="6" spans="1:7" ht="12.75">
      <c r="A6" s="13" t="s">
        <v>69</v>
      </c>
      <c r="B6" s="13"/>
      <c r="D6" s="16">
        <v>0</v>
      </c>
    </row>
    <row r="7" spans="1:7" ht="12.75">
      <c r="A7" s="13" t="s">
        <v>70</v>
      </c>
      <c r="B7" s="13"/>
      <c r="D7" s="16">
        <f>'Input sheet'!B27</f>
        <v>2.75E-2</v>
      </c>
    </row>
    <row r="8" spans="1:7" ht="12.75">
      <c r="A8" s="13" t="s">
        <v>71</v>
      </c>
      <c r="B8" s="13"/>
      <c r="D8" s="17">
        <f>'Input sheet'!B31</f>
        <v>25.007999999999999</v>
      </c>
    </row>
    <row r="9" spans="1:7" ht="12.75">
      <c r="A9" s="13" t="s">
        <v>72</v>
      </c>
      <c r="B9" s="13"/>
      <c r="D9" s="18">
        <f>'Input sheet'!B18</f>
        <v>121.45</v>
      </c>
    </row>
    <row r="10" spans="1:7" ht="12.75">
      <c r="A10" s="13"/>
      <c r="B10" s="13"/>
    </row>
    <row r="11" spans="1:7" s="21" customFormat="1" ht="13.5">
      <c r="A11" s="19" t="s">
        <v>73</v>
      </c>
      <c r="B11" s="20"/>
    </row>
    <row r="12" spans="1:7" s="13" customFormat="1" ht="12.75">
      <c r="A12" s="22" t="s">
        <v>74</v>
      </c>
    </row>
    <row r="13" spans="1:7" s="13" customFormat="1" ht="12.75">
      <c r="A13" s="13" t="s">
        <v>75</v>
      </c>
      <c r="C13" s="23">
        <f>D2</f>
        <v>168.76</v>
      </c>
      <c r="D13" s="13" t="s">
        <v>76</v>
      </c>
      <c r="F13" s="24">
        <f>D8</f>
        <v>25.007999999999999</v>
      </c>
      <c r="G13" s="25"/>
    </row>
    <row r="14" spans="1:7" s="13" customFormat="1" ht="12.75">
      <c r="A14" s="13" t="s">
        <v>77</v>
      </c>
      <c r="C14" s="23">
        <f>D3</f>
        <v>21.2</v>
      </c>
      <c r="D14" s="13" t="s">
        <v>78</v>
      </c>
      <c r="F14" s="26">
        <f>D9</f>
        <v>121.45</v>
      </c>
      <c r="G14" s="25"/>
    </row>
    <row r="15" spans="1:7" s="13" customFormat="1" ht="12.75">
      <c r="A15" s="13" t="s">
        <v>79</v>
      </c>
      <c r="C15" s="23">
        <f ca="1">(C13*F14+C26*F13)/(F14+F13)</f>
        <v>164.83135668350005</v>
      </c>
      <c r="D15" s="13" t="s">
        <v>80</v>
      </c>
      <c r="F15" s="27">
        <f>D7</f>
        <v>2.75E-2</v>
      </c>
    </row>
    <row r="16" spans="1:7" s="13" customFormat="1" ht="12.75">
      <c r="A16" s="13" t="s">
        <v>81</v>
      </c>
      <c r="C16" s="23">
        <f>C14</f>
        <v>21.2</v>
      </c>
      <c r="D16" s="13" t="s">
        <v>82</v>
      </c>
      <c r="F16" s="28">
        <f>D5^2</f>
        <v>0.25</v>
      </c>
    </row>
    <row r="17" spans="1:7" s="13" customFormat="1" ht="12.75">
      <c r="A17" s="13" t="s">
        <v>83</v>
      </c>
      <c r="C17" s="23">
        <f>D4</f>
        <v>3.4950000000000001</v>
      </c>
      <c r="D17" s="13" t="s">
        <v>84</v>
      </c>
      <c r="F17" s="27">
        <f>D6</f>
        <v>0</v>
      </c>
    </row>
    <row r="18" spans="1:7" s="13" customFormat="1" ht="12.75">
      <c r="C18" s="22"/>
      <c r="D18" s="13" t="s">
        <v>85</v>
      </c>
      <c r="F18" s="29">
        <f>F15-F17</f>
        <v>2.75E-2</v>
      </c>
    </row>
    <row r="19" spans="1:7" s="13" customFormat="1" ht="12.75"/>
    <row r="20" spans="1:7" s="13" customFormat="1" ht="12.75">
      <c r="A20" s="13" t="s">
        <v>86</v>
      </c>
      <c r="B20" s="24">
        <f ca="1">(LN(C15/C16)+(F18+(F16/2))*C17)/(((F16)^(0.5))*(C17^0.5))</f>
        <v>2.7642903139504615</v>
      </c>
    </row>
    <row r="21" spans="1:7" s="13" customFormat="1" ht="12.75">
      <c r="A21" s="13" t="s">
        <v>87</v>
      </c>
      <c r="B21" s="24">
        <f ca="1">NORMSDIST(B20)</f>
        <v>0.99714766204731475</v>
      </c>
    </row>
    <row r="22" spans="1:7" s="13" customFormat="1" ht="12.75"/>
    <row r="23" spans="1:7" s="13" customFormat="1" ht="15.75" customHeight="1">
      <c r="A23" s="13" t="s">
        <v>88</v>
      </c>
      <c r="B23" s="24">
        <f ca="1">B20-((F16^0.5)*(C17^(0.5)))</f>
        <v>1.8295443591584657</v>
      </c>
    </row>
    <row r="24" spans="1:7" s="13" customFormat="1" ht="12.75">
      <c r="A24" s="13" t="s">
        <v>89</v>
      </c>
      <c r="B24" s="24">
        <f ca="1">NORMSDIST(B23)</f>
        <v>0.96634094981214802</v>
      </c>
    </row>
    <row r="25" spans="1:7" ht="13.5" thickBot="1">
      <c r="A25" s="13"/>
      <c r="B25" s="13"/>
    </row>
    <row r="26" spans="1:7" s="13" customFormat="1" ht="13.5" thickBot="1">
      <c r="A26" s="13" t="s">
        <v>90</v>
      </c>
      <c r="C26" s="30">
        <f ca="1">((EXP((0-F17)*C17))*C15*B21-C16*(EXP((0-F15)*C17))*B24)</f>
        <v>145.75211280998286</v>
      </c>
      <c r="G26" s="31"/>
    </row>
    <row r="27" spans="1:7" s="13" customFormat="1" ht="13.5" thickBot="1">
      <c r="A27" s="13" t="s">
        <v>91</v>
      </c>
      <c r="D27" s="32">
        <f ca="1">C26*D8</f>
        <v>3644.9688371520515</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D16"/>
  <sheetViews>
    <sheetView zoomScale="125" zoomScaleNormal="125" workbookViewId="0">
      <selection activeCell="B10" sqref="B10:C10"/>
    </sheetView>
  </sheetViews>
  <sheetFormatPr defaultColWidth="10.85546875" defaultRowHeight="15"/>
  <cols>
    <col min="1" max="1" width="61.7109375" style="8" customWidth="1"/>
    <col min="2" max="2" width="43.85546875" style="8" customWidth="1"/>
    <col min="3" max="3" width="68" style="8" bestFit="1" customWidth="1"/>
    <col min="4" max="16384" width="10.85546875" style="8"/>
  </cols>
  <sheetData>
    <row r="1" spans="1:4" s="157" customFormat="1" ht="12.75">
      <c r="A1" s="159" t="s">
        <v>98</v>
      </c>
      <c r="B1" s="160"/>
    </row>
    <row r="2" spans="1:4" s="157" customFormat="1" ht="12.75">
      <c r="A2" s="160" t="s">
        <v>7</v>
      </c>
      <c r="B2" s="161">
        <f>'Valuation output'!B39</f>
        <v>1698.1100000000001</v>
      </c>
    </row>
    <row r="3" spans="1:4" s="157" customFormat="1" ht="12.75">
      <c r="A3" s="160" t="s">
        <v>8</v>
      </c>
      <c r="B3" s="161">
        <f>'Valuation output'!L39</f>
        <v>47154.311577254346</v>
      </c>
    </row>
    <row r="4" spans="1:4" s="157" customFormat="1" ht="12.75">
      <c r="A4" s="160" t="s">
        <v>9</v>
      </c>
      <c r="B4" s="161">
        <f>B3-B2</f>
        <v>45456.201577254345</v>
      </c>
    </row>
    <row r="5" spans="1:4" s="157" customFormat="1" ht="12.75">
      <c r="A5" s="160" t="s">
        <v>10</v>
      </c>
      <c r="B5" s="161">
        <f>'Valuation output'!L5-'Valuation output'!B5</f>
        <v>8199.5995279910785</v>
      </c>
    </row>
    <row r="6" spans="1:4" s="157" customFormat="1" ht="12.75">
      <c r="A6" s="160" t="s">
        <v>4</v>
      </c>
      <c r="B6" s="162">
        <f>B5/B4</f>
        <v>0.18038461735645867</v>
      </c>
    </row>
    <row r="7" spans="1:4" s="157" customFormat="1" ht="12.75">
      <c r="A7" s="160" t="s">
        <v>5</v>
      </c>
      <c r="B7" s="162">
        <f>'Valuation output'!L40</f>
        <v>0.11272633329585571</v>
      </c>
    </row>
    <row r="8" spans="1:4" s="157" customFormat="1" ht="12.75">
      <c r="A8" s="160" t="s">
        <v>339</v>
      </c>
      <c r="B8" s="162">
        <f>(1/'Valuation output'!L13)^(1/10)-1</f>
        <v>9.4200694605595103E-2</v>
      </c>
    </row>
    <row r="9" spans="1:4" s="157" customFormat="1" ht="13.5" thickBot="1">
      <c r="A9" s="163" t="s">
        <v>29</v>
      </c>
      <c r="B9" s="164">
        <f ca="1">'Valuation output'!B33/'Valuation output'!B34</f>
        <v>0.39772704180932206</v>
      </c>
    </row>
    <row r="10" spans="1:4" s="157" customFormat="1" ht="13.5" thickBot="1">
      <c r="A10" s="165"/>
      <c r="B10" s="286" t="str">
        <f ca="1">IF(B9="NA","Value is negative. See below",IF(B9&gt;2,"Value seems high. See below",IF(B9&lt;0.5,"Value seems low. See below"," ")))</f>
        <v>Value seems low. See below</v>
      </c>
      <c r="C10" s="287"/>
    </row>
    <row r="11" spans="1:4" s="13" customFormat="1" ht="13.5">
      <c r="A11" s="228" t="s">
        <v>6</v>
      </c>
      <c r="B11" s="229" t="s">
        <v>0</v>
      </c>
      <c r="C11" s="230" t="s">
        <v>1</v>
      </c>
    </row>
    <row r="12" spans="1:4" s="13" customFormat="1" ht="12.75">
      <c r="A12" s="239" t="s">
        <v>244</v>
      </c>
      <c r="B12" s="231" t="s">
        <v>2</v>
      </c>
      <c r="C12" s="232" t="s">
        <v>3</v>
      </c>
    </row>
    <row r="13" spans="1:4" s="13" customFormat="1" ht="12.75">
      <c r="A13" s="239" t="s">
        <v>245</v>
      </c>
      <c r="B13" s="233" t="s">
        <v>242</v>
      </c>
      <c r="C13" s="234" t="s">
        <v>243</v>
      </c>
      <c r="D13" s="13" t="s">
        <v>249</v>
      </c>
    </row>
    <row r="14" spans="1:4" s="13" customFormat="1" ht="12.75">
      <c r="A14" s="240" t="s">
        <v>246</v>
      </c>
      <c r="B14" s="235" t="s">
        <v>240</v>
      </c>
      <c r="C14" s="236" t="s">
        <v>241</v>
      </c>
      <c r="D14" s="13" t="s">
        <v>249</v>
      </c>
    </row>
    <row r="15" spans="1:4" s="13" customFormat="1" ht="13.5" thickBot="1">
      <c r="A15" s="241" t="s">
        <v>251</v>
      </c>
      <c r="B15" s="237" t="s">
        <v>247</v>
      </c>
      <c r="C15" s="238" t="s">
        <v>248</v>
      </c>
      <c r="D15" s="13" t="s">
        <v>250</v>
      </c>
    </row>
    <row r="16" spans="1:4">
      <c r="B16" s="85"/>
    </row>
  </sheetData>
  <mergeCells count="1">
    <mergeCell ref="B10:C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J40"/>
  <sheetViews>
    <sheetView workbookViewId="0">
      <selection activeCell="F6" sqref="F6"/>
    </sheetView>
  </sheetViews>
  <sheetFormatPr defaultColWidth="11.42578125" defaultRowHeight="12"/>
  <sheetData>
    <row r="1" spans="1:10" s="11" customFormat="1" ht="18.75">
      <c r="A1" s="34" t="s">
        <v>547</v>
      </c>
      <c r="B1" s="34"/>
      <c r="C1" s="34"/>
      <c r="D1" s="34"/>
      <c r="E1" s="34"/>
      <c r="F1" s="34"/>
      <c r="G1" s="34"/>
      <c r="H1" s="34"/>
      <c r="I1" s="34"/>
      <c r="J1" s="34"/>
    </row>
    <row r="2" spans="1:10" s="13" customFormat="1" ht="12.75">
      <c r="A2" s="13" t="s">
        <v>548</v>
      </c>
    </row>
    <row r="3" spans="1:10" s="13" customFormat="1" ht="12.75">
      <c r="A3" s="13" t="s">
        <v>549</v>
      </c>
    </row>
    <row r="4" spans="1:10" s="13" customFormat="1" ht="12.75"/>
    <row r="5" spans="1:10" s="13" customFormat="1" ht="12.75">
      <c r="A5" s="22" t="s">
        <v>6</v>
      </c>
    </row>
    <row r="6" spans="1:10" s="13" customFormat="1" ht="12.75">
      <c r="A6" s="13" t="s">
        <v>550</v>
      </c>
      <c r="F6" s="141">
        <v>5</v>
      </c>
      <c r="G6" s="13" t="s">
        <v>551</v>
      </c>
    </row>
    <row r="7" spans="1:10" s="13" customFormat="1" ht="12.75">
      <c r="A7" s="13" t="s">
        <v>552</v>
      </c>
      <c r="F7" s="38">
        <f>'Traiing 12 month'!E3</f>
        <v>310.05799999999999</v>
      </c>
      <c r="G7" s="13" t="s">
        <v>553</v>
      </c>
    </row>
    <row r="8" spans="1:10" s="13" customFormat="1" ht="12.75">
      <c r="A8" s="13" t="s">
        <v>554</v>
      </c>
    </row>
    <row r="9" spans="1:10" s="13" customFormat="1" ht="12.75">
      <c r="A9" s="13" t="s">
        <v>555</v>
      </c>
    </row>
    <row r="10" spans="1:10" s="203" customFormat="1" ht="12.75">
      <c r="A10" s="201" t="s">
        <v>211</v>
      </c>
      <c r="B10" s="201" t="s">
        <v>556</v>
      </c>
      <c r="C10" s="202"/>
      <c r="D10" s="202"/>
      <c r="E10" s="202"/>
      <c r="F10" s="202"/>
      <c r="G10" s="202"/>
      <c r="H10" s="202"/>
      <c r="I10" s="202"/>
    </row>
    <row r="11" spans="1:10" s="203" customFormat="1" ht="12.75">
      <c r="A11" s="204">
        <v>-1</v>
      </c>
      <c r="B11" s="205">
        <v>273.98</v>
      </c>
      <c r="C11" s="202" t="s">
        <v>557</v>
      </c>
      <c r="D11" s="202"/>
      <c r="E11" s="202"/>
      <c r="F11" s="202"/>
      <c r="G11" s="202"/>
      <c r="H11" s="202"/>
      <c r="I11" s="202"/>
    </row>
    <row r="12" spans="1:10" s="203" customFormat="1" ht="12.75">
      <c r="A12" s="204">
        <f>IF((0-A11)&lt;$F$6,IF(A11&gt;-1,,A11-1),)</f>
        <v>-2</v>
      </c>
      <c r="B12" s="205">
        <v>208.98</v>
      </c>
      <c r="C12" s="202" t="s">
        <v>558</v>
      </c>
      <c r="D12" s="202"/>
      <c r="E12" s="202"/>
      <c r="F12" s="202"/>
      <c r="G12" s="202"/>
      <c r="H12" s="202"/>
      <c r="I12" s="202"/>
    </row>
    <row r="13" spans="1:10" s="203" customFormat="1" ht="12.75">
      <c r="A13" s="204">
        <f t="shared" ref="A13:A20" si="0">IF((0-A12)&lt;$F$6,IF(A12&gt;-1,,A12-1),)</f>
        <v>-3</v>
      </c>
      <c r="B13" s="205">
        <v>93</v>
      </c>
      <c r="C13" s="202"/>
      <c r="D13" s="202"/>
      <c r="E13" s="202"/>
      <c r="F13" s="202"/>
      <c r="G13" s="202"/>
      <c r="H13" s="202"/>
      <c r="I13" s="202"/>
    </row>
    <row r="14" spans="1:10" s="203" customFormat="1" ht="12.75">
      <c r="A14" s="204">
        <f t="shared" si="0"/>
        <v>-4</v>
      </c>
      <c r="B14" s="205"/>
      <c r="C14" s="202"/>
      <c r="D14" s="202"/>
      <c r="E14" s="202"/>
      <c r="F14" s="202"/>
      <c r="G14" s="202"/>
      <c r="H14" s="202"/>
      <c r="I14" s="202"/>
    </row>
    <row r="15" spans="1:10" s="203" customFormat="1" ht="12.75">
      <c r="A15" s="204">
        <f t="shared" si="0"/>
        <v>-5</v>
      </c>
      <c r="B15" s="205"/>
      <c r="C15" s="202"/>
      <c r="D15" s="202"/>
      <c r="E15" s="202"/>
      <c r="F15" s="202"/>
      <c r="G15" s="202"/>
      <c r="H15" s="202"/>
      <c r="I15" s="202"/>
    </row>
    <row r="16" spans="1:10" s="203" customFormat="1" ht="12.75">
      <c r="A16" s="204">
        <f t="shared" si="0"/>
        <v>0</v>
      </c>
      <c r="B16" s="205"/>
      <c r="C16" s="202"/>
      <c r="D16" s="202"/>
      <c r="E16" s="202"/>
      <c r="F16" s="202"/>
      <c r="G16" s="202"/>
      <c r="H16" s="202"/>
      <c r="I16" s="202"/>
    </row>
    <row r="17" spans="1:9" s="203" customFormat="1" ht="12.75">
      <c r="A17" s="204">
        <f t="shared" si="0"/>
        <v>0</v>
      </c>
      <c r="B17" s="205"/>
      <c r="C17" s="202"/>
      <c r="D17" s="202"/>
      <c r="E17" s="202"/>
      <c r="F17" s="202"/>
      <c r="G17" s="202"/>
      <c r="H17" s="202"/>
      <c r="I17" s="202"/>
    </row>
    <row r="18" spans="1:9" s="203" customFormat="1" ht="12.75">
      <c r="A18" s="204">
        <f t="shared" si="0"/>
        <v>0</v>
      </c>
      <c r="B18" s="205"/>
      <c r="C18" s="202"/>
      <c r="D18" s="202"/>
      <c r="E18" s="202"/>
      <c r="F18" s="202"/>
      <c r="G18" s="202"/>
      <c r="H18" s="202"/>
      <c r="I18" s="202"/>
    </row>
    <row r="19" spans="1:9" s="203" customFormat="1" ht="12.75">
      <c r="A19" s="204">
        <f t="shared" si="0"/>
        <v>0</v>
      </c>
      <c r="B19" s="205"/>
      <c r="C19" s="202"/>
      <c r="D19" s="202"/>
      <c r="E19" s="202"/>
      <c r="F19" s="202"/>
      <c r="G19" s="202"/>
      <c r="H19" s="202"/>
      <c r="I19" s="202"/>
    </row>
    <row r="20" spans="1:9" s="203" customFormat="1" ht="12.75">
      <c r="A20" s="204">
        <f t="shared" si="0"/>
        <v>0</v>
      </c>
      <c r="B20" s="205"/>
      <c r="C20" s="202"/>
      <c r="D20" s="202"/>
      <c r="E20" s="202"/>
      <c r="F20" s="202"/>
      <c r="G20" s="202"/>
      <c r="H20" s="202"/>
      <c r="I20" s="202"/>
    </row>
    <row r="21" spans="1:9" s="203" customFormat="1" ht="12.75">
      <c r="A21" s="202"/>
      <c r="B21" s="202"/>
      <c r="C21" s="202"/>
      <c r="D21" s="202"/>
      <c r="E21" s="202"/>
      <c r="F21" s="202"/>
      <c r="G21" s="202"/>
      <c r="H21" s="202"/>
      <c r="I21" s="202"/>
    </row>
    <row r="22" spans="1:9" s="203" customFormat="1" ht="12.75">
      <c r="A22" s="206" t="s">
        <v>215</v>
      </c>
      <c r="B22" s="202"/>
      <c r="C22" s="202"/>
      <c r="D22" s="202"/>
      <c r="E22" s="202"/>
      <c r="F22" s="202"/>
      <c r="G22" s="202"/>
      <c r="H22" s="202"/>
      <c r="I22" s="202"/>
    </row>
    <row r="23" spans="1:9" s="203" customFormat="1" ht="12.75">
      <c r="A23" s="201" t="s">
        <v>211</v>
      </c>
      <c r="B23" s="201" t="s">
        <v>559</v>
      </c>
      <c r="C23" s="207" t="s">
        <v>560</v>
      </c>
      <c r="D23" s="208"/>
      <c r="E23" s="202" t="s">
        <v>561</v>
      </c>
      <c r="F23" s="202"/>
      <c r="G23" s="202"/>
      <c r="H23" s="202"/>
      <c r="I23" s="202"/>
    </row>
    <row r="24" spans="1:9" s="203" customFormat="1" ht="12.75">
      <c r="A24" s="201" t="s">
        <v>562</v>
      </c>
      <c r="B24" s="201">
        <f>F7</f>
        <v>310.05799999999999</v>
      </c>
      <c r="C24" s="201">
        <f>1</f>
        <v>1</v>
      </c>
      <c r="D24" s="201">
        <f>B24*C24</f>
        <v>310.05799999999999</v>
      </c>
      <c r="E24" s="202"/>
      <c r="F24" s="202"/>
      <c r="G24" s="202"/>
      <c r="H24" s="202"/>
      <c r="I24" s="202"/>
    </row>
    <row r="25" spans="1:9" s="203" customFormat="1" ht="12.75">
      <c r="A25" s="204">
        <f>A11</f>
        <v>-1</v>
      </c>
      <c r="B25" s="201">
        <f>B11</f>
        <v>273.98</v>
      </c>
      <c r="C25" s="201">
        <f>IF(A25&lt;0,($F$6+A25)/$F$6,0)</f>
        <v>0.8</v>
      </c>
      <c r="D25" s="201">
        <f>B25*C25</f>
        <v>219.18400000000003</v>
      </c>
      <c r="E25" s="209">
        <f t="shared" ref="E25:E34" si="1">IF(A25&lt;0,B25/$F$6,0)</f>
        <v>54.796000000000006</v>
      </c>
      <c r="F25" s="202"/>
      <c r="G25" s="202"/>
      <c r="H25" s="202"/>
      <c r="I25" s="202"/>
    </row>
    <row r="26" spans="1:9" s="203" customFormat="1" ht="12.75">
      <c r="A26" s="204">
        <f t="shared" ref="A26:B34" si="2">A12</f>
        <v>-2</v>
      </c>
      <c r="B26" s="201">
        <f t="shared" si="2"/>
        <v>208.98</v>
      </c>
      <c r="C26" s="201">
        <f>IF(A26&lt;0,($F$6+A26)/$F$6,0)</f>
        <v>0.6</v>
      </c>
      <c r="D26" s="201">
        <f t="shared" ref="D26:D34" si="3">B26*C26</f>
        <v>125.38799999999999</v>
      </c>
      <c r="E26" s="209">
        <f t="shared" si="1"/>
        <v>41.795999999999999</v>
      </c>
      <c r="F26" s="202"/>
      <c r="G26" s="202"/>
      <c r="H26" s="202"/>
      <c r="I26" s="202"/>
    </row>
    <row r="27" spans="1:9" s="203" customFormat="1" ht="12.75">
      <c r="A27" s="204">
        <f t="shared" si="2"/>
        <v>-3</v>
      </c>
      <c r="B27" s="201">
        <f t="shared" si="2"/>
        <v>93</v>
      </c>
      <c r="C27" s="201">
        <f>IF(A27&lt;0,($F$6+A27)/$F$6,0)</f>
        <v>0.4</v>
      </c>
      <c r="D27" s="201">
        <f t="shared" si="3"/>
        <v>37.200000000000003</v>
      </c>
      <c r="E27" s="209">
        <f t="shared" si="1"/>
        <v>18.600000000000001</v>
      </c>
      <c r="F27" s="202"/>
      <c r="G27" s="202"/>
      <c r="H27" s="202"/>
      <c r="I27" s="202"/>
    </row>
    <row r="28" spans="1:9" s="203" customFormat="1" ht="12.75">
      <c r="A28" s="204">
        <f t="shared" si="2"/>
        <v>-4</v>
      </c>
      <c r="B28" s="201">
        <f t="shared" si="2"/>
        <v>0</v>
      </c>
      <c r="C28" s="201">
        <f t="shared" ref="C28:C34" si="4">IF(A28&lt;0,($F$6+A28)/$F$6,0)</f>
        <v>0.2</v>
      </c>
      <c r="D28" s="201">
        <f t="shared" si="3"/>
        <v>0</v>
      </c>
      <c r="E28" s="209">
        <f t="shared" si="1"/>
        <v>0</v>
      </c>
      <c r="F28" s="202"/>
      <c r="G28" s="202"/>
      <c r="H28" s="202"/>
      <c r="I28" s="202"/>
    </row>
    <row r="29" spans="1:9" s="203" customFormat="1" ht="12.75">
      <c r="A29" s="204">
        <f t="shared" si="2"/>
        <v>-5</v>
      </c>
      <c r="B29" s="201">
        <f t="shared" si="2"/>
        <v>0</v>
      </c>
      <c r="C29" s="201">
        <f t="shared" si="4"/>
        <v>0</v>
      </c>
      <c r="D29" s="201">
        <f t="shared" si="3"/>
        <v>0</v>
      </c>
      <c r="E29" s="209">
        <f t="shared" si="1"/>
        <v>0</v>
      </c>
      <c r="F29" s="202"/>
      <c r="G29" s="202"/>
      <c r="H29" s="202"/>
      <c r="I29" s="202"/>
    </row>
    <row r="30" spans="1:9" s="203" customFormat="1" ht="12.75">
      <c r="A30" s="204">
        <f t="shared" si="2"/>
        <v>0</v>
      </c>
      <c r="B30" s="201">
        <f t="shared" si="2"/>
        <v>0</v>
      </c>
      <c r="C30" s="201">
        <f t="shared" si="4"/>
        <v>0</v>
      </c>
      <c r="D30" s="201">
        <f t="shared" si="3"/>
        <v>0</v>
      </c>
      <c r="E30" s="209">
        <f t="shared" si="1"/>
        <v>0</v>
      </c>
      <c r="F30" s="202"/>
      <c r="G30" s="202"/>
      <c r="H30" s="202"/>
      <c r="I30" s="202"/>
    </row>
    <row r="31" spans="1:9" s="203" customFormat="1" ht="12.75">
      <c r="A31" s="204">
        <f t="shared" si="2"/>
        <v>0</v>
      </c>
      <c r="B31" s="201">
        <f t="shared" si="2"/>
        <v>0</v>
      </c>
      <c r="C31" s="201">
        <f t="shared" si="4"/>
        <v>0</v>
      </c>
      <c r="D31" s="201">
        <f t="shared" si="3"/>
        <v>0</v>
      </c>
      <c r="E31" s="209">
        <f t="shared" si="1"/>
        <v>0</v>
      </c>
      <c r="F31" s="202"/>
      <c r="G31" s="202"/>
      <c r="H31" s="202"/>
      <c r="I31" s="202"/>
    </row>
    <row r="32" spans="1:9" s="203" customFormat="1" ht="12.75">
      <c r="A32" s="204">
        <f t="shared" si="2"/>
        <v>0</v>
      </c>
      <c r="B32" s="201">
        <f t="shared" si="2"/>
        <v>0</v>
      </c>
      <c r="C32" s="201">
        <f t="shared" si="4"/>
        <v>0</v>
      </c>
      <c r="D32" s="201">
        <f t="shared" si="3"/>
        <v>0</v>
      </c>
      <c r="E32" s="209">
        <f t="shared" si="1"/>
        <v>0</v>
      </c>
      <c r="F32" s="202"/>
      <c r="G32" s="202"/>
      <c r="H32" s="202"/>
      <c r="I32" s="202"/>
    </row>
    <row r="33" spans="1:9" s="203" customFormat="1" ht="12.75">
      <c r="A33" s="204">
        <f t="shared" si="2"/>
        <v>0</v>
      </c>
      <c r="B33" s="201">
        <f t="shared" si="2"/>
        <v>0</v>
      </c>
      <c r="C33" s="201">
        <f t="shared" si="4"/>
        <v>0</v>
      </c>
      <c r="D33" s="201">
        <f t="shared" si="3"/>
        <v>0</v>
      </c>
      <c r="E33" s="209">
        <f t="shared" si="1"/>
        <v>0</v>
      </c>
      <c r="F33" s="202"/>
      <c r="G33" s="202"/>
      <c r="H33" s="202"/>
      <c r="I33" s="202"/>
    </row>
    <row r="34" spans="1:9" s="203" customFormat="1" ht="15.95" customHeight="1" thickBot="1">
      <c r="A34" s="204">
        <f t="shared" si="2"/>
        <v>0</v>
      </c>
      <c r="B34" s="201">
        <f t="shared" si="2"/>
        <v>0</v>
      </c>
      <c r="C34" s="201">
        <f t="shared" si="4"/>
        <v>0</v>
      </c>
      <c r="D34" s="210">
        <f t="shared" si="3"/>
        <v>0</v>
      </c>
      <c r="E34" s="211">
        <f t="shared" si="1"/>
        <v>0</v>
      </c>
      <c r="F34" s="202"/>
      <c r="G34" s="202"/>
      <c r="H34" s="202"/>
      <c r="I34" s="202"/>
    </row>
    <row r="35" spans="1:9" s="13" customFormat="1" ht="13.5" thickBot="1">
      <c r="A35" s="13" t="s">
        <v>563</v>
      </c>
      <c r="D35" s="212">
        <f>SUM(D24:D34)</f>
        <v>691.83</v>
      </c>
      <c r="E35" s="30">
        <f>SUM(E25:E34)</f>
        <v>115.19200000000001</v>
      </c>
    </row>
    <row r="36" spans="1:9" ht="12.75" thickBot="1"/>
    <row r="37" spans="1:9" s="13" customFormat="1" ht="13.5" thickBot="1">
      <c r="A37" s="13" t="s">
        <v>564</v>
      </c>
      <c r="D37" s="212">
        <f>E35</f>
        <v>115.19200000000001</v>
      </c>
    </row>
    <row r="38" spans="1:9" s="13" customFormat="1" ht="13.5" thickBot="1"/>
    <row r="39" spans="1:9" s="13" customFormat="1" ht="12.75">
      <c r="A39" s="13" t="s">
        <v>565</v>
      </c>
      <c r="D39" s="213">
        <f>F7-D37</f>
        <v>194.86599999999999</v>
      </c>
      <c r="E39" s="13" t="s">
        <v>566</v>
      </c>
    </row>
    <row r="40" spans="1:9" ht="12.75">
      <c r="A40" t="s">
        <v>567</v>
      </c>
      <c r="D40" s="214">
        <f>D39*'Input sheet'!B21</f>
        <v>68.203099999999992</v>
      </c>
      <c r="E40" s="13"/>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dimension ref="A1:K33"/>
  <sheetViews>
    <sheetView zoomScale="125" zoomScaleNormal="125" workbookViewId="0">
      <selection activeCell="E25" sqref="E25"/>
    </sheetView>
  </sheetViews>
  <sheetFormatPr defaultColWidth="11.42578125" defaultRowHeight="12"/>
  <sheetData>
    <row r="1" spans="1:11" s="11" customFormat="1" ht="18.75">
      <c r="A1" s="34" t="s">
        <v>208</v>
      </c>
      <c r="B1" s="34"/>
      <c r="C1" s="34"/>
      <c r="D1" s="34"/>
      <c r="E1" s="34"/>
      <c r="F1" s="34"/>
      <c r="G1" s="34"/>
      <c r="H1" s="34"/>
      <c r="I1" s="34"/>
      <c r="J1" s="34"/>
      <c r="K1" s="34"/>
    </row>
    <row r="2" spans="1:11" s="11" customFormat="1" ht="18.75">
      <c r="A2" s="34" t="s">
        <v>252</v>
      </c>
      <c r="B2" s="34"/>
      <c r="C2" s="34"/>
      <c r="D2" s="34"/>
      <c r="E2" s="34"/>
      <c r="F2" s="34"/>
      <c r="G2" s="34"/>
      <c r="H2" s="34"/>
      <c r="I2" s="34"/>
      <c r="J2" s="34"/>
      <c r="K2" s="34"/>
    </row>
    <row r="3" spans="1:11" s="22" customFormat="1" ht="12.75">
      <c r="A3" s="22" t="s">
        <v>6</v>
      </c>
    </row>
    <row r="4" spans="1:11" s="13" customFormat="1" ht="12.75">
      <c r="A4" s="13" t="s">
        <v>209</v>
      </c>
      <c r="E4" s="38">
        <v>380</v>
      </c>
    </row>
    <row r="5" spans="1:11" s="20" customFormat="1" ht="12.75">
      <c r="A5" s="20" t="s">
        <v>210</v>
      </c>
    </row>
    <row r="6" spans="1:11" s="13" customFormat="1" ht="12.75">
      <c r="A6" s="35" t="s">
        <v>211</v>
      </c>
      <c r="B6" s="35" t="s">
        <v>212</v>
      </c>
      <c r="C6" s="13" t="s">
        <v>213</v>
      </c>
    </row>
    <row r="7" spans="1:11" s="13" customFormat="1" ht="12.75">
      <c r="A7" s="35">
        <v>1</v>
      </c>
      <c r="B7" s="200">
        <v>56</v>
      </c>
    </row>
    <row r="8" spans="1:11" s="13" customFormat="1" ht="12.75">
      <c r="A8" s="35">
        <v>2</v>
      </c>
      <c r="B8" s="200">
        <v>47</v>
      </c>
    </row>
    <row r="9" spans="1:11" s="13" customFormat="1" ht="12.75">
      <c r="A9" s="35">
        <v>3</v>
      </c>
      <c r="B9" s="200">
        <v>39</v>
      </c>
    </row>
    <row r="10" spans="1:11" s="13" customFormat="1" ht="12.75">
      <c r="A10" s="35">
        <v>4</v>
      </c>
      <c r="B10" s="200">
        <v>35</v>
      </c>
    </row>
    <row r="11" spans="1:11" s="13" customFormat="1" ht="12.75">
      <c r="A11" s="35">
        <v>5</v>
      </c>
      <c r="B11" s="200">
        <v>31</v>
      </c>
    </row>
    <row r="12" spans="1:11" s="13" customFormat="1" ht="12.75">
      <c r="A12" s="35" t="s">
        <v>214</v>
      </c>
      <c r="B12" s="200">
        <v>93</v>
      </c>
    </row>
    <row r="13" spans="1:11" s="13" customFormat="1" ht="12.75"/>
    <row r="14" spans="1:11" s="36" customFormat="1" ht="16.5" thickBot="1">
      <c r="A14" s="36" t="s">
        <v>215</v>
      </c>
    </row>
    <row r="15" spans="1:11" s="13" customFormat="1" ht="13.5" thickBot="1">
      <c r="A15" s="13" t="s">
        <v>216</v>
      </c>
      <c r="C15" s="86">
        <f>'Cost of capital worksheet'!B23</f>
        <v>7.0000000000000007E-2</v>
      </c>
      <c r="D15" s="13" t="s">
        <v>336</v>
      </c>
    </row>
    <row r="16" spans="1:11" s="13" customFormat="1" ht="12.75"/>
    <row r="17" spans="1:7" s="13" customFormat="1" ht="12.75">
      <c r="D17" s="39"/>
    </row>
    <row r="18" spans="1:7" s="13" customFormat="1" ht="12.75">
      <c r="A18" s="13" t="s">
        <v>217</v>
      </c>
      <c r="D18" s="40">
        <f>IF(B12&gt;0,ROUND(B12/AVERAGE(B7:B11),0),0)</f>
        <v>2</v>
      </c>
      <c r="E18" s="13" t="s">
        <v>218</v>
      </c>
    </row>
    <row r="19" spans="1:7" s="22" customFormat="1" ht="12.75">
      <c r="E19" s="13" t="s">
        <v>219</v>
      </c>
    </row>
    <row r="20" spans="1:7" s="20" customFormat="1" ht="12.75">
      <c r="A20" s="20" t="s">
        <v>220</v>
      </c>
    </row>
    <row r="21" spans="1:7" s="13" customFormat="1" ht="12.75">
      <c r="A21" s="35" t="s">
        <v>211</v>
      </c>
      <c r="B21" s="35" t="s">
        <v>212</v>
      </c>
      <c r="C21" s="35" t="s">
        <v>221</v>
      </c>
    </row>
    <row r="22" spans="1:7" s="13" customFormat="1" ht="12.75">
      <c r="A22" s="24">
        <f>A7</f>
        <v>1</v>
      </c>
      <c r="B22" s="33">
        <f>B7</f>
        <v>56</v>
      </c>
      <c r="C22" s="14">
        <f>B22/(1+$C$15)^A22</f>
        <v>52.336448598130836</v>
      </c>
    </row>
    <row r="23" spans="1:7" s="13" customFormat="1" ht="12.75">
      <c r="A23" s="24">
        <f t="shared" ref="A23:B26" si="0">A8</f>
        <v>2</v>
      </c>
      <c r="B23" s="33">
        <f t="shared" si="0"/>
        <v>47</v>
      </c>
      <c r="C23" s="14">
        <f>B23/(1+$C$15)^A23</f>
        <v>41.051620228840946</v>
      </c>
    </row>
    <row r="24" spans="1:7" s="13" customFormat="1" ht="12.75">
      <c r="A24" s="24">
        <f t="shared" si="0"/>
        <v>3</v>
      </c>
      <c r="B24" s="33">
        <f t="shared" si="0"/>
        <v>39</v>
      </c>
      <c r="C24" s="14">
        <f>B24/(1+$C$15)^A24</f>
        <v>31.835617198743225</v>
      </c>
    </row>
    <row r="25" spans="1:7" s="13" customFormat="1" ht="12.75">
      <c r="A25" s="24">
        <f t="shared" si="0"/>
        <v>4</v>
      </c>
      <c r="B25" s="33">
        <f t="shared" si="0"/>
        <v>35</v>
      </c>
      <c r="C25" s="14">
        <f>B25/(1+$C$15)^A25</f>
        <v>26.701332421663384</v>
      </c>
    </row>
    <row r="26" spans="1:7" s="13" customFormat="1" ht="12.75">
      <c r="A26" s="24">
        <f t="shared" si="0"/>
        <v>5</v>
      </c>
      <c r="B26" s="33">
        <f t="shared" si="0"/>
        <v>31</v>
      </c>
      <c r="C26" s="14">
        <f>B26/(1+$C$15)^A26</f>
        <v>22.10257156399372</v>
      </c>
    </row>
    <row r="27" spans="1:7" s="13" customFormat="1" ht="13.5" thickBot="1">
      <c r="A27" s="41" t="str">
        <f>A12</f>
        <v>6 and beyond</v>
      </c>
      <c r="B27" s="42">
        <f>IF(B12&gt;0,IF(D18&gt;0,B12/D18,B12),0)</f>
        <v>46.5</v>
      </c>
      <c r="C27" s="43">
        <f>IF(D18&gt;0,(B27*(1-(1+C15)^(-D18))/C15)/(1+$C$15)^5,B27/(1+C15)^6)</f>
        <v>59.942776405101341</v>
      </c>
      <c r="D27" s="13" t="s">
        <v>222</v>
      </c>
    </row>
    <row r="28" spans="1:7" s="13" customFormat="1" ht="13.5" thickBot="1">
      <c r="A28" s="37" t="s">
        <v>223</v>
      </c>
      <c r="B28" s="44"/>
      <c r="C28" s="45">
        <f>SUM(C22:C27)</f>
        <v>233.97036641647347</v>
      </c>
    </row>
    <row r="29" spans="1:7" s="13" customFormat="1" ht="12.75"/>
    <row r="30" spans="1:7" s="13" customFormat="1" ht="12.75">
      <c r="A30" s="20" t="s">
        <v>224</v>
      </c>
    </row>
    <row r="31" spans="1:7" s="13" customFormat="1" ht="13.5" thickBot="1">
      <c r="A31" s="13" t="s">
        <v>225</v>
      </c>
      <c r="F31" s="43">
        <f>C28/(5+D18)</f>
        <v>33.424338059496208</v>
      </c>
      <c r="G31" s="13" t="s">
        <v>226</v>
      </c>
    </row>
    <row r="32" spans="1:7" s="13" customFormat="1" ht="13.5" thickBot="1">
      <c r="A32" s="13" t="s">
        <v>227</v>
      </c>
      <c r="F32" s="87">
        <f>E4-F31</f>
        <v>346.57566194050378</v>
      </c>
      <c r="G32" s="13" t="s">
        <v>229</v>
      </c>
    </row>
    <row r="33" spans="1:7" s="13" customFormat="1" ht="13.5" thickBot="1">
      <c r="A33" s="13" t="s">
        <v>228</v>
      </c>
      <c r="F33" s="46">
        <f>C28</f>
        <v>233.97036641647347</v>
      </c>
      <c r="G33" s="13" t="s">
        <v>230</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L59"/>
  <sheetViews>
    <sheetView workbookViewId="0">
      <selection activeCell="I33" sqref="I33"/>
    </sheetView>
  </sheetViews>
  <sheetFormatPr defaultColWidth="11.42578125" defaultRowHeight="12"/>
  <cols>
    <col min="1" max="1" width="40.140625" bestFit="1" customWidth="1"/>
    <col min="2" max="2" width="17.28515625" bestFit="1" customWidth="1"/>
    <col min="8" max="8" width="19.42578125" bestFit="1" customWidth="1"/>
    <col min="12" max="12" width="18.140625" bestFit="1" customWidth="1"/>
  </cols>
  <sheetData>
    <row r="1" spans="1:12" s="121" customFormat="1" ht="19.5">
      <c r="A1" s="121" t="s">
        <v>281</v>
      </c>
      <c r="B1" s="275"/>
      <c r="C1" s="274" t="s">
        <v>642</v>
      </c>
      <c r="H1" s="138" t="s">
        <v>615</v>
      </c>
    </row>
    <row r="2" spans="1:12" s="19" customFormat="1" ht="15" customHeight="1">
      <c r="A2" s="19" t="s">
        <v>6</v>
      </c>
      <c r="B2" s="276"/>
      <c r="C2" s="274" t="s">
        <v>643</v>
      </c>
      <c r="H2" s="179" t="s">
        <v>473</v>
      </c>
      <c r="I2" s="179" t="s">
        <v>11</v>
      </c>
      <c r="J2" s="179" t="s">
        <v>521</v>
      </c>
      <c r="K2" s="179" t="s">
        <v>523</v>
      </c>
      <c r="L2" s="179" t="s">
        <v>522</v>
      </c>
    </row>
    <row r="3" spans="1:12" s="13" customFormat="1" ht="15" customHeight="1">
      <c r="A3" s="122" t="s">
        <v>282</v>
      </c>
      <c r="B3" s="123"/>
      <c r="H3" s="177" t="s">
        <v>352</v>
      </c>
      <c r="I3" s="177">
        <v>19</v>
      </c>
      <c r="J3" s="132">
        <f>IF(I3=0,0,VLOOKUP(H3,'Country equity risk premiums'!$A$1:$E$119,4))</f>
        <v>0.14799999999999999</v>
      </c>
      <c r="K3" s="132">
        <f>IF(I3&gt;0,I3/$I$14,)</f>
        <v>9.3137254901960786E-2</v>
      </c>
      <c r="L3" s="132">
        <f t="shared" ref="L3:L11" si="0">IF(K3=0,0,J3*K3)</f>
        <v>1.3784313725490195E-2</v>
      </c>
    </row>
    <row r="4" spans="1:12" s="13" customFormat="1" ht="15" customHeight="1">
      <c r="A4" s="123" t="s">
        <v>283</v>
      </c>
      <c r="B4" s="129">
        <f>'Input sheet'!B18</f>
        <v>121.45</v>
      </c>
      <c r="H4" s="177" t="s">
        <v>364</v>
      </c>
      <c r="I4" s="177">
        <v>4</v>
      </c>
      <c r="J4" s="132">
        <f>IF(I4=0,0,VLOOKUP(H4,'Country equity risk premiums'!$A$1:$E$119,4))</f>
        <v>0.10680000000000001</v>
      </c>
      <c r="K4" s="132">
        <f t="shared" ref="K4:K13" si="1">IF(I4&gt;0,I4/$I$14,)</f>
        <v>1.9607843137254902E-2</v>
      </c>
      <c r="L4" s="132">
        <f t="shared" si="0"/>
        <v>2.0941176470588236E-3</v>
      </c>
    </row>
    <row r="5" spans="1:12" s="13" customFormat="1" ht="15" customHeight="1">
      <c r="A5" s="123" t="s">
        <v>284</v>
      </c>
      <c r="B5" s="130">
        <f>'Input sheet'!B19</f>
        <v>168.76</v>
      </c>
      <c r="H5" s="177" t="s">
        <v>367</v>
      </c>
      <c r="I5" s="177">
        <v>130</v>
      </c>
      <c r="J5" s="132">
        <f>IF(I5=0,0,VLOOKUP(H5,'Country equity risk premiums'!$A$1:$E$119,4))</f>
        <v>8.43E-2</v>
      </c>
      <c r="K5" s="132">
        <f t="shared" si="1"/>
        <v>0.63725490196078427</v>
      </c>
      <c r="L5" s="132">
        <f t="shared" si="0"/>
        <v>5.3720588235294117E-2</v>
      </c>
    </row>
    <row r="6" spans="1:12" s="13" customFormat="1" ht="15" customHeight="1">
      <c r="B6" s="125"/>
      <c r="H6" s="177" t="s">
        <v>370</v>
      </c>
      <c r="I6" s="177">
        <v>23</v>
      </c>
      <c r="J6" s="132">
        <f>IF(I6=0,0,VLOOKUP(H6,'Country equity risk premiums'!$A$1:$E$119,4))</f>
        <v>5.8000000000000003E-2</v>
      </c>
      <c r="K6" s="132">
        <f t="shared" si="1"/>
        <v>0.11274509803921569</v>
      </c>
      <c r="L6" s="132">
        <f t="shared" si="0"/>
        <v>6.5392156862745104E-3</v>
      </c>
    </row>
    <row r="7" spans="1:12" s="13" customFormat="1" ht="15" customHeight="1">
      <c r="A7" s="13" t="s">
        <v>644</v>
      </c>
      <c r="B7" s="266" t="s">
        <v>652</v>
      </c>
      <c r="H7" s="191"/>
      <c r="I7" s="191"/>
      <c r="J7" s="132"/>
      <c r="K7" s="132"/>
      <c r="L7" s="132"/>
    </row>
    <row r="8" spans="1:12" s="13" customFormat="1" ht="15" customHeight="1">
      <c r="A8" s="13" t="s">
        <v>646</v>
      </c>
      <c r="B8" s="277">
        <v>1.2</v>
      </c>
      <c r="H8" s="177" t="s">
        <v>372</v>
      </c>
      <c r="I8" s="177">
        <v>7</v>
      </c>
      <c r="J8" s="132">
        <f>IF(I8=0,0,VLOOKUP(H8,'Country equity risk premiums'!$A$1:$E$119,4))</f>
        <v>6.8500000000000005E-2</v>
      </c>
      <c r="K8" s="132">
        <f t="shared" si="1"/>
        <v>3.4313725490196081E-2</v>
      </c>
      <c r="L8" s="132">
        <f t="shared" si="0"/>
        <v>2.3504901960784319E-3</v>
      </c>
    </row>
    <row r="9" spans="1:12" s="13" customFormat="1" ht="15" customHeight="1">
      <c r="A9" s="13" t="s">
        <v>309</v>
      </c>
      <c r="B9" s="183">
        <f>IF(B7="Single Business(US)",VLOOKUP('Input sheet'!B6,'Industry Averages(US)'!A2:G101,7),IF(B7="Multibusiness(US)",L43,IF(B7="Single Business(Global)",VLOOKUP('Input sheet'!B7,'Global industry averages'!A2:C97,3),'Cost of capital worksheet'!L59)))</f>
        <v>1.2589017341040463</v>
      </c>
      <c r="H9" s="177" t="s">
        <v>382</v>
      </c>
      <c r="I9" s="177">
        <v>6</v>
      </c>
      <c r="J9" s="132">
        <f>IF(I9=0,0,VLOOKUP(H9,'Country equity risk premiums'!$A$1:$E$119,4))</f>
        <v>0.16300000000000001</v>
      </c>
      <c r="K9" s="132">
        <f t="shared" si="1"/>
        <v>2.9411764705882353E-2</v>
      </c>
      <c r="L9" s="132">
        <f t="shared" si="0"/>
        <v>4.7941176470588237E-3</v>
      </c>
    </row>
    <row r="10" spans="1:12" s="13" customFormat="1" ht="15" customHeight="1">
      <c r="A10" s="13" t="s">
        <v>285</v>
      </c>
      <c r="B10" s="134">
        <f>'Input sheet'!B27</f>
        <v>2.75E-2</v>
      </c>
      <c r="H10" s="177" t="s">
        <v>432</v>
      </c>
      <c r="I10" s="177">
        <v>3</v>
      </c>
      <c r="J10" s="132">
        <f>IF(I10=0,0,VLOOKUP(H10,'Country equity risk premiums'!$A$1:$E$119,4))</f>
        <v>0.11799999999999999</v>
      </c>
      <c r="K10" s="132">
        <f t="shared" si="1"/>
        <v>1.4705882352941176E-2</v>
      </c>
      <c r="L10" s="132">
        <f t="shared" si="0"/>
        <v>1.7352941176470586E-3</v>
      </c>
    </row>
    <row r="11" spans="1:12" s="13" customFormat="1" ht="15" customHeight="1">
      <c r="A11" s="13" t="s">
        <v>607</v>
      </c>
      <c r="B11" s="267" t="s">
        <v>612</v>
      </c>
      <c r="H11" s="177" t="s">
        <v>433</v>
      </c>
      <c r="I11" s="177">
        <v>12</v>
      </c>
      <c r="J11" s="132">
        <f>IF(I11=0,0,VLOOKUP(H11,'Country equity risk premiums'!$A$1:$E$119,4))</f>
        <v>8.43E-2</v>
      </c>
      <c r="K11" s="132">
        <f t="shared" si="1"/>
        <v>5.8823529411764705E-2</v>
      </c>
      <c r="L11" s="132">
        <f t="shared" si="0"/>
        <v>4.9588235294117647E-3</v>
      </c>
    </row>
    <row r="12" spans="1:12" s="13" customFormat="1" ht="15" customHeight="1">
      <c r="A12" s="13" t="s">
        <v>613</v>
      </c>
      <c r="B12" s="267">
        <v>5.7500000000000002E-2</v>
      </c>
      <c r="H12" s="177"/>
      <c r="I12" s="177"/>
      <c r="J12" s="132">
        <f>IF(I12=0,0,VLOOKUP(H12,'Country equity risk premiums'!$A$1:$E$119,4))</f>
        <v>0</v>
      </c>
      <c r="K12" s="132">
        <f t="shared" si="1"/>
        <v>0</v>
      </c>
      <c r="L12" s="132">
        <f>IF(K12=0,0,J12*K12)</f>
        <v>0</v>
      </c>
    </row>
    <row r="13" spans="1:12" s="13" customFormat="1" ht="15" customHeight="1">
      <c r="A13" s="13" t="s">
        <v>614</v>
      </c>
      <c r="B13" s="269">
        <f>IF(B11="Will Input",B12,IF(B11="Country of Incorporation",VLOOKUP('Input sheet'!B5,'Country equity risk premiums'!A2:D119,4),IF(B11="Operating regions",'Cost of capital worksheet'!L27,'Cost of capital worksheet'!L14)))</f>
        <v>5.8000000000000003E-2</v>
      </c>
      <c r="H13" s="177"/>
      <c r="I13" s="177"/>
      <c r="J13" s="132">
        <f>IF(I13=0,0,VLOOKUP(H13,'Country equity risk premiums'!$A$1:$E$119,4))</f>
        <v>0</v>
      </c>
      <c r="K13" s="132">
        <f t="shared" si="1"/>
        <v>0</v>
      </c>
      <c r="L13" s="132">
        <f>IF(K13=0,0,J13*K13)</f>
        <v>0</v>
      </c>
    </row>
    <row r="14" spans="1:12" s="13" customFormat="1" ht="15" customHeight="1">
      <c r="B14" s="125"/>
      <c r="H14" s="178" t="s">
        <v>524</v>
      </c>
      <c r="I14" s="178">
        <f>SUM(I3:I13)</f>
        <v>204</v>
      </c>
      <c r="J14" s="178"/>
      <c r="K14" s="132">
        <f>SUM(K3:K13)</f>
        <v>1</v>
      </c>
      <c r="L14" s="132">
        <f>SUM(L3:L13)</f>
        <v>8.997696078431372E-2</v>
      </c>
    </row>
    <row r="15" spans="1:12" s="13" customFormat="1" ht="15" customHeight="1">
      <c r="A15" s="22" t="s">
        <v>286</v>
      </c>
      <c r="B15" s="125"/>
      <c r="H15" s="138" t="s">
        <v>615</v>
      </c>
    </row>
    <row r="16" spans="1:12" s="13" customFormat="1" ht="15" customHeight="1">
      <c r="A16" s="13" t="s">
        <v>287</v>
      </c>
      <c r="B16" s="130">
        <f>'Input sheet'!B12</f>
        <v>578.74</v>
      </c>
      <c r="H16" s="24" t="s">
        <v>477</v>
      </c>
      <c r="I16" s="24" t="s">
        <v>11</v>
      </c>
      <c r="J16" s="24" t="s">
        <v>521</v>
      </c>
      <c r="K16" s="24" t="s">
        <v>523</v>
      </c>
      <c r="L16" s="24" t="s">
        <v>522</v>
      </c>
    </row>
    <row r="17" spans="1:12" s="13" customFormat="1" ht="15" customHeight="1">
      <c r="A17" s="13" t="s">
        <v>288</v>
      </c>
      <c r="B17" s="130">
        <f>'Input sheet'!B10</f>
        <v>19.826000000000001</v>
      </c>
      <c r="H17" s="24" t="str">
        <f>'Country equity risk premiums'!A121</f>
        <v>Africa</v>
      </c>
      <c r="I17" s="177">
        <v>0</v>
      </c>
      <c r="J17" s="29">
        <f>'Country equity risk premiums'!C121</f>
        <v>0.1009</v>
      </c>
      <c r="K17" s="132">
        <f>I17/$I$27</f>
        <v>0</v>
      </c>
      <c r="L17" s="180">
        <f>J17*K17</f>
        <v>0</v>
      </c>
    </row>
    <row r="18" spans="1:12" s="13" customFormat="1" ht="15" customHeight="1">
      <c r="A18" s="13" t="s">
        <v>289</v>
      </c>
      <c r="B18" s="124">
        <v>2</v>
      </c>
      <c r="H18" s="24" t="str">
        <f>'Country equity risk premiums'!A122</f>
        <v>Australia &amp; New Zealand</v>
      </c>
      <c r="I18" s="177">
        <v>56</v>
      </c>
      <c r="J18" s="29">
        <f>'Country equity risk premiums'!C122</f>
        <v>5.8000000000000003E-2</v>
      </c>
      <c r="K18" s="132">
        <f t="shared" ref="K18:K27" si="2">I18/$I$27</f>
        <v>4.2136945071482315E-2</v>
      </c>
      <c r="L18" s="180">
        <f t="shared" ref="L18:L26" si="3">J18*K18</f>
        <v>2.4439428141459743E-3</v>
      </c>
    </row>
    <row r="19" spans="1:12" s="13" customFormat="1" ht="15" customHeight="1">
      <c r="A19" s="13" t="s">
        <v>620</v>
      </c>
      <c r="B19" s="141" t="s">
        <v>617</v>
      </c>
      <c r="H19" s="24" t="str">
        <f>'Country equity risk premiums'!A123</f>
        <v>Caribbean</v>
      </c>
      <c r="I19" s="177"/>
      <c r="J19" s="29">
        <f>'Country equity risk premiums'!C123</f>
        <v>0.12570000000000001</v>
      </c>
      <c r="K19" s="132">
        <f t="shared" si="2"/>
        <v>0</v>
      </c>
      <c r="L19" s="180">
        <f t="shared" si="3"/>
        <v>0</v>
      </c>
    </row>
    <row r="20" spans="1:12" s="13" customFormat="1" ht="15" customHeight="1">
      <c r="A20" s="13" t="s">
        <v>622</v>
      </c>
      <c r="B20" s="270">
        <v>7.0000000000000007E-2</v>
      </c>
      <c r="H20" s="24" t="str">
        <f>'Country equity risk premiums'!A124</f>
        <v>Central and South America</v>
      </c>
      <c r="I20" s="177">
        <v>100</v>
      </c>
      <c r="J20" s="29">
        <f>'Country equity risk premiums'!C124</f>
        <v>9.1800000000000007E-2</v>
      </c>
      <c r="K20" s="132">
        <f t="shared" si="2"/>
        <v>7.5244544770504143E-2</v>
      </c>
      <c r="L20" s="180">
        <f t="shared" si="3"/>
        <v>6.9074492099322812E-3</v>
      </c>
    </row>
    <row r="21" spans="1:12" s="13" customFormat="1" ht="15" customHeight="1">
      <c r="A21" s="13" t="s">
        <v>621</v>
      </c>
      <c r="B21" s="141" t="s">
        <v>632</v>
      </c>
      <c r="H21" s="24" t="str">
        <f>'Country equity risk premiums'!A125</f>
        <v>Eastern Europe &amp; Russia</v>
      </c>
      <c r="I21" s="177"/>
      <c r="J21" s="29">
        <f>'Country equity risk premiums'!C125</f>
        <v>8.48E-2</v>
      </c>
      <c r="K21" s="132">
        <f t="shared" si="2"/>
        <v>0</v>
      </c>
      <c r="L21" s="180">
        <f t="shared" si="3"/>
        <v>0</v>
      </c>
    </row>
    <row r="22" spans="1:12" s="13" customFormat="1" ht="15" customHeight="1">
      <c r="A22" s="13" t="s">
        <v>639</v>
      </c>
      <c r="B22" s="141">
        <v>1</v>
      </c>
      <c r="H22" s="24" t="str">
        <f>'Country equity risk premiums'!A126</f>
        <v>Middle East</v>
      </c>
      <c r="I22" s="177"/>
      <c r="J22" s="29">
        <f>'Country equity risk premiums'!C126</f>
        <v>6.9599999999999995E-2</v>
      </c>
      <c r="K22" s="132">
        <f t="shared" si="2"/>
        <v>0</v>
      </c>
      <c r="L22" s="180">
        <f t="shared" si="3"/>
        <v>0</v>
      </c>
    </row>
    <row r="23" spans="1:12" s="13" customFormat="1" ht="15" customHeight="1">
      <c r="A23" s="13" t="s">
        <v>216</v>
      </c>
      <c r="B23" s="269">
        <f>IF(B19="Direct Input",B20,IF(B19="Synthetic Rating",'Synthetic rating'!D13,B10+VLOOKUP('Cost of capital worksheet'!B21,'Synthetic rating'!G39:H53,2)))</f>
        <v>7.0000000000000007E-2</v>
      </c>
      <c r="H23" s="24" t="str">
        <f>'Country equity risk premiums'!A127</f>
        <v>North America</v>
      </c>
      <c r="I23" s="177">
        <v>631</v>
      </c>
      <c r="J23" s="29">
        <f>'Country equity risk premiums'!C127</f>
        <v>5.8000000000000003E-2</v>
      </c>
      <c r="K23" s="132">
        <f t="shared" si="2"/>
        <v>0.4747930775018811</v>
      </c>
      <c r="L23" s="180">
        <f t="shared" si="3"/>
        <v>2.7537998495109104E-2</v>
      </c>
    </row>
    <row r="24" spans="1:12" s="13" customFormat="1" ht="15" customHeight="1">
      <c r="A24" s="13" t="s">
        <v>290</v>
      </c>
      <c r="B24" s="272">
        <f>'Input sheet'!B21</f>
        <v>0.35</v>
      </c>
      <c r="H24" s="24" t="str">
        <f>'Country equity risk premiums'!A128</f>
        <v>Western Europe</v>
      </c>
      <c r="I24" s="177">
        <v>374</v>
      </c>
      <c r="J24" s="29">
        <f>'Country equity risk premiums'!C128</f>
        <v>6.8500000000000005E-2</v>
      </c>
      <c r="K24" s="132">
        <f t="shared" si="2"/>
        <v>0.28141459744168545</v>
      </c>
      <c r="L24" s="180">
        <f t="shared" si="3"/>
        <v>1.9276899924755456E-2</v>
      </c>
    </row>
    <row r="25" spans="1:12" s="13" customFormat="1" ht="15" customHeight="1">
      <c r="B25" s="125"/>
      <c r="H25" s="24" t="str">
        <f>'Country equity risk premiums'!A129</f>
        <v>Asia without Japan</v>
      </c>
      <c r="I25" s="177">
        <v>168</v>
      </c>
      <c r="J25" s="29">
        <f>'Country equity risk premiums'!C129</f>
        <v>7.5800000000000006E-2</v>
      </c>
      <c r="K25" s="132">
        <f t="shared" si="2"/>
        <v>0.12641083521444696</v>
      </c>
      <c r="L25" s="180">
        <f t="shared" si="3"/>
        <v>9.5819413092550799E-3</v>
      </c>
    </row>
    <row r="26" spans="1:12" s="13" customFormat="1" ht="15" customHeight="1">
      <c r="A26" s="13" t="s">
        <v>291</v>
      </c>
      <c r="B26" s="124">
        <v>0</v>
      </c>
      <c r="H26" s="24" t="str">
        <f>'Country equity risk premiums'!A130</f>
        <v>Japan</v>
      </c>
      <c r="I26" s="177">
        <v>0</v>
      </c>
      <c r="J26" s="29">
        <f>'Country equity risk premiums'!C130</f>
        <v>6.8500000000000005E-2</v>
      </c>
      <c r="K26" s="132">
        <f t="shared" si="2"/>
        <v>0</v>
      </c>
      <c r="L26" s="180">
        <f t="shared" si="3"/>
        <v>0</v>
      </c>
    </row>
    <row r="27" spans="1:12" s="13" customFormat="1" ht="15" customHeight="1">
      <c r="A27" s="13" t="s">
        <v>292</v>
      </c>
      <c r="B27" s="124">
        <v>0</v>
      </c>
      <c r="H27" s="178" t="s">
        <v>524</v>
      </c>
      <c r="I27" s="178">
        <f>SUM(I17:I26)</f>
        <v>1329</v>
      </c>
      <c r="J27" s="134"/>
      <c r="K27" s="132">
        <f t="shared" si="2"/>
        <v>1</v>
      </c>
      <c r="L27" s="181">
        <f>SUM(L17:L26)</f>
        <v>6.5748231753197897E-2</v>
      </c>
    </row>
    <row r="28" spans="1:12" s="13" customFormat="1" ht="15" customHeight="1">
      <c r="A28" s="13" t="s">
        <v>293</v>
      </c>
      <c r="B28" s="124">
        <v>0</v>
      </c>
    </row>
    <row r="29" spans="1:12" s="13" customFormat="1" ht="15" customHeight="1">
      <c r="A29" s="13" t="s">
        <v>294</v>
      </c>
      <c r="B29" s="124">
        <v>0</v>
      </c>
      <c r="H29" s="121" t="s">
        <v>647</v>
      </c>
    </row>
    <row r="30" spans="1:12" s="13" customFormat="1" ht="15" customHeight="1">
      <c r="B30" s="125"/>
      <c r="H30" s="24" t="s">
        <v>536</v>
      </c>
      <c r="I30" s="24" t="s">
        <v>11</v>
      </c>
      <c r="J30" s="24" t="s">
        <v>260</v>
      </c>
      <c r="K30" s="24" t="s">
        <v>537</v>
      </c>
      <c r="L30" s="24" t="s">
        <v>310</v>
      </c>
    </row>
    <row r="31" spans="1:12" s="13" customFormat="1" ht="15" customHeight="1">
      <c r="A31" s="13" t="s">
        <v>295</v>
      </c>
      <c r="B31" s="130">
        <f>IF('Input sheet'!B14="Yes",'Operating lease converter'!F33,0)</f>
        <v>0</v>
      </c>
      <c r="H31" s="191" t="s">
        <v>105</v>
      </c>
      <c r="I31" s="192">
        <v>60</v>
      </c>
      <c r="J31" s="193">
        <f>IF(H31=0,,VLOOKUP(H31,'Industry Averages(US)'!$A$2:$S$101,15))</f>
        <v>0.81</v>
      </c>
      <c r="K31" s="194">
        <f>I31*J31</f>
        <v>48.6</v>
      </c>
      <c r="L31" s="193">
        <f>VLOOKUP(H31,'Industry Averages(US)'!$A$2:$S$101,7)</f>
        <v>1.1100000000000001</v>
      </c>
    </row>
    <row r="32" spans="1:12" s="13" customFormat="1" ht="15" customHeight="1">
      <c r="B32" s="126"/>
      <c r="H32" s="191" t="s">
        <v>116</v>
      </c>
      <c r="I32" s="192">
        <v>40</v>
      </c>
      <c r="J32" s="193">
        <f>IF(H32=0,,VLOOKUP(H32,'Industry Averages(US)'!$A$2:$S$101,15))</f>
        <v>1.38</v>
      </c>
      <c r="K32" s="194">
        <f>I32*J32</f>
        <v>55.199999999999996</v>
      </c>
      <c r="L32" s="193">
        <f>IF(J32=0,0,VLOOKUP(H32,'Industry Averages(US)'!$A$2:$S$101,7))</f>
        <v>1.39</v>
      </c>
    </row>
    <row r="33" spans="1:12" s="13" customFormat="1" ht="15" customHeight="1">
      <c r="A33" s="22" t="s">
        <v>296</v>
      </c>
      <c r="B33" s="125"/>
      <c r="H33" s="191"/>
      <c r="I33" s="192"/>
      <c r="J33" s="193">
        <f>IF(H33=0,,VLOOKUP(H33,'Industry Averages(US)'!$A$2:$S$101,15))</f>
        <v>0</v>
      </c>
      <c r="K33" s="194">
        <f t="shared" ref="K33:K42" si="4">I33*J33</f>
        <v>0</v>
      </c>
      <c r="L33" s="193">
        <f>IF(J33=0,0,VLOOKUP(H33,'Industry Averages(US)'!$A$2:$S$101,7))</f>
        <v>0</v>
      </c>
    </row>
    <row r="34" spans="1:12" s="13" customFormat="1" ht="15" customHeight="1">
      <c r="A34" s="13" t="s">
        <v>297</v>
      </c>
      <c r="B34" s="124">
        <v>0</v>
      </c>
      <c r="H34" s="191"/>
      <c r="I34" s="192"/>
      <c r="J34" s="193">
        <f>IF(H34=0,,VLOOKUP(H34,'Industry Averages(US)'!$A$2:$S$101,15))</f>
        <v>0</v>
      </c>
      <c r="K34" s="194">
        <f t="shared" si="4"/>
        <v>0</v>
      </c>
      <c r="L34" s="193">
        <f>IF(J34=0,0,VLOOKUP(H34,'Industry Averages(US)'!$A$2:$S$101,7))</f>
        <v>0</v>
      </c>
    </row>
    <row r="35" spans="1:12" s="13" customFormat="1" ht="15" customHeight="1">
      <c r="A35" s="13" t="s">
        <v>298</v>
      </c>
      <c r="B35" s="124">
        <v>70</v>
      </c>
      <c r="H35" s="191"/>
      <c r="I35" s="192"/>
      <c r="J35" s="193">
        <f>IF(H35=0,,VLOOKUP(H35,'Industry Averages(US)'!$A$2:$S$101,15))</f>
        <v>0</v>
      </c>
      <c r="K35" s="194">
        <f t="shared" si="4"/>
        <v>0</v>
      </c>
      <c r="L35" s="193">
        <f>IF(J35=0,0,VLOOKUP(H35,'Industry Averages(US)'!$A$2:$S$101,7))</f>
        <v>0</v>
      </c>
    </row>
    <row r="36" spans="1:12" s="13" customFormat="1" ht="15" customHeight="1">
      <c r="A36" s="13" t="s">
        <v>299</v>
      </c>
      <c r="B36" s="124">
        <v>5</v>
      </c>
      <c r="H36" s="191"/>
      <c r="I36" s="192"/>
      <c r="J36" s="193">
        <f>IF(H36=0,,VLOOKUP(H36,'Industry Averages(US)'!$A$2:$S$101,15))</f>
        <v>0</v>
      </c>
      <c r="K36" s="194">
        <f t="shared" si="4"/>
        <v>0</v>
      </c>
      <c r="L36" s="193">
        <f>IF(J36=0,0,VLOOKUP(H36,'Industry Averages(US)'!$A$2:$S$101,7))</f>
        <v>0</v>
      </c>
    </row>
    <row r="37" spans="1:12" s="13" customFormat="1" ht="15" customHeight="1">
      <c r="H37" s="191"/>
      <c r="I37" s="192"/>
      <c r="J37" s="193">
        <f>IF(H37=0,,VLOOKUP(H37,'Industry Averages(US)'!$A$2:$S$101,15))</f>
        <v>0</v>
      </c>
      <c r="K37" s="194">
        <f t="shared" si="4"/>
        <v>0</v>
      </c>
      <c r="L37" s="193">
        <f>IF(J37=0,0,VLOOKUP(H37,'Industry Averages(US)'!$A$2:$S$101,7))</f>
        <v>0</v>
      </c>
    </row>
    <row r="38" spans="1:12" s="127" customFormat="1" ht="15" customHeight="1">
      <c r="A38" s="19" t="s">
        <v>215</v>
      </c>
      <c r="B38" s="13"/>
      <c r="C38" s="13"/>
      <c r="D38" s="13"/>
      <c r="E38" s="13"/>
      <c r="F38" s="13"/>
      <c r="G38" s="13"/>
      <c r="H38" s="191"/>
      <c r="I38" s="192"/>
      <c r="J38" s="193">
        <f>IF(H38=0,,VLOOKUP(H38,'Industry Averages(US)'!$A$2:$S$101,15))</f>
        <v>0</v>
      </c>
      <c r="K38" s="194">
        <f t="shared" si="4"/>
        <v>0</v>
      </c>
      <c r="L38" s="193">
        <f>IF(J38=0,0,VLOOKUP(H38,'Industry Averages(US)'!$A$2:$S$101,7))</f>
        <v>0</v>
      </c>
    </row>
    <row r="39" spans="1:12" s="13" customFormat="1" ht="15" customHeight="1">
      <c r="A39" s="24" t="s">
        <v>300</v>
      </c>
      <c r="B39" s="24"/>
      <c r="C39" s="131">
        <f>B17*(1-(1+B23)^(-B18))/B23+B16/(1+B23)^B18</f>
        <v>541.33969779020003</v>
      </c>
      <c r="H39" s="191"/>
      <c r="I39" s="192"/>
      <c r="J39" s="193">
        <f>IF(H39=0,,VLOOKUP(H39,'Industry Averages(US)'!$A$2:$S$101,15))</f>
        <v>0</v>
      </c>
      <c r="K39" s="194">
        <f t="shared" si="4"/>
        <v>0</v>
      </c>
      <c r="L39" s="193">
        <f>IF(J39=0,0,VLOOKUP(H39,'Industry Averages(US)'!$A$2:$S$101,7))</f>
        <v>0</v>
      </c>
    </row>
    <row r="40" spans="1:12" s="13" customFormat="1" ht="15" customHeight="1">
      <c r="A40" s="24" t="s">
        <v>301</v>
      </c>
      <c r="B40" s="24"/>
      <c r="C40" s="131">
        <f>B27*(1-(1+B23)^(-B28))/B23+B26/(1+B23)^B28</f>
        <v>0</v>
      </c>
      <c r="H40" s="191"/>
      <c r="I40" s="192"/>
      <c r="J40" s="193">
        <f>IF(H40=0,,VLOOKUP(H40,'Industry Averages(US)'!$A$2:$S$101,15))</f>
        <v>0</v>
      </c>
      <c r="K40" s="194">
        <f t="shared" si="4"/>
        <v>0</v>
      </c>
      <c r="L40" s="193">
        <f>IF(J40=0,0,VLOOKUP(H40,'Industry Averages(US)'!$A$2:$S$101,7))</f>
        <v>0</v>
      </c>
    </row>
    <row r="41" spans="1:12" s="13" customFormat="1" ht="15" customHeight="1">
      <c r="A41" s="24" t="s">
        <v>302</v>
      </c>
      <c r="B41" s="24"/>
      <c r="C41" s="131">
        <f>B31</f>
        <v>0</v>
      </c>
      <c r="H41" s="191"/>
      <c r="I41" s="192"/>
      <c r="J41" s="193">
        <f>IF(H41=0,,VLOOKUP(H41,'Industry Averages(US)'!$A$2:$S$101,15))</f>
        <v>0</v>
      </c>
      <c r="K41" s="194">
        <f t="shared" si="4"/>
        <v>0</v>
      </c>
      <c r="L41" s="193">
        <f>IF(J41=0,0,VLOOKUP(H41,'Industry Averages(US)'!$A$2:$S$101,7))</f>
        <v>0</v>
      </c>
    </row>
    <row r="42" spans="1:12" ht="12.75">
      <c r="A42" s="24" t="s">
        <v>303</v>
      </c>
      <c r="B42" s="24"/>
      <c r="C42" s="131">
        <f>B29-C40</f>
        <v>0</v>
      </c>
      <c r="D42" s="13"/>
      <c r="E42" s="13"/>
      <c r="F42" s="13"/>
      <c r="G42" s="13"/>
      <c r="H42" s="191"/>
      <c r="I42" s="192"/>
      <c r="J42" s="193">
        <f>IF(H42=0,,VLOOKUP(H42,'Industry Averages(US)'!$A$2:$S$101,15))</f>
        <v>0</v>
      </c>
      <c r="K42" s="194">
        <f t="shared" si="4"/>
        <v>0</v>
      </c>
      <c r="L42" s="193">
        <f>IF(J42=0,0,VLOOKUP(H42,'Industry Averages(US)'!$A$2:$S$101,7))</f>
        <v>0</v>
      </c>
    </row>
    <row r="43" spans="1:12" ht="12.75">
      <c r="A43" s="24" t="s">
        <v>311</v>
      </c>
      <c r="B43" s="24"/>
      <c r="C43" s="137">
        <f>IF(B7="Direct Input",B8,B9*(1+(1-B24)*(C46/B46)))</f>
        <v>1.2805143845151792</v>
      </c>
      <c r="D43" s="13"/>
      <c r="E43" s="13"/>
      <c r="F43" s="13"/>
      <c r="G43" s="13"/>
      <c r="H43" s="195" t="s">
        <v>340</v>
      </c>
      <c r="I43" s="196">
        <f>SUM(I31:I42)</f>
        <v>100</v>
      </c>
      <c r="J43" s="197"/>
      <c r="K43" s="194">
        <f>SUM(K31:K42)</f>
        <v>103.8</v>
      </c>
      <c r="L43" s="197">
        <f>L31*(K31/K43)+L32*K32/K43+L33*K33/K43+L34*K34/K43+L35*K35/K43+L36*K36/K43+L37*K37/K43+L38*K38/K43+L39*K39/K43+L40*K40/K43+L41*K41/K43+L42*K42/K43</f>
        <v>1.2589017341040463</v>
      </c>
    </row>
    <row r="44" spans="1:12" ht="12.75">
      <c r="A44" s="13"/>
      <c r="B44" s="13"/>
      <c r="C44" s="137"/>
      <c r="D44" s="13"/>
      <c r="E44" s="13"/>
      <c r="F44" s="13"/>
      <c r="G44" s="13"/>
    </row>
    <row r="45" spans="1:12" ht="19.5">
      <c r="A45" s="127"/>
      <c r="B45" s="128" t="s">
        <v>282</v>
      </c>
      <c r="C45" s="128" t="s">
        <v>304</v>
      </c>
      <c r="D45" s="128" t="s">
        <v>296</v>
      </c>
      <c r="E45" s="128" t="s">
        <v>305</v>
      </c>
      <c r="F45" s="13"/>
      <c r="G45" s="127"/>
      <c r="H45" s="278" t="s">
        <v>648</v>
      </c>
    </row>
    <row r="46" spans="1:12" ht="12.75">
      <c r="A46" s="24" t="s">
        <v>306</v>
      </c>
      <c r="B46" s="131">
        <f>B4*B5</f>
        <v>20495.901999999998</v>
      </c>
      <c r="C46" s="131">
        <f>C39+C40+C41</f>
        <v>541.33969779020003</v>
      </c>
      <c r="D46" s="131">
        <f>B34*B35</f>
        <v>0</v>
      </c>
      <c r="E46" s="130">
        <f>SUM(B46:D46)</f>
        <v>21037.241697790199</v>
      </c>
      <c r="F46" s="127"/>
      <c r="G46" s="13"/>
      <c r="H46" s="24" t="s">
        <v>536</v>
      </c>
      <c r="I46" s="24" t="s">
        <v>11</v>
      </c>
      <c r="J46" s="24" t="s">
        <v>260</v>
      </c>
      <c r="K46" s="24" t="s">
        <v>537</v>
      </c>
      <c r="L46" s="24" t="s">
        <v>310</v>
      </c>
    </row>
    <row r="47" spans="1:12" ht="13.5" thickBot="1">
      <c r="A47" s="24" t="s">
        <v>307</v>
      </c>
      <c r="B47" s="132">
        <f>B46/$E$46</f>
        <v>0.97426755343847837</v>
      </c>
      <c r="C47" s="132">
        <f>C46/$E$46</f>
        <v>2.5732446561521589E-2</v>
      </c>
      <c r="D47" s="132">
        <f>D46/$E$46</f>
        <v>0</v>
      </c>
      <c r="E47" s="133">
        <f>SUM(B47:D47)</f>
        <v>1</v>
      </c>
      <c r="F47" s="13"/>
      <c r="G47" s="13"/>
      <c r="H47" s="191" t="s">
        <v>100</v>
      </c>
      <c r="I47" s="192">
        <v>84</v>
      </c>
      <c r="J47" s="193">
        <f>IF(H47=0,,VLOOKUP(H47,'Global industry averages'!$A$2:$O$97,13))</f>
        <v>0.938341047980359</v>
      </c>
      <c r="K47" s="194">
        <f>I47*J47</f>
        <v>78.820648030350156</v>
      </c>
      <c r="L47" s="193">
        <f>IF(H47=0,,VLOOKUP(H47,'Global industry averages'!$A$2:$O$97,3))</f>
        <v>0.98131280630781181</v>
      </c>
    </row>
    <row r="48" spans="1:12" ht="13.5" thickBot="1">
      <c r="A48" s="24" t="s">
        <v>308</v>
      </c>
      <c r="B48" s="134">
        <f>B10+C43*B13</f>
        <v>0.1017698343018804</v>
      </c>
      <c r="C48" s="132">
        <f>B23*(1-B24)</f>
        <v>4.5500000000000006E-2</v>
      </c>
      <c r="D48" s="135">
        <f>B36/B35</f>
        <v>7.1428571428571425E-2</v>
      </c>
      <c r="E48" s="136">
        <f>B47*B48+C47*C48+D47*D48</f>
        <v>0.10032187379768158</v>
      </c>
      <c r="F48" s="13"/>
      <c r="G48" s="13"/>
      <c r="H48" s="191" t="s">
        <v>604</v>
      </c>
      <c r="I48" s="192">
        <v>16</v>
      </c>
      <c r="J48" s="193">
        <f>IF(H48=0,,VLOOKUP(H48,'Global industry averages'!$A$2:$O$97,13))</f>
        <v>4.3368570412952305</v>
      </c>
      <c r="K48" s="194">
        <f>I48*J48</f>
        <v>69.389712660723688</v>
      </c>
      <c r="L48" s="193">
        <f>IF(H48=0,,VLOOKUP(H48,'Global industry averages'!$A$2:$O$97,3))</f>
        <v>1.2164394795752738</v>
      </c>
    </row>
    <row r="49" spans="6:12" ht="12.75">
      <c r="F49" s="13"/>
      <c r="H49" s="191"/>
      <c r="I49" s="192"/>
      <c r="J49" s="193">
        <f>IF(H49=0,,VLOOKUP(H49,'Global industry averages'!$A$2:$O$97,13))</f>
        <v>0</v>
      </c>
      <c r="K49" s="194">
        <f t="shared" ref="K49:K58" si="5">I49*J49</f>
        <v>0</v>
      </c>
      <c r="L49" s="193">
        <f>IF(H49=0,,VLOOKUP(H49,'Global industry averages'!$A$2:$O$97,3))</f>
        <v>0</v>
      </c>
    </row>
    <row r="50" spans="6:12" ht="12.75">
      <c r="H50" s="191"/>
      <c r="I50" s="192"/>
      <c r="J50" s="193">
        <f>IF(H50=0,,VLOOKUP(H50,'Global industry averages'!$A$2:$O$97,13))</f>
        <v>0</v>
      </c>
      <c r="K50" s="194">
        <f t="shared" si="5"/>
        <v>0</v>
      </c>
      <c r="L50" s="193">
        <f>IF(H50=0,,VLOOKUP(H50,'Global industry averages'!$A$2:$O$97,3))</f>
        <v>0</v>
      </c>
    </row>
    <row r="51" spans="6:12" ht="12.75">
      <c r="H51" s="191"/>
      <c r="I51" s="192"/>
      <c r="J51" s="193">
        <f>IF(H51=0,,VLOOKUP(H51,'Global industry averages'!$A$2:$O$97,13))</f>
        <v>0</v>
      </c>
      <c r="K51" s="194">
        <f t="shared" si="5"/>
        <v>0</v>
      </c>
      <c r="L51" s="193">
        <f>IF(H51=0,,VLOOKUP(H51,'Global industry averages'!$A$2:$O$97,3))</f>
        <v>0</v>
      </c>
    </row>
    <row r="52" spans="6:12" ht="12.75">
      <c r="H52" s="191"/>
      <c r="I52" s="192"/>
      <c r="J52" s="193">
        <f>IF(H52=0,,VLOOKUP(H52,'Global industry averages'!$A$2:$O$97,13))</f>
        <v>0</v>
      </c>
      <c r="K52" s="194">
        <f t="shared" si="5"/>
        <v>0</v>
      </c>
      <c r="L52" s="193">
        <f>IF(H52=0,,VLOOKUP(H52,'Global industry averages'!$A$2:$O$97,3))</f>
        <v>0</v>
      </c>
    </row>
    <row r="53" spans="6:12" ht="12.75">
      <c r="H53" s="191"/>
      <c r="I53" s="192"/>
      <c r="J53" s="193">
        <f>IF(H53=0,,VLOOKUP(H53,'Global industry averages'!$A$2:$O$97,13))</f>
        <v>0</v>
      </c>
      <c r="K53" s="194">
        <f t="shared" si="5"/>
        <v>0</v>
      </c>
      <c r="L53" s="193">
        <f>IF(H53=0,,VLOOKUP(H53,'Global industry averages'!$A$2:$O$97,3))</f>
        <v>0</v>
      </c>
    </row>
    <row r="54" spans="6:12" ht="12.75">
      <c r="H54" s="191"/>
      <c r="I54" s="192"/>
      <c r="J54" s="193">
        <f>IF(H54=0,,VLOOKUP(H54,'Global industry averages'!$A$2:$O$97,13))</f>
        <v>0</v>
      </c>
      <c r="K54" s="194">
        <f t="shared" si="5"/>
        <v>0</v>
      </c>
      <c r="L54" s="193">
        <f>IF(H54=0,,VLOOKUP(H54,'Global industry averages'!$A$2:$O$97,3))</f>
        <v>0</v>
      </c>
    </row>
    <row r="55" spans="6:12" ht="12.75">
      <c r="H55" s="191"/>
      <c r="I55" s="192"/>
      <c r="J55" s="193">
        <f>IF(H55=0,,VLOOKUP(H55,'Global industry averages'!$A$2:$O$97,13))</f>
        <v>0</v>
      </c>
      <c r="K55" s="194">
        <f t="shared" si="5"/>
        <v>0</v>
      </c>
      <c r="L55" s="193">
        <f>IF(H55=0,,VLOOKUP(H55,'Global industry averages'!$A$2:$O$97,3))</f>
        <v>0</v>
      </c>
    </row>
    <row r="56" spans="6:12" ht="12.75">
      <c r="H56" s="191"/>
      <c r="I56" s="192"/>
      <c r="J56" s="193">
        <f>IF(H56=0,,VLOOKUP(H56,'Global industry averages'!$A$2:$O$97,13))</f>
        <v>0</v>
      </c>
      <c r="K56" s="194">
        <f t="shared" si="5"/>
        <v>0</v>
      </c>
      <c r="L56" s="193">
        <f>IF(H56=0,,VLOOKUP(H56,'Global industry averages'!$A$2:$O$97,3))</f>
        <v>0</v>
      </c>
    </row>
    <row r="57" spans="6:12" ht="12.75">
      <c r="H57" s="191"/>
      <c r="I57" s="192"/>
      <c r="J57" s="193">
        <f>IF(H57=0,,VLOOKUP(H57,'Global industry averages'!$A$2:$O$97,13))</f>
        <v>0</v>
      </c>
      <c r="K57" s="194">
        <f t="shared" si="5"/>
        <v>0</v>
      </c>
      <c r="L57" s="193">
        <f>IF(H57=0,,VLOOKUP(H57,'Global industry averages'!$A$2:$O$97,3))</f>
        <v>0</v>
      </c>
    </row>
    <row r="58" spans="6:12" ht="12.75">
      <c r="H58" s="191"/>
      <c r="I58" s="192"/>
      <c r="J58" s="193">
        <f>IF(H58=0,,VLOOKUP(H58,'Global industry averages'!$A$2:$O$97,13))</f>
        <v>0</v>
      </c>
      <c r="K58" s="194">
        <f t="shared" si="5"/>
        <v>0</v>
      </c>
      <c r="L58" s="193">
        <f>IF(H58=0,,VLOOKUP(H58,'Global industry averages'!$A$2:$O$97,3))</f>
        <v>0</v>
      </c>
    </row>
    <row r="59" spans="6:12" ht="12.75">
      <c r="H59" s="195" t="s">
        <v>340</v>
      </c>
      <c r="I59" s="196">
        <f>SUM(I47:I58)</f>
        <v>100</v>
      </c>
      <c r="J59" s="197"/>
      <c r="K59" s="194">
        <f>SUM(K47:K58)</f>
        <v>148.21036069107384</v>
      </c>
      <c r="L59" s="197">
        <f>L47*(K47/K59)+L48*K48/K59+L49*K49/K59+L50*K50/K59+L51*K51/K59+L52*K52/K59+L53*K53/K59+L54*K54/K59+L55*K55/K59+L56*K56/K59+L57*K57/K59+L58*K58/K59</f>
        <v>1.0913953418392408</v>
      </c>
    </row>
  </sheetData>
  <dataValidations count="8">
    <dataValidation type="list" allowBlank="1" showInputMessage="1" showErrorMessage="1" sqref="H3:H13">
      <formula1>'Country equity risk premiums'!$A$1:$A$115</formula1>
    </dataValidation>
    <dataValidation type="list" allowBlank="1" showInputMessage="1" showErrorMessage="1" sqref="H31:H42">
      <formula1>'Industry Averages(US)'!$A$1:$A$100</formula1>
    </dataValidation>
    <dataValidation type="list" allowBlank="1" showInputMessage="1" showErrorMessage="1" sqref="B11">
      <formula1>'Answer keys'!$C$2:$C$5</formula1>
    </dataValidation>
    <dataValidation type="list" allowBlank="1" showInputMessage="1" showErrorMessage="1" sqref="B19">
      <formula1>'Answer keys'!$D$2:$D$4</formula1>
    </dataValidation>
    <dataValidation type="list" allowBlank="1" showInputMessage="1" showErrorMessage="1" sqref="B21">
      <formula1>'Synthetic rating'!$H$19:$H$33</formula1>
    </dataValidation>
    <dataValidation type="list" allowBlank="1" showInputMessage="1" showErrorMessage="1" sqref="B22">
      <formula1>'Answer keys'!$E$2:$E$3</formula1>
    </dataValidation>
    <dataValidation type="list" allowBlank="1" showInputMessage="1" showErrorMessage="1" sqref="B7">
      <formula1>'Answer keys'!$F$2:$F$6</formula1>
    </dataValidation>
    <dataValidation type="list" allowBlank="1" showInputMessage="1" showErrorMessage="1" sqref="H47:H58">
      <formula1>'Global industry averages'!$A$2:$A$97</formula1>
    </dataValidation>
  </dataValidation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dimension ref="A1:J53"/>
  <sheetViews>
    <sheetView workbookViewId="0">
      <selection activeCell="D14" sqref="D14"/>
    </sheetView>
  </sheetViews>
  <sheetFormatPr defaultColWidth="11.42578125" defaultRowHeight="12"/>
  <sheetData>
    <row r="1" spans="1:10" ht="18.75">
      <c r="A1" s="11" t="s">
        <v>312</v>
      </c>
    </row>
    <row r="2" spans="1:10" ht="18.75">
      <c r="A2" s="11" t="s">
        <v>313</v>
      </c>
    </row>
    <row r="3" spans="1:10" s="139" customFormat="1" ht="16.5" thickBot="1">
      <c r="A3" s="138" t="s">
        <v>314</v>
      </c>
    </row>
    <row r="4" spans="1:10" s="140" customFormat="1" ht="13.5" thickBot="1">
      <c r="A4" s="13" t="s">
        <v>315</v>
      </c>
      <c r="B4" s="13"/>
      <c r="C4" s="273">
        <f>'Cost of capital worksheet'!B22</f>
        <v>1</v>
      </c>
      <c r="D4" s="13"/>
      <c r="E4" s="13"/>
      <c r="F4" s="13"/>
      <c r="G4" s="13"/>
      <c r="H4" s="13"/>
      <c r="I4" s="13"/>
      <c r="J4" s="13"/>
    </row>
    <row r="5" spans="1:10" s="140" customFormat="1" ht="13.5" thickBot="1">
      <c r="A5" s="13" t="s">
        <v>316</v>
      </c>
      <c r="B5" s="13"/>
      <c r="C5" s="13"/>
      <c r="D5" s="13"/>
      <c r="E5" s="123"/>
      <c r="F5" s="130">
        <f>IF('Input sheet'!B14="Yes",'Input sheet'!B9+'Operating lease converter'!F32,'Input sheet'!B9)</f>
        <v>-216.72300000000001</v>
      </c>
      <c r="G5" s="13" t="s">
        <v>317</v>
      </c>
      <c r="H5" s="13"/>
      <c r="I5" s="13"/>
      <c r="J5" s="13"/>
    </row>
    <row r="6" spans="1:10" s="140" customFormat="1" ht="13.5" thickBot="1">
      <c r="A6" s="13" t="s">
        <v>318</v>
      </c>
      <c r="B6" s="13"/>
      <c r="C6" s="13"/>
      <c r="D6" s="13"/>
      <c r="E6" s="13"/>
      <c r="F6" s="223">
        <f>IF('Input sheet'!B14="Yes",'Cost of capital worksheet'!B17+'Operating lease converter'!C28*'Operating lease converter'!C15,'Cost of capital worksheet'!B17)</f>
        <v>19.826000000000001</v>
      </c>
      <c r="G6" s="13" t="s">
        <v>319</v>
      </c>
      <c r="H6" s="13"/>
      <c r="I6" s="13"/>
      <c r="J6" s="13"/>
    </row>
    <row r="7" spans="1:10" s="140" customFormat="1" ht="13.5" thickBot="1">
      <c r="A7" s="13" t="s">
        <v>335</v>
      </c>
      <c r="B7" s="13"/>
      <c r="C7" s="13"/>
      <c r="D7" s="13"/>
      <c r="E7" s="13"/>
      <c r="F7" s="152">
        <f>'Input sheet'!B27</f>
        <v>2.75E-2</v>
      </c>
      <c r="G7" s="13"/>
      <c r="H7" s="13"/>
      <c r="I7" s="13"/>
      <c r="J7" s="13"/>
    </row>
    <row r="8" spans="1:10" s="140" customFormat="1" ht="13.5" thickBot="1">
      <c r="A8" s="22" t="s">
        <v>215</v>
      </c>
      <c r="B8" s="13"/>
      <c r="C8" s="13"/>
      <c r="D8" s="13"/>
      <c r="E8" s="13"/>
      <c r="F8" s="123"/>
      <c r="G8" s="13"/>
      <c r="H8" s="13"/>
      <c r="I8" s="13"/>
      <c r="J8" s="13"/>
    </row>
    <row r="9" spans="1:10" s="140" customFormat="1" ht="13.5" thickBot="1">
      <c r="A9" s="13" t="s">
        <v>320</v>
      </c>
      <c r="B9" s="13"/>
      <c r="C9" s="13"/>
      <c r="D9" s="153">
        <f>IF(F6=0,1000000,IF(F5&lt;0,-100000,F5/F6))</f>
        <v>-100000</v>
      </c>
      <c r="E9" s="13"/>
      <c r="F9" s="123"/>
      <c r="G9" s="13"/>
      <c r="H9" s="13"/>
      <c r="I9" s="13"/>
      <c r="J9" s="13"/>
    </row>
    <row r="10" spans="1:10" s="140" customFormat="1" ht="13.5" thickBot="1">
      <c r="A10" s="13" t="s">
        <v>321</v>
      </c>
      <c r="D10" s="154" t="str">
        <f>IF(C4=1,VLOOKUP(D9,A19:D33,3),(IF(C4=2,VLOOKUP(D9,A38:D52,3),VLOOKUP(D9,F19:I33,3))))</f>
        <v>D2/D</v>
      </c>
      <c r="F10" s="21" t="s">
        <v>322</v>
      </c>
    </row>
    <row r="11" spans="1:10" s="140" customFormat="1" ht="13.5" thickBot="1">
      <c r="A11" s="13" t="s">
        <v>640</v>
      </c>
      <c r="D11" s="155">
        <f>IF(C4=1,VLOOKUP(D9,A19:D33,4),(IF(C4=2,VLOOKUP(D9,A38:D52,4),VLOOKUP(D9,F19:I33,4))))</f>
        <v>0.12</v>
      </c>
      <c r="F11" s="21" t="s">
        <v>323</v>
      </c>
    </row>
    <row r="12" spans="1:10" s="140" customFormat="1" ht="13.5" thickBot="1">
      <c r="A12" s="13" t="s">
        <v>641</v>
      </c>
      <c r="D12" s="155">
        <f>VLOOKUP('Input sheet'!B5,'Country equity risk premiums'!A2:C119,3)</f>
        <v>0</v>
      </c>
      <c r="F12" s="21"/>
    </row>
    <row r="13" spans="1:10" s="13" customFormat="1" ht="13.5" thickBot="1">
      <c r="A13" s="13" t="s">
        <v>324</v>
      </c>
      <c r="D13" s="156">
        <f>F7+D11+D12</f>
        <v>0.14749999999999999</v>
      </c>
    </row>
    <row r="14" spans="1:10" s="13" customFormat="1" ht="12.75">
      <c r="D14" s="142"/>
    </row>
    <row r="15" spans="1:10" s="20" customFormat="1" ht="13.5">
      <c r="A15" s="20" t="s">
        <v>325</v>
      </c>
      <c r="D15" s="143"/>
    </row>
    <row r="16" spans="1:10" s="140" customFormat="1" ht="12.75">
      <c r="A16" s="22" t="s">
        <v>326</v>
      </c>
      <c r="F16" s="22" t="s">
        <v>638</v>
      </c>
    </row>
    <row r="17" spans="1:10" s="140" customFormat="1" ht="12.75">
      <c r="A17" s="144" t="s">
        <v>327</v>
      </c>
      <c r="B17" s="144"/>
      <c r="C17" s="145"/>
      <c r="D17" s="145"/>
      <c r="F17" s="146" t="s">
        <v>328</v>
      </c>
      <c r="G17" s="147"/>
      <c r="H17" s="13"/>
      <c r="I17" s="13"/>
      <c r="J17" s="13"/>
    </row>
    <row r="18" spans="1:10" s="140" customFormat="1" ht="12.75">
      <c r="A18" s="128" t="s">
        <v>329</v>
      </c>
      <c r="B18" s="128" t="s">
        <v>330</v>
      </c>
      <c r="C18" s="128" t="s">
        <v>331</v>
      </c>
      <c r="D18" s="128" t="s">
        <v>332</v>
      </c>
      <c r="F18" s="35" t="s">
        <v>333</v>
      </c>
      <c r="G18" s="35" t="s">
        <v>330</v>
      </c>
      <c r="H18" s="35" t="s">
        <v>331</v>
      </c>
      <c r="I18" s="35" t="s">
        <v>332</v>
      </c>
    </row>
    <row r="19" spans="1:10" s="140" customFormat="1" ht="12.75">
      <c r="A19" s="35">
        <v>-100000</v>
      </c>
      <c r="B19" s="35">
        <v>0.19999900000000001</v>
      </c>
      <c r="C19" s="271" t="s">
        <v>623</v>
      </c>
      <c r="D19" s="148">
        <v>0.12</v>
      </c>
      <c r="F19" s="35">
        <v>3</v>
      </c>
      <c r="G19" s="35">
        <v>100000</v>
      </c>
      <c r="H19" s="271" t="s">
        <v>637</v>
      </c>
      <c r="I19" s="148">
        <v>4.0000000000000001E-3</v>
      </c>
    </row>
    <row r="20" spans="1:10" s="140" customFormat="1" ht="12.75">
      <c r="A20" s="35">
        <v>0.2</v>
      </c>
      <c r="B20" s="35">
        <v>0.64999899999999999</v>
      </c>
      <c r="C20" s="271" t="s">
        <v>624</v>
      </c>
      <c r="D20" s="149">
        <v>0.105</v>
      </c>
      <c r="F20" s="35">
        <v>2.5</v>
      </c>
      <c r="G20" s="35">
        <v>2.9999899999999999</v>
      </c>
      <c r="H20" s="271" t="s">
        <v>636</v>
      </c>
      <c r="I20" s="149">
        <v>7.0000000000000001E-3</v>
      </c>
    </row>
    <row r="21" spans="1:10" s="140" customFormat="1" ht="12.75">
      <c r="A21" s="35">
        <v>0.65</v>
      </c>
      <c r="B21" s="35">
        <v>0.79999900000000002</v>
      </c>
      <c r="C21" s="271" t="s">
        <v>625</v>
      </c>
      <c r="D21" s="149">
        <v>9.5000000000000001E-2</v>
      </c>
      <c r="F21" s="35">
        <v>2</v>
      </c>
      <c r="G21" s="35">
        <v>2.4999899999999999</v>
      </c>
      <c r="H21" s="271" t="s">
        <v>635</v>
      </c>
      <c r="I21" s="149">
        <v>8.5000000000000006E-3</v>
      </c>
    </row>
    <row r="22" spans="1:10" s="140" customFormat="1" ht="12.75">
      <c r="A22" s="35">
        <v>0.8</v>
      </c>
      <c r="B22" s="35">
        <v>1.2499990000000001</v>
      </c>
      <c r="C22" s="271" t="s">
        <v>626</v>
      </c>
      <c r="D22" s="149">
        <v>8.7499999999999994E-2</v>
      </c>
      <c r="F22" s="35">
        <v>1.5</v>
      </c>
      <c r="G22" s="35">
        <v>1.9999899999999999</v>
      </c>
      <c r="H22" s="271" t="s">
        <v>634</v>
      </c>
      <c r="I22" s="149">
        <v>0.01</v>
      </c>
    </row>
    <row r="23" spans="1:10" s="140" customFormat="1" ht="12.75">
      <c r="A23" s="35">
        <v>1.25</v>
      </c>
      <c r="B23" s="35">
        <v>1.4999990000000001</v>
      </c>
      <c r="C23" s="271" t="s">
        <v>627</v>
      </c>
      <c r="D23" s="149">
        <v>7.2499999999999995E-2</v>
      </c>
      <c r="F23" s="35">
        <v>1.2</v>
      </c>
      <c r="G23" s="35">
        <v>1.4999899999999999</v>
      </c>
      <c r="H23" s="271" t="s">
        <v>633</v>
      </c>
      <c r="I23" s="149">
        <v>1.2999999999999999E-2</v>
      </c>
    </row>
    <row r="24" spans="1:10" s="140" customFormat="1" ht="12.75">
      <c r="A24" s="35">
        <v>1.5</v>
      </c>
      <c r="B24" s="35">
        <v>1.7499990000000001</v>
      </c>
      <c r="C24" s="271" t="s">
        <v>628</v>
      </c>
      <c r="D24" s="149">
        <v>6.5000000000000002E-2</v>
      </c>
      <c r="F24" s="35">
        <v>0.9</v>
      </c>
      <c r="G24" s="35">
        <v>1.199999</v>
      </c>
      <c r="H24" s="271" t="s">
        <v>632</v>
      </c>
      <c r="I24" s="149">
        <v>0.02</v>
      </c>
    </row>
    <row r="25" spans="1:10" s="140" customFormat="1" ht="12.75">
      <c r="A25" s="35">
        <v>1.75</v>
      </c>
      <c r="B25" s="35">
        <v>1.9999990000000001</v>
      </c>
      <c r="C25" s="271" t="s">
        <v>629</v>
      </c>
      <c r="D25" s="149">
        <v>5.5E-2</v>
      </c>
      <c r="F25" s="35">
        <v>0.75</v>
      </c>
      <c r="G25" s="35">
        <v>0.89999899999999999</v>
      </c>
      <c r="H25" s="271" t="s">
        <v>631</v>
      </c>
      <c r="I25" s="149">
        <v>0.03</v>
      </c>
    </row>
    <row r="26" spans="1:10" s="140" customFormat="1" ht="12.75">
      <c r="A26" s="35">
        <v>2</v>
      </c>
      <c r="B26" s="35">
        <v>2.2499999000000002</v>
      </c>
      <c r="C26" s="271" t="s">
        <v>630</v>
      </c>
      <c r="D26" s="149">
        <v>0.04</v>
      </c>
      <c r="F26" s="35">
        <v>0.6</v>
      </c>
      <c r="G26" s="35">
        <v>0.74999899999999997</v>
      </c>
      <c r="H26" s="271" t="s">
        <v>630</v>
      </c>
      <c r="I26" s="149">
        <v>0.04</v>
      </c>
    </row>
    <row r="27" spans="1:10" s="140" customFormat="1" ht="12.75">
      <c r="A27" s="35">
        <v>2.25</v>
      </c>
      <c r="B27" s="35">
        <v>2.4999899999999999</v>
      </c>
      <c r="C27" s="271" t="s">
        <v>631</v>
      </c>
      <c r="D27" s="149">
        <v>0.03</v>
      </c>
      <c r="F27" s="35">
        <v>0.5</v>
      </c>
      <c r="G27" s="35">
        <v>0.59999899999999995</v>
      </c>
      <c r="H27" s="271" t="s">
        <v>629</v>
      </c>
      <c r="I27" s="149">
        <v>5.5E-2</v>
      </c>
    </row>
    <row r="28" spans="1:10" s="140" customFormat="1" ht="12.75">
      <c r="A28" s="35">
        <v>2.5</v>
      </c>
      <c r="B28" s="35">
        <v>2.9999989999999999</v>
      </c>
      <c r="C28" s="271" t="s">
        <v>632</v>
      </c>
      <c r="D28" s="149">
        <v>0.02</v>
      </c>
      <c r="F28" s="35">
        <v>0.4</v>
      </c>
      <c r="G28" s="35">
        <v>0.49999900000000003</v>
      </c>
      <c r="H28" s="271" t="s">
        <v>628</v>
      </c>
      <c r="I28" s="149">
        <v>6.5000000000000002E-2</v>
      </c>
    </row>
    <row r="29" spans="1:10" s="140" customFormat="1" ht="12.75">
      <c r="A29" s="35">
        <v>3</v>
      </c>
      <c r="B29" s="35">
        <v>4.2499989999999999</v>
      </c>
      <c r="C29" s="271" t="s">
        <v>633</v>
      </c>
      <c r="D29" s="149">
        <v>1.2999999999999999E-2</v>
      </c>
      <c r="F29" s="35">
        <v>0.3</v>
      </c>
      <c r="G29" s="35">
        <v>0.39999899999999999</v>
      </c>
      <c r="H29" s="271" t="s">
        <v>627</v>
      </c>
      <c r="I29" s="149">
        <v>7.2499999999999995E-2</v>
      </c>
    </row>
    <row r="30" spans="1:10" s="140" customFormat="1" ht="12.75">
      <c r="A30" s="35">
        <v>4.25</v>
      </c>
      <c r="B30" s="35">
        <v>5.4999989999999999</v>
      </c>
      <c r="C30" s="271" t="s">
        <v>634</v>
      </c>
      <c r="D30" s="149">
        <v>0.01</v>
      </c>
      <c r="F30" s="35">
        <v>0.2</v>
      </c>
      <c r="G30" s="35">
        <v>0.29999900000000002</v>
      </c>
      <c r="H30" s="271" t="s">
        <v>626</v>
      </c>
      <c r="I30" s="149">
        <v>8.7499999999999994E-2</v>
      </c>
    </row>
    <row r="31" spans="1:10" s="140" customFormat="1" ht="12.75">
      <c r="A31" s="35">
        <v>5.5</v>
      </c>
      <c r="B31" s="35">
        <v>6.4999989999999999</v>
      </c>
      <c r="C31" s="271" t="s">
        <v>635</v>
      </c>
      <c r="D31" s="149">
        <v>8.5000000000000006E-3</v>
      </c>
      <c r="F31" s="35">
        <v>0.1</v>
      </c>
      <c r="G31" s="35">
        <v>0.19999900000000001</v>
      </c>
      <c r="H31" s="271" t="s">
        <v>625</v>
      </c>
      <c r="I31" s="149">
        <v>9.5000000000000001E-2</v>
      </c>
    </row>
    <row r="32" spans="1:10" s="140" customFormat="1" ht="12.75">
      <c r="A32" s="35">
        <v>6.5</v>
      </c>
      <c r="B32" s="35">
        <v>8.4999990000000007</v>
      </c>
      <c r="C32" s="271" t="s">
        <v>636</v>
      </c>
      <c r="D32" s="149">
        <v>7.0000000000000001E-3</v>
      </c>
      <c r="F32" s="35">
        <v>0.05</v>
      </c>
      <c r="G32" s="35">
        <v>9.9999000000000005E-2</v>
      </c>
      <c r="H32" s="271" t="s">
        <v>624</v>
      </c>
      <c r="I32" s="149">
        <v>0.105</v>
      </c>
    </row>
    <row r="33" spans="1:9" s="140" customFormat="1" ht="12.75">
      <c r="A33" s="150">
        <v>8.5</v>
      </c>
      <c r="B33" s="35">
        <v>100000</v>
      </c>
      <c r="C33" s="271" t="s">
        <v>637</v>
      </c>
      <c r="D33" s="149">
        <v>4.0000000000000001E-3</v>
      </c>
      <c r="F33" s="35">
        <v>-100000</v>
      </c>
      <c r="G33" s="35">
        <v>4.9999000000000002E-2</v>
      </c>
      <c r="H33" s="271" t="s">
        <v>623</v>
      </c>
      <c r="I33" s="149">
        <v>0.12</v>
      </c>
    </row>
    <row r="34" spans="1:9" s="140" customFormat="1" ht="12.75"/>
    <row r="35" spans="1:9" s="140" customFormat="1" ht="12.75">
      <c r="A35" s="22" t="s">
        <v>334</v>
      </c>
    </row>
    <row r="36" spans="1:9" s="140" customFormat="1" ht="12.75">
      <c r="A36" s="144" t="s">
        <v>327</v>
      </c>
      <c r="B36" s="151"/>
      <c r="C36" s="35"/>
      <c r="D36" s="35"/>
    </row>
    <row r="37" spans="1:9" s="140" customFormat="1" ht="12.75">
      <c r="A37" s="35" t="s">
        <v>333</v>
      </c>
      <c r="B37" s="35" t="s">
        <v>330</v>
      </c>
      <c r="C37" s="35" t="s">
        <v>331</v>
      </c>
      <c r="D37" s="35" t="s">
        <v>332</v>
      </c>
    </row>
    <row r="38" spans="1:9" s="140" customFormat="1" ht="12.75">
      <c r="A38" s="35">
        <v>-100000</v>
      </c>
      <c r="B38" s="35">
        <v>0.49999900000000003</v>
      </c>
      <c r="C38" s="271" t="s">
        <v>623</v>
      </c>
      <c r="D38" s="148">
        <v>0.12</v>
      </c>
      <c r="G38" s="35" t="s">
        <v>331</v>
      </c>
      <c r="H38" s="35" t="s">
        <v>332</v>
      </c>
    </row>
    <row r="39" spans="1:9" s="140" customFormat="1" ht="12.75">
      <c r="A39" s="35">
        <v>0.5</v>
      </c>
      <c r="B39" s="35">
        <v>0.79999900000000002</v>
      </c>
      <c r="C39" s="271" t="s">
        <v>624</v>
      </c>
      <c r="D39" s="149">
        <v>0.105</v>
      </c>
      <c r="G39" s="271" t="s">
        <v>635</v>
      </c>
      <c r="H39" s="148">
        <v>8.5000000000000006E-3</v>
      </c>
    </row>
    <row r="40" spans="1:9" s="140" customFormat="1" ht="12.75">
      <c r="A40" s="35">
        <v>0.8</v>
      </c>
      <c r="B40" s="35">
        <v>1.2499990000000001</v>
      </c>
      <c r="C40" s="271" t="s">
        <v>625</v>
      </c>
      <c r="D40" s="149">
        <v>9.5000000000000001E-2</v>
      </c>
      <c r="G40" s="271" t="s">
        <v>634</v>
      </c>
      <c r="H40" s="149">
        <v>0.01</v>
      </c>
    </row>
    <row r="41" spans="1:9" s="140" customFormat="1" ht="12.75">
      <c r="A41" s="35">
        <v>1.25</v>
      </c>
      <c r="B41" s="35">
        <v>1.4999990000000001</v>
      </c>
      <c r="C41" s="271" t="s">
        <v>626</v>
      </c>
      <c r="D41" s="149">
        <v>8.7499999999999994E-2</v>
      </c>
      <c r="G41" s="271" t="s">
        <v>633</v>
      </c>
      <c r="H41" s="149">
        <v>1.2999999999999999E-2</v>
      </c>
    </row>
    <row r="42" spans="1:9" s="140" customFormat="1" ht="12.75">
      <c r="A42" s="35">
        <v>1.5</v>
      </c>
      <c r="B42" s="35">
        <v>1.9999990000000001</v>
      </c>
      <c r="C42" s="271" t="s">
        <v>627</v>
      </c>
      <c r="D42" s="149">
        <v>7.2499999999999995E-2</v>
      </c>
      <c r="G42" s="271" t="s">
        <v>636</v>
      </c>
      <c r="H42" s="149">
        <v>7.0000000000000001E-3</v>
      </c>
    </row>
    <row r="43" spans="1:9" s="140" customFormat="1" ht="12.75">
      <c r="A43" s="35">
        <v>2</v>
      </c>
      <c r="B43" s="35">
        <v>2.4999989999999999</v>
      </c>
      <c r="C43" s="271" t="s">
        <v>628</v>
      </c>
      <c r="D43" s="149">
        <v>6.5000000000000002E-2</v>
      </c>
      <c r="G43" s="271" t="s">
        <v>637</v>
      </c>
      <c r="H43" s="149">
        <v>4.0000000000000001E-3</v>
      </c>
    </row>
    <row r="44" spans="1:9" s="140" customFormat="1" ht="12.75">
      <c r="A44" s="35">
        <v>2.5</v>
      </c>
      <c r="B44" s="35">
        <v>2.9999989999999999</v>
      </c>
      <c r="C44" s="271" t="s">
        <v>629</v>
      </c>
      <c r="D44" s="149">
        <v>5.5E-2</v>
      </c>
      <c r="G44" s="271" t="s">
        <v>629</v>
      </c>
      <c r="H44" s="149">
        <v>5.5E-2</v>
      </c>
    </row>
    <row r="45" spans="1:9" s="140" customFormat="1" ht="12.75">
      <c r="A45" s="35">
        <v>3</v>
      </c>
      <c r="B45" s="35">
        <v>3.4999989999999999</v>
      </c>
      <c r="C45" s="271" t="s">
        <v>630</v>
      </c>
      <c r="D45" s="149">
        <v>0.04</v>
      </c>
      <c r="G45" s="271" t="s">
        <v>628</v>
      </c>
      <c r="H45" s="149">
        <v>6.5000000000000002E-2</v>
      </c>
    </row>
    <row r="46" spans="1:9" s="140" customFormat="1" ht="12.75">
      <c r="A46" s="35">
        <v>3.5</v>
      </c>
      <c r="B46" s="35">
        <v>3.9999999000000002</v>
      </c>
      <c r="C46" s="271" t="s">
        <v>631</v>
      </c>
      <c r="D46" s="149">
        <v>0.03</v>
      </c>
      <c r="G46" s="271" t="s">
        <v>627</v>
      </c>
      <c r="H46" s="149">
        <v>7.2499999999999995E-2</v>
      </c>
    </row>
    <row r="47" spans="1:9" s="140" customFormat="1" ht="12.75">
      <c r="A47" s="35">
        <v>4</v>
      </c>
      <c r="B47" s="35">
        <v>4.4999989999999999</v>
      </c>
      <c r="C47" s="271" t="s">
        <v>632</v>
      </c>
      <c r="D47" s="149">
        <v>0.02</v>
      </c>
      <c r="G47" s="271" t="s">
        <v>631</v>
      </c>
      <c r="H47" s="149">
        <v>0.03</v>
      </c>
    </row>
    <row r="48" spans="1:9" s="140" customFormat="1" ht="12.75">
      <c r="A48" s="35">
        <v>4.5</v>
      </c>
      <c r="B48" s="35">
        <v>5.9999989999999999</v>
      </c>
      <c r="C48" s="271" t="s">
        <v>633</v>
      </c>
      <c r="D48" s="149">
        <v>1.2999999999999999E-2</v>
      </c>
      <c r="G48" s="271" t="s">
        <v>630</v>
      </c>
      <c r="H48" s="149">
        <v>0.04</v>
      </c>
    </row>
    <row r="49" spans="1:10" s="140" customFormat="1" ht="12.75">
      <c r="A49" s="35">
        <v>6</v>
      </c>
      <c r="B49" s="35">
        <v>7.4999989999999999</v>
      </c>
      <c r="C49" s="271" t="s">
        <v>634</v>
      </c>
      <c r="D49" s="149">
        <v>0.01</v>
      </c>
      <c r="G49" s="271" t="s">
        <v>632</v>
      </c>
      <c r="H49" s="149">
        <v>0.02</v>
      </c>
    </row>
    <row r="50" spans="1:10" s="140" customFormat="1" ht="12.75">
      <c r="A50" s="35">
        <v>7.5</v>
      </c>
      <c r="B50" s="35">
        <v>9.4999990000000007</v>
      </c>
      <c r="C50" s="271" t="s">
        <v>635</v>
      </c>
      <c r="D50" s="149">
        <v>8.5000000000000006E-3</v>
      </c>
      <c r="G50" s="271" t="s">
        <v>626</v>
      </c>
      <c r="H50" s="149">
        <v>8.7499999999999994E-2</v>
      </c>
    </row>
    <row r="51" spans="1:10" ht="12.75">
      <c r="A51" s="35">
        <v>9.5</v>
      </c>
      <c r="B51" s="35">
        <v>12.499999000000001</v>
      </c>
      <c r="C51" s="271" t="s">
        <v>636</v>
      </c>
      <c r="D51" s="149">
        <v>7.0000000000000001E-3</v>
      </c>
      <c r="F51" s="140"/>
      <c r="G51" s="271" t="s">
        <v>625</v>
      </c>
      <c r="H51" s="149">
        <v>9.5000000000000001E-2</v>
      </c>
      <c r="I51" s="140"/>
      <c r="J51" s="140"/>
    </row>
    <row r="52" spans="1:10" ht="12.75">
      <c r="A52" s="35">
        <v>12.5</v>
      </c>
      <c r="B52" s="35">
        <v>100000</v>
      </c>
      <c r="C52" s="271" t="s">
        <v>637</v>
      </c>
      <c r="D52" s="149">
        <v>4.0000000000000001E-3</v>
      </c>
      <c r="G52" s="271" t="s">
        <v>624</v>
      </c>
      <c r="H52" s="149">
        <v>0.105</v>
      </c>
    </row>
    <row r="53" spans="1:10" ht="12.75">
      <c r="G53" s="271" t="s">
        <v>623</v>
      </c>
      <c r="H53" s="149">
        <v>0.12</v>
      </c>
    </row>
  </sheetData>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dimension ref="A1:S101"/>
  <sheetViews>
    <sheetView workbookViewId="0">
      <pane xSplit="1" ySplit="1" topLeftCell="D2" activePane="bottomRight" state="frozen"/>
      <selection pane="topRight" activeCell="B1" sqref="B1"/>
      <selection pane="bottomLeft" activeCell="A2" sqref="A2"/>
      <selection pane="bottomRight" activeCell="N19" sqref="N19"/>
    </sheetView>
  </sheetViews>
  <sheetFormatPr defaultColWidth="11.42578125" defaultRowHeight="12"/>
  <cols>
    <col min="1" max="1" width="18.140625" bestFit="1" customWidth="1"/>
    <col min="2" max="2" width="13.140625" bestFit="1" customWidth="1"/>
    <col min="3" max="3" width="35.85546875" bestFit="1" customWidth="1"/>
    <col min="4" max="4" width="19.42578125" bestFit="1" customWidth="1"/>
    <col min="5" max="5" width="19.42578125" customWidth="1"/>
    <col min="6" max="6" width="20.7109375" bestFit="1" customWidth="1"/>
    <col min="7" max="7" width="18.28515625" bestFit="1" customWidth="1"/>
    <col min="8" max="8" width="17.28515625" bestFit="1" customWidth="1"/>
    <col min="9" max="9" width="11.7109375" bestFit="1" customWidth="1"/>
    <col min="10" max="10" width="22" bestFit="1" customWidth="1"/>
    <col min="11" max="12" width="16.140625" bestFit="1" customWidth="1"/>
    <col min="13" max="13" width="12" bestFit="1" customWidth="1"/>
    <col min="14" max="14" width="12" customWidth="1"/>
    <col min="15" max="15" width="7.85546875" bestFit="1" customWidth="1"/>
    <col min="16" max="16" width="9.28515625" bestFit="1" customWidth="1"/>
    <col min="17" max="17" width="7.140625" bestFit="1" customWidth="1"/>
    <col min="18" max="18" width="9.140625" bestFit="1" customWidth="1"/>
    <col min="19" max="19" width="8.85546875" bestFit="1" customWidth="1"/>
  </cols>
  <sheetData>
    <row r="1" spans="1:19" s="2" customFormat="1">
      <c r="A1" s="4" t="s">
        <v>99</v>
      </c>
      <c r="B1" s="3" t="s">
        <v>265</v>
      </c>
      <c r="C1" s="10" t="s">
        <v>253</v>
      </c>
      <c r="D1" s="3" t="s">
        <v>17</v>
      </c>
      <c r="E1" s="10" t="s">
        <v>280</v>
      </c>
      <c r="F1" s="3" t="s">
        <v>254</v>
      </c>
      <c r="G1" s="3" t="s">
        <v>310</v>
      </c>
      <c r="H1" s="3" t="s">
        <v>255</v>
      </c>
      <c r="I1" s="3" t="s">
        <v>256</v>
      </c>
      <c r="J1" s="3" t="s">
        <v>257</v>
      </c>
      <c r="K1" s="3" t="s">
        <v>258</v>
      </c>
      <c r="L1" s="3" t="s">
        <v>259</v>
      </c>
      <c r="M1" s="3" t="s">
        <v>238</v>
      </c>
      <c r="N1" s="9" t="s">
        <v>192</v>
      </c>
      <c r="O1" s="3" t="s">
        <v>260</v>
      </c>
      <c r="P1" s="3" t="s">
        <v>261</v>
      </c>
      <c r="Q1" s="3" t="s">
        <v>262</v>
      </c>
      <c r="R1" s="3" t="s">
        <v>263</v>
      </c>
      <c r="S1" s="3" t="s">
        <v>264</v>
      </c>
    </row>
    <row r="2" spans="1:19">
      <c r="A2" s="1" t="s">
        <v>100</v>
      </c>
      <c r="B2" s="175">
        <v>32</v>
      </c>
      <c r="C2" s="6">
        <v>8.6699999999999999E-2</v>
      </c>
      <c r="D2" s="6">
        <v>0.1177</v>
      </c>
      <c r="E2" s="6">
        <v>0.1149</v>
      </c>
      <c r="F2" s="6">
        <v>0.16020000000000001</v>
      </c>
      <c r="G2" s="5">
        <v>1.44</v>
      </c>
      <c r="H2" s="5">
        <v>1.68</v>
      </c>
      <c r="I2" s="6">
        <v>0.11509999999999999</v>
      </c>
      <c r="J2" s="6">
        <v>0.97399999999999998</v>
      </c>
      <c r="K2" s="6">
        <v>4.7600000000000003E-2</v>
      </c>
      <c r="L2" s="6">
        <v>0.28999999999999998</v>
      </c>
      <c r="M2" s="6">
        <v>0.09</v>
      </c>
      <c r="N2" s="5">
        <v>1.4</v>
      </c>
      <c r="O2" s="5">
        <v>1.22</v>
      </c>
      <c r="P2" s="5">
        <v>7.77</v>
      </c>
      <c r="Q2" s="5">
        <v>10.4</v>
      </c>
      <c r="R2" s="5">
        <v>2.04</v>
      </c>
      <c r="S2" s="5">
        <v>31.25</v>
      </c>
    </row>
    <row r="3" spans="1:19">
      <c r="A3" s="1" t="s">
        <v>101</v>
      </c>
      <c r="B3" s="175">
        <v>66</v>
      </c>
      <c r="C3" s="6">
        <v>0.12559999999999999</v>
      </c>
      <c r="D3" s="6">
        <v>0.1024</v>
      </c>
      <c r="E3" s="6">
        <v>0.19400000000000001</v>
      </c>
      <c r="F3" s="6">
        <v>0.20080000000000001</v>
      </c>
      <c r="G3" s="5">
        <v>0.92</v>
      </c>
      <c r="H3" s="5">
        <v>0.98</v>
      </c>
      <c r="I3" s="6">
        <v>7.4499999999999997E-2</v>
      </c>
      <c r="J3" s="6">
        <v>0.44979999999999998</v>
      </c>
      <c r="K3" s="6">
        <v>2.76E-2</v>
      </c>
      <c r="L3" s="6">
        <v>0.21029999999999999</v>
      </c>
      <c r="M3" s="6">
        <v>6.2300000000000001E-2</v>
      </c>
      <c r="N3" s="5">
        <v>2.71</v>
      </c>
      <c r="O3" s="5">
        <v>0.94</v>
      </c>
      <c r="P3" s="5">
        <v>7.42</v>
      </c>
      <c r="Q3" s="5">
        <v>9.15</v>
      </c>
      <c r="R3" s="5">
        <v>3.11</v>
      </c>
      <c r="S3" s="5">
        <v>15.79</v>
      </c>
    </row>
    <row r="4" spans="1:19">
      <c r="A4" s="1" t="s">
        <v>102</v>
      </c>
      <c r="B4" s="175">
        <v>36</v>
      </c>
      <c r="C4" s="6">
        <v>0.1321</v>
      </c>
      <c r="D4" s="6">
        <v>8.3799999999999999E-2</v>
      </c>
      <c r="E4" s="6">
        <v>0.1797</v>
      </c>
      <c r="F4" s="6">
        <v>0.2135</v>
      </c>
      <c r="G4" s="5">
        <v>0.82</v>
      </c>
      <c r="H4" s="5">
        <v>1.03</v>
      </c>
      <c r="I4" s="6">
        <v>7.7299999999999994E-2</v>
      </c>
      <c r="J4" s="6">
        <v>0.64939999999999998</v>
      </c>
      <c r="K4" s="6">
        <v>3.2599999999999997E-2</v>
      </c>
      <c r="L4" s="6">
        <v>0.37140000000000001</v>
      </c>
      <c r="M4" s="6">
        <v>5.5899999999999998E-2</v>
      </c>
      <c r="N4" s="5">
        <v>2.74</v>
      </c>
      <c r="O4" s="5">
        <v>0.78</v>
      </c>
      <c r="P4" s="5">
        <v>6</v>
      </c>
      <c r="Q4" s="5">
        <v>9.32</v>
      </c>
      <c r="R4" s="5">
        <v>3.68</v>
      </c>
      <c r="S4" s="5">
        <v>14.6</v>
      </c>
    </row>
    <row r="5" spans="1:19">
      <c r="A5" s="1" t="s">
        <v>103</v>
      </c>
      <c r="B5" s="175">
        <v>54</v>
      </c>
      <c r="C5" s="6">
        <v>7.6899999999999996E-2</v>
      </c>
      <c r="D5" s="6">
        <v>0.1037</v>
      </c>
      <c r="E5" s="6">
        <v>0.1386</v>
      </c>
      <c r="F5" s="6">
        <v>0.1857</v>
      </c>
      <c r="G5" s="5">
        <v>1.29</v>
      </c>
      <c r="H5" s="5">
        <v>1.36</v>
      </c>
      <c r="I5" s="6">
        <v>9.6799999999999997E-2</v>
      </c>
      <c r="J5" s="6">
        <v>0.74880000000000002</v>
      </c>
      <c r="K5" s="6">
        <v>3.7600000000000001E-2</v>
      </c>
      <c r="L5" s="6">
        <v>0.1211</v>
      </c>
      <c r="M5" s="6">
        <v>8.7800000000000003E-2</v>
      </c>
      <c r="N5" s="5">
        <v>1.89</v>
      </c>
      <c r="O5" s="5">
        <v>1.52</v>
      </c>
      <c r="P5" s="5">
        <v>11.73</v>
      </c>
      <c r="Q5" s="5">
        <v>14.68</v>
      </c>
      <c r="R5" s="5">
        <v>3.38</v>
      </c>
      <c r="S5" s="5">
        <v>21.64</v>
      </c>
    </row>
    <row r="6" spans="1:19">
      <c r="A6" s="1" t="s">
        <v>104</v>
      </c>
      <c r="B6" s="175">
        <v>54</v>
      </c>
      <c r="C6" s="6">
        <v>0.20100000000000001</v>
      </c>
      <c r="D6" s="6">
        <v>6.7199999999999996E-2</v>
      </c>
      <c r="E6" s="6">
        <v>0.17649999999999999</v>
      </c>
      <c r="F6" s="6">
        <v>0.18770000000000001</v>
      </c>
      <c r="G6" s="5">
        <v>1.66</v>
      </c>
      <c r="H6" s="5">
        <v>1.76</v>
      </c>
      <c r="I6" s="6">
        <v>0.11940000000000001</v>
      </c>
      <c r="J6" s="6">
        <v>0.57430000000000003</v>
      </c>
      <c r="K6" s="6">
        <v>3.2599999999999997E-2</v>
      </c>
      <c r="L6" s="6">
        <v>0.19589999999999999</v>
      </c>
      <c r="M6" s="6">
        <v>9.98E-2</v>
      </c>
      <c r="N6" s="5">
        <v>3.4</v>
      </c>
      <c r="O6" s="5">
        <v>0.6</v>
      </c>
      <c r="P6" s="5">
        <v>6.4</v>
      </c>
      <c r="Q6" s="5">
        <v>8.92</v>
      </c>
      <c r="R6" s="5">
        <v>2.27</v>
      </c>
      <c r="S6" s="5">
        <v>15.39</v>
      </c>
    </row>
    <row r="7" spans="1:19">
      <c r="A7" s="1" t="s">
        <v>105</v>
      </c>
      <c r="B7" s="175">
        <v>12</v>
      </c>
      <c r="C7" s="6">
        <v>0.42349999999999999</v>
      </c>
      <c r="D7" s="6">
        <v>5.8000000000000003E-2</v>
      </c>
      <c r="E7" s="6">
        <v>5.7700000000000001E-2</v>
      </c>
      <c r="F7" s="6">
        <v>0.16239999999999999</v>
      </c>
      <c r="G7" s="5">
        <v>1.1100000000000001</v>
      </c>
      <c r="H7" s="5">
        <v>1.73</v>
      </c>
      <c r="I7" s="6">
        <v>0.1179</v>
      </c>
      <c r="J7" s="6">
        <v>0.59230000000000005</v>
      </c>
      <c r="K7" s="6">
        <v>3.2599999999999997E-2</v>
      </c>
      <c r="L7" s="6">
        <v>0.50839999999999996</v>
      </c>
      <c r="M7" s="6">
        <v>6.7900000000000002E-2</v>
      </c>
      <c r="N7" s="5">
        <v>1.41</v>
      </c>
      <c r="O7" s="5">
        <v>0.81</v>
      </c>
      <c r="P7" s="5">
        <v>7.46</v>
      </c>
      <c r="Q7" s="5">
        <v>13.95</v>
      </c>
      <c r="R7" s="5">
        <v>1.26</v>
      </c>
      <c r="S7" s="5">
        <v>15.84</v>
      </c>
    </row>
    <row r="8" spans="1:19">
      <c r="A8" s="1" t="s">
        <v>106</v>
      </c>
      <c r="B8" s="175">
        <v>416</v>
      </c>
      <c r="C8" s="6">
        <v>0</v>
      </c>
      <c r="D8" s="6" t="s">
        <v>191</v>
      </c>
      <c r="E8" s="6" t="s">
        <v>191</v>
      </c>
      <c r="F8" s="6">
        <v>0.16389999999999999</v>
      </c>
      <c r="G8" s="5">
        <v>0.45</v>
      </c>
      <c r="H8" s="5">
        <v>0.77</v>
      </c>
      <c r="I8" s="6">
        <v>6.2399999999999997E-2</v>
      </c>
      <c r="J8" s="6">
        <v>0.50339999999999996</v>
      </c>
      <c r="K8" s="6">
        <v>3.2599999999999997E-2</v>
      </c>
      <c r="L8" s="6">
        <v>0.56179999999999997</v>
      </c>
      <c r="M8" s="6">
        <v>3.8300000000000001E-2</v>
      </c>
      <c r="N8" s="5" t="s">
        <v>191</v>
      </c>
      <c r="O8" s="5" t="s">
        <v>191</v>
      </c>
      <c r="P8" s="5">
        <v>4.87</v>
      </c>
      <c r="Q8" s="5">
        <v>4.87</v>
      </c>
      <c r="R8" s="5">
        <v>0.98</v>
      </c>
      <c r="S8" s="5">
        <v>16.579999999999998</v>
      </c>
    </row>
    <row r="9" spans="1:19">
      <c r="A9" s="1" t="s">
        <v>107</v>
      </c>
      <c r="B9" s="175">
        <v>68</v>
      </c>
      <c r="C9" s="6">
        <v>0</v>
      </c>
      <c r="D9" s="6" t="s">
        <v>191</v>
      </c>
      <c r="E9" s="6" t="s">
        <v>191</v>
      </c>
      <c r="F9" s="6">
        <v>0.2099</v>
      </c>
      <c r="G9" s="5">
        <v>0.76</v>
      </c>
      <c r="H9" s="5">
        <v>0.89</v>
      </c>
      <c r="I9" s="6">
        <v>6.9500000000000006E-2</v>
      </c>
      <c r="J9" s="6">
        <v>0.36370000000000002</v>
      </c>
      <c r="K9" s="6">
        <v>2.76E-2</v>
      </c>
      <c r="L9" s="6">
        <v>0.3327</v>
      </c>
      <c r="M9" s="6">
        <v>5.1900000000000002E-2</v>
      </c>
      <c r="N9" s="5" t="s">
        <v>191</v>
      </c>
      <c r="O9" s="5" t="s">
        <v>191</v>
      </c>
      <c r="P9" s="5">
        <v>4.79</v>
      </c>
      <c r="Q9" s="5">
        <v>4.79</v>
      </c>
      <c r="R9" s="5">
        <v>1.32</v>
      </c>
      <c r="S9" s="5">
        <v>16.43</v>
      </c>
    </row>
    <row r="10" spans="1:19">
      <c r="A10" s="1" t="s">
        <v>108</v>
      </c>
      <c r="B10" s="175">
        <v>35</v>
      </c>
      <c r="C10" s="6">
        <v>2.6200000000000001E-2</v>
      </c>
      <c r="D10" s="6">
        <v>0.2074</v>
      </c>
      <c r="E10" s="6">
        <v>0.14560000000000001</v>
      </c>
      <c r="F10" s="6">
        <v>0.18820000000000001</v>
      </c>
      <c r="G10" s="5">
        <v>0.84</v>
      </c>
      <c r="H10" s="5">
        <v>0.95</v>
      </c>
      <c r="I10" s="6">
        <v>7.2599999999999998E-2</v>
      </c>
      <c r="J10" s="6">
        <v>0.47170000000000001</v>
      </c>
      <c r="K10" s="6">
        <v>2.76E-2</v>
      </c>
      <c r="L10" s="6">
        <v>0.1822</v>
      </c>
      <c r="M10" s="6">
        <v>6.2399999999999997E-2</v>
      </c>
      <c r="N10" s="5">
        <v>0.93</v>
      </c>
      <c r="O10" s="5">
        <v>3.23</v>
      </c>
      <c r="P10" s="5">
        <v>12.74</v>
      </c>
      <c r="Q10" s="5">
        <v>15.58</v>
      </c>
      <c r="R10" s="5">
        <v>4.54</v>
      </c>
      <c r="S10" s="5">
        <v>19.920000000000002</v>
      </c>
    </row>
    <row r="11" spans="1:19">
      <c r="A11" s="1" t="s">
        <v>109</v>
      </c>
      <c r="B11" s="175">
        <v>214</v>
      </c>
      <c r="C11" s="6">
        <v>0.20930000000000001</v>
      </c>
      <c r="D11" s="6">
        <v>0.18540000000000001</v>
      </c>
      <c r="E11" s="6">
        <v>0.1457</v>
      </c>
      <c r="F11" s="6">
        <v>2.98E-2</v>
      </c>
      <c r="G11" s="5">
        <v>1.3</v>
      </c>
      <c r="H11" s="5">
        <v>1.23</v>
      </c>
      <c r="I11" s="6">
        <v>8.8900000000000007E-2</v>
      </c>
      <c r="J11" s="6">
        <v>0.79990000000000006</v>
      </c>
      <c r="K11" s="6">
        <v>3.7600000000000001E-2</v>
      </c>
      <c r="L11" s="6">
        <v>0.13730000000000001</v>
      </c>
      <c r="M11" s="6">
        <v>7.9799999999999996E-2</v>
      </c>
      <c r="N11" s="5">
        <v>0.99</v>
      </c>
      <c r="O11" s="5">
        <v>5.7</v>
      </c>
      <c r="P11" s="5">
        <v>22.46</v>
      </c>
      <c r="Q11" s="5">
        <v>30.77</v>
      </c>
      <c r="R11" s="5">
        <v>4.5599999999999996</v>
      </c>
      <c r="S11" s="5">
        <v>31.24</v>
      </c>
    </row>
    <row r="12" spans="1:19">
      <c r="A12" s="1" t="s">
        <v>110</v>
      </c>
      <c r="B12" s="175">
        <v>43</v>
      </c>
      <c r="C12" s="6">
        <v>1.2800000000000001E-2</v>
      </c>
      <c r="D12" s="6">
        <v>4.2999999999999997E-2</v>
      </c>
      <c r="E12" s="6">
        <v>2.98E-2</v>
      </c>
      <c r="F12" s="6">
        <v>9.4799999999999995E-2</v>
      </c>
      <c r="G12" s="5">
        <v>1.05</v>
      </c>
      <c r="H12" s="5">
        <v>1.57</v>
      </c>
      <c r="I12" s="6">
        <v>0.1087</v>
      </c>
      <c r="J12" s="6">
        <v>0.79759999999999998</v>
      </c>
      <c r="K12" s="6">
        <v>3.7600000000000001E-2</v>
      </c>
      <c r="L12" s="6">
        <v>0.39479999999999998</v>
      </c>
      <c r="M12" s="6">
        <v>7.4700000000000003E-2</v>
      </c>
      <c r="N12" s="5">
        <v>0.88</v>
      </c>
      <c r="O12" s="5">
        <v>1.54</v>
      </c>
      <c r="P12" s="5">
        <v>14.45</v>
      </c>
      <c r="Q12" s="5">
        <v>35.82</v>
      </c>
      <c r="R12" s="5">
        <v>1.67</v>
      </c>
      <c r="S12" s="5">
        <v>29.27</v>
      </c>
    </row>
    <row r="13" spans="1:19">
      <c r="A13" s="1" t="s">
        <v>111</v>
      </c>
      <c r="B13" s="175">
        <v>20</v>
      </c>
      <c r="C13" s="6">
        <v>9.0800000000000006E-2</v>
      </c>
      <c r="D13" s="6">
        <v>0.19189999999999999</v>
      </c>
      <c r="E13" s="6">
        <v>0.1052</v>
      </c>
      <c r="F13" s="6">
        <v>0.21229999999999999</v>
      </c>
      <c r="G13" s="5">
        <v>0.96</v>
      </c>
      <c r="H13" s="5">
        <v>1.4</v>
      </c>
      <c r="I13" s="6">
        <v>9.9000000000000005E-2</v>
      </c>
      <c r="J13" s="6">
        <v>0.40450000000000003</v>
      </c>
      <c r="K13" s="6">
        <v>2.76E-2</v>
      </c>
      <c r="L13" s="6">
        <v>0.39800000000000002</v>
      </c>
      <c r="M13" s="6">
        <v>6.6199999999999995E-2</v>
      </c>
      <c r="N13" s="5">
        <v>0.8</v>
      </c>
      <c r="O13" s="5">
        <v>2.37</v>
      </c>
      <c r="P13" s="5">
        <v>7.08</v>
      </c>
      <c r="Q13" s="5">
        <v>12.35</v>
      </c>
      <c r="R13" s="5">
        <v>4.09</v>
      </c>
      <c r="S13" s="5">
        <v>22.28</v>
      </c>
    </row>
    <row r="14" spans="1:19">
      <c r="A14" s="1" t="s">
        <v>112</v>
      </c>
      <c r="B14" s="175">
        <v>18</v>
      </c>
      <c r="C14" s="6">
        <v>0.18729999999999999</v>
      </c>
      <c r="D14" s="6">
        <v>0.1484</v>
      </c>
      <c r="E14" s="6">
        <v>0.17749999999999999</v>
      </c>
      <c r="F14" s="6">
        <v>0.21890000000000001</v>
      </c>
      <c r="G14" s="5">
        <v>1.24</v>
      </c>
      <c r="H14" s="5">
        <v>1.37</v>
      </c>
      <c r="I14" s="6">
        <v>9.7299999999999998E-2</v>
      </c>
      <c r="J14" s="6">
        <v>0.39240000000000003</v>
      </c>
      <c r="K14" s="6">
        <v>2.76E-2</v>
      </c>
      <c r="L14" s="6">
        <v>0.1983</v>
      </c>
      <c r="M14" s="6">
        <v>8.1299999999999997E-2</v>
      </c>
      <c r="N14" s="5">
        <v>1.56</v>
      </c>
      <c r="O14" s="5">
        <v>1.44</v>
      </c>
      <c r="P14" s="5">
        <v>7.44</v>
      </c>
      <c r="Q14" s="5">
        <v>9.69</v>
      </c>
      <c r="R14" s="5">
        <v>2.77</v>
      </c>
      <c r="S14" s="5">
        <v>31.77</v>
      </c>
    </row>
    <row r="15" spans="1:19">
      <c r="A15" s="1" t="s">
        <v>113</v>
      </c>
      <c r="B15" s="175">
        <v>33</v>
      </c>
      <c r="C15" s="6">
        <v>0.157</v>
      </c>
      <c r="D15" s="6">
        <v>0.1502</v>
      </c>
      <c r="E15" s="6">
        <v>0.1812</v>
      </c>
      <c r="F15" s="6">
        <v>0.19750000000000001</v>
      </c>
      <c r="G15" s="5">
        <v>1.47</v>
      </c>
      <c r="H15" s="5">
        <v>1.55</v>
      </c>
      <c r="I15" s="6">
        <v>0.1075</v>
      </c>
      <c r="J15" s="6">
        <v>0.49020000000000002</v>
      </c>
      <c r="K15" s="6">
        <v>2.76E-2</v>
      </c>
      <c r="L15" s="6">
        <v>0.14299999999999999</v>
      </c>
      <c r="M15" s="6">
        <v>9.4500000000000001E-2</v>
      </c>
      <c r="N15" s="5">
        <v>1.63</v>
      </c>
      <c r="O15" s="5">
        <v>1.67</v>
      </c>
      <c r="P15" s="5">
        <v>8.5299999999999994</v>
      </c>
      <c r="Q15" s="5">
        <v>11.11</v>
      </c>
      <c r="R15" s="5">
        <v>3.18</v>
      </c>
      <c r="S15" s="5">
        <v>19.75</v>
      </c>
    </row>
    <row r="16" spans="1:19">
      <c r="A16" s="1" t="s">
        <v>114</v>
      </c>
      <c r="B16" s="175">
        <v>70</v>
      </c>
      <c r="C16" s="6">
        <v>0.254</v>
      </c>
      <c r="D16" s="6">
        <v>0.1116</v>
      </c>
      <c r="E16" s="6">
        <v>0.12479999999999999</v>
      </c>
      <c r="F16" s="6">
        <v>0.1535</v>
      </c>
      <c r="G16" s="5">
        <v>1.05</v>
      </c>
      <c r="H16" s="5">
        <v>1.18</v>
      </c>
      <c r="I16" s="6">
        <v>8.5900000000000004E-2</v>
      </c>
      <c r="J16" s="6">
        <v>0.629</v>
      </c>
      <c r="K16" s="6">
        <v>3.2599999999999997E-2</v>
      </c>
      <c r="L16" s="6">
        <v>0.17030000000000001</v>
      </c>
      <c r="M16" s="6">
        <v>7.46E-2</v>
      </c>
      <c r="N16" s="5">
        <v>1.58</v>
      </c>
      <c r="O16" s="5">
        <v>1.7</v>
      </c>
      <c r="P16" s="5">
        <v>10.86</v>
      </c>
      <c r="Q16" s="5">
        <v>15.23</v>
      </c>
      <c r="R16" s="5">
        <v>3.6</v>
      </c>
      <c r="S16" s="5">
        <v>17.57</v>
      </c>
    </row>
    <row r="17" spans="1:19">
      <c r="A17" s="1" t="s">
        <v>115</v>
      </c>
      <c r="B17" s="175">
        <v>20</v>
      </c>
      <c r="C17" s="6">
        <v>7.0800000000000002E-2</v>
      </c>
      <c r="D17" s="6">
        <v>0.1419</v>
      </c>
      <c r="E17" s="6">
        <v>0.10100000000000001</v>
      </c>
      <c r="F17" s="6">
        <v>0.11269999999999999</v>
      </c>
      <c r="G17" s="5">
        <v>0.99</v>
      </c>
      <c r="H17" s="5">
        <v>1.47</v>
      </c>
      <c r="I17" s="6">
        <v>0.1028</v>
      </c>
      <c r="J17" s="6">
        <v>0.56540000000000001</v>
      </c>
      <c r="K17" s="6">
        <v>3.2599999999999997E-2</v>
      </c>
      <c r="L17" s="6">
        <v>0.40610000000000002</v>
      </c>
      <c r="M17" s="6">
        <v>6.9000000000000006E-2</v>
      </c>
      <c r="N17" s="5">
        <v>0.9</v>
      </c>
      <c r="O17" s="5">
        <v>1.32</v>
      </c>
      <c r="P17" s="5">
        <v>5.99</v>
      </c>
      <c r="Q17" s="5">
        <v>9.34</v>
      </c>
      <c r="R17" s="5">
        <v>1.33</v>
      </c>
      <c r="S17" s="5">
        <v>29.76</v>
      </c>
    </row>
    <row r="18" spans="1:19">
      <c r="A18" s="1" t="s">
        <v>266</v>
      </c>
      <c r="B18" s="175">
        <v>191</v>
      </c>
      <c r="C18" s="6">
        <v>0.14810000000000001</v>
      </c>
      <c r="D18" s="6">
        <v>0.2999</v>
      </c>
      <c r="E18" s="6">
        <v>0.43309999999999998</v>
      </c>
      <c r="F18" s="6">
        <v>0.12429999999999999</v>
      </c>
      <c r="G18" s="5">
        <v>1.1100000000000001</v>
      </c>
      <c r="H18" s="5">
        <v>0.98</v>
      </c>
      <c r="I18" s="6">
        <v>7.4200000000000002E-2</v>
      </c>
      <c r="J18" s="6">
        <v>0.68389999999999995</v>
      </c>
      <c r="K18" s="6">
        <v>3.7600000000000001E-2</v>
      </c>
      <c r="L18" s="6">
        <v>6.1499999999999999E-2</v>
      </c>
      <c r="M18" s="6">
        <v>7.0999999999999994E-2</v>
      </c>
      <c r="N18" s="5">
        <v>1.87</v>
      </c>
      <c r="O18" s="5">
        <v>3.33</v>
      </c>
      <c r="P18" s="5">
        <v>9.6999999999999993</v>
      </c>
      <c r="Q18" s="5">
        <v>11.11</v>
      </c>
      <c r="R18" s="5">
        <v>3.94</v>
      </c>
      <c r="S18" s="5">
        <v>77.290000000000006</v>
      </c>
    </row>
    <row r="19" spans="1:19">
      <c r="A19" s="1" t="s">
        <v>116</v>
      </c>
      <c r="B19" s="175">
        <v>81</v>
      </c>
      <c r="C19" s="6">
        <v>3.8899999999999997E-2</v>
      </c>
      <c r="D19" s="6">
        <v>0.1694</v>
      </c>
      <c r="E19" s="6">
        <v>0.34660000000000002</v>
      </c>
      <c r="F19" s="6">
        <v>0.10009999999999999</v>
      </c>
      <c r="G19" s="5">
        <v>1.39</v>
      </c>
      <c r="H19" s="5">
        <v>1.37</v>
      </c>
      <c r="I19" s="6">
        <v>9.6799999999999997E-2</v>
      </c>
      <c r="J19" s="6">
        <v>0.81830000000000003</v>
      </c>
      <c r="K19" s="6">
        <v>4.2599999999999999E-2</v>
      </c>
      <c r="L19" s="6">
        <v>8.8400000000000006E-2</v>
      </c>
      <c r="M19" s="6">
        <v>9.0499999999999997E-2</v>
      </c>
      <c r="N19" s="5">
        <v>2.66</v>
      </c>
      <c r="O19" s="5">
        <v>1.38</v>
      </c>
      <c r="P19" s="5">
        <v>6.92</v>
      </c>
      <c r="Q19" s="5">
        <v>8.14</v>
      </c>
      <c r="R19" s="5">
        <v>3.57</v>
      </c>
      <c r="S19" s="5">
        <v>46.69</v>
      </c>
    </row>
    <row r="20" spans="1:19">
      <c r="A20" s="1" t="s">
        <v>117</v>
      </c>
      <c r="B20" s="175">
        <v>113</v>
      </c>
      <c r="C20" s="6">
        <v>0.1736</v>
      </c>
      <c r="D20" s="6">
        <v>0.14910000000000001</v>
      </c>
      <c r="E20" s="6">
        <v>9.2100000000000001E-2</v>
      </c>
      <c r="F20" s="6">
        <v>0.17180000000000001</v>
      </c>
      <c r="G20" s="5">
        <v>0.86</v>
      </c>
      <c r="H20" s="5">
        <v>1.22</v>
      </c>
      <c r="I20" s="6">
        <v>8.8200000000000001E-2</v>
      </c>
      <c r="J20" s="6">
        <v>0.60460000000000003</v>
      </c>
      <c r="K20" s="6">
        <v>3.2599999999999997E-2</v>
      </c>
      <c r="L20" s="6">
        <v>0.44040000000000001</v>
      </c>
      <c r="M20" s="6">
        <v>5.8000000000000003E-2</v>
      </c>
      <c r="N20" s="5">
        <v>0.84</v>
      </c>
      <c r="O20" s="5">
        <v>1.92</v>
      </c>
      <c r="P20" s="5">
        <v>10.09</v>
      </c>
      <c r="Q20" s="5">
        <v>12.87</v>
      </c>
      <c r="R20" s="5">
        <v>2.38</v>
      </c>
      <c r="S20" s="5">
        <v>16.190000000000001</v>
      </c>
    </row>
    <row r="21" spans="1:19">
      <c r="A21" s="1" t="s">
        <v>118</v>
      </c>
      <c r="B21" s="175">
        <v>223</v>
      </c>
      <c r="C21" s="6">
        <v>0.2019</v>
      </c>
      <c r="D21" s="6">
        <v>0.25240000000000001</v>
      </c>
      <c r="E21" s="6">
        <v>0.1694</v>
      </c>
      <c r="F21" s="6">
        <v>5.1400000000000001E-2</v>
      </c>
      <c r="G21" s="5">
        <v>1.03</v>
      </c>
      <c r="H21" s="5">
        <v>1.08</v>
      </c>
      <c r="I21" s="6">
        <v>0.08</v>
      </c>
      <c r="J21" s="6">
        <v>0.80679999999999996</v>
      </c>
      <c r="K21" s="6">
        <v>4.2599999999999999E-2</v>
      </c>
      <c r="L21" s="6">
        <v>0.12889999999999999</v>
      </c>
      <c r="M21" s="6">
        <v>7.2999999999999995E-2</v>
      </c>
      <c r="N21" s="5">
        <v>0.9</v>
      </c>
      <c r="O21" s="5">
        <v>3.05</v>
      </c>
      <c r="P21" s="5">
        <v>8.93</v>
      </c>
      <c r="Q21" s="5">
        <v>12.1</v>
      </c>
      <c r="R21" s="5">
        <v>3.04</v>
      </c>
      <c r="S21" s="5">
        <v>28.46</v>
      </c>
    </row>
    <row r="22" spans="1:19">
      <c r="A22" s="1" t="s">
        <v>119</v>
      </c>
      <c r="B22" s="175">
        <v>64</v>
      </c>
      <c r="C22" s="6">
        <v>0.15670000000000001</v>
      </c>
      <c r="D22" s="6">
        <v>8.2400000000000001E-2</v>
      </c>
      <c r="E22" s="6">
        <v>5.4600000000000003E-2</v>
      </c>
      <c r="F22" s="6">
        <v>0.1052</v>
      </c>
      <c r="G22" s="5">
        <v>1.0900000000000001</v>
      </c>
      <c r="H22" s="5">
        <v>1.05</v>
      </c>
      <c r="I22" s="6">
        <v>7.8600000000000003E-2</v>
      </c>
      <c r="J22" s="6">
        <v>0.80600000000000005</v>
      </c>
      <c r="K22" s="6">
        <v>4.2599999999999999E-2</v>
      </c>
      <c r="L22" s="6">
        <v>6.3100000000000003E-2</v>
      </c>
      <c r="M22" s="6">
        <v>7.5300000000000006E-2</v>
      </c>
      <c r="N22" s="5">
        <v>1.17</v>
      </c>
      <c r="O22" s="5">
        <v>5.07</v>
      </c>
      <c r="P22" s="5">
        <v>32.19</v>
      </c>
      <c r="Q22" s="5">
        <v>61.51</v>
      </c>
      <c r="R22" s="5">
        <v>5.15</v>
      </c>
      <c r="S22" s="5">
        <v>237.12</v>
      </c>
    </row>
    <row r="23" spans="1:19">
      <c r="A23" s="1" t="s">
        <v>120</v>
      </c>
      <c r="B23" s="175">
        <v>33</v>
      </c>
      <c r="C23" s="6">
        <v>0.10290000000000001</v>
      </c>
      <c r="D23" s="6">
        <v>0.18690000000000001</v>
      </c>
      <c r="E23" s="6">
        <v>0.42330000000000001</v>
      </c>
      <c r="F23" s="6">
        <v>0.2172</v>
      </c>
      <c r="G23" s="5">
        <v>1.0900000000000001</v>
      </c>
      <c r="H23" s="5">
        <v>0.91</v>
      </c>
      <c r="I23" s="6">
        <v>7.0099999999999996E-2</v>
      </c>
      <c r="J23" s="6">
        <v>0.83079999999999998</v>
      </c>
      <c r="K23" s="6">
        <v>4.2599999999999999E-2</v>
      </c>
      <c r="L23" s="6">
        <v>0.1983</v>
      </c>
      <c r="M23" s="6">
        <v>6.13E-2</v>
      </c>
      <c r="N23" s="5">
        <v>3.42</v>
      </c>
      <c r="O23" s="5">
        <v>0.54</v>
      </c>
      <c r="P23" s="5">
        <v>2.41</v>
      </c>
      <c r="Q23" s="5">
        <v>2.91</v>
      </c>
      <c r="R23" s="5">
        <v>1.67</v>
      </c>
      <c r="S23" s="5">
        <v>13.29</v>
      </c>
    </row>
    <row r="24" spans="1:19">
      <c r="A24" s="1" t="s">
        <v>121</v>
      </c>
      <c r="B24" s="175">
        <v>20</v>
      </c>
      <c r="C24" s="6">
        <v>4.0500000000000001E-2</v>
      </c>
      <c r="D24" s="6">
        <v>0.17549999999999999</v>
      </c>
      <c r="E24" s="6">
        <v>6.4699999999999994E-2</v>
      </c>
      <c r="F24" s="6">
        <v>0.30120000000000002</v>
      </c>
      <c r="G24" s="5">
        <v>0.36</v>
      </c>
      <c r="H24" s="5">
        <v>0.56999999999999995</v>
      </c>
      <c r="I24" s="6">
        <v>5.0799999999999998E-2</v>
      </c>
      <c r="J24" s="6">
        <v>0.1729</v>
      </c>
      <c r="K24" s="6">
        <v>2.2599999999999999E-2</v>
      </c>
      <c r="L24" s="6">
        <v>0.45950000000000002</v>
      </c>
      <c r="M24" s="6">
        <v>3.3700000000000001E-2</v>
      </c>
      <c r="N24" s="5">
        <v>0.54</v>
      </c>
      <c r="O24" s="5">
        <v>2.27</v>
      </c>
      <c r="P24" s="5">
        <v>7.98</v>
      </c>
      <c r="Q24" s="5">
        <v>12.94</v>
      </c>
      <c r="R24" s="5">
        <v>1.49</v>
      </c>
      <c r="S24" s="5">
        <v>15.66</v>
      </c>
    </row>
    <row r="25" spans="1:19">
      <c r="A25" s="1" t="s">
        <v>122</v>
      </c>
      <c r="B25" s="175">
        <v>17</v>
      </c>
      <c r="C25" s="6">
        <v>1.4999999999999999E-2</v>
      </c>
      <c r="D25" s="6">
        <v>0.2051</v>
      </c>
      <c r="E25" s="6">
        <v>6.6900000000000001E-2</v>
      </c>
      <c r="F25" s="6">
        <v>0.33489999999999998</v>
      </c>
      <c r="G25" s="5">
        <v>0.3</v>
      </c>
      <c r="H25" s="5">
        <v>0.43</v>
      </c>
      <c r="I25" s="6">
        <v>4.24E-2</v>
      </c>
      <c r="J25" s="6">
        <v>0.1321</v>
      </c>
      <c r="K25" s="6">
        <v>2.2599999999999999E-2</v>
      </c>
      <c r="L25" s="6">
        <v>0.40439999999999998</v>
      </c>
      <c r="M25" s="6">
        <v>3.0700000000000002E-2</v>
      </c>
      <c r="N25" s="5">
        <v>0.49</v>
      </c>
      <c r="O25" s="5">
        <v>2.78</v>
      </c>
      <c r="P25" s="5">
        <v>8.9600000000000009</v>
      </c>
      <c r="Q25" s="5">
        <v>13.54</v>
      </c>
      <c r="R25" s="5">
        <v>1.79</v>
      </c>
      <c r="S25" s="5">
        <v>17.079999999999998</v>
      </c>
    </row>
    <row r="26" spans="1:19">
      <c r="A26" s="1" t="s">
        <v>123</v>
      </c>
      <c r="B26" s="175">
        <v>15</v>
      </c>
      <c r="C26" s="6">
        <v>2.8299999999999999E-2</v>
      </c>
      <c r="D26" s="6">
        <v>0.16439999999999999</v>
      </c>
      <c r="E26" s="6">
        <v>6.1699999999999998E-2</v>
      </c>
      <c r="F26" s="6">
        <v>0.29089999999999999</v>
      </c>
      <c r="G26" s="5">
        <v>0.38</v>
      </c>
      <c r="H26" s="5">
        <v>0.57999999999999996</v>
      </c>
      <c r="I26" s="6">
        <v>5.1400000000000001E-2</v>
      </c>
      <c r="J26" s="6">
        <v>0.1419</v>
      </c>
      <c r="K26" s="6">
        <v>2.2599999999999999E-2</v>
      </c>
      <c r="L26" s="6">
        <v>0.44869999999999999</v>
      </c>
      <c r="M26" s="6">
        <v>3.44E-2</v>
      </c>
      <c r="N26" s="5">
        <v>0.54</v>
      </c>
      <c r="O26" s="5">
        <v>2.2599999999999998</v>
      </c>
      <c r="P26" s="5">
        <v>7.87</v>
      </c>
      <c r="Q26" s="5">
        <v>13.74</v>
      </c>
      <c r="R26" s="5">
        <v>1.44</v>
      </c>
      <c r="S26" s="5">
        <v>16.05</v>
      </c>
    </row>
    <row r="27" spans="1:19">
      <c r="A27" s="1" t="s">
        <v>124</v>
      </c>
      <c r="B27" s="175">
        <v>64</v>
      </c>
      <c r="C27" s="6">
        <v>9.11E-2</v>
      </c>
      <c r="D27" s="6">
        <v>0.13769999999999999</v>
      </c>
      <c r="E27" s="6">
        <v>0.1598</v>
      </c>
      <c r="F27" s="6">
        <v>0.1615</v>
      </c>
      <c r="G27" s="5">
        <v>1.45</v>
      </c>
      <c r="H27" s="5">
        <v>1.43</v>
      </c>
      <c r="I27" s="6">
        <v>0.1003</v>
      </c>
      <c r="J27" s="6">
        <v>0.67789999999999995</v>
      </c>
      <c r="K27" s="6">
        <v>3.7600000000000001E-2</v>
      </c>
      <c r="L27" s="6">
        <v>0.1094</v>
      </c>
      <c r="M27" s="6">
        <v>9.1800000000000007E-2</v>
      </c>
      <c r="N27" s="5">
        <v>1.58</v>
      </c>
      <c r="O27" s="5">
        <v>1.49</v>
      </c>
      <c r="P27" s="5">
        <v>8.57</v>
      </c>
      <c r="Q27" s="5">
        <v>10.8</v>
      </c>
      <c r="R27" s="5">
        <v>2.34</v>
      </c>
      <c r="S27" s="5">
        <v>22.95</v>
      </c>
    </row>
    <row r="28" spans="1:19">
      <c r="A28" s="1" t="s">
        <v>125</v>
      </c>
      <c r="B28" s="175">
        <v>123</v>
      </c>
      <c r="C28" s="6">
        <v>3.5400000000000001E-2</v>
      </c>
      <c r="D28" s="6">
        <v>6.3899999999999998E-2</v>
      </c>
      <c r="E28" s="6">
        <v>0.14599999999999999</v>
      </c>
      <c r="F28" s="6">
        <v>0.11310000000000001</v>
      </c>
      <c r="G28" s="5">
        <v>1.17</v>
      </c>
      <c r="H28" s="5">
        <v>1.22</v>
      </c>
      <c r="I28" s="6">
        <v>8.8099999999999998E-2</v>
      </c>
      <c r="J28" s="6">
        <v>0.74239999999999995</v>
      </c>
      <c r="K28" s="6">
        <v>3.7600000000000001E-2</v>
      </c>
      <c r="L28" s="6">
        <v>0.18340000000000001</v>
      </c>
      <c r="M28" s="6">
        <v>7.6100000000000001E-2</v>
      </c>
      <c r="N28" s="5">
        <v>3.03</v>
      </c>
      <c r="O28" s="5">
        <v>0.59</v>
      </c>
      <c r="P28" s="5">
        <v>6.63</v>
      </c>
      <c r="Q28" s="5">
        <v>9.2799999999999994</v>
      </c>
      <c r="R28" s="5">
        <v>1.9</v>
      </c>
      <c r="S28" s="5">
        <v>15.11</v>
      </c>
    </row>
    <row r="29" spans="1:19">
      <c r="A29" s="1" t="s">
        <v>126</v>
      </c>
      <c r="B29" s="175">
        <v>30</v>
      </c>
      <c r="C29" s="6">
        <v>8.5800000000000001E-2</v>
      </c>
      <c r="D29" s="6">
        <v>4.8300000000000003E-2</v>
      </c>
      <c r="E29" s="6">
        <v>0.13159999999999999</v>
      </c>
      <c r="F29" s="6">
        <v>0.25</v>
      </c>
      <c r="G29" s="5">
        <v>1.4</v>
      </c>
      <c r="H29" s="5">
        <v>1.28</v>
      </c>
      <c r="I29" s="6">
        <v>9.1899999999999996E-2</v>
      </c>
      <c r="J29" s="6">
        <v>0.46029999999999999</v>
      </c>
      <c r="K29" s="6">
        <v>2.76E-2</v>
      </c>
      <c r="L29" s="6">
        <v>0.1168</v>
      </c>
      <c r="M29" s="6">
        <v>8.3099999999999993E-2</v>
      </c>
      <c r="N29" s="5">
        <v>3.96</v>
      </c>
      <c r="O29" s="5">
        <v>0.5</v>
      </c>
      <c r="P29" s="5">
        <v>7.98</v>
      </c>
      <c r="Q29" s="5">
        <v>10.42</v>
      </c>
      <c r="R29" s="5">
        <v>1.89</v>
      </c>
      <c r="S29" s="5">
        <v>44.34</v>
      </c>
    </row>
    <row r="30" spans="1:19">
      <c r="A30" s="1" t="s">
        <v>127</v>
      </c>
      <c r="B30" s="175">
        <v>76</v>
      </c>
      <c r="C30" s="6">
        <v>0.10730000000000001</v>
      </c>
      <c r="D30" s="6">
        <v>0.19120000000000001</v>
      </c>
      <c r="E30" s="6">
        <v>0.1041</v>
      </c>
      <c r="F30" s="6">
        <v>0.12559999999999999</v>
      </c>
      <c r="G30" s="5">
        <v>1.31</v>
      </c>
      <c r="H30" s="5">
        <v>1.6</v>
      </c>
      <c r="I30" s="6">
        <v>0.1105</v>
      </c>
      <c r="J30" s="6">
        <v>0.70989999999999998</v>
      </c>
      <c r="K30" s="6">
        <v>3.7600000000000001E-2</v>
      </c>
      <c r="L30" s="6">
        <v>0.253</v>
      </c>
      <c r="M30" s="6">
        <v>8.8300000000000003E-2</v>
      </c>
      <c r="N30" s="5">
        <v>0.79</v>
      </c>
      <c r="O30" s="5">
        <v>2.34</v>
      </c>
      <c r="P30" s="5">
        <v>9.5299999999999994</v>
      </c>
      <c r="Q30" s="5">
        <v>12.22</v>
      </c>
      <c r="R30" s="5">
        <v>2.38</v>
      </c>
      <c r="S30" s="5">
        <v>27.83</v>
      </c>
    </row>
    <row r="31" spans="1:19">
      <c r="A31" s="1" t="s">
        <v>128</v>
      </c>
      <c r="B31" s="175">
        <v>42</v>
      </c>
      <c r="C31" s="6">
        <v>6.0699999999999997E-2</v>
      </c>
      <c r="D31" s="6">
        <v>0.17299999999999999</v>
      </c>
      <c r="E31" s="6">
        <v>0.1951</v>
      </c>
      <c r="F31" s="6">
        <v>0.1101</v>
      </c>
      <c r="G31" s="5">
        <v>1.33</v>
      </c>
      <c r="H31" s="5">
        <v>1.1100000000000001</v>
      </c>
      <c r="I31" s="6">
        <v>8.2000000000000003E-2</v>
      </c>
      <c r="J31" s="6">
        <v>0.53249999999999997</v>
      </c>
      <c r="K31" s="6">
        <v>3.2599999999999997E-2</v>
      </c>
      <c r="L31" s="6">
        <v>0.10349999999999999</v>
      </c>
      <c r="M31" s="6">
        <v>7.5600000000000001E-2</v>
      </c>
      <c r="N31" s="5">
        <v>1.34</v>
      </c>
      <c r="O31" s="5">
        <v>1.79</v>
      </c>
      <c r="P31" s="5">
        <v>7.97</v>
      </c>
      <c r="Q31" s="5">
        <v>10.37</v>
      </c>
      <c r="R31" s="5">
        <v>1.97</v>
      </c>
      <c r="S31" s="5">
        <v>20.13</v>
      </c>
    </row>
    <row r="32" spans="1:19">
      <c r="A32" s="1" t="s">
        <v>129</v>
      </c>
      <c r="B32" s="175">
        <v>84</v>
      </c>
      <c r="C32" s="6">
        <v>0.2011</v>
      </c>
      <c r="D32" s="6">
        <v>0.14649999999999999</v>
      </c>
      <c r="E32" s="6">
        <v>8.8999999999999996E-2</v>
      </c>
      <c r="F32" s="6">
        <v>7.5999999999999998E-2</v>
      </c>
      <c r="G32" s="5">
        <v>0.49</v>
      </c>
      <c r="H32" s="5">
        <v>0.66</v>
      </c>
      <c r="I32" s="6">
        <v>5.62E-2</v>
      </c>
      <c r="J32" s="6">
        <v>0.79239999999999999</v>
      </c>
      <c r="K32" s="6">
        <v>3.7600000000000001E-2</v>
      </c>
      <c r="L32" s="6">
        <v>0.30109999999999998</v>
      </c>
      <c r="M32" s="6">
        <v>4.5999999999999999E-2</v>
      </c>
      <c r="N32" s="5">
        <v>0.9</v>
      </c>
      <c r="O32" s="5">
        <v>1.87</v>
      </c>
      <c r="P32" s="5">
        <v>8.44</v>
      </c>
      <c r="Q32" s="5">
        <v>12.78</v>
      </c>
      <c r="R32" s="5">
        <v>2.29</v>
      </c>
      <c r="S32" s="5">
        <v>16.989999999999998</v>
      </c>
    </row>
    <row r="33" spans="1:19">
      <c r="A33" s="1" t="s">
        <v>130</v>
      </c>
      <c r="B33" s="175">
        <v>256</v>
      </c>
      <c r="C33" s="6">
        <v>5.8599999999999999E-2</v>
      </c>
      <c r="D33" s="6">
        <v>0.61829999999999996</v>
      </c>
      <c r="E33" s="6">
        <v>7.3300000000000004E-2</v>
      </c>
      <c r="F33" s="6">
        <v>0.1623</v>
      </c>
      <c r="G33" s="5">
        <v>0.56000000000000005</v>
      </c>
      <c r="H33" s="5">
        <v>1.34</v>
      </c>
      <c r="I33" s="6">
        <v>9.5299999999999996E-2</v>
      </c>
      <c r="J33" s="6">
        <v>0.55149999999999999</v>
      </c>
      <c r="K33" s="6">
        <v>3.2599999999999997E-2</v>
      </c>
      <c r="L33" s="6">
        <v>0.67149999999999999</v>
      </c>
      <c r="M33" s="6">
        <v>4.4400000000000002E-2</v>
      </c>
      <c r="N33" s="5">
        <v>0.15</v>
      </c>
      <c r="O33" s="5">
        <v>8.15</v>
      </c>
      <c r="P33" s="5">
        <v>12.56</v>
      </c>
      <c r="Q33" s="5">
        <v>13.19</v>
      </c>
      <c r="R33" s="5">
        <v>1.98</v>
      </c>
      <c r="S33" s="5">
        <v>22.15</v>
      </c>
    </row>
    <row r="34" spans="1:19">
      <c r="A34" s="1" t="s">
        <v>131</v>
      </c>
      <c r="B34" s="175">
        <v>119</v>
      </c>
      <c r="C34" s="6">
        <v>0.14610000000000001</v>
      </c>
      <c r="D34" s="6">
        <v>9.7299999999999998E-2</v>
      </c>
      <c r="E34" s="6">
        <v>0.1356</v>
      </c>
      <c r="F34" s="6">
        <v>0.21629999999999999</v>
      </c>
      <c r="G34" s="5">
        <v>0.77</v>
      </c>
      <c r="H34" s="5">
        <v>0.87</v>
      </c>
      <c r="I34" s="6">
        <v>6.83E-2</v>
      </c>
      <c r="J34" s="6">
        <v>0.52259999999999995</v>
      </c>
      <c r="K34" s="6">
        <v>3.2599999999999997E-2</v>
      </c>
      <c r="L34" s="6">
        <v>0.1903</v>
      </c>
      <c r="M34" s="6">
        <v>5.8999999999999997E-2</v>
      </c>
      <c r="N34" s="5">
        <v>1.84</v>
      </c>
      <c r="O34" s="5">
        <v>1.22</v>
      </c>
      <c r="P34" s="5">
        <v>10.1</v>
      </c>
      <c r="Q34" s="5">
        <v>12.53</v>
      </c>
      <c r="R34" s="5">
        <v>2.93</v>
      </c>
      <c r="S34" s="5">
        <v>24.85</v>
      </c>
    </row>
    <row r="35" spans="1:19">
      <c r="A35" s="1" t="s">
        <v>132</v>
      </c>
      <c r="B35" s="175">
        <v>10</v>
      </c>
      <c r="C35" s="6">
        <v>-4.5900000000000003E-2</v>
      </c>
      <c r="D35" s="6">
        <v>3.4099999999999998E-2</v>
      </c>
      <c r="E35" s="6">
        <v>5.4399999999999997E-2</v>
      </c>
      <c r="F35" s="6">
        <v>0.23119999999999999</v>
      </c>
      <c r="G35" s="5">
        <v>1.1200000000000001</v>
      </c>
      <c r="H35" s="5">
        <v>1.1000000000000001</v>
      </c>
      <c r="I35" s="6">
        <v>8.1299999999999997E-2</v>
      </c>
      <c r="J35" s="6">
        <v>0.31240000000000001</v>
      </c>
      <c r="K35" s="6">
        <v>2.76E-2</v>
      </c>
      <c r="L35" s="6">
        <v>0.31369999999999998</v>
      </c>
      <c r="M35" s="6">
        <v>6.0999999999999999E-2</v>
      </c>
      <c r="N35" s="5">
        <v>2.2999999999999998</v>
      </c>
      <c r="O35" s="5">
        <v>0.39</v>
      </c>
      <c r="P35" s="5">
        <v>4.4400000000000004</v>
      </c>
      <c r="Q35" s="5">
        <v>11.52</v>
      </c>
      <c r="R35" s="5">
        <v>0.9</v>
      </c>
      <c r="S35" s="5">
        <v>31.52</v>
      </c>
    </row>
    <row r="36" spans="1:19">
      <c r="A36" s="1" t="s">
        <v>133</v>
      </c>
      <c r="B36" s="175">
        <v>6</v>
      </c>
      <c r="C36" s="6">
        <v>8.9099999999999999E-2</v>
      </c>
      <c r="D36" s="6">
        <v>0.14369999999999999</v>
      </c>
      <c r="E36" s="6">
        <v>8.2799999999999999E-2</v>
      </c>
      <c r="F36" s="6">
        <v>0.28660000000000002</v>
      </c>
      <c r="G36" s="5">
        <v>0.85</v>
      </c>
      <c r="H36" s="5">
        <v>1.1200000000000001</v>
      </c>
      <c r="I36" s="6">
        <v>8.2600000000000007E-2</v>
      </c>
      <c r="J36" s="6">
        <v>0.26750000000000002</v>
      </c>
      <c r="K36" s="6">
        <v>2.76E-2</v>
      </c>
      <c r="L36" s="6">
        <v>0.33100000000000002</v>
      </c>
      <c r="M36" s="6">
        <v>6.0699999999999997E-2</v>
      </c>
      <c r="N36" s="5">
        <v>0.85</v>
      </c>
      <c r="O36" s="5">
        <v>1.84</v>
      </c>
      <c r="P36" s="5">
        <v>9.73</v>
      </c>
      <c r="Q36" s="5">
        <v>12.8</v>
      </c>
      <c r="R36" s="5">
        <v>2.09</v>
      </c>
      <c r="S36" s="5">
        <v>17.8</v>
      </c>
    </row>
    <row r="37" spans="1:19">
      <c r="A37" s="1" t="s">
        <v>134</v>
      </c>
      <c r="B37" s="175">
        <v>32</v>
      </c>
      <c r="C37" s="6">
        <v>2.7799999999999998E-2</v>
      </c>
      <c r="D37" s="6">
        <v>8.48E-2</v>
      </c>
      <c r="E37" s="6">
        <v>0.1406</v>
      </c>
      <c r="F37" s="6">
        <v>0.16689999999999999</v>
      </c>
      <c r="G37" s="5">
        <v>1.47</v>
      </c>
      <c r="H37" s="5">
        <v>1.63</v>
      </c>
      <c r="I37" s="6">
        <v>0.112</v>
      </c>
      <c r="J37" s="6">
        <v>0.55600000000000005</v>
      </c>
      <c r="K37" s="6">
        <v>3.2599999999999997E-2</v>
      </c>
      <c r="L37" s="6">
        <v>0.1807</v>
      </c>
      <c r="M37" s="6">
        <v>9.5299999999999996E-2</v>
      </c>
      <c r="N37" s="5">
        <v>2</v>
      </c>
      <c r="O37" s="5">
        <v>0.95</v>
      </c>
      <c r="P37" s="5">
        <v>8.34</v>
      </c>
      <c r="Q37" s="5">
        <v>11.22</v>
      </c>
      <c r="R37" s="5">
        <v>2.1800000000000002</v>
      </c>
      <c r="S37" s="5">
        <v>21.64</v>
      </c>
    </row>
    <row r="38" spans="1:19">
      <c r="A38" s="1" t="s">
        <v>135</v>
      </c>
      <c r="B38" s="175">
        <v>20</v>
      </c>
      <c r="C38" s="6">
        <v>0.20680000000000001</v>
      </c>
      <c r="D38" s="6">
        <v>0.1653</v>
      </c>
      <c r="E38" s="6">
        <v>0.1168</v>
      </c>
      <c r="F38" s="6">
        <v>0.2031</v>
      </c>
      <c r="G38" s="5">
        <v>0.98</v>
      </c>
      <c r="H38" s="5">
        <v>0.97</v>
      </c>
      <c r="I38" s="6">
        <v>7.3599999999999999E-2</v>
      </c>
      <c r="J38" s="6">
        <v>0.44409999999999999</v>
      </c>
      <c r="K38" s="6">
        <v>2.76E-2</v>
      </c>
      <c r="L38" s="6">
        <v>0.1041</v>
      </c>
      <c r="M38" s="6">
        <v>6.7699999999999996E-2</v>
      </c>
      <c r="N38" s="5">
        <v>1.07</v>
      </c>
      <c r="O38" s="5">
        <v>3.6</v>
      </c>
      <c r="P38" s="5">
        <v>14.37</v>
      </c>
      <c r="Q38" s="5">
        <v>21.77</v>
      </c>
      <c r="R38" s="5">
        <v>3.89</v>
      </c>
      <c r="S38" s="5">
        <v>54.59</v>
      </c>
    </row>
    <row r="39" spans="1:19">
      <c r="A39" s="1" t="s">
        <v>267</v>
      </c>
      <c r="B39" s="175">
        <v>23</v>
      </c>
      <c r="C39" s="6">
        <v>0.27100000000000002</v>
      </c>
      <c r="D39" s="6">
        <v>0.11119999999999999</v>
      </c>
      <c r="E39" s="6">
        <v>0.15210000000000001</v>
      </c>
      <c r="F39" s="6">
        <v>0.22739999999999999</v>
      </c>
      <c r="G39" s="5">
        <v>1.45</v>
      </c>
      <c r="H39" s="5">
        <v>1.8</v>
      </c>
      <c r="I39" s="6">
        <v>0.1222</v>
      </c>
      <c r="J39" s="6">
        <v>0.55259999999999998</v>
      </c>
      <c r="K39" s="6">
        <v>3.2599999999999997E-2</v>
      </c>
      <c r="L39" s="6">
        <v>0.3211</v>
      </c>
      <c r="M39" s="6">
        <v>8.9200000000000002E-2</v>
      </c>
      <c r="N39" s="5">
        <v>1.85</v>
      </c>
      <c r="O39" s="5">
        <v>1.1200000000000001</v>
      </c>
      <c r="P39" s="5">
        <v>7.96</v>
      </c>
      <c r="Q39" s="5">
        <v>10.050000000000001</v>
      </c>
      <c r="R39" s="5">
        <v>3.23</v>
      </c>
      <c r="S39" s="5">
        <v>16.079999999999998</v>
      </c>
    </row>
    <row r="40" spans="1:19">
      <c r="A40" s="1" t="s">
        <v>136</v>
      </c>
      <c r="B40" s="175">
        <v>22</v>
      </c>
      <c r="C40" s="6">
        <v>0.1134</v>
      </c>
      <c r="D40" s="6">
        <v>9.4399999999999998E-2</v>
      </c>
      <c r="E40" s="6">
        <v>7.6799999999999993E-2</v>
      </c>
      <c r="F40" s="6">
        <v>7.1199999999999999E-2</v>
      </c>
      <c r="G40" s="5">
        <v>1.25</v>
      </c>
      <c r="H40" s="5">
        <v>1.55</v>
      </c>
      <c r="I40" s="6">
        <v>0.10730000000000001</v>
      </c>
      <c r="J40" s="6">
        <v>0.66749999999999998</v>
      </c>
      <c r="K40" s="6">
        <v>3.7600000000000001E-2</v>
      </c>
      <c r="L40" s="6">
        <v>0.33139999999999997</v>
      </c>
      <c r="M40" s="6">
        <v>7.9200000000000007E-2</v>
      </c>
      <c r="N40" s="5">
        <v>0.88</v>
      </c>
      <c r="O40" s="5">
        <v>2.19</v>
      </c>
      <c r="P40" s="5">
        <v>21.15</v>
      </c>
      <c r="Q40" s="5">
        <v>23.16</v>
      </c>
      <c r="R40" s="5">
        <v>2.54</v>
      </c>
      <c r="S40" s="5">
        <v>49.55</v>
      </c>
    </row>
    <row r="41" spans="1:19">
      <c r="A41" s="1" t="s">
        <v>137</v>
      </c>
      <c r="B41" s="175">
        <v>57</v>
      </c>
      <c r="C41" s="6">
        <v>0.14269999999999999</v>
      </c>
      <c r="D41" s="6">
        <v>0.1555</v>
      </c>
      <c r="E41" s="6">
        <v>0.1021</v>
      </c>
      <c r="F41" s="6">
        <v>0.17519999999999999</v>
      </c>
      <c r="G41" s="5">
        <v>1.29</v>
      </c>
      <c r="H41" s="5">
        <v>1.65</v>
      </c>
      <c r="I41" s="6">
        <v>0.1133</v>
      </c>
      <c r="J41" s="6">
        <v>0.55659999999999998</v>
      </c>
      <c r="K41" s="6">
        <v>3.2599999999999997E-2</v>
      </c>
      <c r="L41" s="6">
        <v>0.30909999999999999</v>
      </c>
      <c r="M41" s="6">
        <v>8.43E-2</v>
      </c>
      <c r="N41" s="5">
        <v>0.82</v>
      </c>
      <c r="O41" s="5">
        <v>2.4300000000000002</v>
      </c>
      <c r="P41" s="5">
        <v>10.68</v>
      </c>
      <c r="Q41" s="5">
        <v>15.66</v>
      </c>
      <c r="R41" s="5">
        <v>3.07</v>
      </c>
      <c r="S41" s="5">
        <v>35.36</v>
      </c>
    </row>
    <row r="42" spans="1:19">
      <c r="A42" s="1" t="s">
        <v>138</v>
      </c>
      <c r="B42" s="175">
        <v>27</v>
      </c>
      <c r="C42" s="6">
        <v>0.13009999999999999</v>
      </c>
      <c r="D42" s="6">
        <v>0.1656</v>
      </c>
      <c r="E42" s="6">
        <v>0.14810000000000001</v>
      </c>
      <c r="F42" s="6">
        <v>0.24660000000000001</v>
      </c>
      <c r="G42" s="5">
        <v>0.88</v>
      </c>
      <c r="H42" s="5">
        <v>0.98</v>
      </c>
      <c r="I42" s="6">
        <v>7.4200000000000002E-2</v>
      </c>
      <c r="J42" s="6">
        <v>0.50860000000000005</v>
      </c>
      <c r="K42" s="6">
        <v>3.2599999999999997E-2</v>
      </c>
      <c r="L42" s="6">
        <v>0.15329999999999999</v>
      </c>
      <c r="M42" s="6">
        <v>6.5799999999999997E-2</v>
      </c>
      <c r="N42" s="5">
        <v>1.23</v>
      </c>
      <c r="O42" s="5">
        <v>2.2400000000000002</v>
      </c>
      <c r="P42" s="5">
        <v>11.12</v>
      </c>
      <c r="Q42" s="5">
        <v>13.5</v>
      </c>
      <c r="R42" s="5">
        <v>3.75</v>
      </c>
      <c r="S42" s="5">
        <v>18.489999999999998</v>
      </c>
    </row>
    <row r="43" spans="1:19">
      <c r="A43" s="1" t="s">
        <v>139</v>
      </c>
      <c r="B43" s="175">
        <v>25</v>
      </c>
      <c r="C43" s="6">
        <v>0.16170000000000001</v>
      </c>
      <c r="D43" s="6">
        <v>3.0499999999999999E-2</v>
      </c>
      <c r="E43" s="6">
        <v>0.12189999999999999</v>
      </c>
      <c r="F43" s="6">
        <v>0.2661</v>
      </c>
      <c r="G43" s="5">
        <v>1.46</v>
      </c>
      <c r="H43" s="5">
        <v>1.38</v>
      </c>
      <c r="I43" s="6">
        <v>9.7600000000000006E-2</v>
      </c>
      <c r="J43" s="6">
        <v>0.51639999999999997</v>
      </c>
      <c r="K43" s="6">
        <v>3.2599999999999997E-2</v>
      </c>
      <c r="L43" s="6">
        <v>9.7500000000000003E-2</v>
      </c>
      <c r="M43" s="6">
        <v>0.09</v>
      </c>
      <c r="N43" s="5">
        <v>6.81</v>
      </c>
      <c r="O43" s="5">
        <v>0.34</v>
      </c>
      <c r="P43" s="5">
        <v>8.69</v>
      </c>
      <c r="Q43" s="5">
        <v>11.06</v>
      </c>
      <c r="R43" s="5">
        <v>2.21</v>
      </c>
      <c r="S43" s="5">
        <v>30.55</v>
      </c>
    </row>
    <row r="44" spans="1:19">
      <c r="A44" s="1" t="s">
        <v>140</v>
      </c>
      <c r="B44" s="175">
        <v>136</v>
      </c>
      <c r="C44" s="6">
        <v>8.4099999999999994E-2</v>
      </c>
      <c r="D44" s="6">
        <v>7.9000000000000001E-2</v>
      </c>
      <c r="E44" s="6">
        <v>9.9500000000000005E-2</v>
      </c>
      <c r="F44" s="6">
        <v>0.2019</v>
      </c>
      <c r="G44" s="5">
        <v>0.83</v>
      </c>
      <c r="H44" s="5">
        <v>0.97</v>
      </c>
      <c r="I44" s="6">
        <v>7.3800000000000004E-2</v>
      </c>
      <c r="J44" s="6">
        <v>0.57240000000000002</v>
      </c>
      <c r="K44" s="6">
        <v>3.2599999999999997E-2</v>
      </c>
      <c r="L44" s="6">
        <v>0.26769999999999999</v>
      </c>
      <c r="M44" s="6">
        <v>5.9200000000000003E-2</v>
      </c>
      <c r="N44" s="5">
        <v>1.85</v>
      </c>
      <c r="O44" s="5">
        <v>0.99</v>
      </c>
      <c r="P44" s="5">
        <v>8.8699999999999992</v>
      </c>
      <c r="Q44" s="5">
        <v>12.52</v>
      </c>
      <c r="R44" s="5">
        <v>2.29</v>
      </c>
      <c r="S44" s="5">
        <v>34.78</v>
      </c>
    </row>
    <row r="45" spans="1:19">
      <c r="A45" s="1" t="s">
        <v>141</v>
      </c>
      <c r="B45" s="175">
        <v>28</v>
      </c>
      <c r="C45" s="6">
        <v>8.5599999999999996E-2</v>
      </c>
      <c r="D45" s="6">
        <v>0.20349999999999999</v>
      </c>
      <c r="E45" s="6">
        <v>0.12709999999999999</v>
      </c>
      <c r="F45" s="6">
        <v>0.18329999999999999</v>
      </c>
      <c r="G45" s="5">
        <v>1.05</v>
      </c>
      <c r="H45" s="5">
        <v>1.25</v>
      </c>
      <c r="I45" s="6">
        <v>0.09</v>
      </c>
      <c r="J45" s="6">
        <v>0.48749999999999999</v>
      </c>
      <c r="K45" s="6">
        <v>2.76E-2</v>
      </c>
      <c r="L45" s="6">
        <v>0.2215</v>
      </c>
      <c r="M45" s="6">
        <v>7.3700000000000002E-2</v>
      </c>
      <c r="N45" s="5">
        <v>0.79</v>
      </c>
      <c r="O45" s="5">
        <v>3.16</v>
      </c>
      <c r="P45" s="5">
        <v>10.89</v>
      </c>
      <c r="Q45" s="5">
        <v>15.55</v>
      </c>
      <c r="R45" s="5">
        <v>3.9</v>
      </c>
      <c r="S45" s="5">
        <v>31.49</v>
      </c>
    </row>
    <row r="46" spans="1:19">
      <c r="A46" s="1" t="s">
        <v>142</v>
      </c>
      <c r="B46" s="175">
        <v>32</v>
      </c>
      <c r="C46" s="6">
        <v>0</v>
      </c>
      <c r="D46" s="6" t="s">
        <v>191</v>
      </c>
      <c r="E46" s="6" t="s">
        <v>191</v>
      </c>
      <c r="F46" s="6">
        <v>0.2109</v>
      </c>
      <c r="G46" s="5">
        <v>1.41</v>
      </c>
      <c r="H46" s="5">
        <v>1.44</v>
      </c>
      <c r="I46" s="6">
        <v>0.1011</v>
      </c>
      <c r="J46" s="6">
        <v>0.42199999999999999</v>
      </c>
      <c r="K46" s="6">
        <v>2.76E-2</v>
      </c>
      <c r="L46" s="6">
        <v>0.3584</v>
      </c>
      <c r="M46" s="6">
        <v>7.0800000000000002E-2</v>
      </c>
      <c r="N46" s="5" t="s">
        <v>191</v>
      </c>
      <c r="O46" s="5" t="s">
        <v>191</v>
      </c>
      <c r="P46" s="5">
        <v>1.37</v>
      </c>
      <c r="Q46" s="5">
        <v>1.37</v>
      </c>
      <c r="R46" s="5">
        <v>0.72</v>
      </c>
      <c r="S46" s="5">
        <v>20.399999999999999</v>
      </c>
    </row>
    <row r="47" spans="1:19">
      <c r="A47" s="1" t="s">
        <v>143</v>
      </c>
      <c r="B47" s="175">
        <v>62</v>
      </c>
      <c r="C47" s="6">
        <v>2.1700000000000001E-2</v>
      </c>
      <c r="D47" s="6" t="s">
        <v>191</v>
      </c>
      <c r="E47" s="6" t="s">
        <v>191</v>
      </c>
      <c r="F47" s="6">
        <v>0.10730000000000001</v>
      </c>
      <c r="G47" s="5">
        <v>0.9</v>
      </c>
      <c r="H47" s="5">
        <v>0.85</v>
      </c>
      <c r="I47" s="6">
        <v>6.6900000000000001E-2</v>
      </c>
      <c r="J47" s="6">
        <v>0.28570000000000001</v>
      </c>
      <c r="K47" s="6">
        <v>2.76E-2</v>
      </c>
      <c r="L47" s="6">
        <v>0.17680000000000001</v>
      </c>
      <c r="M47" s="6">
        <v>5.8000000000000003E-2</v>
      </c>
      <c r="N47" s="5" t="s">
        <v>191</v>
      </c>
      <c r="O47" s="5" t="s">
        <v>191</v>
      </c>
      <c r="P47" s="5">
        <v>291.86</v>
      </c>
      <c r="Q47" s="5">
        <v>295.89</v>
      </c>
      <c r="R47" s="5">
        <v>1.1100000000000001</v>
      </c>
      <c r="S47" s="5">
        <v>16.649999999999999</v>
      </c>
    </row>
    <row r="48" spans="1:19">
      <c r="A48" s="1" t="s">
        <v>144</v>
      </c>
      <c r="B48" s="175">
        <v>194</v>
      </c>
      <c r="C48" s="6">
        <v>0.1168</v>
      </c>
      <c r="D48" s="6">
        <v>0.13120000000000001</v>
      </c>
      <c r="E48" s="6">
        <v>0.21540000000000001</v>
      </c>
      <c r="F48" s="6">
        <v>8.43E-2</v>
      </c>
      <c r="G48" s="5">
        <v>1.31</v>
      </c>
      <c r="H48" s="5">
        <v>1.17</v>
      </c>
      <c r="I48" s="6">
        <v>8.5599999999999996E-2</v>
      </c>
      <c r="J48" s="6">
        <v>0.97809999999999997</v>
      </c>
      <c r="K48" s="6">
        <v>4.7600000000000003E-2</v>
      </c>
      <c r="L48" s="6">
        <v>2.24E-2</v>
      </c>
      <c r="M48" s="6">
        <v>8.43E-2</v>
      </c>
      <c r="N48" s="5">
        <v>2.4</v>
      </c>
      <c r="O48" s="5">
        <v>4.1500000000000004</v>
      </c>
      <c r="P48" s="5">
        <v>23.16</v>
      </c>
      <c r="Q48" s="5">
        <v>31.64</v>
      </c>
      <c r="R48" s="5">
        <v>5.25</v>
      </c>
      <c r="S48" s="5">
        <v>181.13</v>
      </c>
    </row>
    <row r="49" spans="1:19">
      <c r="A49" s="1" t="s">
        <v>586</v>
      </c>
      <c r="B49" s="175">
        <v>31</v>
      </c>
      <c r="C49" s="6">
        <v>0.42770000000000002</v>
      </c>
      <c r="D49" s="6">
        <v>0.26900000000000002</v>
      </c>
      <c r="E49" s="6">
        <v>5.8700000000000002E-2</v>
      </c>
      <c r="F49" s="6">
        <v>2.2599999999999999E-2</v>
      </c>
      <c r="G49" s="5">
        <v>1.21</v>
      </c>
      <c r="H49" s="5">
        <v>1.27</v>
      </c>
      <c r="I49" s="6">
        <v>9.11E-2</v>
      </c>
      <c r="J49" s="6">
        <v>0.24099999999999999</v>
      </c>
      <c r="K49" s="6">
        <v>2.2599999999999999E-2</v>
      </c>
      <c r="L49" s="6">
        <v>7.0199999999999999E-2</v>
      </c>
      <c r="M49" s="6">
        <v>8.5699999999999998E-2</v>
      </c>
      <c r="N49" s="5">
        <v>0.26</v>
      </c>
      <c r="O49" s="5">
        <v>4.8899999999999997</v>
      </c>
      <c r="P49" s="5">
        <v>15.67</v>
      </c>
      <c r="Q49" s="5">
        <v>18.190000000000001</v>
      </c>
      <c r="R49" s="5">
        <v>1.31</v>
      </c>
      <c r="S49" s="5">
        <v>64.45</v>
      </c>
    </row>
    <row r="50" spans="1:19">
      <c r="A50" s="1" t="s">
        <v>268</v>
      </c>
      <c r="B50" s="175">
        <v>63</v>
      </c>
      <c r="C50" s="6">
        <v>6.3299999999999995E-2</v>
      </c>
      <c r="D50" s="6">
        <v>0.1119</v>
      </c>
      <c r="E50" s="6">
        <v>0.2177</v>
      </c>
      <c r="F50" s="6">
        <v>0.16270000000000001</v>
      </c>
      <c r="G50" s="5">
        <v>1.1100000000000001</v>
      </c>
      <c r="H50" s="5">
        <v>1.05</v>
      </c>
      <c r="I50" s="6">
        <v>7.8299999999999995E-2</v>
      </c>
      <c r="J50" s="6">
        <v>0.56110000000000004</v>
      </c>
      <c r="K50" s="6">
        <v>3.2599999999999997E-2</v>
      </c>
      <c r="L50" s="6">
        <v>5.4100000000000002E-2</v>
      </c>
      <c r="M50" s="6">
        <v>7.51E-2</v>
      </c>
      <c r="N50" s="5">
        <v>2.98</v>
      </c>
      <c r="O50" s="5">
        <v>1.79</v>
      </c>
      <c r="P50" s="5">
        <v>12.22</v>
      </c>
      <c r="Q50" s="5">
        <v>16.02</v>
      </c>
      <c r="R50" s="5">
        <v>4.3600000000000003</v>
      </c>
      <c r="S50" s="5">
        <v>39.49</v>
      </c>
    </row>
    <row r="51" spans="1:19">
      <c r="A51" s="1" t="s">
        <v>145</v>
      </c>
      <c r="B51" s="175">
        <v>94</v>
      </c>
      <c r="C51" s="6">
        <v>0.1769</v>
      </c>
      <c r="D51" s="6">
        <v>0.1195</v>
      </c>
      <c r="E51" s="6">
        <v>0.1343</v>
      </c>
      <c r="F51" s="6">
        <v>0.2273</v>
      </c>
      <c r="G51" s="5">
        <v>1.18</v>
      </c>
      <c r="H51" s="5">
        <v>1.26</v>
      </c>
      <c r="I51" s="6">
        <v>9.0700000000000003E-2</v>
      </c>
      <c r="J51" s="6">
        <v>0.45069999999999999</v>
      </c>
      <c r="K51" s="6">
        <v>2.76E-2</v>
      </c>
      <c r="L51" s="6">
        <v>0.14810000000000001</v>
      </c>
      <c r="M51" s="6">
        <v>7.9699999999999993E-2</v>
      </c>
      <c r="N51" s="5">
        <v>1.53</v>
      </c>
      <c r="O51" s="5">
        <v>1.55</v>
      </c>
      <c r="P51" s="5">
        <v>9.93</v>
      </c>
      <c r="Q51" s="5">
        <v>12.94</v>
      </c>
      <c r="R51" s="5">
        <v>2.76</v>
      </c>
      <c r="S51" s="5">
        <v>21.3</v>
      </c>
    </row>
    <row r="52" spans="1:19">
      <c r="A52" s="1" t="s">
        <v>146</v>
      </c>
      <c r="B52" s="175">
        <v>51</v>
      </c>
      <c r="C52" s="6">
        <v>3.5000000000000001E-3</v>
      </c>
      <c r="D52" s="6">
        <v>0.12180000000000001</v>
      </c>
      <c r="E52" s="6">
        <v>3.5400000000000001E-2</v>
      </c>
      <c r="F52" s="6">
        <v>7.9200000000000007E-2</v>
      </c>
      <c r="G52" s="5">
        <v>0.6</v>
      </c>
      <c r="H52" s="5">
        <v>1.51</v>
      </c>
      <c r="I52" s="6">
        <v>0.1053</v>
      </c>
      <c r="J52" s="6">
        <v>0.62519999999999998</v>
      </c>
      <c r="K52" s="6">
        <v>3.2599999999999997E-2</v>
      </c>
      <c r="L52" s="6">
        <v>0.64439999999999997</v>
      </c>
      <c r="M52" s="6">
        <v>0.05</v>
      </c>
      <c r="N52" s="5">
        <v>0.36</v>
      </c>
      <c r="O52" s="5">
        <v>2.64</v>
      </c>
      <c r="P52" s="5">
        <v>10.36</v>
      </c>
      <c r="Q52" s="5">
        <v>21.66</v>
      </c>
      <c r="R52" s="5">
        <v>0.85</v>
      </c>
      <c r="S52" s="5">
        <v>22.57</v>
      </c>
    </row>
    <row r="53" spans="1:19">
      <c r="A53" s="1" t="s">
        <v>269</v>
      </c>
      <c r="B53" s="175">
        <v>87</v>
      </c>
      <c r="C53" s="6">
        <v>7.0900000000000005E-2</v>
      </c>
      <c r="D53" s="6">
        <v>0.21190000000000001</v>
      </c>
      <c r="E53" s="6">
        <v>0.14910000000000001</v>
      </c>
      <c r="F53" s="6">
        <v>0.126</v>
      </c>
      <c r="G53" s="5">
        <v>0.82</v>
      </c>
      <c r="H53" s="5">
        <v>0.87</v>
      </c>
      <c r="I53" s="6">
        <v>6.7799999999999999E-2</v>
      </c>
      <c r="J53" s="6">
        <v>0.55489999999999995</v>
      </c>
      <c r="K53" s="6">
        <v>3.2599999999999997E-2</v>
      </c>
      <c r="L53" s="6">
        <v>0.14149999999999999</v>
      </c>
      <c r="M53" s="6">
        <v>6.0999999999999999E-2</v>
      </c>
      <c r="N53" s="5">
        <v>0.92</v>
      </c>
      <c r="O53" s="5">
        <v>2.71</v>
      </c>
      <c r="P53" s="5">
        <v>10.16</v>
      </c>
      <c r="Q53" s="5">
        <v>12.81</v>
      </c>
      <c r="R53" s="5">
        <v>2.82</v>
      </c>
      <c r="S53" s="5">
        <v>46.69</v>
      </c>
    </row>
    <row r="54" spans="1:19">
      <c r="A54" s="1" t="s">
        <v>270</v>
      </c>
      <c r="B54" s="175">
        <v>143</v>
      </c>
      <c r="C54" s="6">
        <v>8.9599999999999999E-2</v>
      </c>
      <c r="D54" s="6">
        <v>6.4299999999999996E-2</v>
      </c>
      <c r="E54" s="6">
        <v>0.19939999999999999</v>
      </c>
      <c r="F54" s="6">
        <v>0.1061</v>
      </c>
      <c r="G54" s="5">
        <v>1.1000000000000001</v>
      </c>
      <c r="H54" s="5">
        <v>1.07</v>
      </c>
      <c r="I54" s="6">
        <v>7.9399999999999998E-2</v>
      </c>
      <c r="J54" s="6">
        <v>0.67730000000000001</v>
      </c>
      <c r="K54" s="6">
        <v>3.7600000000000001E-2</v>
      </c>
      <c r="L54" s="6">
        <v>0.1142</v>
      </c>
      <c r="M54" s="6">
        <v>7.2900000000000006E-2</v>
      </c>
      <c r="N54" s="5">
        <v>4.21</v>
      </c>
      <c r="O54" s="5">
        <v>0.78</v>
      </c>
      <c r="P54" s="5">
        <v>9.7799999999999994</v>
      </c>
      <c r="Q54" s="5">
        <v>12.07</v>
      </c>
      <c r="R54" s="5">
        <v>3.11</v>
      </c>
      <c r="S54" s="5">
        <v>35.61</v>
      </c>
    </row>
    <row r="55" spans="1:19">
      <c r="A55" s="1" t="s">
        <v>147</v>
      </c>
      <c r="B55" s="175">
        <v>118</v>
      </c>
      <c r="C55" s="6">
        <v>4.5699999999999998E-2</v>
      </c>
      <c r="D55" s="6">
        <v>0.10050000000000001</v>
      </c>
      <c r="E55" s="6">
        <v>0.1444</v>
      </c>
      <c r="F55" s="6">
        <v>0.1772</v>
      </c>
      <c r="G55" s="5">
        <v>0.66</v>
      </c>
      <c r="H55" s="5">
        <v>0.84</v>
      </c>
      <c r="I55" s="6">
        <v>6.6199999999999995E-2</v>
      </c>
      <c r="J55" s="6">
        <v>0.74160000000000004</v>
      </c>
      <c r="K55" s="6">
        <v>3.7600000000000001E-2</v>
      </c>
      <c r="L55" s="6">
        <v>0.33439999999999998</v>
      </c>
      <c r="M55" s="6">
        <v>5.16E-2</v>
      </c>
      <c r="N55" s="5">
        <v>2.19</v>
      </c>
      <c r="O55" s="5">
        <v>0.74</v>
      </c>
      <c r="P55" s="5">
        <v>6.02</v>
      </c>
      <c r="Q55" s="5">
        <v>7.32</v>
      </c>
      <c r="R55" s="5">
        <v>2.0299999999999998</v>
      </c>
      <c r="S55" s="5">
        <v>29.94</v>
      </c>
    </row>
    <row r="56" spans="1:19">
      <c r="A56" s="1" t="s">
        <v>148</v>
      </c>
      <c r="B56" s="175">
        <v>25</v>
      </c>
      <c r="C56" s="6">
        <v>0.1943</v>
      </c>
      <c r="D56" s="6">
        <v>0.14660000000000001</v>
      </c>
      <c r="E56" s="6">
        <v>0.1439</v>
      </c>
      <c r="F56" s="6">
        <v>0.23300000000000001</v>
      </c>
      <c r="G56" s="5">
        <v>1.56</v>
      </c>
      <c r="H56" s="5">
        <v>1.63</v>
      </c>
      <c r="I56" s="6">
        <v>0.1119</v>
      </c>
      <c r="J56" s="6">
        <v>0.60589999999999999</v>
      </c>
      <c r="K56" s="6">
        <v>3.2599999999999997E-2</v>
      </c>
      <c r="L56" s="6">
        <v>0.19089999999999999</v>
      </c>
      <c r="M56" s="6">
        <v>9.4200000000000006E-2</v>
      </c>
      <c r="N56" s="5">
        <v>1.38</v>
      </c>
      <c r="O56" s="5">
        <v>1.28</v>
      </c>
      <c r="P56" s="5">
        <v>6.9</v>
      </c>
      <c r="Q56" s="5">
        <v>8.75</v>
      </c>
      <c r="R56" s="5">
        <v>1.9</v>
      </c>
      <c r="S56" s="5">
        <v>63.26</v>
      </c>
    </row>
    <row r="57" spans="1:19">
      <c r="A57" s="1" t="s">
        <v>149</v>
      </c>
      <c r="B57" s="175">
        <v>77</v>
      </c>
      <c r="C57" s="6">
        <v>0.21709999999999999</v>
      </c>
      <c r="D57" s="6">
        <v>0.34970000000000001</v>
      </c>
      <c r="E57" s="6">
        <v>0.25190000000000001</v>
      </c>
      <c r="F57" s="6">
        <v>0.1124</v>
      </c>
      <c r="G57" s="5">
        <v>1.54</v>
      </c>
      <c r="H57" s="5">
        <v>1.62</v>
      </c>
      <c r="I57" s="6">
        <v>0.1114</v>
      </c>
      <c r="J57" s="6">
        <v>0.93049999999999999</v>
      </c>
      <c r="K57" s="6">
        <v>4.7600000000000003E-2</v>
      </c>
      <c r="L57" s="6">
        <v>0.1336</v>
      </c>
      <c r="M57" s="6">
        <v>0.1003</v>
      </c>
      <c r="N57" s="5">
        <v>0.99</v>
      </c>
      <c r="O57" s="5">
        <v>2.1800000000000002</v>
      </c>
      <c r="P57" s="5">
        <v>5.27</v>
      </c>
      <c r="Q57" s="5">
        <v>6.24</v>
      </c>
      <c r="R57" s="5">
        <v>2.35</v>
      </c>
      <c r="S57" s="5">
        <v>36.659999999999997</v>
      </c>
    </row>
    <row r="58" spans="1:19">
      <c r="A58" s="1" t="s">
        <v>150</v>
      </c>
      <c r="B58" s="175">
        <v>31</v>
      </c>
      <c r="C58" s="6">
        <v>0.1177</v>
      </c>
      <c r="D58" s="6">
        <v>0.28129999999999999</v>
      </c>
      <c r="E58" s="6">
        <v>7.3599999999999999E-2</v>
      </c>
      <c r="F58" s="6">
        <v>0.22020000000000001</v>
      </c>
      <c r="G58" s="5">
        <v>1.01</v>
      </c>
      <c r="H58" s="5">
        <v>1.28</v>
      </c>
      <c r="I58" s="6">
        <v>9.1600000000000001E-2</v>
      </c>
      <c r="J58" s="6">
        <v>0.44569999999999999</v>
      </c>
      <c r="K58" s="6">
        <v>2.76E-2</v>
      </c>
      <c r="L58" s="6">
        <v>0.29120000000000001</v>
      </c>
      <c r="M58" s="6">
        <v>6.9699999999999998E-2</v>
      </c>
      <c r="N58" s="5">
        <v>0.43</v>
      </c>
      <c r="O58" s="5">
        <v>2.89</v>
      </c>
      <c r="P58" s="5">
        <v>5.41</v>
      </c>
      <c r="Q58" s="5">
        <v>10.26</v>
      </c>
      <c r="R58" s="5">
        <v>1.35</v>
      </c>
      <c r="S58" s="5">
        <v>53.21</v>
      </c>
    </row>
    <row r="59" spans="1:19">
      <c r="A59" s="1" t="s">
        <v>151</v>
      </c>
      <c r="B59" s="175">
        <v>27</v>
      </c>
      <c r="C59" s="6">
        <v>4.4999999999999997E-3</v>
      </c>
      <c r="D59" s="6">
        <v>7.2599999999999998E-2</v>
      </c>
      <c r="E59" s="6">
        <v>7.0400000000000004E-2</v>
      </c>
      <c r="F59" s="6">
        <v>0.28799999999999998</v>
      </c>
      <c r="G59" s="5">
        <v>0.32</v>
      </c>
      <c r="H59" s="5">
        <v>0.46</v>
      </c>
      <c r="I59" s="6">
        <v>4.3999999999999997E-2</v>
      </c>
      <c r="J59" s="6">
        <v>0.28439999999999999</v>
      </c>
      <c r="K59" s="6">
        <v>2.76E-2</v>
      </c>
      <c r="L59" s="6">
        <v>0.3982</v>
      </c>
      <c r="M59" s="6">
        <v>3.3099999999999997E-2</v>
      </c>
      <c r="N59" s="5">
        <v>1.4</v>
      </c>
      <c r="O59" s="5">
        <v>1.03</v>
      </c>
      <c r="P59" s="5">
        <v>9.89</v>
      </c>
      <c r="Q59" s="5">
        <v>14.2</v>
      </c>
      <c r="R59" s="5">
        <v>1.99</v>
      </c>
      <c r="S59" s="5">
        <v>23.01</v>
      </c>
    </row>
    <row r="60" spans="1:19">
      <c r="A60" s="1" t="s">
        <v>152</v>
      </c>
      <c r="B60" s="175">
        <v>14</v>
      </c>
      <c r="C60" s="6">
        <v>-6.6500000000000004E-2</v>
      </c>
      <c r="D60" s="6">
        <v>0.123</v>
      </c>
      <c r="E60" s="6">
        <v>0.1099</v>
      </c>
      <c r="F60" s="6">
        <v>0.1835</v>
      </c>
      <c r="G60" s="5">
        <v>1.5</v>
      </c>
      <c r="H60" s="5">
        <v>1.86</v>
      </c>
      <c r="I60" s="6">
        <v>0.12559999999999999</v>
      </c>
      <c r="J60" s="6">
        <v>0.54390000000000005</v>
      </c>
      <c r="K60" s="6">
        <v>3.2599999999999997E-2</v>
      </c>
      <c r="L60" s="6">
        <v>0.28210000000000002</v>
      </c>
      <c r="M60" s="6">
        <v>9.5699999999999993E-2</v>
      </c>
      <c r="N60" s="5">
        <v>1.22</v>
      </c>
      <c r="O60" s="5">
        <v>1.57</v>
      </c>
      <c r="P60" s="5">
        <v>8.7200000000000006</v>
      </c>
      <c r="Q60" s="5">
        <v>12.77</v>
      </c>
      <c r="R60" s="5">
        <v>2.7</v>
      </c>
      <c r="S60" s="5">
        <v>115.92</v>
      </c>
    </row>
    <row r="61" spans="1:19">
      <c r="A61" s="1" t="s">
        <v>153</v>
      </c>
      <c r="B61" s="175">
        <v>22</v>
      </c>
      <c r="C61" s="6">
        <v>0.1217</v>
      </c>
      <c r="D61" s="6">
        <v>6.59E-2</v>
      </c>
      <c r="E61" s="6">
        <v>0.1089</v>
      </c>
      <c r="F61" s="6">
        <v>0.2266</v>
      </c>
      <c r="G61" s="5">
        <v>1.05</v>
      </c>
      <c r="H61" s="5">
        <v>1.43</v>
      </c>
      <c r="I61" s="6">
        <v>0.1003</v>
      </c>
      <c r="J61" s="6">
        <v>0.51919999999999999</v>
      </c>
      <c r="K61" s="6">
        <v>3.2599999999999997E-2</v>
      </c>
      <c r="L61" s="6">
        <v>0.41909999999999997</v>
      </c>
      <c r="M61" s="6">
        <v>6.6500000000000004E-2</v>
      </c>
      <c r="N61" s="5">
        <v>2.34</v>
      </c>
      <c r="O61" s="5">
        <v>0.46</v>
      </c>
      <c r="P61" s="5">
        <v>4.76</v>
      </c>
      <c r="Q61" s="5">
        <v>6.94</v>
      </c>
      <c r="R61" s="5">
        <v>1.1100000000000001</v>
      </c>
      <c r="S61" s="5">
        <v>21.17</v>
      </c>
    </row>
    <row r="62" spans="1:19">
      <c r="A62" s="1" t="s">
        <v>154</v>
      </c>
      <c r="B62" s="175">
        <v>12</v>
      </c>
      <c r="C62" s="6">
        <v>8.2799999999999999E-2</v>
      </c>
      <c r="D62" s="6">
        <v>0.19289999999999999</v>
      </c>
      <c r="E62" s="6">
        <v>7.6200000000000004E-2</v>
      </c>
      <c r="F62" s="6">
        <v>0.18110000000000001</v>
      </c>
      <c r="G62" s="5">
        <v>0.72</v>
      </c>
      <c r="H62" s="5">
        <v>1.02</v>
      </c>
      <c r="I62" s="6">
        <v>7.6499999999999999E-2</v>
      </c>
      <c r="J62" s="6">
        <v>0.35630000000000001</v>
      </c>
      <c r="K62" s="6">
        <v>2.76E-2</v>
      </c>
      <c r="L62" s="6">
        <v>0.34810000000000002</v>
      </c>
      <c r="M62" s="6">
        <v>5.5599999999999997E-2</v>
      </c>
      <c r="N62" s="5">
        <v>0.56000000000000005</v>
      </c>
      <c r="O62" s="5">
        <v>3.42</v>
      </c>
      <c r="P62" s="5">
        <v>12.02</v>
      </c>
      <c r="Q62" s="5">
        <v>17.73</v>
      </c>
      <c r="R62" s="5">
        <v>3.56</v>
      </c>
      <c r="S62" s="5">
        <v>37.299999999999997</v>
      </c>
    </row>
    <row r="63" spans="1:19">
      <c r="A63" s="1" t="s">
        <v>155</v>
      </c>
      <c r="B63" s="175">
        <v>81</v>
      </c>
      <c r="C63" s="6">
        <v>0.26769999999999999</v>
      </c>
      <c r="D63" s="6">
        <v>0.1651</v>
      </c>
      <c r="E63" s="6">
        <v>9.5000000000000001E-2</v>
      </c>
      <c r="F63" s="6">
        <v>0.182</v>
      </c>
      <c r="G63" s="5">
        <v>1.45</v>
      </c>
      <c r="H63" s="5">
        <v>1.66</v>
      </c>
      <c r="I63" s="6">
        <v>0.1139</v>
      </c>
      <c r="J63" s="6">
        <v>0.5958</v>
      </c>
      <c r="K63" s="6">
        <v>3.2599999999999997E-2</v>
      </c>
      <c r="L63" s="6">
        <v>0.217</v>
      </c>
      <c r="M63" s="6">
        <v>9.3399999999999997E-2</v>
      </c>
      <c r="N63" s="5">
        <v>0.79</v>
      </c>
      <c r="O63" s="5">
        <v>2</v>
      </c>
      <c r="P63" s="5">
        <v>7.98</v>
      </c>
      <c r="Q63" s="5">
        <v>12.13</v>
      </c>
      <c r="R63" s="5">
        <v>1.79</v>
      </c>
      <c r="S63" s="5">
        <v>14.61</v>
      </c>
    </row>
    <row r="64" spans="1:19">
      <c r="A64" s="1" t="s">
        <v>156</v>
      </c>
      <c r="B64" s="175">
        <v>27</v>
      </c>
      <c r="C64" s="6">
        <v>0.105</v>
      </c>
      <c r="D64" s="6">
        <v>9.6299999999999997E-2</v>
      </c>
      <c r="E64" s="6">
        <v>0.1111</v>
      </c>
      <c r="F64" s="6">
        <v>0.23089999999999999</v>
      </c>
      <c r="G64" s="5">
        <v>0.88</v>
      </c>
      <c r="H64" s="5">
        <v>1.2</v>
      </c>
      <c r="I64" s="6">
        <v>8.72E-2</v>
      </c>
      <c r="J64" s="6">
        <v>0.36520000000000002</v>
      </c>
      <c r="K64" s="6">
        <v>2.76E-2</v>
      </c>
      <c r="L64" s="6">
        <v>0.35970000000000002</v>
      </c>
      <c r="M64" s="6">
        <v>6.1800000000000001E-2</v>
      </c>
      <c r="N64" s="5">
        <v>1.56</v>
      </c>
      <c r="O64" s="5">
        <v>1.08</v>
      </c>
      <c r="P64" s="5">
        <v>7.57</v>
      </c>
      <c r="Q64" s="5">
        <v>11.2</v>
      </c>
      <c r="R64" s="5">
        <v>2.4900000000000002</v>
      </c>
      <c r="S64" s="5">
        <v>17.22</v>
      </c>
    </row>
    <row r="65" spans="1:19">
      <c r="A65" s="1" t="s">
        <v>157</v>
      </c>
      <c r="B65" s="175">
        <v>32</v>
      </c>
      <c r="C65" s="6">
        <v>6.1499999999999999E-2</v>
      </c>
      <c r="D65" s="6">
        <v>0.104</v>
      </c>
      <c r="E65" s="6">
        <v>0.1116</v>
      </c>
      <c r="F65" s="6">
        <v>0.1143</v>
      </c>
      <c r="G65" s="5">
        <v>1.07</v>
      </c>
      <c r="H65" s="5">
        <v>1.37</v>
      </c>
      <c r="I65" s="6">
        <v>9.7299999999999998E-2</v>
      </c>
      <c r="J65" s="6">
        <v>0.52280000000000004</v>
      </c>
      <c r="K65" s="6">
        <v>3.2599999999999997E-2</v>
      </c>
      <c r="L65" s="6">
        <v>0.30070000000000002</v>
      </c>
      <c r="M65" s="6">
        <v>7.3899999999999993E-2</v>
      </c>
      <c r="N65" s="5">
        <v>1.32</v>
      </c>
      <c r="O65" s="5">
        <v>1.18</v>
      </c>
      <c r="P65" s="5">
        <v>7.22</v>
      </c>
      <c r="Q65" s="5">
        <v>11.38</v>
      </c>
      <c r="R65" s="5">
        <v>1.92</v>
      </c>
      <c r="S65" s="5">
        <v>29.45</v>
      </c>
    </row>
    <row r="66" spans="1:19">
      <c r="A66" s="1" t="s">
        <v>158</v>
      </c>
      <c r="B66" s="175">
        <v>26</v>
      </c>
      <c r="C66" s="6">
        <v>0.24940000000000001</v>
      </c>
      <c r="D66" s="6">
        <v>0.11990000000000001</v>
      </c>
      <c r="E66" s="6">
        <v>0.14649999999999999</v>
      </c>
      <c r="F66" s="6">
        <v>0.3034</v>
      </c>
      <c r="G66" s="5">
        <v>1.1000000000000001</v>
      </c>
      <c r="H66" s="5">
        <v>1.17</v>
      </c>
      <c r="I66" s="6">
        <v>8.5500000000000007E-2</v>
      </c>
      <c r="J66" s="6">
        <v>0.47249999999999998</v>
      </c>
      <c r="K66" s="6">
        <v>2.76E-2</v>
      </c>
      <c r="L66" s="6">
        <v>0.1699</v>
      </c>
      <c r="M66" s="6">
        <v>7.3800000000000004E-2</v>
      </c>
      <c r="N66" s="5">
        <v>2.0299999999999998</v>
      </c>
      <c r="O66" s="5">
        <v>0.7</v>
      </c>
      <c r="P66" s="5">
        <v>4.3899999999999997</v>
      </c>
      <c r="Q66" s="5">
        <v>5.81</v>
      </c>
      <c r="R66" s="5">
        <v>1.49</v>
      </c>
      <c r="S66" s="5">
        <v>11.29</v>
      </c>
    </row>
    <row r="67" spans="1:19">
      <c r="A67" s="1" t="s">
        <v>159</v>
      </c>
      <c r="B67" s="175">
        <v>176</v>
      </c>
      <c r="C67" s="6">
        <v>0.32940000000000003</v>
      </c>
      <c r="D67" s="6">
        <v>0.21759999999999999</v>
      </c>
      <c r="E67" s="6">
        <v>0.14990000000000001</v>
      </c>
      <c r="F67" s="6">
        <v>0.1171</v>
      </c>
      <c r="G67" s="5">
        <v>1.21</v>
      </c>
      <c r="H67" s="5">
        <v>1.45</v>
      </c>
      <c r="I67" s="6">
        <v>0.1018</v>
      </c>
      <c r="J67" s="6">
        <v>0.71260000000000001</v>
      </c>
      <c r="K67" s="6">
        <v>3.7600000000000001E-2</v>
      </c>
      <c r="L67" s="6">
        <v>0.2195</v>
      </c>
      <c r="M67" s="6">
        <v>8.4400000000000003E-2</v>
      </c>
      <c r="N67" s="5">
        <v>1.07</v>
      </c>
      <c r="O67" s="5">
        <v>1.26</v>
      </c>
      <c r="P67" s="5">
        <v>4.0599999999999996</v>
      </c>
      <c r="Q67" s="5">
        <v>5.77</v>
      </c>
      <c r="R67" s="5">
        <v>1.47</v>
      </c>
      <c r="S67" s="5">
        <v>24.25</v>
      </c>
    </row>
    <row r="68" spans="1:19">
      <c r="A68" s="1" t="s">
        <v>160</v>
      </c>
      <c r="B68" s="175">
        <v>18</v>
      </c>
      <c r="C68" s="6">
        <v>0.1676</v>
      </c>
      <c r="D68" s="6">
        <v>5.4800000000000001E-2</v>
      </c>
      <c r="E68" s="6">
        <v>0.1153</v>
      </c>
      <c r="F68" s="6">
        <v>0.23180000000000001</v>
      </c>
      <c r="G68" s="5">
        <v>1.07</v>
      </c>
      <c r="H68" s="5">
        <v>1.17</v>
      </c>
      <c r="I68" s="6">
        <v>8.5300000000000001E-2</v>
      </c>
      <c r="J68" s="6">
        <v>0.42230000000000001</v>
      </c>
      <c r="K68" s="6">
        <v>2.76E-2</v>
      </c>
      <c r="L68" s="6">
        <v>0.1588</v>
      </c>
      <c r="M68" s="6">
        <v>7.4399999999999994E-2</v>
      </c>
      <c r="N68" s="5">
        <v>3.34</v>
      </c>
      <c r="O68" s="5">
        <v>0.66</v>
      </c>
      <c r="P68" s="5">
        <v>9.57</v>
      </c>
      <c r="Q68" s="5">
        <v>11.98</v>
      </c>
      <c r="R68" s="5">
        <v>2.58</v>
      </c>
      <c r="S68" s="5">
        <v>19.670000000000002</v>
      </c>
    </row>
    <row r="69" spans="1:19">
      <c r="A69" s="1" t="s">
        <v>161</v>
      </c>
      <c r="B69" s="175">
        <v>53</v>
      </c>
      <c r="C69" s="6">
        <v>0.2021</v>
      </c>
      <c r="D69" s="6">
        <v>8.9899999999999994E-2</v>
      </c>
      <c r="E69" s="6">
        <v>9.5000000000000001E-2</v>
      </c>
      <c r="F69" s="6">
        <v>4.2999999999999997E-2</v>
      </c>
      <c r="G69" s="5">
        <v>0.52</v>
      </c>
      <c r="H69" s="5">
        <v>0.74</v>
      </c>
      <c r="I69" s="6">
        <v>6.0499999999999998E-2</v>
      </c>
      <c r="J69" s="6">
        <v>0.24879999999999999</v>
      </c>
      <c r="K69" s="6">
        <v>2.2599999999999999E-2</v>
      </c>
      <c r="L69" s="6">
        <v>0.30730000000000002</v>
      </c>
      <c r="M69" s="6">
        <v>4.6100000000000002E-2</v>
      </c>
      <c r="N69" s="5">
        <v>1.1000000000000001</v>
      </c>
      <c r="O69" s="5">
        <v>1.7</v>
      </c>
      <c r="P69" s="5">
        <v>13.43</v>
      </c>
      <c r="Q69" s="5">
        <v>18.87</v>
      </c>
      <c r="R69" s="5">
        <v>2.96</v>
      </c>
      <c r="S69" s="5">
        <v>130.5</v>
      </c>
    </row>
    <row r="70" spans="1:19">
      <c r="A70" s="1" t="s">
        <v>162</v>
      </c>
      <c r="B70" s="175">
        <v>101</v>
      </c>
      <c r="C70" s="6">
        <v>8.1699999999999995E-2</v>
      </c>
      <c r="D70" s="6">
        <v>6.9699999999999998E-2</v>
      </c>
      <c r="E70" s="6">
        <v>2.6200000000000001E-2</v>
      </c>
      <c r="F70" s="6">
        <v>6.1899999999999997E-2</v>
      </c>
      <c r="G70" s="5">
        <v>0.57999999999999996</v>
      </c>
      <c r="H70" s="5">
        <v>1.35</v>
      </c>
      <c r="I70" s="6">
        <v>9.6100000000000005E-2</v>
      </c>
      <c r="J70" s="6">
        <v>0.84630000000000005</v>
      </c>
      <c r="K70" s="6">
        <v>4.2599999999999999E-2</v>
      </c>
      <c r="L70" s="6">
        <v>0.62039999999999995</v>
      </c>
      <c r="M70" s="6">
        <v>5.2299999999999999E-2</v>
      </c>
      <c r="N70" s="5">
        <v>0.61</v>
      </c>
      <c r="O70" s="5">
        <v>1.51</v>
      </c>
      <c r="P70" s="5">
        <v>8.92</v>
      </c>
      <c r="Q70" s="5">
        <v>21.7</v>
      </c>
      <c r="R70" s="5">
        <v>0.82</v>
      </c>
      <c r="S70" s="5">
        <v>304.86</v>
      </c>
    </row>
    <row r="71" spans="1:19">
      <c r="A71" s="1" t="s">
        <v>163</v>
      </c>
      <c r="B71" s="175">
        <v>83</v>
      </c>
      <c r="C71" s="6">
        <v>0.28170000000000001</v>
      </c>
      <c r="D71" s="6">
        <v>0.3911</v>
      </c>
      <c r="E71" s="6">
        <v>0.1191</v>
      </c>
      <c r="F71" s="6">
        <v>0.1113</v>
      </c>
      <c r="G71" s="5">
        <v>1</v>
      </c>
      <c r="H71" s="5">
        <v>1.03</v>
      </c>
      <c r="I71" s="6">
        <v>7.7499999999999999E-2</v>
      </c>
      <c r="J71" s="6">
        <v>0.77769999999999995</v>
      </c>
      <c r="K71" s="6">
        <v>3.7600000000000001E-2</v>
      </c>
      <c r="L71" s="6">
        <v>0.1201</v>
      </c>
      <c r="M71" s="6">
        <v>7.0900000000000005E-2</v>
      </c>
      <c r="N71" s="5">
        <v>0.43</v>
      </c>
      <c r="O71" s="5">
        <v>3.64</v>
      </c>
      <c r="P71" s="5">
        <v>7.17</v>
      </c>
      <c r="Q71" s="5">
        <v>9.3000000000000007</v>
      </c>
      <c r="R71" s="5">
        <v>1.61</v>
      </c>
      <c r="S71" s="5">
        <v>24.6</v>
      </c>
    </row>
    <row r="72" spans="1:19">
      <c r="A72" s="1" t="s">
        <v>164</v>
      </c>
      <c r="B72" s="175">
        <v>82</v>
      </c>
      <c r="C72" s="6">
        <v>0.105</v>
      </c>
      <c r="D72" s="6">
        <v>7.0199999999999999E-2</v>
      </c>
      <c r="E72" s="6">
        <v>5.7799999999999997E-2</v>
      </c>
      <c r="F72" s="6">
        <v>0.14130000000000001</v>
      </c>
      <c r="G72" s="5">
        <v>1.21</v>
      </c>
      <c r="H72" s="5">
        <v>1.27</v>
      </c>
      <c r="I72" s="6">
        <v>9.1200000000000003E-2</v>
      </c>
      <c r="J72" s="6">
        <v>0.60109999999999997</v>
      </c>
      <c r="K72" s="6">
        <v>3.2599999999999997E-2</v>
      </c>
      <c r="L72" s="6">
        <v>0.17499999999999999</v>
      </c>
      <c r="M72" s="6">
        <v>7.8600000000000003E-2</v>
      </c>
      <c r="N72" s="5">
        <v>1.23</v>
      </c>
      <c r="O72" s="5">
        <v>1.89</v>
      </c>
      <c r="P72" s="5">
        <v>14.89</v>
      </c>
      <c r="Q72" s="5">
        <v>26.86</v>
      </c>
      <c r="R72" s="5">
        <v>2.57</v>
      </c>
      <c r="S72" s="5">
        <v>23.56</v>
      </c>
    </row>
    <row r="73" spans="1:19">
      <c r="A73" s="1" t="s">
        <v>165</v>
      </c>
      <c r="B73" s="175">
        <v>31</v>
      </c>
      <c r="C73" s="6">
        <v>0.14319999999999999</v>
      </c>
      <c r="D73" s="6">
        <v>0.1368</v>
      </c>
      <c r="E73" s="6">
        <v>4.7199999999999999E-2</v>
      </c>
      <c r="F73" s="6">
        <v>0.16500000000000001</v>
      </c>
      <c r="G73" s="5">
        <v>0.73</v>
      </c>
      <c r="H73" s="5">
        <v>1.3</v>
      </c>
      <c r="I73" s="6">
        <v>9.2999999999999999E-2</v>
      </c>
      <c r="J73" s="6">
        <v>0.50629999999999997</v>
      </c>
      <c r="K73" s="6">
        <v>3.2599999999999997E-2</v>
      </c>
      <c r="L73" s="6">
        <v>0.52959999999999996</v>
      </c>
      <c r="M73" s="6">
        <v>5.4100000000000002E-2</v>
      </c>
      <c r="N73" s="5">
        <v>0.4</v>
      </c>
      <c r="O73" s="5">
        <v>3.12</v>
      </c>
      <c r="P73" s="5">
        <v>15.96</v>
      </c>
      <c r="Q73" s="5">
        <v>22.79</v>
      </c>
      <c r="R73" s="5">
        <v>1.66</v>
      </c>
      <c r="S73" s="5">
        <v>44.26</v>
      </c>
    </row>
    <row r="74" spans="1:19">
      <c r="A74" s="1" t="s">
        <v>166</v>
      </c>
      <c r="B74" s="175">
        <v>12</v>
      </c>
      <c r="C74" s="6">
        <v>-8.3699999999999997E-2</v>
      </c>
      <c r="D74" s="6">
        <v>0.38250000000000001</v>
      </c>
      <c r="E74" s="6">
        <v>8.8300000000000003E-2</v>
      </c>
      <c r="F74" s="6">
        <v>0.19170000000000001</v>
      </c>
      <c r="G74" s="5">
        <v>1.94</v>
      </c>
      <c r="H74" s="5">
        <v>2.02</v>
      </c>
      <c r="I74" s="6">
        <v>0.1348</v>
      </c>
      <c r="J74" s="6">
        <v>0.42</v>
      </c>
      <c r="K74" s="6">
        <v>2.76E-2</v>
      </c>
      <c r="L74" s="6">
        <v>0.22320000000000001</v>
      </c>
      <c r="M74" s="6">
        <v>0.1084</v>
      </c>
      <c r="N74" s="5">
        <v>0.28000000000000003</v>
      </c>
      <c r="O74" s="5">
        <v>4</v>
      </c>
      <c r="P74" s="5">
        <v>10.3</v>
      </c>
      <c r="Q74" s="5">
        <v>10.45</v>
      </c>
      <c r="R74" s="5">
        <v>1.1200000000000001</v>
      </c>
      <c r="S74" s="5">
        <v>8.65</v>
      </c>
    </row>
    <row r="75" spans="1:19">
      <c r="A75" s="1" t="s">
        <v>167</v>
      </c>
      <c r="B75" s="175">
        <v>29</v>
      </c>
      <c r="C75" s="6">
        <v>6.2700000000000006E-2</v>
      </c>
      <c r="D75" s="6">
        <v>0.1007</v>
      </c>
      <c r="E75" s="6">
        <v>0.112</v>
      </c>
      <c r="F75" s="6">
        <v>0.22689999999999999</v>
      </c>
      <c r="G75" s="5">
        <v>0.96</v>
      </c>
      <c r="H75" s="5">
        <v>1.17</v>
      </c>
      <c r="I75" s="6">
        <v>8.5599999999999996E-2</v>
      </c>
      <c r="J75" s="6">
        <v>0.65720000000000001</v>
      </c>
      <c r="K75" s="6">
        <v>3.7600000000000001E-2</v>
      </c>
      <c r="L75" s="6">
        <v>0.26550000000000001</v>
      </c>
      <c r="M75" s="6">
        <v>6.88E-2</v>
      </c>
      <c r="N75" s="5">
        <v>1.66</v>
      </c>
      <c r="O75" s="5">
        <v>1.32</v>
      </c>
      <c r="P75" s="5">
        <v>8.76</v>
      </c>
      <c r="Q75" s="5">
        <v>13.14</v>
      </c>
      <c r="R75" s="5">
        <v>3.37</v>
      </c>
      <c r="S75" s="5">
        <v>14.22</v>
      </c>
    </row>
    <row r="76" spans="1:19">
      <c r="A76" s="1" t="s">
        <v>168</v>
      </c>
      <c r="B76" s="175">
        <v>127</v>
      </c>
      <c r="C76" s="6">
        <v>1E-4</v>
      </c>
      <c r="D76" s="6">
        <v>1.6163000000000001</v>
      </c>
      <c r="E76" s="6">
        <v>0.14580000000000001</v>
      </c>
      <c r="F76" s="6">
        <v>4.0000000000000002E-4</v>
      </c>
      <c r="G76" s="5">
        <v>1.1200000000000001</v>
      </c>
      <c r="H76" s="5">
        <v>1.43</v>
      </c>
      <c r="I76" s="6">
        <v>0.1004</v>
      </c>
      <c r="J76" s="6">
        <v>0.34760000000000002</v>
      </c>
      <c r="K76" s="6">
        <v>2.76E-2</v>
      </c>
      <c r="L76" s="6">
        <v>0.27010000000000001</v>
      </c>
      <c r="M76" s="6">
        <v>7.7799999999999994E-2</v>
      </c>
      <c r="N76" s="5">
        <v>0.09</v>
      </c>
      <c r="O76" s="5">
        <v>13.11</v>
      </c>
      <c r="P76" s="5">
        <v>7.25</v>
      </c>
      <c r="Q76" s="5">
        <v>8.11</v>
      </c>
      <c r="R76" s="5">
        <v>1.29</v>
      </c>
      <c r="S76" s="5">
        <v>16.850000000000001</v>
      </c>
    </row>
    <row r="77" spans="1:19">
      <c r="A77" s="1" t="s">
        <v>169</v>
      </c>
      <c r="B77" s="175">
        <v>12</v>
      </c>
      <c r="C77" s="6">
        <v>0.44259999999999999</v>
      </c>
      <c r="D77" s="6">
        <v>0.28079999999999999</v>
      </c>
      <c r="E77" s="6">
        <v>0.1237</v>
      </c>
      <c r="F77" s="6">
        <v>0.28599999999999998</v>
      </c>
      <c r="G77" s="5">
        <v>1.1499999999999999</v>
      </c>
      <c r="H77" s="5">
        <v>1.32</v>
      </c>
      <c r="I77" s="6">
        <v>9.4E-2</v>
      </c>
      <c r="J77" s="6">
        <v>0.35730000000000001</v>
      </c>
      <c r="K77" s="6">
        <v>2.76E-2</v>
      </c>
      <c r="L77" s="6">
        <v>0.19</v>
      </c>
      <c r="M77" s="6">
        <v>7.9299999999999995E-2</v>
      </c>
      <c r="N77" s="5">
        <v>0.67</v>
      </c>
      <c r="O77" s="5">
        <v>3.32</v>
      </c>
      <c r="P77" s="5">
        <v>9.1300000000000008</v>
      </c>
      <c r="Q77" s="5">
        <v>11.81</v>
      </c>
      <c r="R77" s="5">
        <v>2.99</v>
      </c>
      <c r="S77" s="5">
        <v>17.5</v>
      </c>
    </row>
    <row r="78" spans="1:19">
      <c r="A78" s="1" t="s">
        <v>170</v>
      </c>
      <c r="B78" s="175">
        <v>51</v>
      </c>
      <c r="C78" s="6">
        <v>5.3900000000000003E-2</v>
      </c>
      <c r="D78" s="6">
        <v>0.1154</v>
      </c>
      <c r="E78" s="6">
        <v>9.0899999999999995E-2</v>
      </c>
      <c r="F78" s="6">
        <v>0.2031</v>
      </c>
      <c r="G78" s="5">
        <v>1.18</v>
      </c>
      <c r="H78" s="5">
        <v>1.45</v>
      </c>
      <c r="I78" s="6">
        <v>0.1014</v>
      </c>
      <c r="J78" s="6">
        <v>0.52300000000000002</v>
      </c>
      <c r="K78" s="6">
        <v>3.2599999999999997E-2</v>
      </c>
      <c r="L78" s="6">
        <v>0.27410000000000001</v>
      </c>
      <c r="M78" s="6">
        <v>7.9000000000000001E-2</v>
      </c>
      <c r="N78" s="5">
        <v>0.96</v>
      </c>
      <c r="O78" s="5">
        <v>1.7</v>
      </c>
      <c r="P78" s="5">
        <v>9.89</v>
      </c>
      <c r="Q78" s="5">
        <v>14.69</v>
      </c>
      <c r="R78" s="5">
        <v>2.0099999999999998</v>
      </c>
      <c r="S78" s="5">
        <v>24.73</v>
      </c>
    </row>
    <row r="79" spans="1:19">
      <c r="A79" s="1" t="s">
        <v>171</v>
      </c>
      <c r="B79" s="175">
        <v>11</v>
      </c>
      <c r="C79" s="6">
        <v>0</v>
      </c>
      <c r="D79" s="6" t="s">
        <v>191</v>
      </c>
      <c r="E79" s="6" t="s">
        <v>191</v>
      </c>
      <c r="F79" s="6">
        <v>3.5799999999999998E-2</v>
      </c>
      <c r="G79" s="5">
        <v>0.91</v>
      </c>
      <c r="H79" s="5">
        <v>0.82</v>
      </c>
      <c r="I79" s="6">
        <v>6.4899999999999999E-2</v>
      </c>
      <c r="J79" s="6">
        <v>0.2074</v>
      </c>
      <c r="K79" s="6">
        <v>2.2599999999999999E-2</v>
      </c>
      <c r="L79" s="6">
        <v>0.159</v>
      </c>
      <c r="M79" s="6">
        <v>5.67E-2</v>
      </c>
      <c r="N79" s="5" t="s">
        <v>191</v>
      </c>
      <c r="O79" s="5" t="s">
        <v>191</v>
      </c>
      <c r="P79" s="5">
        <v>28.62</v>
      </c>
      <c r="Q79" s="5">
        <v>28.62</v>
      </c>
      <c r="R79" s="5">
        <v>0.82</v>
      </c>
      <c r="S79" s="5">
        <v>8.25</v>
      </c>
    </row>
    <row r="80" spans="1:19">
      <c r="A80" s="1" t="s">
        <v>172</v>
      </c>
      <c r="B80" s="175">
        <v>65</v>
      </c>
      <c r="C80" s="6">
        <v>6.6100000000000006E-2</v>
      </c>
      <c r="D80" s="6">
        <v>0.1678</v>
      </c>
      <c r="E80" s="6">
        <v>0.21410000000000001</v>
      </c>
      <c r="F80" s="6">
        <v>0.1923</v>
      </c>
      <c r="G80" s="5">
        <v>1.08</v>
      </c>
      <c r="H80" s="5">
        <v>1.1599999999999999</v>
      </c>
      <c r="I80" s="6">
        <v>8.48E-2</v>
      </c>
      <c r="J80" s="6">
        <v>0.50919999999999999</v>
      </c>
      <c r="K80" s="6">
        <v>3.2599999999999997E-2</v>
      </c>
      <c r="L80" s="6">
        <v>0.1162</v>
      </c>
      <c r="M80" s="6">
        <v>7.7200000000000005E-2</v>
      </c>
      <c r="N80" s="5">
        <v>1.83</v>
      </c>
      <c r="O80" s="5">
        <v>2.46</v>
      </c>
      <c r="P80" s="5">
        <v>11.5</v>
      </c>
      <c r="Q80" s="5">
        <v>14.65</v>
      </c>
      <c r="R80" s="5">
        <v>6.65</v>
      </c>
      <c r="S80" s="5">
        <v>19.52</v>
      </c>
    </row>
    <row r="81" spans="1:19">
      <c r="A81" s="1" t="s">
        <v>271</v>
      </c>
      <c r="B81" s="175">
        <v>79</v>
      </c>
      <c r="C81" s="6">
        <v>8.3699999999999997E-2</v>
      </c>
      <c r="D81" s="6">
        <v>8.2199999999999995E-2</v>
      </c>
      <c r="E81" s="6">
        <v>0.1489</v>
      </c>
      <c r="F81" s="6">
        <v>0.22550000000000001</v>
      </c>
      <c r="G81" s="5">
        <v>1.65</v>
      </c>
      <c r="H81" s="5">
        <v>1.79</v>
      </c>
      <c r="I81" s="6">
        <v>0.12139999999999999</v>
      </c>
      <c r="J81" s="6">
        <v>0.63490000000000002</v>
      </c>
      <c r="K81" s="6">
        <v>3.2599999999999997E-2</v>
      </c>
      <c r="L81" s="6">
        <v>0.2064</v>
      </c>
      <c r="M81" s="6">
        <v>0.1003</v>
      </c>
      <c r="N81" s="5">
        <v>2.61</v>
      </c>
      <c r="O81" s="5">
        <v>0.87</v>
      </c>
      <c r="P81" s="5">
        <v>7.65</v>
      </c>
      <c r="Q81" s="5">
        <v>10.61</v>
      </c>
      <c r="R81" s="5">
        <v>2.76</v>
      </c>
      <c r="S81" s="5">
        <v>22.74</v>
      </c>
    </row>
    <row r="82" spans="1:19">
      <c r="A82" s="1" t="s">
        <v>272</v>
      </c>
      <c r="B82" s="175">
        <v>42</v>
      </c>
      <c r="C82" s="6">
        <v>9.7900000000000001E-2</v>
      </c>
      <c r="D82" s="6">
        <v>9.3700000000000006E-2</v>
      </c>
      <c r="E82" s="6">
        <v>0.30030000000000001</v>
      </c>
      <c r="F82" s="6">
        <v>0.25569999999999998</v>
      </c>
      <c r="G82" s="5">
        <v>1.51</v>
      </c>
      <c r="H82" s="5">
        <v>1.43</v>
      </c>
      <c r="I82" s="6">
        <v>0.10050000000000001</v>
      </c>
      <c r="J82" s="6">
        <v>0.4254</v>
      </c>
      <c r="K82" s="6">
        <v>2.76E-2</v>
      </c>
      <c r="L82" s="6">
        <v>5.2900000000000003E-2</v>
      </c>
      <c r="M82" s="6">
        <v>9.6000000000000002E-2</v>
      </c>
      <c r="N82" s="5">
        <v>5.17</v>
      </c>
      <c r="O82" s="5">
        <v>1.1399999999999999</v>
      </c>
      <c r="P82" s="5">
        <v>9.02</v>
      </c>
      <c r="Q82" s="5">
        <v>12.12</v>
      </c>
      <c r="R82" s="5">
        <v>4.9400000000000004</v>
      </c>
      <c r="S82" s="5">
        <v>18.190000000000001</v>
      </c>
    </row>
    <row r="83" spans="1:19">
      <c r="A83" s="1" t="s">
        <v>173</v>
      </c>
      <c r="B83" s="175">
        <v>19</v>
      </c>
      <c r="C83" s="6">
        <v>0.223</v>
      </c>
      <c r="D83" s="6">
        <v>6.7799999999999999E-2</v>
      </c>
      <c r="E83" s="6">
        <v>9.5699999999999993E-2</v>
      </c>
      <c r="F83" s="6">
        <v>0.32690000000000002</v>
      </c>
      <c r="G83" s="5">
        <v>1.1000000000000001</v>
      </c>
      <c r="H83" s="5">
        <v>1.39</v>
      </c>
      <c r="I83" s="6">
        <v>9.8199999999999996E-2</v>
      </c>
      <c r="J83" s="6">
        <v>0.64200000000000002</v>
      </c>
      <c r="K83" s="6">
        <v>3.2599999999999997E-2</v>
      </c>
      <c r="L83" s="6">
        <v>0.30709999999999998</v>
      </c>
      <c r="M83" s="6">
        <v>7.3999999999999996E-2</v>
      </c>
      <c r="N83" s="5">
        <v>2.17</v>
      </c>
      <c r="O83" s="5">
        <v>0.93</v>
      </c>
      <c r="P83" s="5">
        <v>11.03</v>
      </c>
      <c r="Q83" s="5">
        <v>13.74</v>
      </c>
      <c r="R83" s="5">
        <v>3.46</v>
      </c>
      <c r="S83" s="5">
        <v>15.97</v>
      </c>
    </row>
    <row r="84" spans="1:19">
      <c r="A84" s="1" t="s">
        <v>174</v>
      </c>
      <c r="B84" s="175">
        <v>10</v>
      </c>
      <c r="C84" s="6">
        <v>5.0799999999999998E-2</v>
      </c>
      <c r="D84" s="6">
        <v>8.3500000000000005E-2</v>
      </c>
      <c r="E84" s="6">
        <v>0.13539999999999999</v>
      </c>
      <c r="F84" s="6">
        <v>0.25559999999999999</v>
      </c>
      <c r="G84" s="5">
        <v>1.04</v>
      </c>
      <c r="H84" s="5">
        <v>1.1100000000000001</v>
      </c>
      <c r="I84" s="6">
        <v>8.2199999999999995E-2</v>
      </c>
      <c r="J84" s="6">
        <v>0.31819999999999998</v>
      </c>
      <c r="K84" s="6">
        <v>2.76E-2</v>
      </c>
      <c r="L84" s="6">
        <v>0.10489999999999999</v>
      </c>
      <c r="M84" s="6">
        <v>7.5300000000000006E-2</v>
      </c>
      <c r="N84" s="5">
        <v>2.5499999999999998</v>
      </c>
      <c r="O84" s="5">
        <v>1.31</v>
      </c>
      <c r="P84" s="5">
        <v>12.23</v>
      </c>
      <c r="Q84" s="5">
        <v>15.74</v>
      </c>
      <c r="R84" s="5">
        <v>4.32</v>
      </c>
      <c r="S84" s="5">
        <v>25.76</v>
      </c>
    </row>
    <row r="85" spans="1:19">
      <c r="A85" s="1" t="s">
        <v>175</v>
      </c>
      <c r="B85" s="175">
        <v>38</v>
      </c>
      <c r="C85" s="6">
        <v>0.16350000000000001</v>
      </c>
      <c r="D85" s="6">
        <v>5.2400000000000002E-2</v>
      </c>
      <c r="E85" s="6">
        <v>0.1285</v>
      </c>
      <c r="F85" s="6">
        <v>0.24829999999999999</v>
      </c>
      <c r="G85" s="5">
        <v>1.1399999999999999</v>
      </c>
      <c r="H85" s="5">
        <v>1.29</v>
      </c>
      <c r="I85" s="6">
        <v>9.2600000000000002E-2</v>
      </c>
      <c r="J85" s="6">
        <v>0.63149999999999995</v>
      </c>
      <c r="K85" s="6">
        <v>3.2599999999999997E-2</v>
      </c>
      <c r="L85" s="6">
        <v>0.20369999999999999</v>
      </c>
      <c r="M85" s="6">
        <v>7.7700000000000005E-2</v>
      </c>
      <c r="N85" s="5">
        <v>3.61</v>
      </c>
      <c r="O85" s="5">
        <v>0.61</v>
      </c>
      <c r="P85" s="5">
        <v>8.39</v>
      </c>
      <c r="Q85" s="5">
        <v>11.67</v>
      </c>
      <c r="R85" s="5">
        <v>2.9</v>
      </c>
      <c r="S85" s="5">
        <v>20.34</v>
      </c>
    </row>
    <row r="86" spans="1:19">
      <c r="A86" s="1" t="s">
        <v>176</v>
      </c>
      <c r="B86" s="175">
        <v>30</v>
      </c>
      <c r="C86" s="6">
        <v>8.9099999999999999E-2</v>
      </c>
      <c r="D86" s="6">
        <v>3.3399999999999999E-2</v>
      </c>
      <c r="E86" s="6">
        <v>0.11260000000000001</v>
      </c>
      <c r="F86" s="6">
        <v>0.31180000000000002</v>
      </c>
      <c r="G86" s="5">
        <v>0.57999999999999996</v>
      </c>
      <c r="H86" s="5">
        <v>0.68</v>
      </c>
      <c r="I86" s="6">
        <v>5.6899999999999999E-2</v>
      </c>
      <c r="J86" s="6">
        <v>0.29930000000000001</v>
      </c>
      <c r="K86" s="6">
        <v>2.76E-2</v>
      </c>
      <c r="L86" s="6">
        <v>0.25840000000000002</v>
      </c>
      <c r="M86" s="6">
        <v>4.65E-2</v>
      </c>
      <c r="N86" s="5">
        <v>4.99</v>
      </c>
      <c r="O86" s="5">
        <v>0.43</v>
      </c>
      <c r="P86" s="5">
        <v>8.27</v>
      </c>
      <c r="Q86" s="5">
        <v>12.98</v>
      </c>
      <c r="R86" s="5">
        <v>3.18</v>
      </c>
      <c r="S86" s="5">
        <v>14.89</v>
      </c>
    </row>
    <row r="87" spans="1:19">
      <c r="A87" s="1" t="s">
        <v>177</v>
      </c>
      <c r="B87" s="175">
        <v>27</v>
      </c>
      <c r="C87" s="6">
        <v>1.8599999999999998E-2</v>
      </c>
      <c r="D87" s="6">
        <v>0.32819999999999999</v>
      </c>
      <c r="E87" s="6">
        <v>7.0900000000000005E-2</v>
      </c>
      <c r="F87" s="6">
        <v>0.30409999999999998</v>
      </c>
      <c r="G87" s="5">
        <v>0.66</v>
      </c>
      <c r="H87" s="5">
        <v>1.07</v>
      </c>
      <c r="I87" s="6">
        <v>7.9500000000000001E-2</v>
      </c>
      <c r="J87" s="6">
        <v>0.40560000000000002</v>
      </c>
      <c r="K87" s="6">
        <v>2.76E-2</v>
      </c>
      <c r="L87" s="6">
        <v>0.72570000000000001</v>
      </c>
      <c r="M87" s="6">
        <v>3.3799999999999997E-2</v>
      </c>
      <c r="N87" s="5">
        <v>0.3</v>
      </c>
      <c r="O87" s="5">
        <v>3.23</v>
      </c>
      <c r="P87" s="5">
        <v>8.7899999999999991</v>
      </c>
      <c r="Q87" s="5">
        <v>9.85</v>
      </c>
      <c r="R87" s="5">
        <v>0.93</v>
      </c>
      <c r="S87" s="5">
        <v>20.010000000000002</v>
      </c>
    </row>
    <row r="88" spans="1:19">
      <c r="A88" s="1" t="s">
        <v>178</v>
      </c>
      <c r="B88" s="175">
        <v>142</v>
      </c>
      <c r="C88" s="6">
        <v>6.9400000000000003E-2</v>
      </c>
      <c r="D88" s="6">
        <v>0.20380000000000001</v>
      </c>
      <c r="E88" s="6">
        <v>0.2288</v>
      </c>
      <c r="F88" s="6">
        <v>0.1171</v>
      </c>
      <c r="G88" s="5">
        <v>1.6</v>
      </c>
      <c r="H88" s="5">
        <v>1.49</v>
      </c>
      <c r="I88" s="6">
        <v>0.1041</v>
      </c>
      <c r="J88" s="6">
        <v>0.53649999999999998</v>
      </c>
      <c r="K88" s="6">
        <v>3.2599999999999997E-2</v>
      </c>
      <c r="L88" s="6">
        <v>9.1399999999999995E-2</v>
      </c>
      <c r="M88" s="6">
        <v>9.64E-2</v>
      </c>
      <c r="N88" s="5">
        <v>1.41</v>
      </c>
      <c r="O88" s="5">
        <v>2.16</v>
      </c>
      <c r="P88" s="5">
        <v>6.98</v>
      </c>
      <c r="Q88" s="5">
        <v>10.58</v>
      </c>
      <c r="R88" s="5">
        <v>2.72</v>
      </c>
      <c r="S88" s="5">
        <v>50.55</v>
      </c>
    </row>
    <row r="89" spans="1:19">
      <c r="A89" s="1" t="s">
        <v>179</v>
      </c>
      <c r="B89" s="175">
        <v>10</v>
      </c>
      <c r="C89" s="6">
        <v>-5.7500000000000002E-2</v>
      </c>
      <c r="D89" s="6">
        <v>0.11799999999999999</v>
      </c>
      <c r="E89" s="6">
        <v>0.1135</v>
      </c>
      <c r="F89" s="6">
        <v>0.15210000000000001</v>
      </c>
      <c r="G89" s="5">
        <v>2.0099999999999998</v>
      </c>
      <c r="H89" s="5">
        <v>1.79</v>
      </c>
      <c r="I89" s="6">
        <v>0.1216</v>
      </c>
      <c r="J89" s="6">
        <v>0.40439999999999998</v>
      </c>
      <c r="K89" s="6">
        <v>2.76E-2</v>
      </c>
      <c r="L89" s="6">
        <v>0.1452</v>
      </c>
      <c r="M89" s="6">
        <v>0.10630000000000001</v>
      </c>
      <c r="N89" s="5">
        <v>1.21</v>
      </c>
      <c r="O89" s="5">
        <v>1.44</v>
      </c>
      <c r="P89" s="5">
        <v>8.07</v>
      </c>
      <c r="Q89" s="5">
        <v>12.22</v>
      </c>
      <c r="R89" s="5">
        <v>1.64</v>
      </c>
      <c r="S89" s="5">
        <v>25.21</v>
      </c>
    </row>
    <row r="90" spans="1:19">
      <c r="A90" s="1" t="s">
        <v>180</v>
      </c>
      <c r="B90" s="175">
        <v>17</v>
      </c>
      <c r="C90" s="6">
        <v>0.13339999999999999</v>
      </c>
      <c r="D90" s="6">
        <v>8.3699999999999997E-2</v>
      </c>
      <c r="E90" s="6">
        <v>0.17660000000000001</v>
      </c>
      <c r="F90" s="6">
        <v>0.19889999999999999</v>
      </c>
      <c r="G90" s="5">
        <v>1.37</v>
      </c>
      <c r="H90" s="5">
        <v>1.26</v>
      </c>
      <c r="I90" s="6">
        <v>9.0899999999999995E-2</v>
      </c>
      <c r="J90" s="6">
        <v>0.47320000000000001</v>
      </c>
      <c r="K90" s="6">
        <v>2.76E-2</v>
      </c>
      <c r="L90" s="6">
        <v>1.9E-2</v>
      </c>
      <c r="M90" s="6">
        <v>8.9399999999999993E-2</v>
      </c>
      <c r="N90" s="5">
        <v>3.24</v>
      </c>
      <c r="O90" s="5">
        <v>1.42</v>
      </c>
      <c r="P90" s="5">
        <v>14.09</v>
      </c>
      <c r="Q90" s="5">
        <v>16.98</v>
      </c>
      <c r="R90" s="5">
        <v>3.66</v>
      </c>
      <c r="S90" s="5">
        <v>13.75</v>
      </c>
    </row>
    <row r="91" spans="1:19">
      <c r="A91" s="1" t="s">
        <v>273</v>
      </c>
      <c r="B91" s="175">
        <v>33</v>
      </c>
      <c r="C91" s="6">
        <v>0.26860000000000001</v>
      </c>
      <c r="D91" s="6">
        <v>8.1900000000000001E-2</v>
      </c>
      <c r="E91" s="6">
        <v>7.5899999999999995E-2</v>
      </c>
      <c r="F91" s="6">
        <v>0.2424</v>
      </c>
      <c r="G91" s="5">
        <v>1.27</v>
      </c>
      <c r="H91" s="5">
        <v>1.65</v>
      </c>
      <c r="I91" s="6">
        <v>0.1132</v>
      </c>
      <c r="J91" s="6">
        <v>0.45660000000000001</v>
      </c>
      <c r="K91" s="6">
        <v>2.76E-2</v>
      </c>
      <c r="L91" s="6">
        <v>0.35980000000000001</v>
      </c>
      <c r="M91" s="6">
        <v>7.8399999999999997E-2</v>
      </c>
      <c r="N91" s="5">
        <v>1.26</v>
      </c>
      <c r="O91" s="5">
        <v>0.73</v>
      </c>
      <c r="P91" s="5">
        <v>5.63</v>
      </c>
      <c r="Q91" s="5">
        <v>8.89</v>
      </c>
      <c r="R91" s="5">
        <v>0.88</v>
      </c>
      <c r="S91" s="5">
        <v>23.48</v>
      </c>
    </row>
    <row r="92" spans="1:19">
      <c r="A92" s="1" t="s">
        <v>181</v>
      </c>
      <c r="B92" s="175">
        <v>105</v>
      </c>
      <c r="C92" s="6">
        <v>1.06E-2</v>
      </c>
      <c r="D92" s="6">
        <v>0.14899999999999999</v>
      </c>
      <c r="E92" s="6">
        <v>0.26250000000000001</v>
      </c>
      <c r="F92" s="6">
        <v>0.1401</v>
      </c>
      <c r="G92" s="5">
        <v>1.37</v>
      </c>
      <c r="H92" s="5">
        <v>1.07</v>
      </c>
      <c r="I92" s="6">
        <v>7.9600000000000004E-2</v>
      </c>
      <c r="J92" s="6">
        <v>0.64859999999999995</v>
      </c>
      <c r="K92" s="6">
        <v>3.2599999999999997E-2</v>
      </c>
      <c r="L92" s="6">
        <v>0.11749999999999999</v>
      </c>
      <c r="M92" s="6">
        <v>7.2499999999999995E-2</v>
      </c>
      <c r="N92" s="5">
        <v>2.29</v>
      </c>
      <c r="O92" s="5">
        <v>1.27</v>
      </c>
      <c r="P92" s="5">
        <v>6.74</v>
      </c>
      <c r="Q92" s="5">
        <v>8.51</v>
      </c>
      <c r="R92" s="5">
        <v>2.08</v>
      </c>
      <c r="S92" s="5">
        <v>24.8</v>
      </c>
    </row>
    <row r="93" spans="1:19">
      <c r="A93" s="1" t="s">
        <v>182</v>
      </c>
      <c r="B93" s="175">
        <v>76</v>
      </c>
      <c r="C93" s="6">
        <v>0.19339999999999999</v>
      </c>
      <c r="D93" s="6">
        <v>0.20130000000000001</v>
      </c>
      <c r="E93" s="6">
        <v>0.1366</v>
      </c>
      <c r="F93" s="6">
        <v>0.16220000000000001</v>
      </c>
      <c r="G93" s="5">
        <v>1</v>
      </c>
      <c r="H93" s="5">
        <v>1.1499999999999999</v>
      </c>
      <c r="I93" s="6">
        <v>8.43E-2</v>
      </c>
      <c r="J93" s="6">
        <v>0.64039999999999997</v>
      </c>
      <c r="K93" s="6">
        <v>3.2599999999999997E-2</v>
      </c>
      <c r="L93" s="6">
        <v>0.2414</v>
      </c>
      <c r="M93" s="6">
        <v>6.8599999999999994E-2</v>
      </c>
      <c r="N93" s="5">
        <v>0.9</v>
      </c>
      <c r="O93" s="5">
        <v>1.91</v>
      </c>
      <c r="P93" s="5">
        <v>5.39</v>
      </c>
      <c r="Q93" s="5">
        <v>9.4700000000000006</v>
      </c>
      <c r="R93" s="5">
        <v>2.02</v>
      </c>
      <c r="S93" s="5">
        <v>18.25</v>
      </c>
    </row>
    <row r="94" spans="1:19">
      <c r="A94" s="1" t="s">
        <v>183</v>
      </c>
      <c r="B94" s="175">
        <v>23</v>
      </c>
      <c r="C94" s="6">
        <v>4.5999999999999999E-3</v>
      </c>
      <c r="D94" s="6">
        <v>0.1469</v>
      </c>
      <c r="E94" s="6">
        <v>7.4899999999999994E-2</v>
      </c>
      <c r="F94" s="6">
        <v>0.26939999999999997</v>
      </c>
      <c r="G94" s="5">
        <v>0.53</v>
      </c>
      <c r="H94" s="5">
        <v>0.92</v>
      </c>
      <c r="I94" s="6">
        <v>7.0800000000000002E-2</v>
      </c>
      <c r="J94" s="6">
        <v>0.4385</v>
      </c>
      <c r="K94" s="6">
        <v>2.76E-2</v>
      </c>
      <c r="L94" s="6">
        <v>0.51980000000000004</v>
      </c>
      <c r="M94" s="6">
        <v>4.2599999999999999E-2</v>
      </c>
      <c r="N94" s="5">
        <v>0.72</v>
      </c>
      <c r="O94" s="5">
        <v>1.77</v>
      </c>
      <c r="P94" s="5">
        <v>5.08</v>
      </c>
      <c r="Q94" s="5">
        <v>12.05</v>
      </c>
      <c r="R94" s="5">
        <v>1.77</v>
      </c>
      <c r="S94" s="5">
        <v>16.7</v>
      </c>
    </row>
    <row r="95" spans="1:19">
      <c r="A95" s="1" t="s">
        <v>184</v>
      </c>
      <c r="B95" s="175">
        <v>170</v>
      </c>
      <c r="C95" s="6">
        <v>0</v>
      </c>
      <c r="D95" s="6" t="s">
        <v>191</v>
      </c>
      <c r="E95" s="6" t="s">
        <v>191</v>
      </c>
      <c r="F95" s="6">
        <v>0.15840000000000001</v>
      </c>
      <c r="G95" s="5">
        <v>0.78</v>
      </c>
      <c r="H95" s="5">
        <v>0.68</v>
      </c>
      <c r="I95" s="6">
        <v>5.6800000000000003E-2</v>
      </c>
      <c r="J95" s="6">
        <v>0.4173</v>
      </c>
      <c r="K95" s="6">
        <v>2.76E-2</v>
      </c>
      <c r="L95" s="6">
        <v>0.16320000000000001</v>
      </c>
      <c r="M95" s="6">
        <v>5.0299999999999997E-2</v>
      </c>
      <c r="N95" s="5" t="s">
        <v>191</v>
      </c>
      <c r="O95" s="5" t="s">
        <v>191</v>
      </c>
      <c r="P95" s="5">
        <v>4.08</v>
      </c>
      <c r="Q95" s="5">
        <v>4.08</v>
      </c>
      <c r="R95" s="5">
        <v>0.99</v>
      </c>
      <c r="S95" s="5">
        <v>29.69</v>
      </c>
    </row>
    <row r="96" spans="1:19">
      <c r="A96" s="1" t="s">
        <v>185</v>
      </c>
      <c r="B96" s="175">
        <v>11</v>
      </c>
      <c r="C96" s="6">
        <v>0.1351</v>
      </c>
      <c r="D96" s="6">
        <v>0.2235</v>
      </c>
      <c r="E96" s="6">
        <v>0.31969999999999998</v>
      </c>
      <c r="F96" s="6">
        <v>0.32819999999999999</v>
      </c>
      <c r="G96" s="5">
        <v>0.79</v>
      </c>
      <c r="H96" s="5">
        <v>0.86</v>
      </c>
      <c r="I96" s="6">
        <v>6.7500000000000004E-2</v>
      </c>
      <c r="J96" s="6">
        <v>0.3644</v>
      </c>
      <c r="K96" s="6">
        <v>2.76E-2</v>
      </c>
      <c r="L96" s="6">
        <v>0.15870000000000001</v>
      </c>
      <c r="M96" s="6">
        <v>5.9400000000000001E-2</v>
      </c>
      <c r="N96" s="5">
        <v>2.1</v>
      </c>
      <c r="O96" s="5">
        <v>2.2999999999999998</v>
      </c>
      <c r="P96" s="5">
        <v>9.48</v>
      </c>
      <c r="Q96" s="5">
        <v>10.3</v>
      </c>
      <c r="R96" s="5">
        <v>11.46</v>
      </c>
      <c r="S96" s="5">
        <v>19.420000000000002</v>
      </c>
    </row>
    <row r="97" spans="1:19">
      <c r="A97" s="1" t="s">
        <v>186</v>
      </c>
      <c r="B97" s="175">
        <v>14</v>
      </c>
      <c r="C97" s="6">
        <v>9.5299999999999996E-2</v>
      </c>
      <c r="D97" s="6">
        <v>0.11070000000000001</v>
      </c>
      <c r="E97" s="6">
        <v>0.21440000000000001</v>
      </c>
      <c r="F97" s="6">
        <v>0.27329999999999999</v>
      </c>
      <c r="G97" s="5">
        <v>1.0900000000000001</v>
      </c>
      <c r="H97" s="5">
        <v>1.17</v>
      </c>
      <c r="I97" s="6">
        <v>8.5199999999999998E-2</v>
      </c>
      <c r="J97" s="6">
        <v>0.40100000000000002</v>
      </c>
      <c r="K97" s="6">
        <v>2.76E-2</v>
      </c>
      <c r="L97" s="6">
        <v>0.17100000000000001</v>
      </c>
      <c r="M97" s="6">
        <v>7.3499999999999996E-2</v>
      </c>
      <c r="N97" s="5">
        <v>2.83</v>
      </c>
      <c r="O97" s="5">
        <v>1.37</v>
      </c>
      <c r="P97" s="5">
        <v>10.1</v>
      </c>
      <c r="Q97" s="5">
        <v>12.39</v>
      </c>
      <c r="R97" s="5">
        <v>6.04</v>
      </c>
      <c r="S97" s="5">
        <v>20.39</v>
      </c>
    </row>
    <row r="98" spans="1:19">
      <c r="A98" s="1" t="s">
        <v>187</v>
      </c>
      <c r="B98" s="175">
        <v>34</v>
      </c>
      <c r="C98" s="6">
        <v>0.15049999999999999</v>
      </c>
      <c r="D98" s="6">
        <v>7.4700000000000003E-2</v>
      </c>
      <c r="E98" s="6">
        <v>0.1197</v>
      </c>
      <c r="F98" s="6">
        <v>0.25940000000000002</v>
      </c>
      <c r="G98" s="5">
        <v>0.87</v>
      </c>
      <c r="H98" s="5">
        <v>1.0900000000000001</v>
      </c>
      <c r="I98" s="6">
        <v>8.0799999999999997E-2</v>
      </c>
      <c r="J98" s="6">
        <v>0.48320000000000002</v>
      </c>
      <c r="K98" s="6">
        <v>2.76E-2</v>
      </c>
      <c r="L98" s="6">
        <v>0.2974</v>
      </c>
      <c r="M98" s="6">
        <v>6.1699999999999998E-2</v>
      </c>
      <c r="N98" s="5">
        <v>2.44</v>
      </c>
      <c r="O98" s="5">
        <v>0.82</v>
      </c>
      <c r="P98" s="5">
        <v>6.19</v>
      </c>
      <c r="Q98" s="5">
        <v>10.96</v>
      </c>
      <c r="R98" s="5">
        <v>3.07</v>
      </c>
      <c r="S98" s="5">
        <v>16.7</v>
      </c>
    </row>
    <row r="99" spans="1:19">
      <c r="A99" s="1" t="s">
        <v>188</v>
      </c>
      <c r="B99" s="175">
        <v>11</v>
      </c>
      <c r="C99" s="6">
        <v>4.1599999999999998E-2</v>
      </c>
      <c r="D99" s="6">
        <v>0.2621</v>
      </c>
      <c r="E99" s="6">
        <v>5.8900000000000001E-2</v>
      </c>
      <c r="F99" s="6">
        <v>0.3145</v>
      </c>
      <c r="G99" s="5">
        <v>0.33</v>
      </c>
      <c r="H99" s="5">
        <v>0.49</v>
      </c>
      <c r="I99" s="6">
        <v>4.6100000000000002E-2</v>
      </c>
      <c r="J99" s="6">
        <v>0.37240000000000001</v>
      </c>
      <c r="K99" s="6">
        <v>2.76E-2</v>
      </c>
      <c r="L99" s="6">
        <v>0.42259999999999998</v>
      </c>
      <c r="M99" s="6">
        <v>3.3599999999999998E-2</v>
      </c>
      <c r="N99" s="5">
        <v>0.32</v>
      </c>
      <c r="O99" s="5">
        <v>4.3600000000000003</v>
      </c>
      <c r="P99" s="5">
        <v>11.2</v>
      </c>
      <c r="Q99" s="5">
        <v>16.62</v>
      </c>
      <c r="R99" s="5">
        <v>2</v>
      </c>
      <c r="S99" s="5">
        <v>20.46</v>
      </c>
    </row>
    <row r="100" spans="1:19">
      <c r="A100" s="1" t="s">
        <v>189</v>
      </c>
      <c r="B100" s="175">
        <v>58</v>
      </c>
      <c r="C100" s="6">
        <v>6.59E-2</v>
      </c>
      <c r="D100" s="6">
        <v>0.1593</v>
      </c>
      <c r="E100" s="6">
        <v>0.1227</v>
      </c>
      <c r="F100" s="6">
        <v>0.10059999999999999</v>
      </c>
      <c r="G100" s="5">
        <v>1.17</v>
      </c>
      <c r="H100" s="5">
        <v>1.35</v>
      </c>
      <c r="I100" s="6">
        <v>9.6199999999999994E-2</v>
      </c>
      <c r="J100" s="6">
        <v>0.62909999999999999</v>
      </c>
      <c r="K100" s="6">
        <v>3.2599999999999997E-2</v>
      </c>
      <c r="L100" s="6">
        <v>0.20430000000000001</v>
      </c>
      <c r="M100" s="6">
        <v>8.0500000000000002E-2</v>
      </c>
      <c r="N100" s="5">
        <v>0.94</v>
      </c>
      <c r="O100" s="5">
        <v>2.68</v>
      </c>
      <c r="P100" s="5">
        <v>10.48</v>
      </c>
      <c r="Q100" s="5">
        <v>16.829999999999998</v>
      </c>
      <c r="R100" s="5">
        <v>3.51</v>
      </c>
      <c r="S100" s="5">
        <v>29.68</v>
      </c>
    </row>
    <row r="101" spans="1:19">
      <c r="A101" s="1" t="s">
        <v>190</v>
      </c>
      <c r="B101" s="175">
        <v>6177</v>
      </c>
      <c r="C101" s="6">
        <v>0.12239999999999999</v>
      </c>
      <c r="D101" s="6">
        <v>0.17130000000000001</v>
      </c>
      <c r="E101" s="6">
        <v>0.1288</v>
      </c>
      <c r="F101" s="6">
        <v>0.14929999999999999</v>
      </c>
      <c r="G101" s="5">
        <v>0.96</v>
      </c>
      <c r="H101" s="5">
        <v>1.17</v>
      </c>
      <c r="I101" s="6">
        <v>8.5300000000000001E-2</v>
      </c>
      <c r="J101" s="6">
        <v>0.59150000000000003</v>
      </c>
      <c r="K101" s="6">
        <v>3.2599999999999997E-2</v>
      </c>
      <c r="L101" s="6">
        <v>0.30030000000000001</v>
      </c>
      <c r="M101" s="6">
        <v>6.5600000000000006E-2</v>
      </c>
      <c r="N101" s="5">
        <v>1.04</v>
      </c>
      <c r="O101" s="5">
        <v>1.64</v>
      </c>
      <c r="P101" s="5">
        <v>7.37</v>
      </c>
      <c r="Q101" s="5">
        <v>9.59</v>
      </c>
      <c r="R101" s="5">
        <v>2.11</v>
      </c>
      <c r="S101" s="5">
        <v>33.450000000000003</v>
      </c>
    </row>
  </sheetData>
  <phoneticPr fontId="3"/>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Charts</vt:lpstr>
      </vt:variant>
      <vt:variant>
        <vt:i4>1</vt:i4>
      </vt:variant>
    </vt:vector>
  </HeadingPairs>
  <TitlesOfParts>
    <vt:vector size="16" baseType="lpstr">
      <vt:lpstr>Input sheet</vt:lpstr>
      <vt:lpstr>Valuation output</vt:lpstr>
      <vt:lpstr>Option value</vt:lpstr>
      <vt:lpstr>Diagnostics</vt:lpstr>
      <vt:lpstr>R&amp; D converter</vt:lpstr>
      <vt:lpstr>Operating lease converter</vt:lpstr>
      <vt:lpstr>Cost of capital worksheet</vt:lpstr>
      <vt:lpstr>Synthetic rating</vt:lpstr>
      <vt:lpstr>Industry Averages(US)</vt:lpstr>
      <vt:lpstr>Country tax rates</vt:lpstr>
      <vt:lpstr>Country equity risk premiums</vt:lpstr>
      <vt:lpstr>Traiing 12 month</vt:lpstr>
      <vt:lpstr>Answer keys</vt:lpstr>
      <vt:lpstr>Global industry averages</vt:lpstr>
      <vt:lpstr>Summary sheet</vt:lpstr>
      <vt:lpstr>test</vt:lpstr>
    </vt:vector>
  </TitlesOfParts>
  <Company>Stern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mcarter</cp:lastModifiedBy>
  <cp:lastPrinted>2011-01-17T15:04:26Z</cp:lastPrinted>
  <dcterms:created xsi:type="dcterms:W3CDTF">2000-02-22T13:53:50Z</dcterms:created>
  <dcterms:modified xsi:type="dcterms:W3CDTF">2014-04-18T13:12:48Z</dcterms:modified>
</cp:coreProperties>
</file>