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467815c2ffd48a/Bitsgap/"/>
    </mc:Choice>
  </mc:AlternateContent>
  <xr:revisionPtr revIDLastSave="1432" documentId="8_{3CE28AF5-0F26-4856-A62B-AB1E1BD0637B}" xr6:coauthVersionLast="47" xr6:coauthVersionMax="47" xr10:uidLastSave="{5AC3DF5A-B9EC-4494-AF51-E7B132CDEFB3}"/>
  <bookViews>
    <workbookView xWindow="-110" yWindow="-110" windowWidth="38620" windowHeight="21100" firstSheet="3" activeTab="6" xr2:uid="{CF2DA9E5-E806-46B7-871D-37700FA7285A}"/>
  </bookViews>
  <sheets>
    <sheet name="Ferrero_Attardo" sheetId="1" r:id="rId1"/>
    <sheet name="PancakeSwap_STAKING" sheetId="7" r:id="rId2"/>
    <sheet name="Ferrero_Attardo_Cirillo27052021" sheetId="2" r:id="rId3"/>
    <sheet name="FACD28052021" sheetId="3" r:id="rId4"/>
    <sheet name="FACDM02062021" sheetId="5" r:id="rId5"/>
    <sheet name="FACDM31052021" sheetId="4" r:id="rId6"/>
    <sheet name="FACCGD04062021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8" i="6" l="1"/>
  <c r="F68" i="6"/>
  <c r="D67" i="6"/>
  <c r="F67" i="6"/>
  <c r="E5" i="6"/>
  <c r="K17" i="6"/>
  <c r="D66" i="6"/>
  <c r="F66" i="6"/>
  <c r="D65" i="6"/>
  <c r="F65" i="6"/>
  <c r="F64" i="6"/>
  <c r="D64" i="6"/>
  <c r="F63" i="6"/>
  <c r="D63" i="6"/>
  <c r="D15" i="6"/>
  <c r="D14" i="6" s="1"/>
  <c r="F62" i="6"/>
  <c r="D62" i="6"/>
  <c r="D61" i="6"/>
  <c r="F61" i="6"/>
  <c r="D60" i="6"/>
  <c r="F60" i="6"/>
  <c r="D59" i="6"/>
  <c r="F59" i="6"/>
  <c r="D58" i="6"/>
  <c r="F58" i="6"/>
  <c r="F47" i="6"/>
  <c r="F45" i="6"/>
  <c r="F44" i="6"/>
  <c r="F48" i="6"/>
  <c r="F49" i="6"/>
  <c r="F51" i="6"/>
  <c r="D51" i="6"/>
  <c r="F29" i="6"/>
  <c r="D29" i="6"/>
  <c r="F50" i="6"/>
  <c r="D50" i="6"/>
  <c r="F28" i="6"/>
  <c r="D28" i="6"/>
  <c r="F27" i="6"/>
  <c r="D27" i="6"/>
  <c r="D49" i="6"/>
  <c r="D48" i="6"/>
  <c r="F26" i="6"/>
  <c r="D26" i="6"/>
  <c r="D8" i="7"/>
  <c r="D47" i="6"/>
  <c r="F25" i="6"/>
  <c r="D25" i="6"/>
  <c r="D7" i="7"/>
  <c r="F46" i="6"/>
  <c r="D46" i="6"/>
  <c r="D45" i="6"/>
  <c r="D6" i="7"/>
  <c r="D5" i="7"/>
  <c r="D44" i="6"/>
  <c r="F24" i="6"/>
  <c r="D24" i="6"/>
  <c r="F38" i="6"/>
  <c r="D38" i="6"/>
  <c r="N32" i="6"/>
  <c r="F22" i="6"/>
  <c r="F37" i="6"/>
  <c r="D37" i="6"/>
  <c r="F23" i="6"/>
  <c r="D23" i="6"/>
  <c r="F36" i="6"/>
  <c r="G8" i="5"/>
  <c r="D36" i="6"/>
  <c r="D22" i="6"/>
  <c r="I5" i="6"/>
  <c r="I6" i="6"/>
  <c r="I7" i="6"/>
  <c r="I8" i="6"/>
  <c r="I9" i="6"/>
  <c r="I4" i="6"/>
  <c r="N22" i="6"/>
  <c r="N19" i="6"/>
  <c r="O14" i="6" s="1"/>
  <c r="L12" i="5"/>
  <c r="L14" i="5"/>
  <c r="M14" i="5"/>
  <c r="L19" i="5"/>
  <c r="L20" i="5"/>
  <c r="L22" i="5"/>
  <c r="D11" i="6"/>
  <c r="S5" i="6"/>
  <c r="S6" i="6" s="1"/>
  <c r="P6" i="6"/>
  <c r="Q6" i="6"/>
  <c r="R6" i="6"/>
  <c r="T6" i="6"/>
  <c r="U6" i="6"/>
  <c r="S7" i="6"/>
  <c r="C29" i="5"/>
  <c r="C21" i="5"/>
  <c r="K5" i="5"/>
  <c r="C14" i="5"/>
  <c r="C17" i="5"/>
  <c r="G29" i="5"/>
  <c r="F29" i="5"/>
  <c r="C10" i="5"/>
  <c r="C7" i="5"/>
  <c r="N6" i="5"/>
  <c r="P5" i="5"/>
  <c r="O5" i="5"/>
  <c r="N5" i="5"/>
  <c r="M5" i="5"/>
  <c r="L5" i="5"/>
  <c r="N4" i="5"/>
  <c r="G30" i="4"/>
  <c r="C29" i="4"/>
  <c r="C14" i="4"/>
  <c r="C17" i="4"/>
  <c r="E30" i="4"/>
  <c r="G4" i="3"/>
  <c r="G5" i="3"/>
  <c r="G6" i="3"/>
  <c r="G7" i="3"/>
  <c r="G3" i="3"/>
  <c r="F29" i="4"/>
  <c r="G29" i="4"/>
  <c r="G21" i="4"/>
  <c r="G22" i="4"/>
  <c r="F22" i="4"/>
  <c r="C22" i="4"/>
  <c r="E22" i="4"/>
  <c r="C21" i="4"/>
  <c r="C10" i="4"/>
  <c r="C7" i="4"/>
  <c r="L5" i="4"/>
  <c r="M5" i="4"/>
  <c r="O5" i="4"/>
  <c r="P5" i="4"/>
  <c r="K5" i="4"/>
  <c r="C23" i="3"/>
  <c r="N6" i="4"/>
  <c r="N4" i="4"/>
  <c r="N5" i="4"/>
  <c r="C13" i="3"/>
  <c r="C12" i="3"/>
  <c r="C22" i="3"/>
  <c r="C21" i="3"/>
  <c r="C4" i="3"/>
  <c r="C5" i="3"/>
  <c r="C6" i="3"/>
  <c r="C7" i="3"/>
  <c r="C3" i="3"/>
  <c r="N4" i="3"/>
  <c r="N5" i="3"/>
  <c r="C12" i="2"/>
  <c r="F4" i="2"/>
  <c r="C6" i="2"/>
  <c r="M5" i="2"/>
  <c r="M4" i="2"/>
  <c r="C11" i="1"/>
  <c r="C6" i="1"/>
  <c r="C5" i="1"/>
  <c r="R5" i="1"/>
  <c r="R6" i="1"/>
  <c r="G6" i="7"/>
  <c r="G7" i="7"/>
  <c r="O13" i="6"/>
  <c r="P13" i="6" s="1"/>
  <c r="O12" i="6"/>
  <c r="N13" i="5"/>
  <c r="M13" i="5"/>
  <c r="M17" i="5"/>
  <c r="N17" i="5"/>
  <c r="M16" i="5"/>
  <c r="N16" i="5"/>
  <c r="M15" i="5"/>
  <c r="N15" i="5"/>
  <c r="N14" i="5"/>
  <c r="M12" i="5"/>
  <c r="G21" i="5"/>
  <c r="F21" i="5"/>
  <c r="E29" i="5"/>
  <c r="C3" i="5"/>
  <c r="C4" i="5"/>
  <c r="C8" i="5"/>
  <c r="C13" i="5"/>
  <c r="C6" i="5"/>
  <c r="C5" i="5"/>
  <c r="F30" i="4"/>
  <c r="C13" i="4"/>
  <c r="G6" i="4"/>
  <c r="C8" i="4"/>
  <c r="C6" i="4"/>
  <c r="C3" i="4"/>
  <c r="E29" i="4"/>
  <c r="C5" i="4"/>
  <c r="C4" i="4"/>
  <c r="E21" i="4"/>
  <c r="C10" i="3"/>
  <c r="C15" i="3"/>
  <c r="D4" i="2"/>
  <c r="C4" i="2"/>
  <c r="C5" i="2"/>
  <c r="C10" i="2"/>
  <c r="E7" i="2"/>
  <c r="F7" i="2"/>
  <c r="C10" i="1"/>
  <c r="D7" i="1"/>
  <c r="M19" i="5"/>
  <c r="N12" i="5"/>
  <c r="E21" i="5"/>
  <c r="G6" i="5"/>
  <c r="C16" i="5"/>
  <c r="G8" i="4"/>
  <c r="D8" i="4"/>
  <c r="C16" i="4"/>
  <c r="G5" i="4"/>
  <c r="D5" i="4"/>
  <c r="G7" i="4"/>
  <c r="D7" i="4"/>
  <c r="G3" i="4"/>
  <c r="D3" i="4"/>
  <c r="G4" i="4"/>
  <c r="D4" i="4"/>
  <c r="G22" i="3"/>
  <c r="G23" i="3"/>
  <c r="C16" i="3"/>
  <c r="F21" i="4"/>
  <c r="G20" i="3"/>
  <c r="F20" i="3"/>
  <c r="E20" i="3"/>
  <c r="G21" i="3"/>
  <c r="D3" i="3"/>
  <c r="D4" i="3"/>
  <c r="D5" i="3"/>
  <c r="D7" i="3"/>
  <c r="F5" i="2"/>
  <c r="D5" i="2"/>
  <c r="F6" i="2"/>
  <c r="D6" i="2"/>
  <c r="D5" i="1"/>
  <c r="D6" i="1"/>
  <c r="D8" i="1"/>
  <c r="F22" i="3"/>
  <c r="E22" i="3"/>
  <c r="E23" i="3"/>
  <c r="F23" i="3"/>
  <c r="F21" i="3"/>
  <c r="E21" i="3"/>
  <c r="G5" i="5"/>
  <c r="D5" i="5"/>
  <c r="D8" i="5"/>
  <c r="G3" i="5"/>
  <c r="D3" i="5"/>
  <c r="G7" i="5"/>
  <c r="D7" i="5"/>
  <c r="G4" i="5"/>
  <c r="D4" i="5"/>
  <c r="O16" i="6" l="1"/>
  <c r="P16" i="6" s="1"/>
  <c r="O17" i="6"/>
  <c r="P17" i="6" s="1"/>
  <c r="P12" i="6"/>
  <c r="P14" i="6"/>
  <c r="K6" i="6"/>
  <c r="F6" i="6" s="1"/>
  <c r="K7" i="6"/>
  <c r="F7" i="6" s="1"/>
  <c r="K5" i="6"/>
  <c r="F5" i="6" s="1"/>
  <c r="K9" i="6"/>
  <c r="F9" i="6" s="1"/>
  <c r="K8" i="6"/>
  <c r="F8" i="6" s="1"/>
  <c r="K4" i="6"/>
  <c r="F4" i="6" s="1"/>
  <c r="D17" i="6"/>
  <c r="O15" i="6"/>
  <c r="P15" i="6" s="1"/>
  <c r="D1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Attardo</author>
  </authors>
  <commentList>
    <comment ref="G17" authorId="0" shapeId="0" xr:uid="{A1ED4C6E-0A3B-41AE-A28F-57B74535C498}">
      <text>
        <r>
          <rPr>
            <b/>
            <sz val="9"/>
            <color indexed="81"/>
            <rFont val="Tahoma"/>
            <charset val="1"/>
          </rPr>
          <t>Fabio Attardo: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Attardo</author>
  </authors>
  <commentList>
    <comment ref="G18" authorId="0" shapeId="0" xr:uid="{FC2D1D94-4C03-4CC5-A143-2A559104D8FC}">
      <text>
        <r>
          <rPr>
            <b/>
            <sz val="9"/>
            <color indexed="81"/>
            <rFont val="Tahoma"/>
            <charset val="1"/>
          </rPr>
          <t>Fabio Attardo: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Attardo</author>
  </authors>
  <commentList>
    <comment ref="G18" authorId="0" shapeId="0" xr:uid="{AAE83620-E5F2-41C7-A132-B359713BDE65}">
      <text>
        <r>
          <rPr>
            <b/>
            <sz val="9"/>
            <color indexed="81"/>
            <rFont val="Tahoma"/>
            <charset val="1"/>
          </rPr>
          <t>Fabio Attardo: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Attardo</author>
  </authors>
  <commentList>
    <comment ref="H19" authorId="0" shapeId="0" xr:uid="{10BAE62C-05E6-4203-8187-4F3B903CB95C}">
      <text>
        <r>
          <rPr>
            <b/>
            <sz val="9"/>
            <color indexed="81"/>
            <rFont val="Tahoma"/>
            <charset val="1"/>
          </rPr>
          <t>Fabio Attardo: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<sst xmlns="http://schemas.openxmlformats.org/spreadsheetml/2006/main" count="273" uniqueCount="81">
  <si>
    <t>Nome</t>
  </si>
  <si>
    <t>Percentuale guadagni</t>
  </si>
  <si>
    <t>Simone Ferrero</t>
  </si>
  <si>
    <t>Fabio Attardo</t>
  </si>
  <si>
    <t>Luca Cirillo</t>
  </si>
  <si>
    <t>Alice Ciccotti</t>
  </si>
  <si>
    <t>BUSD</t>
  </si>
  <si>
    <t>Cash</t>
  </si>
  <si>
    <t>Simone</t>
  </si>
  <si>
    <t>Luca</t>
  </si>
  <si>
    <t>Totale</t>
  </si>
  <si>
    <t>Alice</t>
  </si>
  <si>
    <t>Fabio</t>
  </si>
  <si>
    <t>Euro/Busd (conversione)</t>
  </si>
  <si>
    <t>Investimento (EUR)</t>
  </si>
  <si>
    <t>Tot. Investimenti (EUR)</t>
  </si>
  <si>
    <t>Tot. Investimenti (BUSD)</t>
  </si>
  <si>
    <t>Tot. Investimenti Binance (EUR)</t>
  </si>
  <si>
    <t>Tot. Investimenti Binance (BUSD)</t>
  </si>
  <si>
    <t>Profitti su Binance (EUR)</t>
  </si>
  <si>
    <t>Profitti su Binance (BUSD)</t>
  </si>
  <si>
    <t>Percentuale investito</t>
  </si>
  <si>
    <t>Guadagni netti</t>
  </si>
  <si>
    <t>Tot. Finale (EUR)</t>
  </si>
  <si>
    <t>Nicholas Di Criscio</t>
  </si>
  <si>
    <t>Nicholas</t>
  </si>
  <si>
    <t>Tot.Investimenti (EUR)</t>
  </si>
  <si>
    <t>Profitto complessivo (EUR)</t>
  </si>
  <si>
    <t>Profitto complessivo (BUSD)</t>
  </si>
  <si>
    <t>Tot. Capitale Stimato (EUR)</t>
  </si>
  <si>
    <t>Tot. Capitale Stimato (BUSD)</t>
  </si>
  <si>
    <t>Data</t>
  </si>
  <si>
    <t>Profitto del giorno</t>
  </si>
  <si>
    <t>Profitto cumulativo</t>
  </si>
  <si>
    <t>Profitto cumulativo (%)</t>
  </si>
  <si>
    <t>Tot. Capitale</t>
  </si>
  <si>
    <t>Snapshot giornaliero del bot</t>
  </si>
  <si>
    <t>Conversione EURO/USD</t>
  </si>
  <si>
    <t>Profitto del giorno (%)</t>
  </si>
  <si>
    <t>OGGI</t>
  </si>
  <si>
    <r>
      <t xml:space="preserve">NB: </t>
    </r>
    <r>
      <rPr>
        <sz val="11"/>
        <color theme="1"/>
        <rFont val="Calibri"/>
        <family val="2"/>
        <scheme val="minor"/>
      </rPr>
      <t xml:space="preserve">I guadagni riportati in questa tabella sono </t>
    </r>
    <r>
      <rPr>
        <b/>
        <sz val="11"/>
        <color theme="1"/>
        <rFont val="Calibri"/>
        <family val="2"/>
        <scheme val="minor"/>
      </rPr>
      <t>indicativi</t>
    </r>
    <r>
      <rPr>
        <sz val="11"/>
        <color theme="1"/>
        <rFont val="Calibri"/>
        <family val="2"/>
        <scheme val="minor"/>
      </rPr>
      <t>, in quanto dipendono dal prezzo effettivo di mercato delle criptovalute</t>
    </r>
  </si>
  <si>
    <t>Michael</t>
  </si>
  <si>
    <t>Euro (da BUSD)</t>
  </si>
  <si>
    <t>Michael Ginanneschi</t>
  </si>
  <si>
    <t>Snapshot giornaliero del bot 1</t>
  </si>
  <si>
    <t>Snapshot giornaliero del bot 2</t>
  </si>
  <si>
    <t>CHIUSO</t>
  </si>
  <si>
    <t>Profitti "ereditati"</t>
  </si>
  <si>
    <t>Binance</t>
  </si>
  <si>
    <t>Binance EUR</t>
  </si>
  <si>
    <t>Investimento iniziale vero</t>
  </si>
  <si>
    <t>Snapshot giornaliero del bot ADA</t>
  </si>
  <si>
    <t>Snapshot giornaliero del bot MATIC</t>
  </si>
  <si>
    <t>Costo mese bot Bitsgap</t>
  </si>
  <si>
    <t>Costo bot (da profitti)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</si>
  <si>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</si>
  <si>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</si>
  <si>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</si>
  <si>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</si>
  <si>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</si>
  <si>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</si>
  <si>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</si>
  <si>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</si>
  <si>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</si>
  <si>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</si>
  <si>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</si>
  <si>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</si>
  <si>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Valore investito (CAKE)</t>
  </si>
  <si>
    <t>Valore investito (USD)</t>
  </si>
  <si>
    <t>Profitti cumulativi</t>
  </si>
  <si>
    <t>Prezzo CAKE/USD</t>
  </si>
  <si>
    <t>Data/ora ultima operazione</t>
  </si>
  <si>
    <t>CAKE guadagnati</t>
  </si>
  <si>
    <t>USD guadagnati</t>
  </si>
  <si>
    <t>Snapshot CAKE staking</t>
  </si>
  <si>
    <t>Profitti cumulativi (%)</t>
  </si>
  <si>
    <t>"Impegnati"</t>
  </si>
  <si>
    <t>Profitto speso</t>
  </si>
  <si>
    <t>MOVIMENTI SOLDI IMPEGNATI</t>
  </si>
  <si>
    <t>Importo</t>
  </si>
  <si>
    <t>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</si>
</sst>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€&quot;\ * #,##0.00_-;\-&quot;€&quot;\ * #,##0.00_-;_-&quot;€&quot;\ * &quot;-&quot;??_-;_-@_-"/>
    <numFmt numFmtId="164" formatCode="_-* #,##0.00\ [$€-410]_-;\-* #,##0.00\ [$€-410]_-;_-* &quot;-&quot;??\ [$€-410]_-;_-@_-"/>
    <numFmt numFmtId="165" formatCode="_-[$$-409]* #,##0.00_ ;_-[$$-409]* \-#,##0.00\ ;_-[$$-409]* &quot;-&quot;??_ ;_-@_ "/>
    <numFmt numFmtId="166" formatCode="_-[$$-409]* #,##0.000_ ;_-[$$-409]* \-#,##0.000\ ;_-[$$-409]* &quot;-&quot;??_ ;_-@_ "/>
    <numFmt numFmtId="167" formatCode="0.0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833"/>
      <name val="Arial"/>
      <family val="2"/>
    </font>
    <font>
      <sz val="11"/>
      <color rgb="FF212833"/>
      <name val="Arial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6">
    <xf numFmtId="0" fontId="0" fillId="0" borderId="0" xfId="0"/>
    <xf numFmtId="9" fontId="0" fillId="0" borderId="0" xfId="1" applyFont="1"/>
    <xf numFmtId="10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/>
    <xf numFmtId="165" fontId="3" fillId="0" borderId="0" xfId="0" applyNumberFormat="1" applyFont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0" fontId="0" fillId="0" borderId="12" xfId="1" applyNumberFormat="1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0" fillId="0" borderId="1" xfId="0" applyNumberFormat="1" applyBorder="1"/>
    <xf numFmtId="165" fontId="6" fillId="0" borderId="3" xfId="0" applyNumberFormat="1" applyFont="1" applyBorder="1"/>
    <xf numFmtId="165" fontId="0" fillId="0" borderId="3" xfId="0" applyNumberFormat="1" applyBorder="1"/>
    <xf numFmtId="164" fontId="6" fillId="0" borderId="1" xfId="0" applyNumberFormat="1" applyFont="1" applyBorder="1"/>
    <xf numFmtId="0" fontId="0" fillId="0" borderId="13" xfId="0" applyBorder="1"/>
    <xf numFmtId="0" fontId="4" fillId="0" borderId="13" xfId="0" applyFont="1" applyBorder="1"/>
    <xf numFmtId="0" fontId="4" fillId="0" borderId="10" xfId="0" applyFont="1" applyBorder="1"/>
    <xf numFmtId="0" fontId="0" fillId="0" borderId="3" xfId="0" applyBorder="1"/>
    <xf numFmtId="0" fontId="0" fillId="0" borderId="12" xfId="0" applyBorder="1"/>
    <xf numFmtId="14" fontId="0" fillId="0" borderId="9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7" fillId="0" borderId="0" xfId="0" applyFont="1"/>
    <xf numFmtId="164" fontId="3" fillId="0" borderId="0" xfId="0" applyNumberFormat="1" applyFont="1"/>
    <xf numFmtId="164" fontId="0" fillId="0" borderId="14" xfId="0" applyNumberFormat="1" applyBorder="1" applyAlignment="1">
      <alignment horizontal="center" vertical="center"/>
    </xf>
    <xf numFmtId="164" fontId="0" fillId="0" borderId="0" xfId="1" applyNumberFormat="1" applyFont="1"/>
    <xf numFmtId="44" fontId="0" fillId="0" borderId="0" xfId="2" applyFont="1"/>
    <xf numFmtId="165" fontId="0" fillId="0" borderId="0" xfId="1" applyNumberFormat="1" applyFon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2" applyNumberFormat="1" applyFont="1"/>
    <xf numFmtId="0" fontId="0" fillId="0" borderId="0" xfId="0" applyAlignment="1"/>
    <xf numFmtId="164" fontId="0" fillId="0" borderId="0" xfId="0" applyNumberFormat="1" applyAlignment="1"/>
    <xf numFmtId="164" fontId="0" fillId="0" borderId="0" xfId="1" applyNumberFormat="1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164" fontId="0" fillId="0" borderId="17" xfId="1" applyNumberFormat="1" applyFont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0" fontId="0" fillId="0" borderId="0" xfId="0" applyBorder="1"/>
    <xf numFmtId="14" fontId="10" fillId="0" borderId="0" xfId="0" applyNumberFormat="1" applyFont="1" applyBorder="1" applyAlignment="1">
      <alignment vertical="center"/>
    </xf>
    <xf numFmtId="0" fontId="4" fillId="0" borderId="0" xfId="0" applyFont="1" applyBorder="1" applyAlignment="1"/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165" fontId="0" fillId="0" borderId="0" xfId="0" applyNumberFormat="1" applyBorder="1"/>
    <xf numFmtId="0" fontId="0" fillId="0" borderId="18" xfId="0" applyBorder="1" applyAlignment="1"/>
    <xf numFmtId="0" fontId="0" fillId="2" borderId="0" xfId="0" applyFill="1" applyAlignment="1">
      <alignment horizontal="center" vertical="center"/>
    </xf>
    <xf numFmtId="0" fontId="0" fillId="2" borderId="0" xfId="0" applyFill="1"/>
    <xf numFmtId="164" fontId="0" fillId="3" borderId="0" xfId="0" applyNumberFormat="1" applyFont="1" applyFill="1"/>
    <xf numFmtId="0" fontId="0" fillId="0" borderId="19" xfId="0" applyBorder="1"/>
    <xf numFmtId="0" fontId="0" fillId="0" borderId="18" xfId="0" applyBorder="1"/>
    <xf numFmtId="0" fontId="0" fillId="0" borderId="1" xfId="0" applyBorder="1"/>
    <xf numFmtId="0" fontId="0" fillId="0" borderId="21" xfId="0" applyBorder="1"/>
    <xf numFmtId="0" fontId="0" fillId="0" borderId="20" xfId="0" applyBorder="1"/>
    <xf numFmtId="165" fontId="0" fillId="0" borderId="6" xfId="0" applyNumberFormat="1" applyBorder="1"/>
    <xf numFmtId="0" fontId="0" fillId="0" borderId="6" xfId="0" applyBorder="1"/>
    <xf numFmtId="0" fontId="0" fillId="0" borderId="8" xfId="0" applyBorder="1"/>
    <xf numFmtId="22" fontId="0" fillId="0" borderId="15" xfId="0" applyNumberFormat="1" applyBorder="1"/>
    <xf numFmtId="166" fontId="0" fillId="0" borderId="2" xfId="0" applyNumberFormat="1" applyBorder="1"/>
    <xf numFmtId="167" fontId="0" fillId="0" borderId="6" xfId="1" applyNumberFormat="1" applyFont="1" applyBorder="1"/>
    <xf numFmtId="0" fontId="0" fillId="0" borderId="8" xfId="0" applyFill="1" applyBorder="1"/>
    <xf numFmtId="10" fontId="0" fillId="0" borderId="11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65" fontId="0" fillId="0" borderId="11" xfId="2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13" fillId="0" borderId="11" xfId="0" applyNumberFormat="1" applyFont="1" applyBorder="1" applyAlignment="1">
      <alignment horizontal="center" vertical="center"/>
    </xf>
    <xf numFmtId="164" fontId="13" fillId="0" borderId="12" xfId="0" applyNumberFormat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64" fontId="10" fillId="0" borderId="0" xfId="1" applyNumberFormat="1" applyFont="1" applyBorder="1" applyAlignment="1">
      <alignment horizontal="center" vertical="center"/>
    </xf>
    <xf numFmtId="164" fontId="10" fillId="0" borderId="21" xfId="1" applyNumberFormat="1" applyFont="1" applyBorder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14" fontId="10" fillId="0" borderId="15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14" fontId="0" fillId="0" borderId="15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Normale" xfId="0" builtinId="0"/>
    <cellStyle name="Percentuale" xfId="1" builtinId="5"/>
    <cellStyle name="Valuta" xfId="2" builtinId="4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FACD28052021!$G$19</c:f>
              <c:strCache>
                <c:ptCount val="1"/>
                <c:pt idx="0">
                  <c:v>Tot. Capitale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FACD28052021!$B$20:$B$817</c:f>
              <c:numCache>
                <c:formatCode>m/d/yyyy</c:formatCode>
                <c:ptCount val="798"/>
                <c:pt idx="0">
                  <c:v>44344</c:v>
                </c:pt>
                <c:pt idx="1">
                  <c:v>44345</c:v>
                </c:pt>
                <c:pt idx="2">
                  <c:v>44346</c:v>
                </c:pt>
                <c:pt idx="3">
                  <c:v>44347</c:v>
                </c:pt>
              </c:numCache>
            </c:numRef>
          </c:cat>
          <c:val>
            <c:numRef>
              <c:f>FACD28052021!$G$20:$G$817</c:f>
              <c:numCache>
                <c:formatCode>_-[$$-409]* #,##0.00_ ;_-[$$-409]* \-#,##0.00\ ;_-[$$-409]* "-"??_ ;_-@_ </c:formatCode>
                <c:ptCount val="798"/>
                <c:pt idx="0">
                  <c:v>492.92219999999998</c:v>
                </c:pt>
                <c:pt idx="1">
                  <c:v>502.84219999999999</c:v>
                </c:pt>
                <c:pt idx="2">
                  <c:v>514.33219999999994</c:v>
                </c:pt>
                <c:pt idx="3">
                  <c:v>520.13220000000001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EB-4E59-80D7-D0BB9A04F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302831"/>
        <c:axId val="610314895"/>
      </c:lineChart>
      <c:dateAx>
        <c:axId val="6103028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0314895"/>
        <c:crosses val="autoZero"/>
        <c:auto val="1"/>
        <c:lblOffset val="100"/>
        <c:baseTimeUnit val="days"/>
      </c:dateAx>
      <c:valAx>
        <c:axId val="61031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0302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6</xdr:row>
      <xdr:rowOff>176211</xdr:rowOff>
    </xdr:from>
    <xdr:to>
      <xdr:col>18</xdr:col>
      <xdr:colOff>590549</xdr:colOff>
      <xdr:row>24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379BF00-14DA-44EF-BE37-14CD0D058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E673-3F0E-44B4-9F82-C4C54980AFEB}">
  <dimension ref="B3:U11"/>
  <sheetViews>
    <sheetView workbookViewId="0">
      <selection activeCell="T3" sqref="T3:U3"/>
    </sheetView>
  </sheetViews>
  <sheetFormatPr defaultRowHeight="14.5" x14ac:dyDescent="0.35"/>
  <cols>
    <col min="2" max="2" width="25.1796875" customWidth="1"/>
    <col min="3" max="3" width="18.453125" bestFit="1" customWidth="1"/>
    <col min="4" max="4" width="20.453125" bestFit="1" customWidth="1"/>
    <col min="5" max="5" width="14.7265625" customWidth="1"/>
    <col min="6" max="6" width="14.26953125" bestFit="1" customWidth="1"/>
    <col min="14" max="14" width="7" bestFit="1" customWidth="1"/>
    <col min="15" max="15" width="13.1796875" bestFit="1" customWidth="1"/>
    <col min="18" max="18" width="19.7265625" customWidth="1"/>
    <col min="19" max="19" width="13.7265625" bestFit="1" customWidth="1"/>
  </cols>
  <sheetData>
    <row r="3" spans="2:21" x14ac:dyDescent="0.35">
      <c r="B3" t="s">
        <v>0</v>
      </c>
      <c r="C3" t="s">
        <v>14</v>
      </c>
      <c r="D3" t="s">
        <v>1</v>
      </c>
      <c r="O3" t="s">
        <v>8</v>
      </c>
      <c r="P3" t="s">
        <v>9</v>
      </c>
      <c r="Q3" t="s">
        <v>11</v>
      </c>
      <c r="R3" t="s">
        <v>12</v>
      </c>
      <c r="T3" t="s">
        <v>13</v>
      </c>
      <c r="U3">
        <v>1.2222</v>
      </c>
    </row>
    <row r="5" spans="2:21" x14ac:dyDescent="0.35">
      <c r="B5" t="s">
        <v>2</v>
      </c>
      <c r="C5" s="3">
        <f>O5+(O6/U3)</f>
        <v>91.513703778738346</v>
      </c>
      <c r="D5" s="2">
        <f>($D$10*C5)/$C$10</f>
        <v>0.33812270885748058</v>
      </c>
      <c r="N5" t="s">
        <v>6</v>
      </c>
      <c r="O5" s="5">
        <v>50.080223169999996</v>
      </c>
      <c r="P5" s="4">
        <v>0</v>
      </c>
      <c r="Q5" s="4">
        <v>0</v>
      </c>
      <c r="R5" s="4">
        <f>41.266448+26.04032712+24.3847512+22.313628</f>
        <v>114.00515432</v>
      </c>
    </row>
    <row r="6" spans="2:21" x14ac:dyDescent="0.35">
      <c r="B6" t="s">
        <v>3</v>
      </c>
      <c r="C6" s="3">
        <f>R6+(R5/U3)</f>
        <v>179.13864041891671</v>
      </c>
      <c r="D6" s="2">
        <f>($D$10*C6)/$C$10</f>
        <v>0.66187729114251936</v>
      </c>
      <c r="N6" t="s">
        <v>7</v>
      </c>
      <c r="O6" s="3">
        <v>50.64</v>
      </c>
      <c r="P6" s="3">
        <v>50</v>
      </c>
      <c r="Q6" s="3">
        <v>70</v>
      </c>
      <c r="R6" s="3">
        <f>136.5-O6</f>
        <v>85.86</v>
      </c>
    </row>
    <row r="7" spans="2:21" x14ac:dyDescent="0.35">
      <c r="B7" t="s">
        <v>4</v>
      </c>
      <c r="C7" s="3">
        <v>0</v>
      </c>
      <c r="D7" s="2">
        <f>($D$10*C7)/$C$10</f>
        <v>0</v>
      </c>
      <c r="N7" t="s">
        <v>10</v>
      </c>
    </row>
    <row r="8" spans="2:21" x14ac:dyDescent="0.35">
      <c r="B8" t="s">
        <v>5</v>
      </c>
      <c r="C8" s="3">
        <v>0</v>
      </c>
      <c r="D8" s="2">
        <f t="shared" ref="D8" si="0">($D$10*C8)/$C$10</f>
        <v>0</v>
      </c>
    </row>
    <row r="9" spans="2:21" x14ac:dyDescent="0.35">
      <c r="C9" s="3"/>
    </row>
    <row r="10" spans="2:21" x14ac:dyDescent="0.35">
      <c r="B10" t="s">
        <v>15</v>
      </c>
      <c r="C10" s="3">
        <f>SUM(C5:C8)</f>
        <v>270.65234419765505</v>
      </c>
      <c r="D10" s="1">
        <v>1</v>
      </c>
    </row>
    <row r="11" spans="2:21" x14ac:dyDescent="0.35">
      <c r="B11" t="s">
        <v>16</v>
      </c>
      <c r="C11" s="4">
        <f>C10*U3</f>
        <v>330.79129507837399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5FF2-3E78-40EA-90DC-BD83728BF7ED}">
  <dimension ref="B2:G9"/>
  <sheetViews>
    <sheetView workbookViewId="0">
      <selection activeCell="G3" sqref="G3"/>
    </sheetView>
  </sheetViews>
  <sheetFormatPr defaultRowHeight="14.5" x14ac:dyDescent="0.35"/>
  <cols>
    <col min="2" max="2" width="25.81640625" bestFit="1" customWidth="1"/>
    <col min="3" max="3" width="15.81640625" bestFit="1" customWidth="1"/>
    <col min="4" max="4" width="14.81640625" bestFit="1" customWidth="1"/>
    <col min="6" max="6" width="22" bestFit="1" customWidth="1"/>
    <col min="7" max="7" width="12" bestFit="1" customWidth="1"/>
    <col min="16" max="16" width="22" bestFit="1" customWidth="1"/>
  </cols>
  <sheetData>
    <row r="2" spans="2:7" ht="15" thickBot="1" x14ac:dyDescent="0.4"/>
    <row r="3" spans="2:7" ht="21.5" thickBot="1" x14ac:dyDescent="0.55000000000000004">
      <c r="B3" s="96" t="s">
        <v>74</v>
      </c>
      <c r="C3" s="97"/>
      <c r="D3" s="98"/>
      <c r="F3" s="71" t="s">
        <v>70</v>
      </c>
      <c r="G3" s="69">
        <v>17.469000000000001</v>
      </c>
    </row>
    <row r="4" spans="2:7" ht="15" thickBot="1" x14ac:dyDescent="0.4">
      <c r="B4" s="64" t="s">
        <v>71</v>
      </c>
      <c r="C4" s="65" t="s">
        <v>72</v>
      </c>
      <c r="D4" s="66" t="s">
        <v>73</v>
      </c>
      <c r="F4" s="71" t="s">
        <v>67</v>
      </c>
      <c r="G4" s="70">
        <v>6.5851800000000003</v>
      </c>
    </row>
    <row r="5" spans="2:7" ht="15" thickBot="1" x14ac:dyDescent="0.4">
      <c r="B5" s="72">
        <v>44353.477222222224</v>
      </c>
      <c r="C5">
        <v>8.4799999999999997E-3</v>
      </c>
      <c r="D5" s="73">
        <f>C5*$G$3</f>
        <v>0.14813712000000001</v>
      </c>
      <c r="F5" s="71" t="s">
        <v>68</v>
      </c>
      <c r="G5" s="69">
        <v>140.30000000000001</v>
      </c>
    </row>
    <row r="6" spans="2:7" ht="15" thickBot="1" x14ac:dyDescent="0.4">
      <c r="B6" s="72">
        <v>44354.40625</v>
      </c>
      <c r="C6">
        <v>1.052E-2</v>
      </c>
      <c r="D6" s="73">
        <f>C6*$G$3</f>
        <v>0.18377388</v>
      </c>
      <c r="F6" s="71" t="s">
        <v>69</v>
      </c>
      <c r="G6" s="69">
        <f>SUM(D5:D1157)</f>
        <v>0.89388873000000002</v>
      </c>
    </row>
    <row r="7" spans="2:7" ht="15" thickBot="1" x14ac:dyDescent="0.4">
      <c r="B7" s="72">
        <v>44355.397222222222</v>
      </c>
      <c r="C7">
        <v>1.46E-2</v>
      </c>
      <c r="D7" s="73">
        <f>C7*$G$3</f>
        <v>0.25504740000000004</v>
      </c>
      <c r="F7" s="75" t="s">
        <v>75</v>
      </c>
      <c r="G7" s="74">
        <f>D5/G5</f>
        <v>1.0558597291518176E-3</v>
      </c>
    </row>
    <row r="8" spans="2:7" x14ac:dyDescent="0.35">
      <c r="B8" s="72">
        <v>44356.39166666667</v>
      </c>
      <c r="C8">
        <v>1.7569999999999999E-2</v>
      </c>
      <c r="D8" s="73">
        <f>C8*$G$3</f>
        <v>0.30693032999999997</v>
      </c>
    </row>
    <row r="9" spans="2:7" ht="15" thickBot="1" x14ac:dyDescent="0.4">
      <c r="B9" s="68"/>
      <c r="C9" s="67"/>
      <c r="D9" s="31"/>
    </row>
  </sheetData>
  <mergeCells count="1">
    <mergeCell ref="B3:D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0CEA-3D94-4597-9F78-8DBEC5E50A3C}">
  <dimension ref="B2:P26"/>
  <sheetViews>
    <sheetView workbookViewId="0">
      <selection activeCell="C13" sqref="C13"/>
    </sheetView>
  </sheetViews>
  <sheetFormatPr defaultRowHeight="14.5" x14ac:dyDescent="0.35"/>
  <cols>
    <col min="2" max="2" width="30.81640625" bestFit="1" customWidth="1"/>
    <col min="3" max="3" width="18.453125" bestFit="1" customWidth="1"/>
    <col min="4" max="4" width="18.453125" customWidth="1"/>
    <col min="5" max="5" width="20.453125" bestFit="1" customWidth="1"/>
    <col min="6" max="6" width="14.1796875" bestFit="1" customWidth="1"/>
  </cols>
  <sheetData>
    <row r="2" spans="2:16" x14ac:dyDescent="0.35">
      <c r="B2" t="s">
        <v>0</v>
      </c>
      <c r="C2" t="s">
        <v>14</v>
      </c>
      <c r="D2" t="s">
        <v>23</v>
      </c>
      <c r="E2" t="s">
        <v>21</v>
      </c>
      <c r="F2" t="s">
        <v>22</v>
      </c>
      <c r="J2" t="s">
        <v>8</v>
      </c>
      <c r="K2" t="s">
        <v>9</v>
      </c>
      <c r="L2" t="s">
        <v>11</v>
      </c>
      <c r="M2" t="s">
        <v>12</v>
      </c>
      <c r="O2" t="s">
        <v>13</v>
      </c>
      <c r="P2">
        <v>1.2222</v>
      </c>
    </row>
    <row r="4" spans="2:16" x14ac:dyDescent="0.35">
      <c r="B4" t="s">
        <v>2</v>
      </c>
      <c r="C4" s="3">
        <f>C9*E4</f>
        <v>89.574876000000003</v>
      </c>
      <c r="D4" s="3">
        <f>C4+F4</f>
        <v>92.010222097201776</v>
      </c>
      <c r="E4" s="2">
        <v>0.28620000000000001</v>
      </c>
      <c r="F4" s="3">
        <f>$C$12*E4</f>
        <v>2.4353460972017675</v>
      </c>
      <c r="I4" t="s">
        <v>6</v>
      </c>
      <c r="J4" s="5">
        <v>50.080223169999996</v>
      </c>
      <c r="K4" s="4">
        <v>0</v>
      </c>
      <c r="L4" s="4">
        <v>0</v>
      </c>
      <c r="M4" s="4">
        <f>41.266448+26.04032712+24.3847512+22.313628</f>
        <v>114.00515432</v>
      </c>
    </row>
    <row r="5" spans="2:16" x14ac:dyDescent="0.35">
      <c r="B5" t="s">
        <v>3</v>
      </c>
      <c r="C5" s="3">
        <f>C9*E5</f>
        <v>175.33139600000001</v>
      </c>
      <c r="D5" s="3">
        <f t="shared" ref="D5:D6" si="0">C5+F5</f>
        <v>180.09827539780724</v>
      </c>
      <c r="E5" s="2">
        <v>0.56020000000000003</v>
      </c>
      <c r="F5" s="3">
        <f t="shared" ref="F5:F7" si="1">$C$12*E5</f>
        <v>4.7668793978072328</v>
      </c>
      <c r="I5" t="s">
        <v>7</v>
      </c>
      <c r="J5" s="3">
        <v>50.64</v>
      </c>
      <c r="K5" s="3">
        <v>49.1</v>
      </c>
      <c r="L5" s="3"/>
      <c r="M5" s="3">
        <f>136.5-J5</f>
        <v>85.86</v>
      </c>
    </row>
    <row r="6" spans="2:16" x14ac:dyDescent="0.35">
      <c r="B6" t="s">
        <v>4</v>
      </c>
      <c r="C6" s="3">
        <f>C9*E6</f>
        <v>48.073727999999996</v>
      </c>
      <c r="D6" s="3">
        <f t="shared" si="0"/>
        <v>49.380748127638682</v>
      </c>
      <c r="E6" s="2">
        <v>0.15359999999999999</v>
      </c>
      <c r="F6" s="3">
        <f t="shared" si="1"/>
        <v>1.3070201276386841</v>
      </c>
      <c r="I6" t="s">
        <v>10</v>
      </c>
    </row>
    <row r="7" spans="2:16" x14ac:dyDescent="0.35">
      <c r="B7" t="s">
        <v>5</v>
      </c>
      <c r="C7" s="3">
        <v>0</v>
      </c>
      <c r="D7" s="3"/>
      <c r="E7" s="2">
        <f>($E$9*C7)/$C$10</f>
        <v>0</v>
      </c>
      <c r="F7" s="3">
        <f t="shared" si="1"/>
        <v>0</v>
      </c>
    </row>
    <row r="8" spans="2:16" x14ac:dyDescent="0.35">
      <c r="C8" s="3"/>
      <c r="D8" s="3"/>
    </row>
    <row r="9" spans="2:16" x14ac:dyDescent="0.35">
      <c r="B9" t="s">
        <v>17</v>
      </c>
      <c r="C9" s="3">
        <v>312.98</v>
      </c>
      <c r="D9" s="3"/>
      <c r="E9" s="1">
        <v>1</v>
      </c>
    </row>
    <row r="10" spans="2:16" x14ac:dyDescent="0.35">
      <c r="B10" t="s">
        <v>18</v>
      </c>
      <c r="C10" s="4">
        <f>C9*P2</f>
        <v>382.524156</v>
      </c>
      <c r="D10" s="4"/>
    </row>
    <row r="12" spans="2:16" x14ac:dyDescent="0.35">
      <c r="B12" t="s">
        <v>19</v>
      </c>
      <c r="C12" s="3">
        <f>C13/P2</f>
        <v>8.5092456226476845</v>
      </c>
      <c r="D12" s="3"/>
    </row>
    <row r="13" spans="2:16" x14ac:dyDescent="0.35">
      <c r="B13" t="s">
        <v>20</v>
      </c>
      <c r="C13" s="4">
        <v>10.4</v>
      </c>
      <c r="D13" s="4"/>
    </row>
    <row r="23" spans="8:8" x14ac:dyDescent="0.35">
      <c r="H23" s="2"/>
    </row>
    <row r="24" spans="8:8" x14ac:dyDescent="0.35">
      <c r="H24" s="2"/>
    </row>
    <row r="25" spans="8:8" x14ac:dyDescent="0.35">
      <c r="H25" s="2"/>
    </row>
    <row r="26" spans="8:8" x14ac:dyDescent="0.35">
      <c r="H26" s="2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D413-AC47-40A7-B870-457A36511527}">
  <dimension ref="B1:P31"/>
  <sheetViews>
    <sheetView zoomScaleNormal="100" workbookViewId="0">
      <selection activeCell="E9" sqref="E9"/>
    </sheetView>
  </sheetViews>
  <sheetFormatPr defaultRowHeight="14.5" x14ac:dyDescent="0.35"/>
  <cols>
    <col min="2" max="2" width="34.453125" bestFit="1" customWidth="1"/>
    <col min="3" max="3" width="23.7265625" bestFit="1" customWidth="1"/>
    <col min="4" max="4" width="20.26953125" bestFit="1" customWidth="1"/>
    <col min="5" max="6" width="26.26953125" bestFit="1" customWidth="1"/>
    <col min="7" max="7" width="18.26953125" bestFit="1" customWidth="1"/>
  </cols>
  <sheetData>
    <row r="1" spans="2:16" ht="15" thickBot="1" x14ac:dyDescent="0.4"/>
    <row r="2" spans="2:16" ht="19" thickBot="1" x14ac:dyDescent="0.4">
      <c r="B2" s="20" t="s">
        <v>0</v>
      </c>
      <c r="C2" s="21" t="s">
        <v>14</v>
      </c>
      <c r="D2" s="21" t="s">
        <v>23</v>
      </c>
      <c r="E2" s="21" t="s">
        <v>47</v>
      </c>
      <c r="F2" s="21" t="s">
        <v>21</v>
      </c>
      <c r="G2" s="22" t="s">
        <v>22</v>
      </c>
      <c r="K2" t="s">
        <v>8</v>
      </c>
      <c r="L2" t="s">
        <v>9</v>
      </c>
      <c r="M2" t="s">
        <v>11</v>
      </c>
      <c r="N2" t="s">
        <v>12</v>
      </c>
      <c r="O2" t="s">
        <v>25</v>
      </c>
      <c r="P2" t="s">
        <v>13</v>
      </c>
    </row>
    <row r="3" spans="2:16" x14ac:dyDescent="0.35">
      <c r="B3" s="14" t="s">
        <v>2</v>
      </c>
      <c r="C3" s="15">
        <f>$C$9*F3</f>
        <v>86.269853999999995</v>
      </c>
      <c r="D3" s="15">
        <f>C3+G3</f>
        <v>94.273176950819675</v>
      </c>
      <c r="E3" s="15">
        <v>2.44</v>
      </c>
      <c r="F3" s="16">
        <v>0.21540000000000001</v>
      </c>
      <c r="G3" s="23">
        <f>$C$12*F3+E3</f>
        <v>8.0033229508196726</v>
      </c>
    </row>
    <row r="4" spans="2:16" x14ac:dyDescent="0.35">
      <c r="B4" s="14" t="s">
        <v>3</v>
      </c>
      <c r="C4" s="15">
        <f>$C$9*F4</f>
        <v>168.89506700000001</v>
      </c>
      <c r="D4" s="15">
        <f>C4+G4</f>
        <v>184.55667929508198</v>
      </c>
      <c r="E4" s="15">
        <v>4.7699999999999996</v>
      </c>
      <c r="F4" s="16">
        <v>0.42170000000000002</v>
      </c>
      <c r="G4" s="23">
        <f t="shared" ref="G4:G7" si="0">$C$12*F4+E4</f>
        <v>15.661612295081969</v>
      </c>
      <c r="J4" t="s">
        <v>6</v>
      </c>
      <c r="K4" s="6">
        <v>50.080223169999996</v>
      </c>
      <c r="L4" s="4">
        <v>0</v>
      </c>
      <c r="M4" s="4">
        <v>0</v>
      </c>
      <c r="N4" s="4">
        <f>41.266448+26.04032712+24.3847512+22.313628</f>
        <v>114.00515432</v>
      </c>
      <c r="O4" s="4">
        <v>129.02959999999999</v>
      </c>
    </row>
    <row r="5" spans="2:16" x14ac:dyDescent="0.35">
      <c r="B5" s="14" t="s">
        <v>4</v>
      </c>
      <c r="C5" s="15">
        <f>$C$9*F5</f>
        <v>46.298955999999997</v>
      </c>
      <c r="D5" s="15">
        <f>C5+G5</f>
        <v>50.594657639344263</v>
      </c>
      <c r="E5" s="15">
        <v>1.31</v>
      </c>
      <c r="F5" s="16">
        <v>0.11559999999999999</v>
      </c>
      <c r="G5" s="23">
        <f t="shared" si="0"/>
        <v>4.2957016393442622</v>
      </c>
      <c r="J5" t="s">
        <v>7</v>
      </c>
      <c r="K5" s="3">
        <v>50.64</v>
      </c>
      <c r="L5" s="3">
        <v>49.1</v>
      </c>
      <c r="M5" s="3"/>
      <c r="N5" s="3">
        <f>136.5-K5</f>
        <v>85.86</v>
      </c>
    </row>
    <row r="6" spans="2:16" x14ac:dyDescent="0.35">
      <c r="B6" s="14" t="s">
        <v>5</v>
      </c>
      <c r="C6" s="15">
        <f>$C$9*F6</f>
        <v>0</v>
      </c>
      <c r="D6" s="15"/>
      <c r="E6" s="15">
        <v>0</v>
      </c>
      <c r="F6" s="16">
        <v>0</v>
      </c>
      <c r="G6" s="23">
        <f t="shared" si="0"/>
        <v>0</v>
      </c>
      <c r="J6" t="s">
        <v>10</v>
      </c>
    </row>
    <row r="7" spans="2:16" ht="15" thickBot="1" x14ac:dyDescent="0.4">
      <c r="B7" s="17" t="s">
        <v>24</v>
      </c>
      <c r="C7" s="18">
        <f>$C$9*F7</f>
        <v>99.006072000000003</v>
      </c>
      <c r="D7" s="18">
        <f>C7+G7</f>
        <v>105.39072118032787</v>
      </c>
      <c r="E7" s="18">
        <v>0</v>
      </c>
      <c r="F7" s="19">
        <v>0.2472</v>
      </c>
      <c r="G7" s="23">
        <f t="shared" si="0"/>
        <v>6.3846491803278695</v>
      </c>
    </row>
    <row r="8" spans="2:16" ht="15" thickBot="1" x14ac:dyDescent="0.4"/>
    <row r="9" spans="2:16" x14ac:dyDescent="0.35">
      <c r="B9" s="28" t="s">
        <v>26</v>
      </c>
      <c r="C9" s="24">
        <v>400.51</v>
      </c>
      <c r="D9" s="3"/>
    </row>
    <row r="10" spans="2:16" ht="15" thickBot="1" x14ac:dyDescent="0.4">
      <c r="B10" s="9" t="s">
        <v>16</v>
      </c>
      <c r="C10" s="26">
        <f>C9*F10</f>
        <v>488.62219999999996</v>
      </c>
      <c r="E10" t="s">
        <v>37</v>
      </c>
      <c r="F10">
        <v>1.22</v>
      </c>
    </row>
    <row r="11" spans="2:16" ht="15" thickBot="1" x14ac:dyDescent="0.4">
      <c r="B11" s="8"/>
      <c r="C11" s="7"/>
    </row>
    <row r="12" spans="2:16" ht="51.75" customHeight="1" x14ac:dyDescent="0.35">
      <c r="B12" s="28" t="s">
        <v>27</v>
      </c>
      <c r="C12" s="24">
        <f>C13/F10</f>
        <v>25.827868852459019</v>
      </c>
      <c r="E12" s="102" t="s">
        <v>40</v>
      </c>
      <c r="F12" s="102"/>
    </row>
    <row r="13" spans="2:16" ht="15" thickBot="1" x14ac:dyDescent="0.4">
      <c r="B13" s="9" t="s">
        <v>28</v>
      </c>
      <c r="C13" s="26">
        <f>MAX(D$20:D$1048576)</f>
        <v>31.51</v>
      </c>
    </row>
    <row r="14" spans="2:16" ht="15" thickBot="1" x14ac:dyDescent="0.4">
      <c r="B14" s="8"/>
      <c r="C14" s="7"/>
    </row>
    <row r="15" spans="2:16" ht="18.5" x14ac:dyDescent="0.45">
      <c r="B15" s="29" t="s">
        <v>29</v>
      </c>
      <c r="C15" s="27">
        <f>C9+C12</f>
        <v>426.337868852459</v>
      </c>
    </row>
    <row r="16" spans="2:16" ht="19" thickBot="1" x14ac:dyDescent="0.5">
      <c r="B16" s="30" t="s">
        <v>30</v>
      </c>
      <c r="C16" s="25">
        <f>C10+C13</f>
        <v>520.13220000000001</v>
      </c>
    </row>
    <row r="17" spans="2:11" ht="15" thickBot="1" x14ac:dyDescent="0.4"/>
    <row r="18" spans="2:11" ht="19" thickBot="1" x14ac:dyDescent="0.5">
      <c r="B18" s="99" t="s">
        <v>36</v>
      </c>
      <c r="C18" s="100"/>
      <c r="D18" s="100"/>
      <c r="E18" s="100"/>
      <c r="F18" s="100"/>
      <c r="G18" s="101"/>
    </row>
    <row r="19" spans="2:11" ht="15" thickBot="1" x14ac:dyDescent="0.4">
      <c r="B19" s="11" t="s">
        <v>31</v>
      </c>
      <c r="C19" s="12" t="s">
        <v>32</v>
      </c>
      <c r="D19" s="12" t="s">
        <v>33</v>
      </c>
      <c r="E19" s="12" t="s">
        <v>38</v>
      </c>
      <c r="F19" s="12" t="s">
        <v>34</v>
      </c>
      <c r="G19" s="13" t="s">
        <v>35</v>
      </c>
    </row>
    <row r="20" spans="2:11" x14ac:dyDescent="0.35">
      <c r="B20" s="33">
        <v>44344</v>
      </c>
      <c r="C20" s="34">
        <v>4.3</v>
      </c>
      <c r="D20" s="34">
        <v>4.3</v>
      </c>
      <c r="E20" s="16">
        <f>F20</f>
        <v>8.8002550846031369E-3</v>
      </c>
      <c r="F20" s="16">
        <f>G20/$C$10-1</f>
        <v>8.8002550846031369E-3</v>
      </c>
      <c r="G20" s="35">
        <f>$C$10+D20</f>
        <v>492.92219999999998</v>
      </c>
    </row>
    <row r="21" spans="2:11" x14ac:dyDescent="0.35">
      <c r="B21" s="33">
        <v>44345</v>
      </c>
      <c r="C21" s="34">
        <f>D21-D20</f>
        <v>9.9200000000000017</v>
      </c>
      <c r="D21" s="34">
        <v>14.22</v>
      </c>
      <c r="E21" s="16">
        <f>G21/G20-1</f>
        <v>2.012487974775734E-2</v>
      </c>
      <c r="F21" s="16">
        <f>G21/$C$10-1</f>
        <v>2.9102238907687816E-2</v>
      </c>
      <c r="G21" s="35">
        <f>$C$10+D21</f>
        <v>502.84219999999999</v>
      </c>
    </row>
    <row r="22" spans="2:11" x14ac:dyDescent="0.35">
      <c r="B22" s="33">
        <v>44346</v>
      </c>
      <c r="C22" s="34">
        <f>D22-D21</f>
        <v>11.49</v>
      </c>
      <c r="D22" s="34">
        <v>25.71</v>
      </c>
      <c r="E22" s="16">
        <f>G22/G21-1</f>
        <v>2.2850110829997883E-2</v>
      </c>
      <c r="F22" s="16">
        <f>G22/$C$10-1</f>
        <v>5.2617339122127404E-2</v>
      </c>
      <c r="G22" s="35">
        <f>$C$10+D22</f>
        <v>514.33219999999994</v>
      </c>
      <c r="H22" t="s">
        <v>39</v>
      </c>
    </row>
    <row r="23" spans="2:11" x14ac:dyDescent="0.35">
      <c r="B23" s="33">
        <v>44347</v>
      </c>
      <c r="C23" s="34">
        <f>D23-D22</f>
        <v>5.8000000000000007</v>
      </c>
      <c r="D23" s="34">
        <v>31.51</v>
      </c>
      <c r="E23" s="16">
        <f>G23/G22-1</f>
        <v>1.1276758484108251E-2</v>
      </c>
      <c r="F23" s="16">
        <f>G23/$C$10-1</f>
        <v>6.4487450631592447E-2</v>
      </c>
      <c r="G23" s="35">
        <f>$C$10+D23</f>
        <v>520.13220000000001</v>
      </c>
    </row>
    <row r="24" spans="2:11" ht="15" thickBot="1" x14ac:dyDescent="0.4">
      <c r="B24" s="9"/>
      <c r="C24" s="32"/>
      <c r="D24" s="32"/>
      <c r="E24" s="32"/>
      <c r="F24" s="32"/>
      <c r="G24" s="31"/>
    </row>
    <row r="26" spans="2:11" x14ac:dyDescent="0.35">
      <c r="B26" s="36"/>
    </row>
    <row r="27" spans="2:11" x14ac:dyDescent="0.35">
      <c r="J27" s="3"/>
      <c r="K27" s="1"/>
    </row>
    <row r="28" spans="2:11" x14ac:dyDescent="0.35">
      <c r="J28" s="4"/>
    </row>
    <row r="30" spans="2:11" x14ac:dyDescent="0.35">
      <c r="J30" s="3"/>
    </row>
    <row r="31" spans="2:11" x14ac:dyDescent="0.35">
      <c r="J31" s="4"/>
    </row>
  </sheetData>
  <mergeCells count="2">
    <mergeCell ref="B18:G18"/>
    <mergeCell ref="E12:F12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8107-592F-4CA9-AB8A-FE66D5430473}">
  <dimension ref="B1:P33"/>
  <sheetViews>
    <sheetView workbookViewId="0">
      <selection activeCell="G8" sqref="G8"/>
    </sheetView>
  </sheetViews>
  <sheetFormatPr defaultRowHeight="14.5" x14ac:dyDescent="0.35"/>
  <cols>
    <col min="2" max="2" width="34.453125" bestFit="1" customWidth="1"/>
    <col min="3" max="3" width="23.7265625" bestFit="1" customWidth="1"/>
    <col min="4" max="4" width="20.26953125" bestFit="1" customWidth="1"/>
    <col min="5" max="5" width="22.7265625" bestFit="1" customWidth="1"/>
    <col min="6" max="6" width="26.26953125" bestFit="1" customWidth="1"/>
    <col min="7" max="7" width="18.26953125" bestFit="1" customWidth="1"/>
    <col min="11" max="11" width="13.1796875" bestFit="1" customWidth="1"/>
    <col min="12" max="12" width="11" bestFit="1" customWidth="1"/>
    <col min="14" max="14" width="10.26953125" bestFit="1" customWidth="1"/>
  </cols>
  <sheetData>
    <row r="1" spans="2:16" ht="15" thickBot="1" x14ac:dyDescent="0.4"/>
    <row r="2" spans="2:16" ht="19" thickBot="1" x14ac:dyDescent="0.4">
      <c r="B2" s="20" t="s">
        <v>0</v>
      </c>
      <c r="C2" s="21" t="s">
        <v>14</v>
      </c>
      <c r="D2" s="21" t="s">
        <v>23</v>
      </c>
      <c r="E2" s="21" t="s">
        <v>47</v>
      </c>
      <c r="F2" s="21" t="s">
        <v>21</v>
      </c>
      <c r="G2" s="22" t="s">
        <v>22</v>
      </c>
      <c r="K2" t="s">
        <v>8</v>
      </c>
      <c r="L2" t="s">
        <v>9</v>
      </c>
      <c r="M2" t="s">
        <v>11</v>
      </c>
      <c r="N2" t="s">
        <v>12</v>
      </c>
      <c r="O2" t="s">
        <v>25</v>
      </c>
      <c r="P2" t="s">
        <v>41</v>
      </c>
    </row>
    <row r="3" spans="2:16" x14ac:dyDescent="0.35">
      <c r="B3" s="14" t="s">
        <v>2</v>
      </c>
      <c r="C3" s="15">
        <f>$C$10*F3</f>
        <v>138.95281557377049</v>
      </c>
      <c r="D3" s="15">
        <f>C3+G3</f>
        <v>149.04026475409836</v>
      </c>
      <c r="E3" s="15">
        <v>9.3000000000000007</v>
      </c>
      <c r="F3" s="16">
        <v>6.1899999999999997E-2</v>
      </c>
      <c r="G3" s="23">
        <f>$C$13*F3+E3</f>
        <v>10.087449180327869</v>
      </c>
    </row>
    <row r="4" spans="2:16" x14ac:dyDescent="0.35">
      <c r="B4" s="14" t="s">
        <v>3</v>
      </c>
      <c r="C4" s="15">
        <f>$C$10*F4</f>
        <v>175.7674549180328</v>
      </c>
      <c r="D4" s="15">
        <f>C4+G4</f>
        <v>194.9735336065574</v>
      </c>
      <c r="E4" s="15">
        <v>18.21</v>
      </c>
      <c r="F4" s="16">
        <v>7.8299999999999995E-2</v>
      </c>
      <c r="G4" s="23">
        <f t="shared" ref="G4:G7" si="0">$C$13*F4+E4</f>
        <v>19.206078688524592</v>
      </c>
      <c r="J4" t="s">
        <v>6</v>
      </c>
      <c r="K4" s="6">
        <v>50.080223169999996</v>
      </c>
      <c r="L4" s="4">
        <v>0</v>
      </c>
      <c r="M4" s="4">
        <v>0</v>
      </c>
      <c r="N4" s="4">
        <f>41.266448+26.04032712+24.3847512+22.313628</f>
        <v>114.00515432</v>
      </c>
      <c r="O4" s="4">
        <v>129.02959999999999</v>
      </c>
      <c r="P4" s="4">
        <v>2133.3837699999999</v>
      </c>
    </row>
    <row r="5" spans="2:16" x14ac:dyDescent="0.35">
      <c r="B5" s="14" t="s">
        <v>4</v>
      </c>
      <c r="C5" s="15">
        <f t="shared" ref="C5:C8" si="1">$C$10*F5</f>
        <v>97.648586065573767</v>
      </c>
      <c r="D5" s="15">
        <f>C5+G5</f>
        <v>103.20196311475409</v>
      </c>
      <c r="E5" s="15">
        <v>5</v>
      </c>
      <c r="F5" s="16">
        <v>4.3499999999999997E-2</v>
      </c>
      <c r="G5" s="23">
        <f t="shared" si="0"/>
        <v>5.5533770491803276</v>
      </c>
      <c r="J5" t="s">
        <v>42</v>
      </c>
      <c r="K5" s="37">
        <f>K4/$F$11</f>
        <v>41.04936325409836</v>
      </c>
      <c r="L5" s="37">
        <f t="shared" ref="L5:P5" si="2">L4/$F$11</f>
        <v>0</v>
      </c>
      <c r="M5" s="37">
        <f t="shared" si="2"/>
        <v>0</v>
      </c>
      <c r="N5" s="37">
        <f t="shared" si="2"/>
        <v>93.446847803278686</v>
      </c>
      <c r="O5" s="37">
        <f t="shared" si="2"/>
        <v>105.76196721311474</v>
      </c>
      <c r="P5" s="37">
        <f t="shared" si="2"/>
        <v>1748.6752213114753</v>
      </c>
    </row>
    <row r="6" spans="2:16" x14ac:dyDescent="0.35">
      <c r="B6" s="14" t="s">
        <v>5</v>
      </c>
      <c r="C6" s="15">
        <f t="shared" si="1"/>
        <v>0</v>
      </c>
      <c r="D6" s="15"/>
      <c r="E6" s="15">
        <v>0</v>
      </c>
      <c r="F6" s="16">
        <v>0</v>
      </c>
      <c r="G6" s="23">
        <f t="shared" si="0"/>
        <v>0</v>
      </c>
      <c r="J6" t="s">
        <v>7</v>
      </c>
      <c r="K6" s="3">
        <v>50.64</v>
      </c>
      <c r="L6" s="3">
        <v>49.1</v>
      </c>
      <c r="M6" s="3"/>
      <c r="N6" s="3">
        <f>136.5-K6</f>
        <v>85.86</v>
      </c>
    </row>
    <row r="7" spans="2:16" x14ac:dyDescent="0.35">
      <c r="B7" s="14" t="s">
        <v>43</v>
      </c>
      <c r="C7" s="15">
        <f t="shared" si="1"/>
        <v>1729.3901311475411</v>
      </c>
      <c r="D7" s="15">
        <f>C7+G7</f>
        <v>1764.2906295081968</v>
      </c>
      <c r="E7" s="15">
        <v>25.1</v>
      </c>
      <c r="F7" s="16">
        <v>0.77039999999999997</v>
      </c>
      <c r="G7" s="23">
        <f t="shared" si="0"/>
        <v>34.900498360655739</v>
      </c>
      <c r="K7" s="3"/>
      <c r="L7" s="3"/>
      <c r="M7" s="3"/>
      <c r="N7" s="3"/>
    </row>
    <row r="8" spans="2:16" ht="15" thickBot="1" x14ac:dyDescent="0.4">
      <c r="B8" s="17" t="s">
        <v>24</v>
      </c>
      <c r="C8" s="38">
        <f t="shared" si="1"/>
        <v>103.03609426229509</v>
      </c>
      <c r="D8" s="18">
        <f>C8+G8</f>
        <v>111.5000024590164</v>
      </c>
      <c r="E8" s="18">
        <v>7.88</v>
      </c>
      <c r="F8" s="19">
        <v>4.5900000000000003E-2</v>
      </c>
      <c r="G8" s="23">
        <f>$C$13*F8+E8</f>
        <v>8.4639081967213112</v>
      </c>
      <c r="J8" t="s">
        <v>10</v>
      </c>
    </row>
    <row r="9" spans="2:16" ht="15" thickBot="1" x14ac:dyDescent="0.4"/>
    <row r="10" spans="2:16" x14ac:dyDescent="0.35">
      <c r="B10" s="28" t="s">
        <v>26</v>
      </c>
      <c r="C10" s="24">
        <f>C11/F11</f>
        <v>2244.7950819672133</v>
      </c>
      <c r="D10" s="3"/>
    </row>
    <row r="11" spans="2:16" ht="15" thickBot="1" x14ac:dyDescent="0.4">
      <c r="B11" s="9" t="s">
        <v>16</v>
      </c>
      <c r="C11" s="26">
        <v>2738.65</v>
      </c>
      <c r="E11" t="s">
        <v>37</v>
      </c>
      <c r="F11">
        <v>1.22</v>
      </c>
      <c r="N11" s="106" t="s">
        <v>50</v>
      </c>
      <c r="O11" s="106"/>
      <c r="P11" s="106"/>
    </row>
    <row r="12" spans="2:16" ht="15" thickBot="1" x14ac:dyDescent="0.4">
      <c r="B12" s="8"/>
      <c r="C12" s="7"/>
      <c r="K12" s="3" t="s">
        <v>8</v>
      </c>
      <c r="L12" s="3">
        <f>89.44+49.1</f>
        <v>138.54</v>
      </c>
      <c r="M12" s="2">
        <f>L12/$L$19</f>
        <v>6.1907634559957098E-2</v>
      </c>
      <c r="N12" s="4">
        <f>$L$22*M12</f>
        <v>138.96995359641517</v>
      </c>
    </row>
    <row r="13" spans="2:16" x14ac:dyDescent="0.35">
      <c r="B13" s="28" t="s">
        <v>27</v>
      </c>
      <c r="C13" s="24">
        <f>C14/F11</f>
        <v>12.721311475409836</v>
      </c>
      <c r="E13" s="102" t="s">
        <v>40</v>
      </c>
      <c r="F13" s="102"/>
      <c r="K13" t="s">
        <v>12</v>
      </c>
      <c r="L13" s="3">
        <v>175.24</v>
      </c>
      <c r="M13" s="2">
        <f t="shared" ref="M13:M17" si="3">L13/$L$19</f>
        <v>7.8307303885425755E-2</v>
      </c>
      <c r="N13" s="4">
        <f t="shared" ref="N13:N17" si="4">$L$22*M13</f>
        <v>175.78385064411577</v>
      </c>
    </row>
    <row r="14" spans="2:16" ht="15" thickBot="1" x14ac:dyDescent="0.4">
      <c r="B14" s="9" t="s">
        <v>28</v>
      </c>
      <c r="C14" s="26">
        <f>MAX(D21:D702)+MAX(D29:D814)</f>
        <v>15.52</v>
      </c>
      <c r="K14" s="4" t="s">
        <v>9</v>
      </c>
      <c r="L14" s="40">
        <f>48.14+49.1</f>
        <v>97.240000000000009</v>
      </c>
      <c r="M14" s="2">
        <f t="shared" si="3"/>
        <v>4.345242085036978E-2</v>
      </c>
      <c r="N14" s="4">
        <f t="shared" si="4"/>
        <v>97.541780624479671</v>
      </c>
    </row>
    <row r="15" spans="2:16" ht="15" thickBot="1" x14ac:dyDescent="0.4">
      <c r="B15" s="8"/>
      <c r="C15" s="7"/>
      <c r="K15" s="4" t="s">
        <v>11</v>
      </c>
      <c r="L15" s="39">
        <v>0</v>
      </c>
      <c r="M15" s="2">
        <f t="shared" si="3"/>
        <v>0</v>
      </c>
      <c r="N15" s="4">
        <f t="shared" si="4"/>
        <v>0</v>
      </c>
    </row>
    <row r="16" spans="2:16" ht="18.5" x14ac:dyDescent="0.45">
      <c r="B16" s="29" t="s">
        <v>29</v>
      </c>
      <c r="C16" s="27">
        <f>C10+C13</f>
        <v>2257.5163934426232</v>
      </c>
      <c r="K16" s="4" t="s">
        <v>41</v>
      </c>
      <c r="L16" s="39">
        <v>1724.13</v>
      </c>
      <c r="M16" s="2">
        <f t="shared" si="3"/>
        <v>0.77044037804142373</v>
      </c>
      <c r="N16" s="4">
        <f t="shared" si="4"/>
        <v>1729.4807715763486</v>
      </c>
    </row>
    <row r="17" spans="2:14" ht="19" thickBot="1" x14ac:dyDescent="0.5">
      <c r="B17" s="30" t="s">
        <v>30</v>
      </c>
      <c r="C17" s="25">
        <f>C11+C14</f>
        <v>2754.17</v>
      </c>
      <c r="K17" s="4" t="s">
        <v>25</v>
      </c>
      <c r="L17" s="39">
        <v>102.7</v>
      </c>
      <c r="M17" s="2">
        <f t="shared" si="3"/>
        <v>4.5892262662823695E-2</v>
      </c>
      <c r="N17" s="4">
        <f t="shared" si="4"/>
        <v>103.01872552585419</v>
      </c>
    </row>
    <row r="18" spans="2:14" ht="15" thickBot="1" x14ac:dyDescent="0.4">
      <c r="K18" s="4"/>
      <c r="L18" s="2"/>
      <c r="M18" s="1"/>
    </row>
    <row r="19" spans="2:14" ht="19" thickBot="1" x14ac:dyDescent="0.5">
      <c r="B19" s="99" t="s">
        <v>51</v>
      </c>
      <c r="C19" s="100"/>
      <c r="D19" s="100"/>
      <c r="E19" s="100"/>
      <c r="F19" s="100"/>
      <c r="G19" s="101"/>
      <c r="K19" s="4" t="s">
        <v>10</v>
      </c>
      <c r="L19" s="39">
        <f>SUM(L12:L17)</f>
        <v>2237.85</v>
      </c>
      <c r="M19" s="1">
        <f>SUM(M12:M17)</f>
        <v>1</v>
      </c>
    </row>
    <row r="20" spans="2:14" ht="15" thickBot="1" x14ac:dyDescent="0.4">
      <c r="B20" s="11" t="s">
        <v>31</v>
      </c>
      <c r="C20" s="12" t="s">
        <v>32</v>
      </c>
      <c r="D20" s="12" t="s">
        <v>33</v>
      </c>
      <c r="E20" s="12" t="s">
        <v>38</v>
      </c>
      <c r="F20" s="12" t="s">
        <v>34</v>
      </c>
      <c r="G20" s="13" t="s">
        <v>35</v>
      </c>
      <c r="L20" s="4">
        <f>L19*F11</f>
        <v>2730.1769999999997</v>
      </c>
    </row>
    <row r="21" spans="2:14" x14ac:dyDescent="0.35">
      <c r="B21" s="33">
        <v>44349</v>
      </c>
      <c r="C21" s="34">
        <f>D21</f>
        <v>9.16</v>
      </c>
      <c r="D21" s="34">
        <v>9.16</v>
      </c>
      <c r="E21" s="16">
        <f>C21/G21</f>
        <v>3.3258658688461494E-3</v>
      </c>
      <c r="F21" s="16">
        <f>D21/G21</f>
        <v>3.3258658688461494E-3</v>
      </c>
      <c r="G21" s="35">
        <f>C17</f>
        <v>2754.17</v>
      </c>
      <c r="H21" t="s">
        <v>39</v>
      </c>
      <c r="K21" s="4" t="s">
        <v>48</v>
      </c>
      <c r="L21" s="41">
        <v>2738.65</v>
      </c>
    </row>
    <row r="22" spans="2:14" x14ac:dyDescent="0.35">
      <c r="B22" s="33"/>
      <c r="C22" s="34"/>
      <c r="D22" s="34"/>
      <c r="E22" s="16"/>
      <c r="F22" s="16"/>
      <c r="G22" s="35"/>
      <c r="K22" s="4" t="s">
        <v>49</v>
      </c>
      <c r="L22" s="4">
        <f>L21/F11</f>
        <v>2244.7950819672133</v>
      </c>
    </row>
    <row r="23" spans="2:14" x14ac:dyDescent="0.35">
      <c r="B23" s="103"/>
      <c r="C23" s="104"/>
      <c r="D23" s="104"/>
      <c r="E23" s="104"/>
      <c r="F23" s="104"/>
      <c r="G23" s="105"/>
    </row>
    <row r="24" spans="2:14" x14ac:dyDescent="0.35">
      <c r="B24" s="8"/>
      <c r="C24" s="10"/>
      <c r="D24" s="10"/>
      <c r="E24" s="10"/>
      <c r="F24" s="10"/>
      <c r="G24" s="7"/>
    </row>
    <row r="25" spans="2:14" ht="15" thickBot="1" x14ac:dyDescent="0.4">
      <c r="B25" s="9"/>
      <c r="C25" s="32"/>
      <c r="D25" s="32"/>
      <c r="E25" s="32"/>
      <c r="F25" s="32"/>
      <c r="G25" s="31"/>
    </row>
    <row r="26" spans="2:14" ht="15" thickBot="1" x14ac:dyDescent="0.4"/>
    <row r="27" spans="2:14" ht="19" thickBot="1" x14ac:dyDescent="0.5">
      <c r="B27" s="99" t="s">
        <v>52</v>
      </c>
      <c r="C27" s="100"/>
      <c r="D27" s="100"/>
      <c r="E27" s="100"/>
      <c r="F27" s="100"/>
      <c r="G27" s="101"/>
    </row>
    <row r="28" spans="2:14" ht="15" thickBot="1" x14ac:dyDescent="0.4">
      <c r="B28" s="11" t="s">
        <v>31</v>
      </c>
      <c r="C28" s="12" t="s">
        <v>32</v>
      </c>
      <c r="D28" s="12" t="s">
        <v>33</v>
      </c>
      <c r="E28" s="12" t="s">
        <v>38</v>
      </c>
      <c r="F28" s="12" t="s">
        <v>34</v>
      </c>
      <c r="G28" s="13" t="s">
        <v>35</v>
      </c>
    </row>
    <row r="29" spans="2:14" x14ac:dyDescent="0.35">
      <c r="B29" s="33">
        <v>44349</v>
      </c>
      <c r="C29" s="34">
        <f>D29</f>
        <v>6.36</v>
      </c>
      <c r="D29" s="34">
        <v>6.36</v>
      </c>
      <c r="E29" s="16">
        <f>C29/G29</f>
        <v>2.3092256469281129E-3</v>
      </c>
      <c r="F29" s="16">
        <f>D29/G29</f>
        <v>2.3092256469281129E-3</v>
      </c>
      <c r="G29" s="35">
        <f>C17</f>
        <v>2754.17</v>
      </c>
    </row>
    <row r="30" spans="2:14" x14ac:dyDescent="0.35">
      <c r="B30" s="33"/>
      <c r="C30" s="34"/>
      <c r="D30" s="34"/>
      <c r="E30" s="16"/>
      <c r="F30" s="16"/>
      <c r="G30" s="35"/>
    </row>
    <row r="31" spans="2:14" x14ac:dyDescent="0.35">
      <c r="B31" s="33"/>
      <c r="C31" s="34"/>
      <c r="D31" s="34"/>
      <c r="E31" s="16"/>
      <c r="F31" s="16"/>
      <c r="G31" s="35"/>
    </row>
    <row r="32" spans="2:14" x14ac:dyDescent="0.35">
      <c r="B32" s="8"/>
      <c r="C32" s="10"/>
      <c r="D32" s="10"/>
      <c r="E32" s="10"/>
      <c r="F32" s="10"/>
      <c r="G32" s="7"/>
    </row>
    <row r="33" spans="2:7" ht="15" thickBot="1" x14ac:dyDescent="0.4">
      <c r="B33" s="9"/>
      <c r="C33" s="32"/>
      <c r="D33" s="32"/>
      <c r="E33" s="32"/>
      <c r="F33" s="32"/>
      <c r="G33" s="31"/>
    </row>
  </sheetData>
  <mergeCells count="5">
    <mergeCell ref="E13:F13"/>
    <mergeCell ref="B19:G19"/>
    <mergeCell ref="B23:G23"/>
    <mergeCell ref="B27:G27"/>
    <mergeCell ref="N11:P1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F10F-637D-411C-9BB2-41F75826718C}">
  <dimension ref="B1:P33"/>
  <sheetViews>
    <sheetView workbookViewId="0">
      <selection activeCell="G3" sqref="G3:G8"/>
    </sheetView>
  </sheetViews>
  <sheetFormatPr defaultRowHeight="14.5" x14ac:dyDescent="0.35"/>
  <cols>
    <col min="2" max="2" width="34.453125" bestFit="1" customWidth="1"/>
    <col min="3" max="3" width="23.7265625" bestFit="1" customWidth="1"/>
    <col min="4" max="4" width="20.26953125" bestFit="1" customWidth="1"/>
    <col min="5" max="6" width="26.26953125" bestFit="1" customWidth="1"/>
    <col min="7" max="7" width="18.26953125" bestFit="1" customWidth="1"/>
    <col min="9" max="9" width="14.26953125" bestFit="1" customWidth="1"/>
    <col min="10" max="10" width="9.26953125" bestFit="1" customWidth="1"/>
    <col min="11" max="11" width="11.1796875" bestFit="1" customWidth="1"/>
    <col min="12" max="12" width="8" bestFit="1" customWidth="1"/>
    <col min="13" max="13" width="9.26953125" bestFit="1" customWidth="1"/>
    <col min="14" max="14" width="10.26953125" bestFit="1" customWidth="1"/>
    <col min="15" max="15" width="12.1796875" bestFit="1" customWidth="1"/>
    <col min="16" max="16" width="23.26953125" bestFit="1" customWidth="1"/>
  </cols>
  <sheetData>
    <row r="1" spans="2:16" ht="15" thickBot="1" x14ac:dyDescent="0.4"/>
    <row r="2" spans="2:16" ht="19" thickBot="1" x14ac:dyDescent="0.4">
      <c r="B2" s="20" t="s">
        <v>0</v>
      </c>
      <c r="C2" s="21" t="s">
        <v>14</v>
      </c>
      <c r="D2" s="21" t="s">
        <v>23</v>
      </c>
      <c r="E2" s="21" t="s">
        <v>47</v>
      </c>
      <c r="F2" s="21" t="s">
        <v>21</v>
      </c>
      <c r="G2" s="22" t="s">
        <v>22</v>
      </c>
      <c r="K2" t="s">
        <v>8</v>
      </c>
      <c r="L2" t="s">
        <v>9</v>
      </c>
      <c r="M2" t="s">
        <v>11</v>
      </c>
      <c r="N2" t="s">
        <v>12</v>
      </c>
      <c r="O2" t="s">
        <v>25</v>
      </c>
      <c r="P2" t="s">
        <v>41</v>
      </c>
    </row>
    <row r="3" spans="2:16" x14ac:dyDescent="0.35">
      <c r="B3" s="14" t="s">
        <v>2</v>
      </c>
      <c r="C3" s="15">
        <f>$C$10*F3</f>
        <v>89.437609836065562</v>
      </c>
      <c r="D3" s="15">
        <f>C3+G3</f>
        <v>98.739577049180312</v>
      </c>
      <c r="E3" s="15">
        <v>8</v>
      </c>
      <c r="F3" s="16">
        <v>4.1799999999999997E-2</v>
      </c>
      <c r="G3" s="23">
        <f>$C$13*F3+E3</f>
        <v>9.3019672131147537</v>
      </c>
    </row>
    <row r="4" spans="2:16" x14ac:dyDescent="0.35">
      <c r="B4" s="14" t="s">
        <v>3</v>
      </c>
      <c r="C4" s="15">
        <f t="shared" ref="C4:C8" si="0">$C$10*F4</f>
        <v>175.23780491803279</v>
      </c>
      <c r="D4" s="15">
        <f>C4+G4</f>
        <v>193.44878852459016</v>
      </c>
      <c r="E4" s="15">
        <v>15.66</v>
      </c>
      <c r="F4" s="16">
        <v>8.1900000000000001E-2</v>
      </c>
      <c r="G4" s="23">
        <f t="shared" ref="G4:G8" si="1">$C$13*F4+E4</f>
        <v>18.210983606557377</v>
      </c>
      <c r="J4" t="s">
        <v>6</v>
      </c>
      <c r="K4" s="6">
        <v>50.080223169999996</v>
      </c>
      <c r="L4" s="4">
        <v>0</v>
      </c>
      <c r="M4" s="4">
        <v>0</v>
      </c>
      <c r="N4" s="4">
        <f>41.266448+26.04032712+24.3847512+22.313628</f>
        <v>114.00515432</v>
      </c>
      <c r="O4" s="4">
        <v>129.02959999999999</v>
      </c>
      <c r="P4" s="4">
        <v>2133.3837699999999</v>
      </c>
    </row>
    <row r="5" spans="2:16" x14ac:dyDescent="0.35">
      <c r="B5" s="14" t="s">
        <v>4</v>
      </c>
      <c r="C5" s="15">
        <f t="shared" si="0"/>
        <v>48.142254098360652</v>
      </c>
      <c r="D5" s="15">
        <f>C5+G5</f>
        <v>53.143073770491796</v>
      </c>
      <c r="E5" s="15">
        <v>4.3</v>
      </c>
      <c r="F5" s="16">
        <v>2.2499999999999999E-2</v>
      </c>
      <c r="G5" s="23">
        <f t="shared" si="1"/>
        <v>5.0008196721311471</v>
      </c>
      <c r="J5" t="s">
        <v>42</v>
      </c>
      <c r="K5" s="37">
        <f>K4/$F$11</f>
        <v>41.04936325409836</v>
      </c>
      <c r="L5" s="37">
        <f t="shared" ref="L5:P5" si="2">L4/$F$11</f>
        <v>0</v>
      </c>
      <c r="M5" s="37">
        <f t="shared" si="2"/>
        <v>0</v>
      </c>
      <c r="N5" s="37">
        <f t="shared" si="2"/>
        <v>93.446847803278686</v>
      </c>
      <c r="O5" s="37">
        <f t="shared" si="2"/>
        <v>105.76196721311474</v>
      </c>
      <c r="P5" s="37">
        <f t="shared" si="2"/>
        <v>1748.6752213114753</v>
      </c>
    </row>
    <row r="6" spans="2:16" x14ac:dyDescent="0.35">
      <c r="B6" s="14" t="s">
        <v>5</v>
      </c>
      <c r="C6" s="15">
        <f t="shared" si="0"/>
        <v>0</v>
      </c>
      <c r="D6" s="15"/>
      <c r="E6" s="15">
        <v>0</v>
      </c>
      <c r="F6" s="16">
        <v>0</v>
      </c>
      <c r="G6" s="23">
        <f t="shared" si="1"/>
        <v>0</v>
      </c>
      <c r="J6" t="s">
        <v>7</v>
      </c>
      <c r="K6" s="3">
        <v>50.64</v>
      </c>
      <c r="L6" s="3">
        <v>49.1</v>
      </c>
      <c r="M6" s="3"/>
      <c r="N6" s="3">
        <f>136.5-K6</f>
        <v>85.86</v>
      </c>
    </row>
    <row r="7" spans="2:16" x14ac:dyDescent="0.35">
      <c r="B7" s="14" t="s">
        <v>43</v>
      </c>
      <c r="C7" s="15">
        <f t="shared" si="0"/>
        <v>1724.1345934426229</v>
      </c>
      <c r="D7" s="15">
        <f>C7+G7</f>
        <v>1749.2332819672131</v>
      </c>
      <c r="E7" s="15">
        <v>0</v>
      </c>
      <c r="F7" s="16">
        <v>0.80579999999999996</v>
      </c>
      <c r="G7" s="23">
        <f t="shared" si="1"/>
        <v>25.098688524590163</v>
      </c>
      <c r="K7" s="3"/>
      <c r="L7" s="3"/>
      <c r="M7" s="3"/>
      <c r="N7" s="3"/>
    </row>
    <row r="8" spans="2:16" ht="15" thickBot="1" x14ac:dyDescent="0.4">
      <c r="B8" s="17" t="s">
        <v>24</v>
      </c>
      <c r="C8" s="38">
        <f t="shared" si="0"/>
        <v>102.70347540983607</v>
      </c>
      <c r="D8" s="18">
        <f>C8+G8</f>
        <v>110.57855737704919</v>
      </c>
      <c r="E8" s="18">
        <v>6.38</v>
      </c>
      <c r="F8" s="19">
        <v>4.8000000000000001E-2</v>
      </c>
      <c r="G8" s="23">
        <f t="shared" si="1"/>
        <v>7.8750819672131147</v>
      </c>
      <c r="J8" t="s">
        <v>10</v>
      </c>
    </row>
    <row r="9" spans="2:16" ht="15" thickBot="1" x14ac:dyDescent="0.4"/>
    <row r="10" spans="2:16" x14ac:dyDescent="0.35">
      <c r="B10" s="28" t="s">
        <v>26</v>
      </c>
      <c r="C10" s="24">
        <f>C11/F11</f>
        <v>2139.655737704918</v>
      </c>
      <c r="D10" s="3"/>
    </row>
    <row r="11" spans="2:16" ht="15" thickBot="1" x14ac:dyDescent="0.4">
      <c r="B11" s="9" t="s">
        <v>16</v>
      </c>
      <c r="C11" s="26">
        <v>2610.38</v>
      </c>
      <c r="E11" t="s">
        <v>37</v>
      </c>
      <c r="F11">
        <v>1.22</v>
      </c>
    </row>
    <row r="12" spans="2:16" ht="15" thickBot="1" x14ac:dyDescent="0.4">
      <c r="B12" s="8"/>
      <c r="C12" s="7"/>
      <c r="K12" s="3"/>
    </row>
    <row r="13" spans="2:16" x14ac:dyDescent="0.35">
      <c r="B13" s="28" t="s">
        <v>27</v>
      </c>
      <c r="C13" s="24">
        <f>C14/F11</f>
        <v>31.147540983606557</v>
      </c>
      <c r="E13" s="102" t="s">
        <v>40</v>
      </c>
      <c r="F13" s="102"/>
    </row>
    <row r="14" spans="2:16" ht="15" thickBot="1" x14ac:dyDescent="0.4">
      <c r="B14" s="9" t="s">
        <v>28</v>
      </c>
      <c r="C14" s="26">
        <f>MAX(D21:D702)+MAX(D29:D814)</f>
        <v>38</v>
      </c>
      <c r="K14" s="4"/>
      <c r="L14" s="2"/>
    </row>
    <row r="15" spans="2:16" ht="15" thickBot="1" x14ac:dyDescent="0.4">
      <c r="B15" s="8"/>
      <c r="C15" s="7"/>
      <c r="K15" s="4"/>
      <c r="L15" s="2"/>
    </row>
    <row r="16" spans="2:16" ht="18.5" x14ac:dyDescent="0.45">
      <c r="B16" s="29" t="s">
        <v>29</v>
      </c>
      <c r="C16" s="27">
        <f>C10+C13</f>
        <v>2170.8032786885246</v>
      </c>
      <c r="K16" s="4"/>
      <c r="L16" s="2"/>
    </row>
    <row r="17" spans="2:12" ht="19" thickBot="1" x14ac:dyDescent="0.5">
      <c r="B17" s="30" t="s">
        <v>30</v>
      </c>
      <c r="C17" s="25">
        <f>C11+C14</f>
        <v>2648.38</v>
      </c>
      <c r="K17" s="4"/>
      <c r="L17" s="2"/>
    </row>
    <row r="18" spans="2:12" ht="15" thickBot="1" x14ac:dyDescent="0.4">
      <c r="K18" s="4"/>
      <c r="L18" s="2"/>
    </row>
    <row r="19" spans="2:12" ht="19" thickBot="1" x14ac:dyDescent="0.5">
      <c r="B19" s="99" t="s">
        <v>44</v>
      </c>
      <c r="C19" s="100"/>
      <c r="D19" s="100"/>
      <c r="E19" s="100"/>
      <c r="F19" s="100"/>
      <c r="G19" s="101"/>
      <c r="K19" s="4"/>
      <c r="L19" s="2"/>
    </row>
    <row r="20" spans="2:12" ht="15" thickBot="1" x14ac:dyDescent="0.4">
      <c r="B20" s="11" t="s">
        <v>31</v>
      </c>
      <c r="C20" s="12" t="s">
        <v>32</v>
      </c>
      <c r="D20" s="12" t="s">
        <v>33</v>
      </c>
      <c r="E20" s="12" t="s">
        <v>38</v>
      </c>
      <c r="F20" s="12" t="s">
        <v>34</v>
      </c>
      <c r="G20" s="13" t="s">
        <v>35</v>
      </c>
    </row>
    <row r="21" spans="2:12" x14ac:dyDescent="0.35">
      <c r="B21" s="33">
        <v>44347</v>
      </c>
      <c r="C21" s="34">
        <f>D21</f>
        <v>2.36</v>
      </c>
      <c r="D21" s="34">
        <v>2.36</v>
      </c>
      <c r="E21" s="16">
        <f>D21/C17</f>
        <v>8.9111079225790855E-4</v>
      </c>
      <c r="F21" s="16">
        <f>D21/C17</f>
        <v>8.9111079225790855E-4</v>
      </c>
      <c r="G21" s="35">
        <f>C11</f>
        <v>2610.38</v>
      </c>
      <c r="H21" t="s">
        <v>39</v>
      </c>
      <c r="K21" s="4"/>
      <c r="L21" s="1"/>
    </row>
    <row r="22" spans="2:12" x14ac:dyDescent="0.35">
      <c r="B22" s="33">
        <v>44348</v>
      </c>
      <c r="C22" s="34">
        <f>D22-D21</f>
        <v>10.64</v>
      </c>
      <c r="D22" s="34">
        <v>13</v>
      </c>
      <c r="E22" s="16">
        <f>C22/G21</f>
        <v>4.076034906795179E-3</v>
      </c>
      <c r="F22" s="16">
        <f>D22/C11</f>
        <v>4.9801178372497487E-3</v>
      </c>
      <c r="G22" s="35">
        <f>G21+D22</f>
        <v>2623.38</v>
      </c>
    </row>
    <row r="23" spans="2:12" x14ac:dyDescent="0.35">
      <c r="B23" s="103" t="s">
        <v>46</v>
      </c>
      <c r="C23" s="104"/>
      <c r="D23" s="104"/>
      <c r="E23" s="104"/>
      <c r="F23" s="104"/>
      <c r="G23" s="105"/>
    </row>
    <row r="24" spans="2:12" x14ac:dyDescent="0.35">
      <c r="B24" s="8"/>
      <c r="C24" s="10"/>
      <c r="D24" s="10"/>
      <c r="E24" s="10"/>
      <c r="F24" s="10"/>
      <c r="G24" s="7"/>
    </row>
    <row r="25" spans="2:12" ht="15" thickBot="1" x14ac:dyDescent="0.4">
      <c r="B25" s="9"/>
      <c r="C25" s="32"/>
      <c r="D25" s="32"/>
      <c r="E25" s="32"/>
      <c r="F25" s="32"/>
      <c r="G25" s="31"/>
    </row>
    <row r="26" spans="2:12" ht="15" thickBot="1" x14ac:dyDescent="0.4"/>
    <row r="27" spans="2:12" ht="19" thickBot="1" x14ac:dyDescent="0.5">
      <c r="B27" s="99" t="s">
        <v>45</v>
      </c>
      <c r="C27" s="100"/>
      <c r="D27" s="100"/>
      <c r="E27" s="100"/>
      <c r="F27" s="100"/>
      <c r="G27" s="101"/>
    </row>
    <row r="28" spans="2:12" ht="15" thickBot="1" x14ac:dyDescent="0.4">
      <c r="B28" s="11" t="s">
        <v>31</v>
      </c>
      <c r="C28" s="12" t="s">
        <v>32</v>
      </c>
      <c r="D28" s="12" t="s">
        <v>33</v>
      </c>
      <c r="E28" s="12" t="s">
        <v>38</v>
      </c>
      <c r="F28" s="12" t="s">
        <v>34</v>
      </c>
      <c r="G28" s="13" t="s">
        <v>35</v>
      </c>
    </row>
    <row r="29" spans="2:12" x14ac:dyDescent="0.35">
      <c r="B29" s="33">
        <v>44348</v>
      </c>
      <c r="C29" s="34">
        <f>D29</f>
        <v>11.07</v>
      </c>
      <c r="D29" s="34">
        <v>11.07</v>
      </c>
      <c r="E29" s="16">
        <f>C29/2623.38</f>
        <v>4.2197470438899431E-3</v>
      </c>
      <c r="F29" s="16">
        <f>D29/2623.38</f>
        <v>4.2197470438899431E-3</v>
      </c>
      <c r="G29" s="35">
        <f>2623.38+C29</f>
        <v>2634.4500000000003</v>
      </c>
    </row>
    <row r="30" spans="2:12" x14ac:dyDescent="0.35">
      <c r="B30" s="33">
        <v>44349</v>
      </c>
      <c r="C30" s="34">
        <v>0</v>
      </c>
      <c r="D30" s="34">
        <v>19</v>
      </c>
      <c r="E30" s="16">
        <f>C30/C17</f>
        <v>0</v>
      </c>
      <c r="F30" s="16">
        <f>D30/C17</f>
        <v>7.174197056313671E-3</v>
      </c>
      <c r="G30" s="35">
        <f>G29+C30</f>
        <v>2634.4500000000003</v>
      </c>
    </row>
    <row r="31" spans="2:12" x14ac:dyDescent="0.35">
      <c r="B31" s="33"/>
      <c r="C31" s="34"/>
      <c r="D31" s="34"/>
      <c r="E31" s="16"/>
      <c r="F31" s="16"/>
      <c r="G31" s="35"/>
    </row>
    <row r="32" spans="2:12" x14ac:dyDescent="0.35">
      <c r="B32" s="8"/>
      <c r="C32" s="10"/>
      <c r="D32" s="10"/>
      <c r="E32" s="10"/>
      <c r="F32" s="10"/>
      <c r="G32" s="7"/>
    </row>
    <row r="33" spans="2:7" ht="15" thickBot="1" x14ac:dyDescent="0.4">
      <c r="B33" s="9"/>
      <c r="C33" s="32"/>
      <c r="D33" s="32"/>
      <c r="E33" s="32"/>
      <c r="F33" s="32"/>
      <c r="G33" s="31"/>
    </row>
  </sheetData>
  <mergeCells count="4">
    <mergeCell ref="E13:F13"/>
    <mergeCell ref="B19:G19"/>
    <mergeCell ref="B27:G27"/>
    <mergeCell ref="B23:G23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AC78-E82D-4700-97C2-5D6ADBCE426B}">
  <dimension ref="C2:U69"/>
  <sheetViews>
    <sheetView tabSelected="1" topLeftCell="A16" zoomScale="85" zoomScaleNormal="85" workbookViewId="0">
      <selection activeCell="K57" sqref="K57"/>
    </sheetView>
  </sheetViews>
  <sheetFormatPr defaultRowHeight="14.5" x14ac:dyDescent="0.35"/>
  <cols>
    <col min="3" max="3" width="34.453125" bestFit="1" customWidth="1"/>
    <col min="4" max="4" width="23.7265625" bestFit="1" customWidth="1"/>
    <col min="5" max="5" width="20.26953125" bestFit="1" customWidth="1"/>
    <col min="6" max="6" width="22.7265625" bestFit="1" customWidth="1"/>
    <col min="7" max="7" width="26.26953125" bestFit="1" customWidth="1"/>
    <col min="8" max="8" width="26.453125" bestFit="1" customWidth="1"/>
    <col min="9" max="9" width="27" bestFit="1" customWidth="1"/>
    <col min="10" max="10" width="18.54296875" bestFit="1" customWidth="1"/>
    <col min="11" max="11" width="18.54296875" customWidth="1"/>
    <col min="12" max="12" width="14.26953125" bestFit="1" customWidth="1"/>
    <col min="13" max="13" width="13.1796875" bestFit="1" customWidth="1"/>
    <col min="14" max="14" width="11" bestFit="1" customWidth="1"/>
    <col min="16" max="16" width="11" bestFit="1" customWidth="1"/>
  </cols>
  <sheetData>
    <row r="2" spans="3:21" ht="15" thickBot="1" x14ac:dyDescent="0.4"/>
    <row r="3" spans="3:21" ht="19" thickBot="1" x14ac:dyDescent="0.4">
      <c r="C3" s="20" t="s">
        <v>0</v>
      </c>
      <c r="D3" s="21" t="s">
        <v>14</v>
      </c>
      <c r="E3" s="21" t="s">
        <v>76</v>
      </c>
      <c r="F3" s="21" t="s">
        <v>23</v>
      </c>
      <c r="G3" s="21" t="s">
        <v>47</v>
      </c>
      <c r="H3" s="21" t="s">
        <v>21</v>
      </c>
      <c r="I3" s="50" t="s">
        <v>54</v>
      </c>
      <c r="J3" s="83" t="s">
        <v>77</v>
      </c>
      <c r="K3" s="22" t="s">
        <v>22</v>
      </c>
      <c r="L3" s="79"/>
      <c r="P3" t="s">
        <v>8</v>
      </c>
      <c r="Q3" t="s">
        <v>9</v>
      </c>
      <c r="R3" t="s">
        <v>11</v>
      </c>
      <c r="S3" t="s">
        <v>12</v>
      </c>
      <c r="T3" t="s">
        <v>25</v>
      </c>
      <c r="U3" t="s">
        <v>41</v>
      </c>
    </row>
    <row r="4" spans="3:21" x14ac:dyDescent="0.35">
      <c r="C4" s="14" t="s">
        <v>2</v>
      </c>
      <c r="D4" s="15">
        <v>138.63</v>
      </c>
      <c r="E4" s="81">
        <v>0</v>
      </c>
      <c r="F4" s="15">
        <f t="shared" ref="F4:F9" si="0">D4+K4</f>
        <v>160.83252078688525</v>
      </c>
      <c r="G4" s="15">
        <v>10.09</v>
      </c>
      <c r="H4" s="16">
        <v>5.9299999999999999E-2</v>
      </c>
      <c r="I4" s="51">
        <f>$G$11*H4</f>
        <v>7.0175619999999999</v>
      </c>
      <c r="J4" s="84">
        <v>0</v>
      </c>
      <c r="K4" s="23">
        <f>($D$14*H4+G4)-I4</f>
        <v>22.202520786885245</v>
      </c>
      <c r="L4" s="80"/>
    </row>
    <row r="5" spans="3:21" x14ac:dyDescent="0.35">
      <c r="C5" s="14" t="s">
        <v>3</v>
      </c>
      <c r="D5" s="15">
        <v>175.35</v>
      </c>
      <c r="E5" s="81">
        <f>143.59-53.89</f>
        <v>89.7</v>
      </c>
      <c r="F5" s="15">
        <f t="shared" si="0"/>
        <v>182.48937704918032</v>
      </c>
      <c r="G5" s="15">
        <v>19.21</v>
      </c>
      <c r="H5" s="16">
        <v>7.4999999999999997E-2</v>
      </c>
      <c r="I5" s="51">
        <f t="shared" ref="I5:I9" si="1">$G$11*H5</f>
        <v>8.8755000000000006</v>
      </c>
      <c r="J5" s="84">
        <v>27.39</v>
      </c>
      <c r="K5" s="23">
        <f>($D$14*H5+G5)-I5-J5</f>
        <v>7.1393770491803252</v>
      </c>
      <c r="L5" s="80"/>
      <c r="O5" t="s">
        <v>6</v>
      </c>
      <c r="P5" s="6">
        <v>50.080223169999996</v>
      </c>
      <c r="Q5" s="4">
        <v>0</v>
      </c>
      <c r="R5" s="4">
        <v>0</v>
      </c>
      <c r="S5" s="4">
        <f>41.266448+26.04032712+24.3847512+22.313628</f>
        <v>114.00515432</v>
      </c>
      <c r="T5" s="4">
        <v>129.02959999999999</v>
      </c>
      <c r="U5" s="4">
        <v>2133.3837699999999</v>
      </c>
    </row>
    <row r="6" spans="3:21" x14ac:dyDescent="0.35">
      <c r="C6" s="14" t="s">
        <v>4</v>
      </c>
      <c r="D6" s="15">
        <v>97.3</v>
      </c>
      <c r="E6" s="81">
        <v>0</v>
      </c>
      <c r="F6" s="15">
        <f t="shared" si="0"/>
        <v>111.34714780327869</v>
      </c>
      <c r="G6" s="15">
        <v>5.55</v>
      </c>
      <c r="H6" s="16">
        <v>4.1599999999999998E-2</v>
      </c>
      <c r="I6" s="51">
        <f t="shared" si="1"/>
        <v>4.9229440000000002</v>
      </c>
      <c r="J6" s="84">
        <v>0</v>
      </c>
      <c r="K6" s="23">
        <f>($D$14*H6+G6)-I6</f>
        <v>14.047147803278687</v>
      </c>
      <c r="L6" s="80"/>
      <c r="O6" t="s">
        <v>42</v>
      </c>
      <c r="P6" s="37" t="e">
        <f t="shared" ref="P6:U6" si="2">P5/$F$11</f>
        <v>#VALUE!</v>
      </c>
      <c r="Q6" s="37" t="e">
        <f t="shared" si="2"/>
        <v>#VALUE!</v>
      </c>
      <c r="R6" s="37" t="e">
        <f t="shared" si="2"/>
        <v>#VALUE!</v>
      </c>
      <c r="S6" s="37" t="e">
        <f t="shared" si="2"/>
        <v>#VALUE!</v>
      </c>
      <c r="T6" s="37" t="e">
        <f t="shared" si="2"/>
        <v>#VALUE!</v>
      </c>
      <c r="U6" s="37" t="e">
        <f t="shared" si="2"/>
        <v>#VALUE!</v>
      </c>
    </row>
    <row r="7" spans="3:21" x14ac:dyDescent="0.35">
      <c r="C7" s="14" t="s">
        <v>5</v>
      </c>
      <c r="D7" s="15">
        <v>98.16</v>
      </c>
      <c r="E7" s="81">
        <v>0</v>
      </c>
      <c r="F7" s="15">
        <f t="shared" si="0"/>
        <v>106.73885114754098</v>
      </c>
      <c r="G7" s="15">
        <v>0</v>
      </c>
      <c r="H7" s="16">
        <v>4.2000000000000003E-2</v>
      </c>
      <c r="I7" s="51">
        <f t="shared" si="1"/>
        <v>4.9702800000000007</v>
      </c>
      <c r="J7" s="84">
        <v>0</v>
      </c>
      <c r="K7" s="23">
        <f>($D$14*H7+G7)-I7</f>
        <v>8.5788511475409823</v>
      </c>
      <c r="L7" s="80"/>
      <c r="O7" t="s">
        <v>7</v>
      </c>
      <c r="P7" s="3">
        <v>50.64</v>
      </c>
      <c r="Q7" s="3">
        <v>49.1</v>
      </c>
      <c r="R7" s="3"/>
      <c r="S7" s="3">
        <f>136.5-P7</f>
        <v>85.86</v>
      </c>
    </row>
    <row r="8" spans="3:21" x14ac:dyDescent="0.35">
      <c r="C8" s="14" t="s">
        <v>43</v>
      </c>
      <c r="D8" s="15">
        <v>1725.23</v>
      </c>
      <c r="E8" s="81">
        <v>0</v>
      </c>
      <c r="F8" s="15">
        <f t="shared" si="0"/>
        <v>1910.893096</v>
      </c>
      <c r="G8" s="15">
        <v>34.9</v>
      </c>
      <c r="H8" s="16">
        <v>0.73809999999999998</v>
      </c>
      <c r="I8" s="51">
        <f t="shared" si="1"/>
        <v>87.346754000000004</v>
      </c>
      <c r="J8" s="84">
        <v>0</v>
      </c>
      <c r="K8" s="23">
        <f>($D$14*H8+G8)-I8</f>
        <v>185.66309599999997</v>
      </c>
      <c r="L8" s="80"/>
      <c r="P8" s="3"/>
      <c r="Q8" s="3"/>
      <c r="R8" s="3"/>
      <c r="S8" s="3"/>
    </row>
    <row r="9" spans="3:21" ht="15" thickBot="1" x14ac:dyDescent="0.4">
      <c r="C9" s="17" t="s">
        <v>24</v>
      </c>
      <c r="D9" s="38">
        <v>102.77</v>
      </c>
      <c r="E9" s="82">
        <v>0</v>
      </c>
      <c r="F9" s="18">
        <f t="shared" si="0"/>
        <v>120.21736786885245</v>
      </c>
      <c r="G9" s="18">
        <v>8.4600000000000009</v>
      </c>
      <c r="H9" s="19">
        <v>4.3999999999999997E-2</v>
      </c>
      <c r="I9" s="52">
        <f t="shared" si="1"/>
        <v>5.2069599999999996</v>
      </c>
      <c r="J9" s="85">
        <v>0</v>
      </c>
      <c r="K9" s="49">
        <f>($D$14*H9+G9)-I9</f>
        <v>17.44736786885246</v>
      </c>
      <c r="L9" s="80"/>
      <c r="O9" t="s">
        <v>10</v>
      </c>
    </row>
    <row r="10" spans="3:21" ht="15" thickBot="1" x14ac:dyDescent="0.4"/>
    <row r="11" spans="3:21" x14ac:dyDescent="0.35">
      <c r="C11" s="28" t="s">
        <v>26</v>
      </c>
      <c r="D11" s="24">
        <f>D12/G12</f>
        <v>2244.7950819672133</v>
      </c>
      <c r="E11" s="3"/>
      <c r="F11" t="s">
        <v>53</v>
      </c>
      <c r="G11" s="48">
        <v>118.34</v>
      </c>
    </row>
    <row r="12" spans="3:21" ht="15" thickBot="1" x14ac:dyDescent="0.4">
      <c r="C12" s="9" t="s">
        <v>16</v>
      </c>
      <c r="D12" s="26">
        <v>2738.65</v>
      </c>
      <c r="F12" t="s">
        <v>37</v>
      </c>
      <c r="G12">
        <v>1.22</v>
      </c>
      <c r="M12" s="42" t="s">
        <v>8</v>
      </c>
      <c r="N12" s="3">
        <v>138.54</v>
      </c>
      <c r="O12" s="2">
        <f>N12/$N$19</f>
        <v>5.930777627945804E-2</v>
      </c>
      <c r="P12" s="47">
        <f>$N$22*O12</f>
        <v>138.62803801872306</v>
      </c>
      <c r="Q12" s="46"/>
      <c r="R12" s="46"/>
    </row>
    <row r="13" spans="3:21" ht="15" thickBot="1" x14ac:dyDescent="0.4">
      <c r="C13" s="8"/>
      <c r="D13" s="7"/>
      <c r="M13" s="43" t="s">
        <v>12</v>
      </c>
      <c r="N13" s="3">
        <v>175.24</v>
      </c>
      <c r="O13" s="2">
        <f t="shared" ref="O13:O17" si="3">N13/$N$19</f>
        <v>7.5018728996767925E-2</v>
      </c>
      <c r="P13" s="47">
        <f t="shared" ref="P13:P17" si="4">$N$22*O13</f>
        <v>175.35135976902723</v>
      </c>
    </row>
    <row r="14" spans="3:21" ht="15" thickBot="1" x14ac:dyDescent="0.4">
      <c r="C14" s="28" t="s">
        <v>27</v>
      </c>
      <c r="D14" s="24">
        <f>D15/G12</f>
        <v>322.59836065573768</v>
      </c>
      <c r="F14" s="102" t="s">
        <v>40</v>
      </c>
      <c r="G14" s="102"/>
      <c r="M14" s="44" t="s">
        <v>9</v>
      </c>
      <c r="N14" s="3">
        <v>97.24</v>
      </c>
      <c r="O14" s="2">
        <f t="shared" si="3"/>
        <v>4.1627603330550739E-2</v>
      </c>
      <c r="P14" s="47">
        <f t="shared" si="4"/>
        <v>97.301793106255445</v>
      </c>
    </row>
    <row r="15" spans="3:21" ht="24" thickBot="1" x14ac:dyDescent="0.6">
      <c r="C15" s="9" t="s">
        <v>28</v>
      </c>
      <c r="D15" s="26">
        <f>MAX(E22:E31)+MAX(E36:E40)+MAX(E44:E53)+MAX(E57:E69)</f>
        <v>393.57</v>
      </c>
      <c r="I15" s="107" t="s">
        <v>78</v>
      </c>
      <c r="J15" s="108"/>
      <c r="K15" s="109"/>
      <c r="M15" s="44" t="s">
        <v>11</v>
      </c>
      <c r="N15" s="45">
        <v>98.1</v>
      </c>
      <c r="O15" s="2">
        <f t="shared" si="3"/>
        <v>4.199576189558852E-2</v>
      </c>
      <c r="P15" s="47">
        <f t="shared" si="4"/>
        <v>98.162339610486015</v>
      </c>
    </row>
    <row r="16" spans="3:21" ht="19" thickBot="1" x14ac:dyDescent="0.5">
      <c r="C16" s="8"/>
      <c r="D16" s="7"/>
      <c r="I16" s="92" t="s">
        <v>31</v>
      </c>
      <c r="J16" s="93" t="s">
        <v>0</v>
      </c>
      <c r="K16" s="94" t="s">
        <v>79</v>
      </c>
      <c r="M16" s="44" t="s">
        <v>41</v>
      </c>
      <c r="N16" s="39">
        <v>1724.13</v>
      </c>
      <c r="O16" s="2">
        <f t="shared" si="3"/>
        <v>0.73808514737044895</v>
      </c>
      <c r="P16" s="47">
        <f t="shared" si="4"/>
        <v>1725.2256329523675</v>
      </c>
    </row>
    <row r="17" spans="3:16" ht="18.5" x14ac:dyDescent="0.45">
      <c r="C17" s="29" t="s">
        <v>29</v>
      </c>
      <c r="D17" s="27">
        <f>D11+D14</f>
        <v>2567.3934426229507</v>
      </c>
      <c r="I17" s="86" t="s">
        <v>80</v>
      </c>
      <c r="J17" s="87" t="s">
        <v>3</v>
      </c>
      <c r="K17" s="88">
        <f>-143.59</f>
        <v>-143.59</v>
      </c>
      <c r="M17" s="44" t="s">
        <v>25</v>
      </c>
      <c r="N17" s="39">
        <v>102.7</v>
      </c>
      <c r="O17" s="2">
        <f t="shared" si="3"/>
        <v>4.3964982127185949E-2</v>
      </c>
      <c r="P17" s="47">
        <f t="shared" si="4"/>
        <v>102.76526277264948</v>
      </c>
    </row>
    <row r="18" spans="3:16" ht="19" thickBot="1" x14ac:dyDescent="0.5">
      <c r="C18" s="30" t="s">
        <v>30</v>
      </c>
      <c r="D18" s="25">
        <f>D12+D15</f>
        <v>3132.2200000000003</v>
      </c>
      <c r="I18" s="95">
        <v>44378</v>
      </c>
      <c r="J18" s="87" t="s">
        <v>3</v>
      </c>
      <c r="K18" s="88">
        <v>53.89</v>
      </c>
      <c r="M18" s="44"/>
      <c r="N18" s="39"/>
      <c r="O18" s="2"/>
      <c r="P18" s="4"/>
    </row>
    <row r="19" spans="3:16" ht="15" thickBot="1" x14ac:dyDescent="0.4">
      <c r="I19" s="89"/>
      <c r="J19" s="90"/>
      <c r="K19" s="91"/>
      <c r="M19" s="44" t="s">
        <v>10</v>
      </c>
      <c r="N19" s="39">
        <f>SUM(N12:N17)</f>
        <v>2335.9499999999998</v>
      </c>
      <c r="O19" s="1">
        <v>1</v>
      </c>
    </row>
    <row r="20" spans="3:16" ht="19" thickBot="1" x14ac:dyDescent="0.5">
      <c r="C20" s="99" t="s">
        <v>51</v>
      </c>
      <c r="D20" s="100"/>
      <c r="E20" s="100"/>
      <c r="F20" s="100"/>
      <c r="G20" s="101"/>
      <c r="H20" s="55"/>
      <c r="M20" s="43"/>
      <c r="N20" s="39"/>
      <c r="O20" s="1"/>
    </row>
    <row r="21" spans="3:16" ht="15" thickBot="1" x14ac:dyDescent="0.4">
      <c r="C21" s="11" t="s">
        <v>31</v>
      </c>
      <c r="D21" s="12" t="s">
        <v>32</v>
      </c>
      <c r="E21" s="12" t="s">
        <v>33</v>
      </c>
      <c r="F21" s="12" t="s">
        <v>38</v>
      </c>
      <c r="G21" s="13" t="s">
        <v>34</v>
      </c>
      <c r="H21" s="56"/>
      <c r="M21" s="44" t="s">
        <v>48</v>
      </c>
      <c r="N21" s="4">
        <v>2851.67</v>
      </c>
    </row>
    <row r="22" spans="3:16" x14ac:dyDescent="0.35">
      <c r="C22" s="33">
        <v>44351</v>
      </c>
      <c r="D22" s="34">
        <f>E22</f>
        <v>33.32</v>
      </c>
      <c r="E22" s="34">
        <v>33.32</v>
      </c>
      <c r="F22" s="16">
        <f>G22</f>
        <v>2.46E-2</v>
      </c>
      <c r="G22" s="58">
        <v>2.46E-2</v>
      </c>
      <c r="H22" s="57"/>
      <c r="M22" s="44" t="s">
        <v>49</v>
      </c>
      <c r="N22" s="39">
        <f>N21/G12</f>
        <v>2337.4344262295085</v>
      </c>
    </row>
    <row r="23" spans="3:16" x14ac:dyDescent="0.35">
      <c r="C23" s="33">
        <v>44352</v>
      </c>
      <c r="D23" s="34">
        <f t="shared" ref="D23:D29" si="5">E23-E22</f>
        <v>18.28</v>
      </c>
      <c r="E23" s="34">
        <v>51.6</v>
      </c>
      <c r="F23" s="16">
        <f t="shared" ref="F23:F29" si="6">G23-G22</f>
        <v>1.3500000000000002E-2</v>
      </c>
      <c r="G23" s="58">
        <v>3.8100000000000002E-2</v>
      </c>
      <c r="H23" s="57"/>
      <c r="M23" s="44"/>
      <c r="N23" s="4"/>
    </row>
    <row r="24" spans="3:16" x14ac:dyDescent="0.35">
      <c r="C24" s="33">
        <v>44355</v>
      </c>
      <c r="D24" s="34">
        <f t="shared" si="5"/>
        <v>12.079999999999998</v>
      </c>
      <c r="E24" s="34">
        <v>63.68</v>
      </c>
      <c r="F24" s="16">
        <f t="shared" si="6"/>
        <v>8.8999999999999982E-3</v>
      </c>
      <c r="G24" s="58">
        <v>4.7E-2</v>
      </c>
      <c r="H24" s="54"/>
      <c r="M24" s="43"/>
    </row>
    <row r="25" spans="3:16" x14ac:dyDescent="0.35">
      <c r="C25" s="33">
        <v>44356</v>
      </c>
      <c r="D25" s="34">
        <f t="shared" si="5"/>
        <v>5.279999999999994</v>
      </c>
      <c r="E25" s="34">
        <v>68.959999999999994</v>
      </c>
      <c r="F25" s="16">
        <f t="shared" si="6"/>
        <v>3.9000000000000007E-3</v>
      </c>
      <c r="G25" s="58">
        <v>5.0900000000000001E-2</v>
      </c>
      <c r="H25" s="53"/>
      <c r="M25" s="43"/>
    </row>
    <row r="26" spans="3:16" x14ac:dyDescent="0.35">
      <c r="C26" s="33">
        <v>44357</v>
      </c>
      <c r="D26" s="34">
        <f t="shared" si="5"/>
        <v>0</v>
      </c>
      <c r="E26" s="34">
        <v>68.959999999999994</v>
      </c>
      <c r="F26" s="16">
        <f t="shared" si="6"/>
        <v>0</v>
      </c>
      <c r="G26" s="58">
        <v>5.0900000000000001E-2</v>
      </c>
      <c r="H26" s="53"/>
      <c r="M26" s="43">
        <v>2021</v>
      </c>
      <c r="N26" s="43"/>
    </row>
    <row r="27" spans="3:16" x14ac:dyDescent="0.35">
      <c r="C27" s="33">
        <v>44358</v>
      </c>
      <c r="D27" s="34">
        <f t="shared" si="5"/>
        <v>0</v>
      </c>
      <c r="E27" s="34">
        <v>68.959999999999994</v>
      </c>
      <c r="F27" s="16">
        <f t="shared" si="6"/>
        <v>0</v>
      </c>
      <c r="G27" s="58">
        <v>5.0900000000000001E-2</v>
      </c>
      <c r="H27" s="53"/>
      <c r="M27" s="43" t="s">
        <v>55</v>
      </c>
      <c r="N27" s="61"/>
    </row>
    <row r="28" spans="3:16" x14ac:dyDescent="0.35">
      <c r="C28" s="33">
        <v>44359</v>
      </c>
      <c r="D28" s="34">
        <f t="shared" si="5"/>
        <v>0</v>
      </c>
      <c r="E28" s="34">
        <v>68.959999999999994</v>
      </c>
      <c r="F28" s="16">
        <f t="shared" si="6"/>
        <v>0</v>
      </c>
      <c r="G28" s="58">
        <v>5.0900000000000001E-2</v>
      </c>
      <c r="M28" s="43" t="s">
        <v>56</v>
      </c>
      <c r="N28" s="62"/>
    </row>
    <row r="29" spans="3:16" ht="18.5" x14ac:dyDescent="0.45">
      <c r="C29" s="33">
        <v>44360</v>
      </c>
      <c r="D29" s="34">
        <f t="shared" si="5"/>
        <v>0</v>
      </c>
      <c r="E29" s="34">
        <v>68.959999999999994</v>
      </c>
      <c r="F29" s="16">
        <f t="shared" si="6"/>
        <v>0</v>
      </c>
      <c r="G29" s="58">
        <v>5.0900000000000001E-2</v>
      </c>
      <c r="H29" s="55"/>
      <c r="M29" s="43" t="s">
        <v>57</v>
      </c>
      <c r="N29" s="62"/>
    </row>
    <row r="30" spans="3:16" x14ac:dyDescent="0.35">
      <c r="C30" s="110" t="s">
        <v>46</v>
      </c>
      <c r="D30" s="111"/>
      <c r="E30" s="111"/>
      <c r="F30" s="111"/>
      <c r="G30" s="112"/>
      <c r="H30" s="56"/>
      <c r="M30" s="43" t="s">
        <v>58</v>
      </c>
      <c r="N30" s="62"/>
    </row>
    <row r="31" spans="3:16" ht="15" thickBot="1" x14ac:dyDescent="0.4">
      <c r="C31" s="9"/>
      <c r="D31" s="32"/>
      <c r="E31" s="32"/>
      <c r="F31" s="32"/>
      <c r="G31" s="31"/>
      <c r="H31" s="57"/>
      <c r="M31" s="43" t="s">
        <v>59</v>
      </c>
      <c r="N31" s="62"/>
    </row>
    <row r="32" spans="3:16" x14ac:dyDescent="0.35">
      <c r="C32" s="60"/>
      <c r="D32" s="60"/>
      <c r="E32" s="59"/>
      <c r="F32" s="53"/>
      <c r="G32" s="53"/>
      <c r="H32" s="57"/>
      <c r="M32" s="43" t="s">
        <v>60</v>
      </c>
      <c r="N32" s="63">
        <f>G11</f>
        <v>118.34</v>
      </c>
    </row>
    <row r="33" spans="3:13" ht="15" thickBot="1" x14ac:dyDescent="0.4">
      <c r="H33" s="57"/>
      <c r="M33" s="43" t="s">
        <v>61</v>
      </c>
    </row>
    <row r="34" spans="3:13" ht="19" thickBot="1" x14ac:dyDescent="0.5">
      <c r="C34" s="99" t="s">
        <v>52</v>
      </c>
      <c r="D34" s="100"/>
      <c r="E34" s="100"/>
      <c r="F34" s="100"/>
      <c r="G34" s="101"/>
      <c r="H34" s="53"/>
      <c r="M34" s="43" t="s">
        <v>62</v>
      </c>
    </row>
    <row r="35" spans="3:13" ht="15" thickBot="1" x14ac:dyDescent="0.4">
      <c r="C35" s="11" t="s">
        <v>31</v>
      </c>
      <c r="D35" s="12" t="s">
        <v>32</v>
      </c>
      <c r="E35" s="12" t="s">
        <v>33</v>
      </c>
      <c r="F35" s="12" t="s">
        <v>38</v>
      </c>
      <c r="G35" s="13" t="s">
        <v>34</v>
      </c>
      <c r="H35" s="53"/>
      <c r="M35" s="43" t="s">
        <v>63</v>
      </c>
    </row>
    <row r="36" spans="3:13" x14ac:dyDescent="0.35">
      <c r="C36" s="33">
        <v>44351</v>
      </c>
      <c r="D36" s="34">
        <f>E36</f>
        <v>34.79</v>
      </c>
      <c r="E36" s="34">
        <v>34.79</v>
      </c>
      <c r="F36" s="16">
        <f>G36</f>
        <v>2.4500000000000001E-2</v>
      </c>
      <c r="G36" s="58">
        <v>2.4500000000000001E-2</v>
      </c>
      <c r="M36" s="43" t="s">
        <v>64</v>
      </c>
    </row>
    <row r="37" spans="3:13" x14ac:dyDescent="0.35">
      <c r="C37" s="33">
        <v>44352</v>
      </c>
      <c r="D37" s="34">
        <f>E37-E36</f>
        <v>0.23000000000000398</v>
      </c>
      <c r="E37" s="34">
        <v>35.020000000000003</v>
      </c>
      <c r="F37" s="16">
        <f>G37-G36</f>
        <v>9.9999999999999395E-5</v>
      </c>
      <c r="G37" s="58">
        <v>2.46E-2</v>
      </c>
      <c r="M37" s="43" t="s">
        <v>65</v>
      </c>
    </row>
    <row r="38" spans="3:13" x14ac:dyDescent="0.35">
      <c r="C38" s="33">
        <v>44352</v>
      </c>
      <c r="D38" s="34">
        <f>E38-E37</f>
        <v>0</v>
      </c>
      <c r="E38" s="34">
        <v>35.020000000000003</v>
      </c>
      <c r="F38" s="16">
        <f>G38-G37</f>
        <v>0</v>
      </c>
      <c r="G38" s="58">
        <v>2.46E-2</v>
      </c>
      <c r="M38" s="43" t="s">
        <v>66</v>
      </c>
    </row>
    <row r="39" spans="3:13" x14ac:dyDescent="0.35">
      <c r="C39" s="113" t="s">
        <v>46</v>
      </c>
      <c r="D39" s="114"/>
      <c r="E39" s="114"/>
      <c r="F39" s="114"/>
      <c r="G39" s="115"/>
    </row>
    <row r="40" spans="3:13" ht="15" thickBot="1" x14ac:dyDescent="0.4">
      <c r="C40" s="9"/>
      <c r="D40" s="32"/>
      <c r="E40" s="32"/>
      <c r="F40" s="32"/>
      <c r="G40" s="31"/>
    </row>
    <row r="41" spans="3:13" ht="15" thickBot="1" x14ac:dyDescent="0.4"/>
    <row r="42" spans="3:13" ht="19" thickBot="1" x14ac:dyDescent="0.5">
      <c r="C42" s="99" t="s">
        <v>52</v>
      </c>
      <c r="D42" s="100"/>
      <c r="E42" s="100"/>
      <c r="F42" s="100"/>
      <c r="G42" s="101"/>
    </row>
    <row r="43" spans="3:13" ht="15" thickBot="1" x14ac:dyDescent="0.4">
      <c r="C43" s="11" t="s">
        <v>31</v>
      </c>
      <c r="D43" s="12" t="s">
        <v>32</v>
      </c>
      <c r="E43" s="12" t="s">
        <v>33</v>
      </c>
      <c r="F43" s="12" t="s">
        <v>38</v>
      </c>
      <c r="G43" s="13" t="s">
        <v>34</v>
      </c>
    </row>
    <row r="44" spans="3:13" x14ac:dyDescent="0.35">
      <c r="C44" s="33">
        <v>44353</v>
      </c>
      <c r="D44" s="34">
        <f>E44</f>
        <v>5.41</v>
      </c>
      <c r="E44" s="34">
        <v>5.41</v>
      </c>
      <c r="F44" s="16">
        <f>G44</f>
        <v>4.1999999999999997E-3</v>
      </c>
      <c r="G44" s="58">
        <v>4.1999999999999997E-3</v>
      </c>
    </row>
    <row r="45" spans="3:13" x14ac:dyDescent="0.35">
      <c r="C45" s="33">
        <v>44354</v>
      </c>
      <c r="D45" s="34">
        <f t="shared" ref="D45:D51" si="7">E45-E44</f>
        <v>19.57</v>
      </c>
      <c r="E45" s="34">
        <v>24.98</v>
      </c>
      <c r="F45" s="16">
        <f>G45-G44</f>
        <v>1.55E-2</v>
      </c>
      <c r="G45" s="58">
        <v>1.9699999999999999E-2</v>
      </c>
    </row>
    <row r="46" spans="3:13" x14ac:dyDescent="0.35">
      <c r="C46" s="33">
        <v>44355</v>
      </c>
      <c r="D46" s="34">
        <f t="shared" si="7"/>
        <v>25.91</v>
      </c>
      <c r="E46" s="34">
        <v>50.89</v>
      </c>
      <c r="F46" s="16">
        <f t="shared" ref="F46:F51" si="8">G46-G45</f>
        <v>0.02</v>
      </c>
      <c r="G46" s="58">
        <v>3.9699999999999999E-2</v>
      </c>
    </row>
    <row r="47" spans="3:13" x14ac:dyDescent="0.35">
      <c r="C47" s="33">
        <v>44356</v>
      </c>
      <c r="D47" s="34">
        <f t="shared" si="7"/>
        <v>11.649999999999999</v>
      </c>
      <c r="E47" s="34">
        <v>62.54</v>
      </c>
      <c r="F47" s="16">
        <f>G47-G46</f>
        <v>9.0000000000000011E-3</v>
      </c>
      <c r="G47" s="58">
        <v>4.87E-2</v>
      </c>
    </row>
    <row r="48" spans="3:13" x14ac:dyDescent="0.35">
      <c r="C48" s="33">
        <v>44357</v>
      </c>
      <c r="D48" s="34">
        <f t="shared" si="7"/>
        <v>7.7700000000000031</v>
      </c>
      <c r="E48" s="34">
        <v>70.31</v>
      </c>
      <c r="F48" s="16">
        <f>G48-G47</f>
        <v>6.1000000000000013E-3</v>
      </c>
      <c r="G48" s="58">
        <v>5.4800000000000001E-2</v>
      </c>
    </row>
    <row r="49" spans="3:7" x14ac:dyDescent="0.35">
      <c r="C49" s="33">
        <v>44358</v>
      </c>
      <c r="D49" s="34">
        <f t="shared" si="7"/>
        <v>4.8999999999999915</v>
      </c>
      <c r="E49" s="34">
        <v>75.209999999999994</v>
      </c>
      <c r="F49" s="16">
        <f>G49-G48</f>
        <v>0</v>
      </c>
      <c r="G49" s="58">
        <v>5.4800000000000001E-2</v>
      </c>
    </row>
    <row r="50" spans="3:7" x14ac:dyDescent="0.35">
      <c r="C50" s="33">
        <v>44359</v>
      </c>
      <c r="D50" s="34">
        <f t="shared" si="7"/>
        <v>16.840000000000003</v>
      </c>
      <c r="E50" s="34">
        <v>92.05</v>
      </c>
      <c r="F50" s="16">
        <f t="shared" si="8"/>
        <v>0</v>
      </c>
      <c r="G50" s="58">
        <v>5.4800000000000001E-2</v>
      </c>
    </row>
    <row r="51" spans="3:7" x14ac:dyDescent="0.35">
      <c r="C51" s="33">
        <v>44360</v>
      </c>
      <c r="D51" s="34">
        <f t="shared" si="7"/>
        <v>11.88000000000001</v>
      </c>
      <c r="E51" s="34">
        <v>103.93</v>
      </c>
      <c r="F51" s="16">
        <f t="shared" si="8"/>
        <v>0</v>
      </c>
      <c r="G51" s="58">
        <v>5.4800000000000001E-2</v>
      </c>
    </row>
    <row r="52" spans="3:7" x14ac:dyDescent="0.35">
      <c r="C52" s="110" t="s">
        <v>46</v>
      </c>
      <c r="D52" s="111"/>
      <c r="E52" s="111"/>
      <c r="F52" s="111"/>
      <c r="G52" s="112"/>
    </row>
    <row r="53" spans="3:7" ht="15" thickBot="1" x14ac:dyDescent="0.4">
      <c r="C53" s="9"/>
      <c r="D53" s="32"/>
      <c r="E53" s="32"/>
      <c r="F53" s="32"/>
      <c r="G53" s="31"/>
    </row>
    <row r="54" spans="3:7" ht="15" thickBot="1" x14ac:dyDescent="0.4"/>
    <row r="55" spans="3:7" ht="19" thickBot="1" x14ac:dyDescent="0.5">
      <c r="C55" s="99" t="s">
        <v>52</v>
      </c>
      <c r="D55" s="100"/>
      <c r="E55" s="100"/>
      <c r="F55" s="100"/>
      <c r="G55" s="101"/>
    </row>
    <row r="56" spans="3:7" ht="15" thickBot="1" x14ac:dyDescent="0.4">
      <c r="C56" s="11" t="s">
        <v>31</v>
      </c>
      <c r="D56" s="12" t="s">
        <v>32</v>
      </c>
      <c r="E56" s="12" t="s">
        <v>33</v>
      </c>
      <c r="F56" s="12" t="s">
        <v>38</v>
      </c>
      <c r="G56" s="13" t="s">
        <v>34</v>
      </c>
    </row>
    <row r="57" spans="3:7" x14ac:dyDescent="0.35">
      <c r="C57" s="33">
        <v>44363</v>
      </c>
      <c r="D57" s="34">
        <v>18.95</v>
      </c>
      <c r="E57" s="34">
        <v>18.95</v>
      </c>
      <c r="F57" s="16">
        <v>8.2000000000000007E-3</v>
      </c>
      <c r="G57" s="58">
        <v>8.2000000000000007E-3</v>
      </c>
    </row>
    <row r="58" spans="3:7" x14ac:dyDescent="0.35">
      <c r="C58" s="33">
        <v>44364</v>
      </c>
      <c r="D58" s="34">
        <f t="shared" ref="D58:D66" si="9">E58-E57</f>
        <v>7.09</v>
      </c>
      <c r="E58" s="78">
        <v>26.04</v>
      </c>
      <c r="F58" s="76">
        <f t="shared" ref="F58:F66" si="10">G58-G57</f>
        <v>5.9999999999999984E-4</v>
      </c>
      <c r="G58" s="77">
        <v>8.8000000000000005E-3</v>
      </c>
    </row>
    <row r="59" spans="3:7" x14ac:dyDescent="0.35">
      <c r="C59" s="33">
        <v>44365</v>
      </c>
      <c r="D59" s="34">
        <f t="shared" si="9"/>
        <v>20.480000000000004</v>
      </c>
      <c r="E59" s="78">
        <v>46.52</v>
      </c>
      <c r="F59" s="76">
        <f t="shared" si="10"/>
        <v>1.1399999999999999E-2</v>
      </c>
      <c r="G59" s="77">
        <v>2.0199999999999999E-2</v>
      </c>
    </row>
    <row r="60" spans="3:7" x14ac:dyDescent="0.35">
      <c r="C60" s="33">
        <v>44366</v>
      </c>
      <c r="D60" s="34">
        <f t="shared" si="9"/>
        <v>5.6999999999999957</v>
      </c>
      <c r="E60" s="78">
        <v>52.22</v>
      </c>
      <c r="F60" s="76">
        <f t="shared" si="10"/>
        <v>2.5000000000000022E-3</v>
      </c>
      <c r="G60" s="77">
        <v>2.2700000000000001E-2</v>
      </c>
    </row>
    <row r="61" spans="3:7" x14ac:dyDescent="0.35">
      <c r="C61" s="33">
        <v>44367</v>
      </c>
      <c r="D61" s="34">
        <f t="shared" si="9"/>
        <v>17.230000000000004</v>
      </c>
      <c r="E61" s="78">
        <v>69.45</v>
      </c>
      <c r="F61" s="76">
        <f t="shared" si="10"/>
        <v>7.3999999999999969E-3</v>
      </c>
      <c r="G61" s="77">
        <v>3.0099999999999998E-2</v>
      </c>
    </row>
    <row r="62" spans="3:7" x14ac:dyDescent="0.35">
      <c r="C62" s="33">
        <v>44368</v>
      </c>
      <c r="D62" s="34">
        <f t="shared" si="9"/>
        <v>0</v>
      </c>
      <c r="E62" s="78">
        <v>69.45</v>
      </c>
      <c r="F62" s="76">
        <f t="shared" si="10"/>
        <v>0</v>
      </c>
      <c r="G62" s="77">
        <v>3.0099999999999998E-2</v>
      </c>
    </row>
    <row r="63" spans="3:7" x14ac:dyDescent="0.35">
      <c r="C63" s="33">
        <v>44370</v>
      </c>
      <c r="D63" s="34">
        <f t="shared" si="9"/>
        <v>79.529999999999987</v>
      </c>
      <c r="E63" s="78">
        <v>148.97999999999999</v>
      </c>
      <c r="F63" s="76">
        <f t="shared" si="10"/>
        <v>3.4599999999999992E-2</v>
      </c>
      <c r="G63" s="77">
        <v>6.4699999999999994E-2</v>
      </c>
    </row>
    <row r="64" spans="3:7" x14ac:dyDescent="0.35">
      <c r="C64" s="33">
        <v>44371</v>
      </c>
      <c r="D64" s="34">
        <f t="shared" si="9"/>
        <v>0</v>
      </c>
      <c r="E64" s="78">
        <v>148.97999999999999</v>
      </c>
      <c r="F64" s="76">
        <f t="shared" si="10"/>
        <v>0</v>
      </c>
      <c r="G64" s="77">
        <v>6.4699999999999994E-2</v>
      </c>
    </row>
    <row r="65" spans="3:7" x14ac:dyDescent="0.35">
      <c r="C65" s="33">
        <v>44375</v>
      </c>
      <c r="D65" s="34">
        <f t="shared" si="9"/>
        <v>10.850000000000023</v>
      </c>
      <c r="E65" s="78">
        <v>159.83000000000001</v>
      </c>
      <c r="F65" s="76">
        <f t="shared" si="10"/>
        <v>4.7000000000000097E-3</v>
      </c>
      <c r="G65" s="77">
        <v>6.9400000000000003E-2</v>
      </c>
    </row>
    <row r="66" spans="3:7" x14ac:dyDescent="0.35">
      <c r="C66" s="33">
        <v>44376</v>
      </c>
      <c r="D66" s="34">
        <f t="shared" si="9"/>
        <v>13.139999999999986</v>
      </c>
      <c r="E66" s="78">
        <v>172.97</v>
      </c>
      <c r="F66" s="76">
        <f t="shared" si="10"/>
        <v>5.6999999999999967E-3</v>
      </c>
      <c r="G66" s="77">
        <v>7.51E-2</v>
      </c>
    </row>
    <row r="67" spans="3:7" x14ac:dyDescent="0.35">
      <c r="C67" s="33">
        <v>44379</v>
      </c>
      <c r="D67" s="34">
        <f t="shared" ref="D67" si="11">E67-E66</f>
        <v>8.960000000000008</v>
      </c>
      <c r="E67" s="78">
        <v>181.93</v>
      </c>
      <c r="F67" s="76">
        <f t="shared" ref="F67" si="12">G67-G66</f>
        <v>3.9000000000000007E-3</v>
      </c>
      <c r="G67" s="77">
        <v>7.9000000000000001E-2</v>
      </c>
    </row>
    <row r="68" spans="3:7" x14ac:dyDescent="0.35">
      <c r="C68" s="33">
        <v>44381</v>
      </c>
      <c r="D68" s="34">
        <f t="shared" ref="D68" si="13">E68-E67</f>
        <v>3.7299999999999898</v>
      </c>
      <c r="E68" s="78">
        <v>185.66</v>
      </c>
      <c r="F68" s="76">
        <f t="shared" ref="F68" si="14">G68-G67</f>
        <v>1.6000000000000042E-3</v>
      </c>
      <c r="G68" s="77">
        <v>8.0600000000000005E-2</v>
      </c>
    </row>
    <row r="69" spans="3:7" ht="15" thickBot="1" x14ac:dyDescent="0.4">
      <c r="C69" s="9"/>
      <c r="D69" s="32"/>
      <c r="E69" s="32"/>
      <c r="F69" s="32"/>
      <c r="G69" s="31"/>
    </row>
  </sheetData>
  <mergeCells count="9">
    <mergeCell ref="I15:K15"/>
    <mergeCell ref="C52:G52"/>
    <mergeCell ref="C30:G30"/>
    <mergeCell ref="C55:G55"/>
    <mergeCell ref="F14:G14"/>
    <mergeCell ref="C20:G20"/>
    <mergeCell ref="C34:G34"/>
    <mergeCell ref="C42:G42"/>
    <mergeCell ref="C39:G39"/>
  </mergeCells>
  <phoneticPr fontId="11" type="noConversion"/>
  <conditionalFormatting sqref="K4:L9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K17:K19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Ferrero_Attardo</vt:lpstr>
      <vt:lpstr>PancakeSwap_STAKING</vt:lpstr>
      <vt:lpstr>Ferrero_Attardo_Cirillo27052021</vt:lpstr>
      <vt:lpstr>FACD28052021</vt:lpstr>
      <vt:lpstr>FACDM02062021</vt:lpstr>
      <vt:lpstr>FACDM31052021</vt:lpstr>
      <vt:lpstr>FACCGD04062021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Attardo</dc:creator>
  <cp:lastModifiedBy>Fabio Attardo</cp:lastModifiedBy>
  <dcterms:created xsi:type="dcterms:W3CDTF">2021-05-26T22:37:17Z</dcterms:created>
  <dcterms:modified xsi:type="dcterms:W3CDTF">2021-07-04T10:56:01Z</dcterms:modified>
</cp:coreProperties>
</file>