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6" windowHeight="11760" tabRatio="500"/>
  </bookViews>
  <sheets>
    <sheet name="dtl_metadata_with_lin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227" i="1" l="1"/>
  <c r="B1223" i="1"/>
  <c r="B714" i="1"/>
  <c r="B636" i="1"/>
  <c r="B417" i="1"/>
  <c r="B37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6" i="1"/>
  <c r="B1225" i="1"/>
  <c r="B1224"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<sst xmlns="http://schemas.openxmlformats.org/spreadsheetml/2006/main" count="20999" uniqueCount="7361">
  <si>
    <t>solo_id</t>
  </si>
  <si>
    <t>link (CTRL + Click)</t>
  </si>
  <si>
    <t>possible_solo_performer_names</t>
  </si>
  <si>
    <t>performer_names</t>
  </si>
  <si>
    <t>solo_performer_name</t>
  </si>
  <si>
    <t>band_name</t>
  </si>
  <si>
    <t>leader_name</t>
  </si>
  <si>
    <t>medium_title</t>
  </si>
  <si>
    <t>medium_record_number</t>
  </si>
  <si>
    <t>disk_title</t>
  </si>
  <si>
    <t>track_title</t>
  </si>
  <si>
    <t>session_date</t>
  </si>
  <si>
    <t>area</t>
  </si>
  <si>
    <t>instrument_label</t>
  </si>
  <si>
    <t>solo_start</t>
  </si>
  <si>
    <t>solo_end</t>
  </si>
  <si>
    <t>AQAbfMuVLEmWJXgWlZlQMsd1PIpmXKZw_0.00.57.073061-0.06.16.072054</t>
  </si>
  <si>
    <t>Bob Cranshaw (b), Dexter Gordon (ts), Hampton Hawes (p), Kenny Clarke (dr)</t>
  </si>
  <si>
    <t>Dexter Gordon</t>
  </si>
  <si>
    <t>Blues A La Suisse</t>
  </si>
  <si>
    <t>Secret love</t>
  </si>
  <si>
    <t>1973-07-07</t>
  </si>
  <si>
    <t>Live, Montreux Jazz Festival, Montreux, Switzerland</t>
  </si>
  <si>
    <t>ts</t>
  </si>
  <si>
    <t>0:00:57.073061</t>
  </si>
  <si>
    <t>0:06:16.072054</t>
  </si>
  <si>
    <t>AQAbfMuVLEmWJXgWlZlQMsd1PIpmXKZw_0.10.34.015510-0.10.39.093469</t>
  </si>
  <si>
    <t>0:10:34.015510</t>
  </si>
  <si>
    <t>0:10:39.093469</t>
  </si>
  <si>
    <t>AQAbfMuVLEmWJXgWlZlQMsd1PIpmXKZw_0.10.49.037142-0.10.53.042040</t>
  </si>
  <si>
    <t>0:10:49.037142</t>
  </si>
  <si>
    <t>0:10:53.042040</t>
  </si>
  <si>
    <t>AQAbfMuVLEmWJXgWlZlQMsd1PIpmXKZw_0.11.01.035510-0.11.06.038367</t>
  </si>
  <si>
    <t>0:11:01.035510</t>
  </si>
  <si>
    <t>0:11:06.038367</t>
  </si>
  <si>
    <t>AQAbfMuVLEmWJXgWlZlQMsd1PIpmXKZw_0.11.14.008979-0.11.19.044489</t>
  </si>
  <si>
    <t>0:11:14.008979</t>
  </si>
  <si>
    <t>0:11:19.044489</t>
  </si>
  <si>
    <t>AQAbfMuVLEmWJXgWlZlQMsd1PIpmXKZw_0.12.25.063918-0.14.17.046648</t>
  </si>
  <si>
    <t>0:12:25.063918</t>
  </si>
  <si>
    <t>0:14:17.046648</t>
  </si>
  <si>
    <t>AQAbtosXZaYw5UOf43rwZ8GTaBRRHzc7_0.00.00.026122-0.04.17.064861</t>
  </si>
  <si>
    <t>Miles Davis</t>
  </si>
  <si>
    <t>It's about that time</t>
  </si>
  <si>
    <t>1970-12-19</t>
  </si>
  <si>
    <t>Live "Cellar Door", 3rd Set, Washington, D.C.</t>
  </si>
  <si>
    <t>tp</t>
  </si>
  <si>
    <t>0:00:00.026122</t>
  </si>
  <si>
    <t>0:04:17.064861</t>
  </si>
  <si>
    <t>AQAbtosXZaYw5UOf43rwZ8GTaBRRHzc7_0.04.17.064861-0.08.17.009278</t>
  </si>
  <si>
    <t>0:08:17.009278</t>
  </si>
  <si>
    <t>AQAbyVaUbEmkBleO68GdY0piHv9hCjdu_0.01.00.021224-0.02.16.016181</t>
  </si>
  <si>
    <t>Dizzy Gillespie, Wallace Roney</t>
  </si>
  <si>
    <t>Dizzy Gillespie (tp), Junior Mance (p), Kenny Washington (dr), Peter Washington (b), Wallace Roney (tp)</t>
  </si>
  <si>
    <t>Dizzy Gillespie</t>
  </si>
  <si>
    <t>To Diz With Love</t>
  </si>
  <si>
    <t>Billie's bounce</t>
  </si>
  <si>
    <t>1992-01-29</t>
  </si>
  <si>
    <t>Live "Blue Note", New York</t>
  </si>
  <si>
    <t>0:01:00.021224</t>
  </si>
  <si>
    <t>0:02:16.016181</t>
  </si>
  <si>
    <t>AQAbyVaUbEmkBleO68GdY0piHv9hCjdu_0.02.16.016181-0.04.06.087455</t>
  </si>
  <si>
    <t>0:04:06.087455</t>
  </si>
  <si>
    <t>AQAbyVaUbEmkBleO68GdY0piHv9hCjdu_0.04.06.087455-0.07.01.061632</t>
  </si>
  <si>
    <t>0:07:01.061632</t>
  </si>
  <si>
    <t>AQAbyVaUbEmkBleO68GdY0piHv9hCjdu_0.11.42.030204-0.11.54.084081</t>
  </si>
  <si>
    <t>0:11:42.030204</t>
  </si>
  <si>
    <t>0:11:54.084081</t>
  </si>
  <si>
    <t>AQAbyVaUbEmkBleO68GdY0piHv9hCjdu_0.11.54.084081-0.12.05.081224</t>
  </si>
  <si>
    <t>0:12:05.081224</t>
  </si>
  <si>
    <t>AQAbyVaUbEmkBleO68GdY0piHv9hCjdu_0.12.05.081224-0.12.17.043673</t>
  </si>
  <si>
    <t>0:12:17.043673</t>
  </si>
  <si>
    <t>AQAbyVaUbEmkBleO68GdY0piHv9hCjdu_0.12.17.043673-0.12.28.051845</t>
  </si>
  <si>
    <t>0:12:28.051845</t>
  </si>
  <si>
    <t>AQAbyVaUbEmkBleO68GdY0piHv9hCjdu_0.12.28.051845-0.12.38.073523</t>
  </si>
  <si>
    <t>0:12:38.073523</t>
  </si>
  <si>
    <t>AQAbyVaUbEmkBleO68GdY0piHv9hCjdu_0.12.38.073523-0.12.50.025233</t>
  </si>
  <si>
    <t>0:12:50.025233</t>
  </si>
  <si>
    <t>AQAbyVaUbEmkBleO68GdY0piHv9hCjdu_0.12.50.025233-0.12.54.071056</t>
  </si>
  <si>
    <t>0:12:54.071056</t>
  </si>
  <si>
    <t>AQAbyVaUbEmkBleO68GdY0piHv9hCjdu_0.12.54.071056-0.12.58.051863</t>
  </si>
  <si>
    <t>0:12:58.051863</t>
  </si>
  <si>
    <t>AQAbyVaUbEmkBleO68GdY0piHv9hCjdu_0.12.58.051863-0.13.01.067655</t>
  </si>
  <si>
    <t>0:13:01.067655</t>
  </si>
  <si>
    <t>AQAbyVaUbEmkBleO68GdY0piHv9hCjdu_0.13.01.067655-0.13.05.002022</t>
  </si>
  <si>
    <t>0:13:05.002022</t>
  </si>
  <si>
    <t>AQAbyVaUbEmkBleO68GdY0piHv9hCjdu_0.13.05.002022-0.13.08.064253</t>
  </si>
  <si>
    <t>0:13:08.064253</t>
  </si>
  <si>
    <t>AQAbyVaUbEmkBleO68GdY0piHv9hCjdu_0.13.08.064253-0.13.11.052181</t>
  </si>
  <si>
    <t>0:13:11.052181</t>
  </si>
  <si>
    <t>AQAbyVaUbEmkBleO68GdY0piHv9hCjdu_0.13.11.052181-0.13.15.098004</t>
  </si>
  <si>
    <t>0:13:15.098004</t>
  </si>
  <si>
    <t>AQAbyVaUbEmkBleO68GdY0piHv9hCjdu_0.13.15.098004-0.13.19.069523</t>
  </si>
  <si>
    <t>0:13:19.069523</t>
  </si>
  <si>
    <t>AQAbyVaUbEmkBleO68GdY0piHv9hCjdu_0.13.19.069523-0.13.23.013179</t>
  </si>
  <si>
    <t>0:13:23.013179</t>
  </si>
  <si>
    <t>AQAbyVaUbEmkBleO68GdY0piHv9hCjdu_0.13.23.013179-0.13.26.066122</t>
  </si>
  <si>
    <t>0:13:26.066122</t>
  </si>
  <si>
    <t>AQAbyVaUbEmkBleO68GdY0piHv9hCjdu_0.13.26.066122-0.13.31.021233</t>
  </si>
  <si>
    <t>0:13:31.021233</t>
  </si>
  <si>
    <t>AQAbyVaUbEmkBleO68GdY0piHv9hCjdu_0.13.31.021233-0.13.34.055600</t>
  </si>
  <si>
    <t>0:13:34.055600</t>
  </si>
  <si>
    <t>AQAccUmoJYmqCYc_4cL3BP1h_ugv_PCL_0.10.12.004897-0.14.37.090004</t>
  </si>
  <si>
    <t>David Gilmore (g), Don Byron (cl), Kenny Davis (b), Uri Caine (p)</t>
  </si>
  <si>
    <t>Don Byron</t>
  </si>
  <si>
    <t>No-Vibe Zone</t>
  </si>
  <si>
    <t>Tuskegee strutter's ball</t>
  </si>
  <si>
    <t>1996-01-07</t>
  </si>
  <si>
    <t>Live "Knitting Factory", New York</t>
  </si>
  <si>
    <t>cl</t>
  </si>
  <si>
    <t>0:10:12.004897</t>
  </si>
  <si>
    <t>0:14:37.090004</t>
  </si>
  <si>
    <t>AQAcmUqUMGlEJcITY_dxKcZ1IX2E5A-u_0.03.05.057464-0.04.45.052020</t>
  </si>
  <si>
    <t>The Cellar Door Sessions 1970</t>
  </si>
  <si>
    <t>What I say ?</t>
  </si>
  <si>
    <t>Live "Cellar Door", 2nd Set, Washington, D.C.</t>
  </si>
  <si>
    <t>0:03:05.057464</t>
  </si>
  <si>
    <t>0:04:45.052020</t>
  </si>
  <si>
    <t>AQAcmUqUMGlEJcITY_dxKcZ1IX2E5A-u_0.04.45.052020-0.07.13.035596</t>
  </si>
  <si>
    <t>ss</t>
  </si>
  <si>
    <t>0:07:13.035596</t>
  </si>
  <si>
    <t>AQAD-EqXKIqegOmiDWIyCXeWCecPP0cR_0.00.46.043990-0.01.25.005469</t>
  </si>
  <si>
    <t>Horace Silver (p), Joe Calloway (b), Stan Getz (ts), Walter Bolden (dr)</t>
  </si>
  <si>
    <t>Stan Getz</t>
  </si>
  <si>
    <t>Stan Getz Quartet</t>
  </si>
  <si>
    <t xml:space="preserve">White Bebop Boys Vol. 6 (1949-50) Terry Gibbs - Al Cohn – Zoot Sims - George Wallington - Stan Getz </t>
  </si>
  <si>
    <t>The Encyclopedia of Jazz, Part 4: Bebop Story - A Musical Revolution That Radically Changed the Road of Jazz</t>
  </si>
  <si>
    <t>Tootsie Roll</t>
  </si>
  <si>
    <t>1950-12-10</t>
  </si>
  <si>
    <t>New York</t>
  </si>
  <si>
    <t>0:00:46.043990</t>
  </si>
  <si>
    <t>0:01:25.005469</t>
  </si>
  <si>
    <t>AQAD-EqXKIqegOmiDWIyCXeWCecPP0cR_0.01.44.041142-0.02.08.050666</t>
  </si>
  <si>
    <t>0:01:44.041142</t>
  </si>
  <si>
    <t>0:02:08.050666</t>
  </si>
  <si>
    <t>AQAE_1uTPhGm3CzKPcK11MiZbEiWP_AU_0.01.22.090975-0.01.40.024544</t>
  </si>
  <si>
    <t>Billy Kyle (p), Buster Bailey (cl), Charlie Shavers (tp, other), John Kirby (b), O'Neil Spencer (dr), Russell Procope (as)</t>
  </si>
  <si>
    <t>Buster Bailey</t>
  </si>
  <si>
    <t>John Kirby And His Orchestra</t>
  </si>
  <si>
    <t>John Kirby</t>
  </si>
  <si>
    <t>John Kirby And His Orchestra 1940-41</t>
  </si>
  <si>
    <t>The Encyclopedia of Jazz, Part 2: Swing Time - The Heyday of Jazz</t>
  </si>
  <si>
    <t>Frasquita Serenade</t>
  </si>
  <si>
    <t>1940-07-09</t>
  </si>
  <si>
    <t>0:01:22.090975</t>
  </si>
  <si>
    <t>0:01:40.024544</t>
  </si>
  <si>
    <t>AQAE_kmWKLGkSQiP5seP-mh-zHnw6_CO_0.01.34.034557-0.02.40.093333</t>
  </si>
  <si>
    <t>Al Haig (p), Allen Eager (ts), Charlie Perry (dr), Clyde Lombardi (b)</t>
  </si>
  <si>
    <t>Allen Eager</t>
  </si>
  <si>
    <t>Allen Eager Quartet</t>
  </si>
  <si>
    <t xml:space="preserve">White Bebop Boys Vol. 2 (1947-48) Allen Eager - Stan Getz – Brew Moore </t>
  </si>
  <si>
    <t>Pogo Stick</t>
  </si>
  <si>
    <t>1948-06-01</t>
  </si>
  <si>
    <t>0:01:34.034557</t>
  </si>
  <si>
    <t>0:02:40.093333</t>
  </si>
  <si>
    <t>AQAE0WLCJIkVBU-FRijxRDnqsZjy4yh5_0.00.44.044299-0.01.00.032544</t>
  </si>
  <si>
    <t>Bill Thomas (sb). Ella Fitzgerald (voc), Bobby Stark (tp), Charles Linton (voc), Chick Webb (other, dr), Don Kirkpatrick (p), Edgar Sampson (as), Elmer  'Skippy' Williams (ts), John Trueheart (g, bjo), Mario Bauza (tp), Nat Story (tb), Pete Clark (as, cl), Sandy Williams (tb), Taft Jordan (voc, tp), Wayman Carver (fl, ts)</t>
  </si>
  <si>
    <t>Chick Webb And His Orchestra</t>
  </si>
  <si>
    <t>Chick Webb</t>
  </si>
  <si>
    <t>Chick Webb 1935-37</t>
  </si>
  <si>
    <t>The Encyclopedia of Jazz, Part 3: Big Bands - The Giants of the Swing Big Band Era</t>
  </si>
  <si>
    <t>Facts And Figures</t>
  </si>
  <si>
    <t>1935-10-12</t>
  </si>
  <si>
    <t>0:00:44.044299</t>
  </si>
  <si>
    <t>0:01:00.032544</t>
  </si>
  <si>
    <t>AQAE0WLCJIkVBU-FRijxRDnqsZjy4yh5_0.01.00.032544-0.01.07.094158</t>
  </si>
  <si>
    <t>Pete Clark</t>
  </si>
  <si>
    <t>0:01:07.094158</t>
  </si>
  <si>
    <t>AQAE0WLCJIkVBU-FRijxRDnqsZjy4yh5_0.01.07.094158-0.01.19.008716</t>
  </si>
  <si>
    <t>0:01:19.008716</t>
  </si>
  <si>
    <t>AQAE0WLCJIkVBU-FRijxRDnqsZjy4yh5_0.01.19.008716-0.01.51.064154</t>
  </si>
  <si>
    <t>Bobby Stark, Mario Bauza, Taft Jordan</t>
  </si>
  <si>
    <t>tb</t>
  </si>
  <si>
    <t>0:01:51.064154</t>
  </si>
  <si>
    <t>AQAE4RqTcCGa0GjX49EpXE_gUi565Eby_0.01.05.097442-0.01.43.077052</t>
  </si>
  <si>
    <t>Budd  Johnson (ts), Cecil Irwin (other), Charlie Allen (tp), Darnell Howard (as, vln, cl), Earl Hines (p, other), Ida James (voc), Jimmy Mundy (other), Kenneth Stuart (tb), Lawrence Dixon (g), Louis Taylor (tb), Milton Fletcher (tp), Omer Simeon (as, bs, cl), Quinn Wilson (other, b), Trummy Young (tb), Wallace Bishop (dr), Walter Fuller (voc, tp)</t>
  </si>
  <si>
    <t>Budd  Johnson</t>
  </si>
  <si>
    <t>Earl Hines And His Orchestra/ Earl Hines Quartet</t>
  </si>
  <si>
    <t>Earl Hines</t>
  </si>
  <si>
    <t>Earl Hines 1935-38</t>
  </si>
  <si>
    <t>Pianology</t>
  </si>
  <si>
    <t>1937-02-10</t>
  </si>
  <si>
    <t>Chicago</t>
  </si>
  <si>
    <t>0:01:05.097442</t>
  </si>
  <si>
    <t>0:01:43.077052</t>
  </si>
  <si>
    <t>AQAE4RqTcCGa0GjX49EpXE_gUi565Eby_0.01.43.077052-0.02.00.010412</t>
  </si>
  <si>
    <t>Darnell Howard, Omer Simeon</t>
  </si>
  <si>
    <t>0:02:00.010412</t>
  </si>
  <si>
    <t>AQAE4RqTcCGa0GjX49EpXE_gUi565Eby_0.02.00.010412-0.02.08.087224</t>
  </si>
  <si>
    <t>Charlie Allen, Milton Fletcher, Walter Fuller</t>
  </si>
  <si>
    <t>0:02:08.087224</t>
  </si>
  <si>
    <t>AQAE4RqTcCGa0GjX49EpXE_gUi565Eby_0.02.08.087224-0.02.13.075056</t>
  </si>
  <si>
    <t>0:02:13.075056</t>
  </si>
  <si>
    <t>AQAE60kiZYmUpEmCJsoV1MkPXVLw8MFz_0.00.23.012707-0.00.49.011020</t>
  </si>
  <si>
    <t>Alfred Bell (voc, other), Darnell Howard (as, cl), Ed Hudson (voc, bjo), Jimmy Blythe (p), Roy Palmer (tb)</t>
  </si>
  <si>
    <t>Darnell Howard</t>
  </si>
  <si>
    <t>State Street Ramblers</t>
  </si>
  <si>
    <t xml:space="preserve">Chicago South Side 1928-31 </t>
  </si>
  <si>
    <t>The Encyclopedia of Jazz, Part 1: Classic Jazz - From New Orleans to Harlem</t>
  </si>
  <si>
    <t xml:space="preserve">Barrel House Stomp </t>
  </si>
  <si>
    <t>1931-03-19</t>
  </si>
  <si>
    <t>Richmond</t>
  </si>
  <si>
    <t>as</t>
  </si>
  <si>
    <t>0:00:23.012707</t>
  </si>
  <si>
    <t>0:00:49.011020</t>
  </si>
  <si>
    <t>AQAE60kiZYmUpEmCJsoV1MkPXVLw8MFz_0.00.49.011020-0.01.15.041841</t>
  </si>
  <si>
    <t>Roy Palmer</t>
  </si>
  <si>
    <t>0:01:15.041841</t>
  </si>
  <si>
    <t>AQAE60kiZYmUpEmCJsoV1MkPXVLw8MFz_0.01.15.041841-0.01.41.003002</t>
  </si>
  <si>
    <t>0:01:41.003002</t>
  </si>
  <si>
    <t>AQAE60kiZYmUpEmCJsoV1MkPXVLw8MFz_0.02.07.077941-0.02.38.059999</t>
  </si>
  <si>
    <t>0:02:07.077941</t>
  </si>
  <si>
    <t>0:02:38.059999</t>
  </si>
  <si>
    <t>AQAE6VEUKRmVTBHCSMqD0gKfBc1UlMl2_0.01.08.052208-0.01.21.077777</t>
  </si>
  <si>
    <t>Bernie Privin, Bob Burnet, George Esposito, Lyman Vunk</t>
  </si>
  <si>
    <t>Bernie Privin (tp), Bill Miller (p), Bill Robertson (tb), Bob Burnet (tp), Bus Etri (g), Charlie Barnet (as, other, ts, ss), Cliff Leeman (dr), Conn Humphreys (as), Don Ruppersberg (tb), Ford Leary (tb), George Esposito (tp), James Lamare (as), Kurt Bloom (ts), Leo White (as), Lyman Vunk (tp), Phil Stevens (b), Spud Murphy (tb)</t>
  </si>
  <si>
    <t>Charlie Barnet</t>
  </si>
  <si>
    <t>Charlie Barnet 1939-41</t>
  </si>
  <si>
    <t>Merry-Go-Round</t>
  </si>
  <si>
    <t>1941-01-23</t>
  </si>
  <si>
    <t>0:01:08.052208</t>
  </si>
  <si>
    <t>0:01:21.077777</t>
  </si>
  <si>
    <t>AQAE6VEUKRmVTBHCSMqD0gKfBc1UlMl2_0.01.21.077777-0.01.34.036589</t>
  </si>
  <si>
    <t>0:01:34.036589</t>
  </si>
  <si>
    <t>AQAE7UmiZFKzFYzjYcpwHrlkdMsmIsx4_0.00.57.077124-0.01.30.077551</t>
  </si>
  <si>
    <t>Benny Carter (other), Bobby Stark (tp), Buster Bailey (as, cl), Charlie Green (tb), Clarence Holiday (bjo), Coleman Hawkins (ts, cl), Del Thomas (b), Fletcher Henderson (p, other), Harvey Boone (as, cl), Jimmy Harrison (tb), Rex Stewart (cor)</t>
  </si>
  <si>
    <t>Bobby Stark</t>
  </si>
  <si>
    <t>Fletcher Henderson And His Orchestra</t>
  </si>
  <si>
    <t>Fletcher Henderson</t>
  </si>
  <si>
    <t>Fletcher Henderson 1928-31</t>
  </si>
  <si>
    <t xml:space="preserve">Raisin' The Roof </t>
  </si>
  <si>
    <t>1929-04-01</t>
  </si>
  <si>
    <t>0:00:57.077124</t>
  </si>
  <si>
    <t>0:01:30.077551</t>
  </si>
  <si>
    <t>AQAE7UmiZFKzFYzjYcpwHrlkdMsmIsx4_0.01.30.077551-0.01.47.095102</t>
  </si>
  <si>
    <t>Coleman Hawkins</t>
  </si>
  <si>
    <t>0:01:47.095102</t>
  </si>
  <si>
    <t>AQAE7UmiZFKzFYzjYcpwHrlkdMsmIsx4_0.01.47.095102-0.01.56.050612</t>
  </si>
  <si>
    <t>Buster Bailey, Coleman Hawkins, Harvey Boone</t>
  </si>
  <si>
    <t>0:01:56.050612</t>
  </si>
  <si>
    <t>AQAE7UmiZFKzFYzjYcpwHrlkdMsmIsx4_0.01.56.050612-0.02.02.050848</t>
  </si>
  <si>
    <t>0:02:02.050848</t>
  </si>
  <si>
    <t>AQAE8knGpNKWoEeTbG4EzlkH3UKvwY-g_0.00.57.009786-0.01.45.011673</t>
  </si>
  <si>
    <t>Charlie Parker (ts), John Lewis (p), Max Roach (dr), Miles Davis (tp), Nelson Boyd (b)</t>
  </si>
  <si>
    <t xml:space="preserve">Miles Davis All Stars </t>
  </si>
  <si>
    <t>Miles Davis Vol. 1 (1945-48)</t>
  </si>
  <si>
    <t>Milestones</t>
  </si>
  <si>
    <t>1947-08-14</t>
  </si>
  <si>
    <t>0:00:57.009786</t>
  </si>
  <si>
    <t>0:01:45.011673</t>
  </si>
  <si>
    <t>AQAE8knGpNKWoEeTbG4EzlkH3UKvwY-g_0.02.10.007818-0.02.22.082594</t>
  </si>
  <si>
    <t>Charlie Parker</t>
  </si>
  <si>
    <t>0:02:10.007818</t>
  </si>
  <si>
    <t>0:02:22.082594</t>
  </si>
  <si>
    <t>AQAE9JKUSUu0Bc2Eh8PhEz1-BveRP0ie_0.01.17.013668-0.01.56.093569</t>
  </si>
  <si>
    <t>Artie Bernstein (b), Bunny Berigan (tp), Chu Berry (ts), Gene Krupa (dr), George Van Eps (g), Jack Jenney (tb), Johnny Mince (cl), Red Norvo (other), Teddy Wilson (p)</t>
  </si>
  <si>
    <t>Chu Berry</t>
  </si>
  <si>
    <t>Red Norvo And His Swing Octet</t>
  </si>
  <si>
    <t>Red Norvo</t>
  </si>
  <si>
    <t>All-Star Groups Vol. 1 (1933-37)</t>
  </si>
  <si>
    <t>With All My Heart And Soul</t>
  </si>
  <si>
    <t>1935-01-25</t>
  </si>
  <si>
    <t>0:01:17.013668</t>
  </si>
  <si>
    <t>0:01:56.093569</t>
  </si>
  <si>
    <t>AQAEb1mS6BElPOiRL4uKH4erTHinLMjD_0.00.00.000000-0.01.07.033786</t>
  </si>
  <si>
    <t>Jerry Elliott (tb), Jesse Drake (tp), Junior Mance (p), LeRoy Jackson (b), Lester Young (ts), Roy Haynes (dr)</t>
  </si>
  <si>
    <t>Lester Young</t>
  </si>
  <si>
    <t>Lester Young And Orchestra</t>
  </si>
  <si>
    <t>Lester Young Vol. 8 (1948-50)</t>
  </si>
  <si>
    <t>Blues 'n' Bells</t>
  </si>
  <si>
    <t>1949-06-23</t>
  </si>
  <si>
    <t>0:00:00.000000</t>
  </si>
  <si>
    <t>0:01:07.033786</t>
  </si>
  <si>
    <t>AQAEb1mS6BElPOiRL4uKH4erTHinLMjD_0.01.07.033786-0.01.24.033487</t>
  </si>
  <si>
    <t>Jerry Elliott</t>
  </si>
  <si>
    <t>0:01:24.033487</t>
  </si>
  <si>
    <t>AQAEb1mS6BElPOiRL4uKH4erTHinLMjD_0.01.24.033487-0.01.41.007646</t>
  </si>
  <si>
    <t>0:01:41.007646</t>
  </si>
  <si>
    <t>AQAEBkmeRkq04L6xy8UP28eDdy8eDrWP_0.00.34.041197-0.01.20.038748</t>
  </si>
  <si>
    <t>Howard McGhee (tp), Jimmy Heath (bs, as), Joe Harris (dr), Milt Jackson (vib), Percy Heath (b), Will Davis (p)</t>
  </si>
  <si>
    <t>Howard McGhee</t>
  </si>
  <si>
    <t>Howard McGhee Vol. 3 (1948-49)</t>
  </si>
  <si>
    <t>Fiesta</t>
  </si>
  <si>
    <t>1948-02-01</t>
  </si>
  <si>
    <t>0:00:34.041197</t>
  </si>
  <si>
    <t>0:01:20.038748</t>
  </si>
  <si>
    <t>AQAEBkmeRkq04L6xy8UP28eDdy8eDrWP_0.01.20.038748-0.01.35.022503</t>
  </si>
  <si>
    <t>Milt Jackson</t>
  </si>
  <si>
    <t>vib</t>
  </si>
  <si>
    <t>0:01:35.022503</t>
  </si>
  <si>
    <t>AQAEBkmeRkq04L6xy8UP28eDdy8eDrWP_0.01.35.022503-0.01.50.057342</t>
  </si>
  <si>
    <t>0:01:50.057342</t>
  </si>
  <si>
    <t>AQAEdglJUUwU5HgS5EhuKcfDMBOaJUuJ_0.01.48.048362-0.02.24.000000</t>
  </si>
  <si>
    <t>Arnold Fishkin (b), Billy Bauer (g), John LaPorta (cl), Lennie Tristano (p)</t>
  </si>
  <si>
    <t>John LaPorta</t>
  </si>
  <si>
    <t>Lennie Tristano Trio</t>
  </si>
  <si>
    <t>Lennie Tristano</t>
  </si>
  <si>
    <t>Lennie Tristano Vol. 1 (1946-49)</t>
  </si>
  <si>
    <t>Speculation</t>
  </si>
  <si>
    <t>1947-12-31</t>
  </si>
  <si>
    <t>0:01:48.048362</t>
  </si>
  <si>
    <t>0:02:24.000000</t>
  </si>
  <si>
    <t>AQAEdkqUKEkUcZLwHSee7qgewlVyvFeK_0.00.54.029097-0.01.47.035181</t>
  </si>
  <si>
    <t>Bobby Haynes (b), Joe Sample (p), Stix Hooper (dr), Wayne Henderson (tb), Wilton Felder (ts)</t>
  </si>
  <si>
    <t>Wilton Felder</t>
  </si>
  <si>
    <t>The Crusaders</t>
  </si>
  <si>
    <t>Tough Talk</t>
  </si>
  <si>
    <t>Tough talk</t>
  </si>
  <si>
    <t>1963-02-13</t>
  </si>
  <si>
    <t>Los Angeles</t>
  </si>
  <si>
    <t>0:00:54.029097</t>
  </si>
  <si>
    <t>0:01:47.035181</t>
  </si>
  <si>
    <t>AQAEf0mihWGUQTnOw2N45K3wZBcePHiW_0.00.07.008208-0.00.58.065360</t>
  </si>
  <si>
    <t>Charlie Parker (as), Curly Russell (b), John Lewis (p), Max Roach (dr), Miles Davis (tp)</t>
  </si>
  <si>
    <t>Charlie Parker's All Stars</t>
  </si>
  <si>
    <t>Charlie Parker Vol. 6 (1947-49)</t>
  </si>
  <si>
    <t>1948-09-24</t>
  </si>
  <si>
    <t>0:00:07.008208</t>
  </si>
  <si>
    <t>0:00:58.065360</t>
  </si>
  <si>
    <t>AQAEf0mihWGUQTnOw2N45K3wZBcePHiW_0.00.58.065360-0.01.24.010267</t>
  </si>
  <si>
    <t>0:01:24.010267</t>
  </si>
  <si>
    <t>AQAEf1SiJ6GIH_5x6sO1eEgrCXpihJkl_0.00.44.016435-0.01.29.042004</t>
  </si>
  <si>
    <t>Al Killian (tp), Buck Clayton (other, tp), Buddy Tate (ts), Count Basie (p, other), Dan Minor (tb), Dicky Wells (tb), Don Byas (ts), Earl Warren (as, voc), Ed Cuffee (tb), Ed Lewis (tp), Freddie Green (g), Harry Edison (tp), Jack Washington (bs, as), Jimmy Mundy (other), Jo Jones (dr), Tab Smith (ss, other, as), Walter Page (b)</t>
  </si>
  <si>
    <t>Earl Warren</t>
  </si>
  <si>
    <t>Count Basie And His Orchestra</t>
  </si>
  <si>
    <t>Count Basie</t>
  </si>
  <si>
    <t>Count Basie 1941</t>
  </si>
  <si>
    <t>I'm Tired Of Waiting For You</t>
  </si>
  <si>
    <t>1941-05-21</t>
  </si>
  <si>
    <t>voc</t>
  </si>
  <si>
    <t>0:00:44.016435</t>
  </si>
  <si>
    <t>0:01:29.042004</t>
  </si>
  <si>
    <t>AQAEgmQjrYnQ_CiT49aD0EyCZE_x005F_x472C_0.00.18.015800-0.01.14.079147</t>
  </si>
  <si>
    <t>Constellation</t>
  </si>
  <si>
    <t>1948-09-18</t>
  </si>
  <si>
    <t>0:00:18.015800</t>
  </si>
  <si>
    <t>0:01:14.079147</t>
  </si>
  <si>
    <t>AQAEgmQjrYnQ_CiT49aD0EyCZE_x005F_x472C_0.01.14.079147-0.01.37.066312</t>
  </si>
  <si>
    <t>0:01:37.066312</t>
  </si>
  <si>
    <t>AQAEmYsaSYkzXFGOfklQNcJ7Bo8uVJdz_0.00.49.053668-0.01.09.046938</t>
  </si>
  <si>
    <t>Barney Bigard (cl), Billy Taylor (b), Duke Ellington (p), Fred Guy (g), Harry Carney (bs), Juan Tizol (tb), Rex Stewart (cor), Sonny Greer (dr)</t>
  </si>
  <si>
    <t>Barney Bigard And His Jazzopators</t>
  </si>
  <si>
    <t>Barney Bigard</t>
  </si>
  <si>
    <t>Duke Ellington Small Groups Vol. 2 (1937-38)</t>
  </si>
  <si>
    <t>Drummer's Delight</t>
  </si>
  <si>
    <t>1938-01-18</t>
  </si>
  <si>
    <t>0:00:49.053668</t>
  </si>
  <si>
    <t>0:01:09.046938</t>
  </si>
  <si>
    <t>AQAEmYsaSYkzXFGOfklQNcJ7Bo8uVJdz_0.01.37.035365-0.01.57.008734</t>
  </si>
  <si>
    <t>0:01:37.035365</t>
  </si>
  <si>
    <t>0:01:57.008734</t>
  </si>
  <si>
    <t>AQAEmZJyLVmkJGhQpxP-ID6SpaPhBr1w_0.00.27.095682-0.01.15.099891</t>
  </si>
  <si>
    <t>Al Haig (p), Charlie  Perry (dr), Jimmy Raney (g), Terry  Swope (voc), Tommy Potter (b), Wardell Gray (ts)</t>
  </si>
  <si>
    <t>Wardell Gray</t>
  </si>
  <si>
    <t>Al Haig Quintet</t>
  </si>
  <si>
    <t>Al Haig</t>
  </si>
  <si>
    <t>Wardell Gray Vol. 2 (1948-49)</t>
  </si>
  <si>
    <t>Sugar Hill Bop</t>
  </si>
  <si>
    <t>1948-04-01</t>
  </si>
  <si>
    <t>0:00:27.095682</t>
  </si>
  <si>
    <t>0:01:15.099891</t>
  </si>
  <si>
    <t>AQAENAz5RMKLH0_xI8QJIWc-fC165_jh_0.01.05.001587-0.02.15.082666</t>
  </si>
  <si>
    <t>Jim Pepper, Joe Lovano</t>
  </si>
  <si>
    <t>Bill Frisell (g), Ed Schuller (b), Jim Pepper (ss, ts), Joe Lovano (ts), Paul Motian (dr)</t>
  </si>
  <si>
    <t>Paul Motian</t>
  </si>
  <si>
    <t>Misterioso</t>
  </si>
  <si>
    <t>Johnny Broken Wing</t>
  </si>
  <si>
    <t>1986-07-14</t>
  </si>
  <si>
    <t>Milan, Italy</t>
  </si>
  <si>
    <t>0:01:05.001587</t>
  </si>
  <si>
    <t>0:02:15.082666</t>
  </si>
  <si>
    <t>AQAEoUqkJVmyNQF__EejBtVxD8_xd4MZ_0.00.38.045224-0.01.17.029922</t>
  </si>
  <si>
    <t>Al Haig (p), Roy Haynes (dr), Stan Getz (ts), Tommy Potter (b)</t>
  </si>
  <si>
    <t xml:space="preserve">White Bebop Boys Vol. 5 (1949-50) Lee Konitz – Stan Getz </t>
  </si>
  <si>
    <t>Sweetie Pie</t>
  </si>
  <si>
    <t>1950-05-17</t>
  </si>
  <si>
    <t>0:00:38.045224</t>
  </si>
  <si>
    <t>0:01:17.029922</t>
  </si>
  <si>
    <t>AQAEoUqkJVmyNQF__EejBtVxD8_xd4MZ_0.01.50.038766-0.02.29.041333</t>
  </si>
  <si>
    <t>0:01:50.038766</t>
  </si>
  <si>
    <t>0:02:29.041333</t>
  </si>
  <si>
    <t>AQAEoWRUKUm4YD9CiRmhJSmDHPxx9rgo_0.00.52.052353-0.01.31.048662</t>
  </si>
  <si>
    <t>Al Norris (g), Bill Moore (other), Dan Grissom (as, voc), Earl Carruthers (cl, bs, as), Eddie Durham (other), Edwin Wilcox (p, other), Elmer Crumbley (tb), Gerald Wilson (tp), Jimmie Lunceford (other), Jimmy Crawford (dr), Joe Thomas (cl, voc, ts), Jr., (other), Moses Allen (b), Paul Webster (tp), Russell Bowles (tb), Snooky Young (tp), Sy Oliver (other), Ted Buckner (as, other), Trummy Young (voc, tb), Willie Smith (as, voc, cl, bs)</t>
  </si>
  <si>
    <t>Joe Thomas</t>
  </si>
  <si>
    <t>Jimmie Lunceford And His Orchestra</t>
  </si>
  <si>
    <t>Lunceford</t>
  </si>
  <si>
    <t>Jimmie Lunceford 1939-40</t>
  </si>
  <si>
    <t>Bugs Parade</t>
  </si>
  <si>
    <t>1940-01-05</t>
  </si>
  <si>
    <t>0:00:52.052353</t>
  </si>
  <si>
    <t>0:01:31.048662</t>
  </si>
  <si>
    <t>AQAEPEoWJVGUJBEjXPiC_rD24KeGXDv0_0.00.07.066476-0.00.23.026634</t>
  </si>
  <si>
    <t>Ben Webster (ts), Benny Carter (other, as), Charlie Christian (g), Chu Berry (ts), Clyde Hart (p), Coleman Hawkins (ts), Cozy Cole (dr), Dizzy Gillespie (tp), Lionel Hampton (other, voc, vib), Milt Hinton (b)</t>
  </si>
  <si>
    <t>Lionel Hampton And His Orchestra</t>
  </si>
  <si>
    <t>Lionel Hampton</t>
  </si>
  <si>
    <t>Lionel Hampton Groups 1939</t>
  </si>
  <si>
    <t>Hot Mallets</t>
  </si>
  <si>
    <t>1939-09-11</t>
  </si>
  <si>
    <t>0:00:07.066476</t>
  </si>
  <si>
    <t>0:00:23.026634</t>
  </si>
  <si>
    <t>AQAEPEoWJVGUJBEjXPiC_rD24KeGXDv0_0.00.23.026634-0.00.31.075346</t>
  </si>
  <si>
    <t>Benny Carter</t>
  </si>
  <si>
    <t>0:00:31.075346</t>
  </si>
  <si>
    <t>AQAEPEoWJVGUJBEjXPiC_rD24KeGXDv0_0.00.31.075346-0.00.39.058802</t>
  </si>
  <si>
    <t>0:00:39.058802</t>
  </si>
  <si>
    <t>AQAEPEoWJVGUJBEjXPiC_rD24KeGXDv0_0.00.39.058802-0.01.11.005596</t>
  </si>
  <si>
    <t>Ben Webster, Chu Berry, Coleman Hawkins</t>
  </si>
  <si>
    <t>0:01:11.005596</t>
  </si>
  <si>
    <t>AQAEPEoWJVGUJBEjXPiC_rD24KeGXDv0_0.01.11.005596-0.01.42.024036</t>
  </si>
  <si>
    <t>0:01:42.024036</t>
  </si>
  <si>
    <t>AQAEPEoWJVGUJBEjXPiC_rD24KeGXDv0_0.01.42.024036-0.01.57.055102</t>
  </si>
  <si>
    <t>0:01:57.055102</t>
  </si>
  <si>
    <t>AQAEPEoWJVGUJBEjXPiC_rD24KeGXDv0_0.01.57.055102-0.02.05.039587</t>
  </si>
  <si>
    <t>0:02:05.039587</t>
  </si>
  <si>
    <t>AQAEPEoWJVGUJBEjXPiC_rD24KeGXDv0_0.02.05.039587-0.02.16.087999</t>
  </si>
  <si>
    <t>0:02:16.087999</t>
  </si>
  <si>
    <t>AQAEpZS0NEocPD8Op8mD_xjzg3oexD4S_0.00.35.015510-0.01.06.021678</t>
  </si>
  <si>
    <t>Buck Clayton (tp), Charlie Shavers (tp), Chubby Jackson (b), Coleman Hawkins (ts), Harry Carney (bs), J.J. Johnson (tb), John Collins (g), Shadow Wilson (dr), Teddy Wilson (p)</t>
  </si>
  <si>
    <t>J.J. Johnson</t>
  </si>
  <si>
    <t>Esquire All-American Award Winners</t>
  </si>
  <si>
    <t>Metronome/Esquire All-Stars 1939-46</t>
  </si>
  <si>
    <t>Indiana Winter</t>
  </si>
  <si>
    <t>1946-12-04</t>
  </si>
  <si>
    <t>0:00:35.015510</t>
  </si>
  <si>
    <t>0:01:06.021678</t>
  </si>
  <si>
    <t>AQAEpZS0NEocPD8Op8mD_xjzg3oexD4S_0.01.06.021678-0.01.38.017387</t>
  </si>
  <si>
    <t>Buck Clayton, Charlie Shavers</t>
  </si>
  <si>
    <t>0:01:38.017387</t>
  </si>
  <si>
    <t>AQAEpZS0NEocPD8Op8mD_xjzg3oexD4S_0.01.38.017387-0.02.09.012734</t>
  </si>
  <si>
    <t>0:02:09.012734</t>
  </si>
  <si>
    <t>AQAErNJGJVJyfC_KKEQznSl-9LCOiouS_0.01.20.063129-0.01.42.019102</t>
  </si>
  <si>
    <t>Boyd 'Red' Rosser, Dave Richards</t>
  </si>
  <si>
    <t>Barney Alexander (bjo), Boyd 'Red' Rosser (tp), Charlie Irvis (tb), Dave Richards (), George Baquet (cl), Harry Prather (b), Jelly Roll Morton (other, p), Joe Thomas (ts), Paul Barnes (ss), Walter 'Foots' Thomas (as), William Laws (dr)</t>
  </si>
  <si>
    <t>Jelly Roll Morton And His Orchestra</t>
  </si>
  <si>
    <t>Jelly Roll Morton</t>
  </si>
  <si>
    <t>Jelly Roll Morton (1928-29)</t>
  </si>
  <si>
    <t xml:space="preserve">Try Me Out </t>
  </si>
  <si>
    <t>1929-07-12</t>
  </si>
  <si>
    <t>Camden, N.J.</t>
  </si>
  <si>
    <t>0:01:20.063129</t>
  </si>
  <si>
    <t>0:01:42.019102</t>
  </si>
  <si>
    <t>AQAEU0uyhZoqXLC-4yL6bFKKTzTi59AV_0.00.46.062095-0.01.26.002031</t>
  </si>
  <si>
    <t>Django Reinhardt (g), Joseph Reinhardt (g), Louis Vola (b), Pierre Ferret (g), Stephane Grappelli (vln)</t>
  </si>
  <si>
    <t>Stephane Grappelli</t>
  </si>
  <si>
    <t>Le Quintette Du Hot Club De France</t>
  </si>
  <si>
    <t>Django Reinhardt Vol. 2 (1937)</t>
  </si>
  <si>
    <t>Mystery Pacific</t>
  </si>
  <si>
    <t>1937-04-26</t>
  </si>
  <si>
    <t>Paris</t>
  </si>
  <si>
    <t>vln</t>
  </si>
  <si>
    <t>0:00:46.062095</t>
  </si>
  <si>
    <t>0:01:26.002031</t>
  </si>
  <si>
    <t>AQAEvomSPIoiwW9Q-Tj2HJdsMN8B8_hw_0.01.12.050430-0.01.59.078594</t>
  </si>
  <si>
    <t>The Cool World</t>
  </si>
  <si>
    <t>The pushers</t>
  </si>
  <si>
    <t>1964-04-22</t>
  </si>
  <si>
    <t>0:01:12.050430</t>
  </si>
  <si>
    <t>0:01:59.078594</t>
  </si>
  <si>
    <t>AQAEX4kYJVEiBb2WGA2n4y-uk3iOH24C_0.00.00.000000-0.02.21.026666</t>
  </si>
  <si>
    <t>Emil Richards (vib), Jimmy Forrest (ts), Johnny Hodges (as), Lawrence Brown (tb), Leroy Vinnegar (b), Mel Lewis (dr), Mercer Ellington (other), Ray Nance (tp), Russ Freeman (p)</t>
  </si>
  <si>
    <t>Johnny Hodges</t>
  </si>
  <si>
    <t>The Smooth One</t>
  </si>
  <si>
    <t>Romeo</t>
  </si>
  <si>
    <t>1961-02-21</t>
  </si>
  <si>
    <t>0:02:21.026666</t>
  </si>
  <si>
    <t>AQAEyguVRFGiJJlwHX-OOejRnMfJ4akw_0.00.17.008988-0.00.30.011628</t>
  </si>
  <si>
    <t>Bix Beiderbecke (cor), Bob Gillette (bjo, g), Dick Voynow (p), George Johnson (ts), Jimmy Hartwell (cl), Min Leibrook (b), Vic Moore (dr)</t>
  </si>
  <si>
    <t>Jimmy Hartwell</t>
  </si>
  <si>
    <t>The Wolverine Orchestra</t>
  </si>
  <si>
    <t xml:space="preserve">The Wolverine Orchestra </t>
  </si>
  <si>
    <t xml:space="preserve">Copenhagen </t>
  </si>
  <si>
    <t>1924-05-06</t>
  </si>
  <si>
    <t>0:00:17.008988</t>
  </si>
  <si>
    <t>0:00:30.011628</t>
  </si>
  <si>
    <t>AQAEyguVRFGiJJlwHX-OOejRnMfJ4akw_0.00.30.011628-0.00.43.046775</t>
  </si>
  <si>
    <t>George Johnson</t>
  </si>
  <si>
    <t>0:00:43.046775</t>
  </si>
  <si>
    <t>AQAEyomSSGKShrg61HpwC6Geo1Gq4KGJ_0.00.38.093986-0.01.25.025206</t>
  </si>
  <si>
    <t>Talk That Talk</t>
  </si>
  <si>
    <t>Isa's chant</t>
  </si>
  <si>
    <t>1966-02-07</t>
  </si>
  <si>
    <t>0:00:38.093986</t>
  </si>
  <si>
    <t>0:01:25.025206</t>
  </si>
  <si>
    <t>AQAEywqTJcuUZElwXMmRDw8D8VJzsMwV_0.00.29.074648-0.00.44.037188</t>
  </si>
  <si>
    <t>Dave Young (ts), Joe Eldridge (other, as), John Collins (g), Roy Eldridge (tp), Scoops Carey (as), Teddy Cole (p), Truck Parham (b), Zutty Singleton (dr)</t>
  </si>
  <si>
    <t>Roy Eldridge And His Orchestra</t>
  </si>
  <si>
    <t>Roy Eldridge</t>
  </si>
  <si>
    <t>Roy Eldridge Vol. 1 (1935-39)</t>
  </si>
  <si>
    <t>Heckler's Hop</t>
  </si>
  <si>
    <t>1937-01-23</t>
  </si>
  <si>
    <t>0:00:29.074648</t>
  </si>
  <si>
    <t>0:00:44.037188</t>
  </si>
  <si>
    <t>AQAEywqTJcuUZElwXMmRDw8D8VJzsMwV_0.00.51.032040-0.00.58.059918</t>
  </si>
  <si>
    <t>0:00:51.032040</t>
  </si>
  <si>
    <t>0:00:58.059918</t>
  </si>
  <si>
    <t>AQAEywqTJcuUZElwXMmRDw8D8VJzsMwV_0.00.58.059918-0.01.28.049523</t>
  </si>
  <si>
    <t>0:01:28.049523</t>
  </si>
  <si>
    <t>AQAEywqTJcuUZElwXMmRDw8D8VJzsMwV_0.01.28.049523-0.01.57.059999</t>
  </si>
  <si>
    <t>0:01:57.059999</t>
  </si>
  <si>
    <t>AQAEywqTJcuUZElwXMmRDw8D8VJzsMwV_0.01.57.059999-0.02.11.081387</t>
  </si>
  <si>
    <t>Dave Young</t>
  </si>
  <si>
    <t>0:02:11.081387</t>
  </si>
  <si>
    <t>AQAEywqTJcuUZElwXMmRDw8D8VJzsMwV_0.02.25.087265-0.02.34.053333</t>
  </si>
  <si>
    <t>0:02:25.087265</t>
  </si>
  <si>
    <t>0:02:34.053333</t>
  </si>
  <si>
    <t>AQAEz1MzZUkSJUOPB821I7R4qC_yfniD_0.01.01.043999-0.02.35.005333</t>
  </si>
  <si>
    <t>Billy Bauer (g), Chubby Jackson (b), Flip Phillips (ts), Ralph Burns (p), Shelly Manne (dr)</t>
  </si>
  <si>
    <t>Flip Phillips</t>
  </si>
  <si>
    <t>Flip Phillips Fliptet</t>
  </si>
  <si>
    <t>Woody's Boys Vol. 1 (1944-45)</t>
  </si>
  <si>
    <t>Swingin' For Popsie</t>
  </si>
  <si>
    <t>1945-06-01</t>
  </si>
  <si>
    <t>0:01:01.043999</t>
  </si>
  <si>
    <t>0:02:35.005333</t>
  </si>
  <si>
    <t>AQAF_0mkLEkiKdISNPlx7cEVNGqOX3gw_0.01.09.093850-0.01.38.035972</t>
  </si>
  <si>
    <t>Buster Bailey (cl, as), Charlie Dixon (bjo), Charlie Green (tb), Coleman Hawkins (cl, ts), Don Redman (voc, as, cl), Fletcher Henderson (p, other), Harold Arlen (other), Joe Smith (tp), Kaiser Marshall (dr), Ralph Escudero (b), Russell Smith (tp)</t>
  </si>
  <si>
    <t>Dixie Stompers</t>
  </si>
  <si>
    <t>Fletcher Henderson 1925 &amp; 26</t>
  </si>
  <si>
    <t xml:space="preserve">Jackass Blues </t>
  </si>
  <si>
    <t>1926-04-14</t>
  </si>
  <si>
    <t>0:01:09.093850</t>
  </si>
  <si>
    <t>0:01:38.035972</t>
  </si>
  <si>
    <t>AQAF_8uSKEkkZZnQo6mDXQpqfXiCa8dR_0.01.02.092607-0.01.23.010421</t>
  </si>
  <si>
    <t>Charlie Irvis</t>
  </si>
  <si>
    <t xml:space="preserve">Pretty Lil </t>
  </si>
  <si>
    <t>1929-07-09</t>
  </si>
  <si>
    <t>0:01:02.092607</t>
  </si>
  <si>
    <t>0:01:23.010421</t>
  </si>
  <si>
    <t>AQAF_8uSKEkkZZnQo6mDXQpqfXiCa8dR_0.02.25.003183-0.02.45.047700</t>
  </si>
  <si>
    <t>0:02:25.003183</t>
  </si>
  <si>
    <t>0:02:45.047700</t>
  </si>
  <si>
    <t>AQAF_Eq6xMoolJ_wGcn_Ibye4bhx8Qhz_0.02.11.047138-0.02.57.002893</t>
  </si>
  <si>
    <t>Al Haig (p), Bill Bundy (voc), Charlie Parker (as), DavidUchitel (vln), Jimmy Mundy (other), Roy Haynes (dr), Sam Caplan (vln), Stan Karpenia (vln), Teddy Blume (vln), Tommy Mace (org), Tommy Potter (b), Wallace McManus (other)</t>
  </si>
  <si>
    <t>Charlie Parker With Strings</t>
  </si>
  <si>
    <t>Charlie Parker Vol. 7 (1949-50)</t>
  </si>
  <si>
    <t>April In Paris</t>
  </si>
  <si>
    <t>1950-08-16</t>
  </si>
  <si>
    <t>0:02:11.047138</t>
  </si>
  <si>
    <t>0:02:57.002893</t>
  </si>
  <si>
    <t>AQAF_GOULUmaJAnCL1IFLcmDrMzxzMVQ_0.01.02.025269-0.01.49.073170</t>
  </si>
  <si>
    <t>Charlie Rouse (ts), Ernie Henry (as), Fats Navarro (tp), Nelson Boyd (b), Shadow Wilson (dr), Tadd Dameron (other, p)</t>
  </si>
  <si>
    <t>Charlie Rouse</t>
  </si>
  <si>
    <t>Tadd Dameron Sextet</t>
  </si>
  <si>
    <t>Tadd Dameron</t>
  </si>
  <si>
    <t>Fats Navarro Vol. 2 (1947)</t>
  </si>
  <si>
    <t>Dameronia</t>
  </si>
  <si>
    <t>1947-09-26</t>
  </si>
  <si>
    <t>0:01:02.025269</t>
  </si>
  <si>
    <t>0:01:49.073170</t>
  </si>
  <si>
    <t>AQAF_GOULUmaJAnCL1IFLcmDrMzxzMVQ_0.01.49.073170-0.02.38.089705</t>
  </si>
  <si>
    <t>Fats Navarro</t>
  </si>
  <si>
    <t>0:02:38.089705</t>
  </si>
  <si>
    <t>AQAF_OSURVKSJfhxHT_C5SmhUkeO8_B2_0.02.04.025578-0.03.12.033333</t>
  </si>
  <si>
    <t>Budd Johnson (as), Chuck Wayne (g), Coleman Hawkins (ts), Fats Navarro (tp), Hank Jones (p), J.J. Johnson (tb), Jack Lesberg (b), Marion DeVeta (bs), Max Roach (dr)</t>
  </si>
  <si>
    <t>Coleman Hawkins And His All Stars</t>
  </si>
  <si>
    <t>Fats Navarro Vol. 3 (1947-48)</t>
  </si>
  <si>
    <t>Angel Face</t>
  </si>
  <si>
    <t>1947-12-11</t>
  </si>
  <si>
    <t>0:02:04.025578</t>
  </si>
  <si>
    <t>0:03:12.033333</t>
  </si>
  <si>
    <t>AQAF-bKypEvxZPjUB912bDn66GCV47GH_0.00.05.024081-0.01.03.034650</t>
  </si>
  <si>
    <t>Louis Armstrong, Zilmer Randolph</t>
  </si>
  <si>
    <t>Al Washington (cl, ts), Big Mike McKendrick (bjo, g), Charlie Alexander (p), George James (ss, cl, as), John Lindsay (b), Lester Boone (ts, cl), Louis Armstrong (other, tp, voc), Preston Jackson (tb), Tubby Hall (dr), Zilmer Randolph (tp)</t>
  </si>
  <si>
    <t>Louis Armstrong And His Orchestra</t>
  </si>
  <si>
    <t>Louis Armstrong</t>
  </si>
  <si>
    <t>Louis Armstrong 1932-33</t>
  </si>
  <si>
    <t>Kickin' The Gong Around</t>
  </si>
  <si>
    <t>1932-01-25</t>
  </si>
  <si>
    <t>0:00:05.024081</t>
  </si>
  <si>
    <t>0:01:03.034650</t>
  </si>
  <si>
    <t>AQAF-bKypEvxZPjUB912bDn66GCV47GH_0.01.32.001891-0.01.44.045124</t>
  </si>
  <si>
    <t>0:01:32.001891</t>
  </si>
  <si>
    <t>0:01:44.045124</t>
  </si>
  <si>
    <t>AQAF-bKypEvxZPjUB912bDn66GCV47GH_0.01.54.048489-0.03.03.095047</t>
  </si>
  <si>
    <t>0:01:54.048489</t>
  </si>
  <si>
    <t>0:03:03.095047</t>
  </si>
  <si>
    <t>AQAF-kolJcpUgU9W9EmGRs2J53hyHKfw_0.00.57.039972-0.01.27.056244</t>
  </si>
  <si>
    <t>Al Cohn, Stan Getz, Zoot Sims</t>
  </si>
  <si>
    <t>Al Cohn (ts), Bernie Glow (tp), Bill Harris (tb), Bob Swift (tb), Chubby Jackson (b), Don Lamond (dr), Earl Swope (tb), Ernie Royal (tp), Irvin 'Marky Markowitz (tp), Lou Levy (p), Ollie Wilson (tb), Ralph Burns (other), Sam Marowitz (as), Serge Chaloff (bs), Shorty Rogers (other, tp), Stan Fishelson (tp), Stan Getz (ts), Terry Gibbs (vib), Woody Herman (other, cl), Zoot Sims (ts)</t>
  </si>
  <si>
    <t>Woody Herman And His Orchestra</t>
  </si>
  <si>
    <t>Woody Herman</t>
  </si>
  <si>
    <t>Woody Herman 1946-54</t>
  </si>
  <si>
    <t>Early Autumn</t>
  </si>
  <si>
    <t>1948-12-29</t>
  </si>
  <si>
    <t>0:00:57.039972</t>
  </si>
  <si>
    <t>0:01:27.056244</t>
  </si>
  <si>
    <t>AQAF-kolJcpUgU9W9EmGRs2J53hyHKfw_0.01.27.056244-0.01.55.005777</t>
  </si>
  <si>
    <t>Terry Gibbs</t>
  </si>
  <si>
    <t>0:01:55.005777</t>
  </si>
  <si>
    <t>AQAF-kolJcpUgU9W9EmGRs2J53hyHKfw_0.02.13.046539-0.03.12.010666</t>
  </si>
  <si>
    <t>0:02:13.046539</t>
  </si>
  <si>
    <t>0:03:12.010666</t>
  </si>
  <si>
    <t>AQAF-MmWKGGU5MGzo06yDOcyvHtQ3YN-_0.00.54.045623-0.01.36.088653</t>
  </si>
  <si>
    <t>Arthur Schutt (p), Jimmy Dorsey (as, cl), Leo McConville (tp), Miff Mole (tb), Phil Napoleon (tp), Stan King (dr), Tom Felline (g)</t>
  </si>
  <si>
    <t>Miff Mole</t>
  </si>
  <si>
    <t>Miff Mole's Molers</t>
  </si>
  <si>
    <t>Miff Mole 1927-29</t>
  </si>
  <si>
    <t xml:space="preserve">Birmingham Bertha </t>
  </si>
  <si>
    <t>0:00:54.045623</t>
  </si>
  <si>
    <t>0:01:36.088653</t>
  </si>
  <si>
    <t>AQAF-MmWKGGU5MGzo06yDOcyvHtQ3YN-_0.02.01.007319-0.02.23.028653</t>
  </si>
  <si>
    <t>Leo McConville, Phil Napoleon</t>
  </si>
  <si>
    <t>0:02:01.007319</t>
  </si>
  <si>
    <t>0:02:23.028653</t>
  </si>
  <si>
    <t>AQAF-MmWKGGU5MGzo06yDOcyvHtQ3YN-_0.02.23.028653-0.02.34.084408</t>
  </si>
  <si>
    <t>Jimmy Dorsey</t>
  </si>
  <si>
    <t>0:02:34.084408</t>
  </si>
  <si>
    <t>AQAF-MmWKGGU5MGzo06yDOcyvHtQ3YN-_0.02.46.053315-0.02.57.037959</t>
  </si>
  <si>
    <t>0:02:46.053315</t>
  </si>
  <si>
    <t>0:02:57.037959</t>
  </si>
  <si>
    <t>AQAF-ZWWJImUCcBfPPjQo0dzPEcp0TgO_0.01.09.090367-0.01.28.024163</t>
  </si>
  <si>
    <t>Carson Smith (b), Chet Baker (tp), Chico Hamilton (dr), Gerry Mulligan (bs)</t>
  </si>
  <si>
    <t>Chet Baker</t>
  </si>
  <si>
    <t>Gerry Mulligan Quartet</t>
  </si>
  <si>
    <t>Gerry Mulligan</t>
  </si>
  <si>
    <t>West Coast Jazz - Gerry Mulligan Vol. 1</t>
  </si>
  <si>
    <t>The Encyclopedia of Jazz, Part 5: Modern Jazz - Cool Jazz</t>
  </si>
  <si>
    <t>The Lady Is A Tramp</t>
  </si>
  <si>
    <t>1953-01-03</t>
  </si>
  <si>
    <t>0:01:09.090367</t>
  </si>
  <si>
    <t>0:01:28.024163</t>
  </si>
  <si>
    <t>AQAF-ZWWJImUCcBfPPjQo0dzPEcp0TgO_0.01.45.061306-0.02.03.048081</t>
  </si>
  <si>
    <t>bs</t>
  </si>
  <si>
    <t>0:01:45.061306</t>
  </si>
  <si>
    <t>0:02:03.048081</t>
  </si>
  <si>
    <t>AQAF08quLTnmI7yRLGeOx8eN5vhxahfC_0.00.53.060507-0.01.14.017306</t>
  </si>
  <si>
    <t>Wabash Stomp</t>
  </si>
  <si>
    <t>0:00:53.060507</t>
  </si>
  <si>
    <t>0:01:14.017306</t>
  </si>
  <si>
    <t>AQAF08quLTnmI7yRLGeOx8eN5vhxahfC_0.01.23.037850-0.01.34.026793</t>
  </si>
  <si>
    <t>0:01:23.037850</t>
  </si>
  <si>
    <t>0:01:34.026793</t>
  </si>
  <si>
    <t>AQAF08quLTnmI7yRLGeOx8eN5vhxahfC_0.01.34.026793-0.02.35.012380</t>
  </si>
  <si>
    <t>0:02:35.012380</t>
  </si>
  <si>
    <t>AQAF08quLTnmI7yRLGeOx8eN5vhxahfC_0.02.35.012380-0.02.44.076154</t>
  </si>
  <si>
    <t>0:02:44.076154</t>
  </si>
  <si>
    <t>AQAF08quLTnmI7yRLGeOx8eN5vhxahfC_0.02.44.076154-0.03.03.013632</t>
  </si>
  <si>
    <t>0:03:03.013632</t>
  </si>
  <si>
    <t>AQAF14qUJEnyRmi44C96MUfz4zxyJSK0_0.00.33.078503-0.01.24.084571</t>
  </si>
  <si>
    <t>Allen Eager (ts), Curly Russell (b), Fats Navarro (tp), Kenny Clarke (dr), Kenny Hagood (voc), Tadd Dameron (other, p)</t>
  </si>
  <si>
    <t>Tadd Dameron Quintet</t>
  </si>
  <si>
    <t>Lady Be Good</t>
  </si>
  <si>
    <t>1949-08-29</t>
  </si>
  <si>
    <t>0:00:33.078503</t>
  </si>
  <si>
    <t>0:01:24.084571</t>
  </si>
  <si>
    <t>AQAF14qUJEnyRmi44C96MUfz4zxyJSK0_0.01.24.084571-0.02.14.015619</t>
  </si>
  <si>
    <t>0:02:14.015619</t>
  </si>
  <si>
    <t>AQAF1eGULVISLUF8WMmPSi96NE5P_MbD_0.01.26.056399-0.01.50.034122</t>
  </si>
  <si>
    <t>Al Grey (tb), Ben Kynard (bs), Benny Bailey (tp), Benny Powell (tb), Billy Mackell (g), Bobby Plater (as), Curtis Lowe (ts), Ed Mullens (tp), Ellis Bartee (dr), Gil Bernal (ts), Idrees Sulieman (tp), Janet Thurlow (voc), Jerome Richardson (as), Jimmy Cleveland (tb), Johnny Board (ts), Leo Shepherd (tp), Lionel Hampton (other, vib), Milt Buckner (p, org), Paul Lee (tb), Roy Johnson (b), Walter Williams (tp)</t>
  </si>
  <si>
    <t>Lionel Hampton 1951</t>
  </si>
  <si>
    <t>Airmail Special</t>
  </si>
  <si>
    <t>1951-04-17</t>
  </si>
  <si>
    <t>0:01:26.056399</t>
  </si>
  <si>
    <t>0:01:50.034122</t>
  </si>
  <si>
    <t>AQAF1ErCSEySJFEE1zqeo5lFvDpR5Tua_0.00.52.056997-0.01.37.026839</t>
  </si>
  <si>
    <t>Al Haig (p), Charlie Parker (as), Kenny Dorham (tp), Roy Haynes (dr), Tommy Potter (b)</t>
  </si>
  <si>
    <t>Charlie Parker Quintet</t>
  </si>
  <si>
    <t>Charlie Parker Live Vol. 1 (1950)</t>
  </si>
  <si>
    <t>Just Friends</t>
  </si>
  <si>
    <t>1950-06-01</t>
  </si>
  <si>
    <t>0:00:52.056997</t>
  </si>
  <si>
    <t>0:01:37.026839</t>
  </si>
  <si>
    <t>AQAF1ErCSEySJFEE1zqeo5lFvDpR5Tua_0.01.37.026839-0.02.19.071446</t>
  </si>
  <si>
    <t>Kenny Dorham</t>
  </si>
  <si>
    <t>0:02:19.071446</t>
  </si>
  <si>
    <t>AQAF1ErCSEySJFEE1zqeo5lFvDpR5Tua_0.02.41.086630-0.03.07.033333</t>
  </si>
  <si>
    <t>0:02:41.086630</t>
  </si>
  <si>
    <t>0:03:07.033333</t>
  </si>
  <si>
    <t>AQAF1VqSJUmYMEqCJx_qX7iqB9-DkNOR_0.01.12.022857-0.02.28.024489</t>
  </si>
  <si>
    <t>Eddie Condon (voc, bjo), Jack Bland (voc, g), Jack Teagarden (voc, tb), Josh Billings (dr), Pops Foster (b), Red McKenzie (other, voc)</t>
  </si>
  <si>
    <t>Jack Teagarden</t>
  </si>
  <si>
    <t>Mound City Blue Blowers</t>
  </si>
  <si>
    <t>Jack Teagarden 1928-29</t>
  </si>
  <si>
    <t xml:space="preserve">Tailspin Blues </t>
  </si>
  <si>
    <t>1929-09-25</t>
  </si>
  <si>
    <t>0:01:12.022857</t>
  </si>
  <si>
    <t>0:02:28.024489</t>
  </si>
  <si>
    <t>AQAF2gqrxQt2EWeCM0dp-Ee4Kcuh9fCP_0.01.11.083673-0.01.28.068571</t>
  </si>
  <si>
    <t>Benny Goodman (as, cl), Bix Beiderbecke (cor), Dick Robertson (voc), Frank Signorelli (p), Gene Krupa (dr), Jack Teagarden (tb), Joe Venuti (vln), Matty Malneck (vln), Min Leibrook (bs), Ray Lodwig (tp), unknown (ts)</t>
  </si>
  <si>
    <t>Ray Lodwig</t>
  </si>
  <si>
    <t>Mills Hotsy Totsy Gang</t>
  </si>
  <si>
    <t>Bix Beiderbecke 1930 Plus</t>
  </si>
  <si>
    <t xml:space="preserve">Strut, Miss Lizzie </t>
  </si>
  <si>
    <t>1930-06-06</t>
  </si>
  <si>
    <t>0:01:11.083673</t>
  </si>
  <si>
    <t>0:01:28.068571</t>
  </si>
  <si>
    <t>AQAF2gqrxQt2EWeCM0dp-Ee4Kcuh9fCP_0.01.28.068571-0.01.34.030204</t>
  </si>
  <si>
    <t>Min Leibrook</t>
  </si>
  <si>
    <t>0:01:34.030204</t>
  </si>
  <si>
    <t>AQAF2gqrxQt2EWeCM0dp-Ee4Kcuh9fCP_0.01.34.030204-0.01.39.078775</t>
  </si>
  <si>
    <t>0:01:39.078775</t>
  </si>
  <si>
    <t>AQAF2gqrxQt2EWeCM0dp-Ee4Kcuh9fCP_0.01.39.078775-0.02.07.041224</t>
  </si>
  <si>
    <t>Benny Goodman</t>
  </si>
  <si>
    <t>0:02:07.041224</t>
  </si>
  <si>
    <t>AQAF2gqrxQt2EWeCM0dp-Ee4Kcuh9fCP_0.02.07.041224-0.02.25.037142</t>
  </si>
  <si>
    <t>0:02:25.037142</t>
  </si>
  <si>
    <t>AQAF2gqrxQt2EWeCM0dp-Ee4Kcuh9fCP_0.02.25.037142-0.02.30.059591</t>
  </si>
  <si>
    <t>Joe Venuti, Matty Malneck</t>
  </si>
  <si>
    <t>0:02:30.059591</t>
  </si>
  <si>
    <t>AQAF2gqrxQt2EWeCM0dp-Ee4Kcuh9fCP_0.02.30.059591-0.02.35.055918</t>
  </si>
  <si>
    <t>0:02:35.055918</t>
  </si>
  <si>
    <t>AQAF3HwWF9fRJ0yQLGuEHM-F50ng9fiP_0.01.05.029451-0.01.47.022975</t>
  </si>
  <si>
    <t>Dizzy Goes Hollywood</t>
  </si>
  <si>
    <t>Never on Sunday</t>
  </si>
  <si>
    <t>1963-09-13</t>
  </si>
  <si>
    <t>Chicago, IL</t>
  </si>
  <si>
    <t>0:01:05.029451</t>
  </si>
  <si>
    <t>0:01:47.022975</t>
  </si>
  <si>
    <t>AQAF3pSUMFMq7DJ-MAmH80jDH9qJHBf4_0.01.01.092761-0.03.08.068000</t>
  </si>
  <si>
    <t>Chuck Wayne (g), Curley Russell (b), Gene Di Novi (p), Lester Young (ts), Tiny Kahn (dr)</t>
  </si>
  <si>
    <t>Lester Young And His Band</t>
  </si>
  <si>
    <t>East Of The Sun</t>
  </si>
  <si>
    <t>0:01:01.092761</t>
  </si>
  <si>
    <t>0:03:08.068000</t>
  </si>
  <si>
    <t>AQAF3Yq0JJk0JQlC80jsBOc14_eIUn7Q_0.02.42.022040-0.03.07.082040</t>
  </si>
  <si>
    <t>Albert Washington (cl, ts), Charlie Alexander (p, other), George James (ss, as, cl), John Lindsay (b), Lester Boone (cl, ts), Louis Armstrong (other, voc, tp), Mike McKendrick (g, bjo), Preston Jackson (tb), Tubby Hall (dr), Zilmer Randolph (tp)</t>
  </si>
  <si>
    <t>Louis Armstrong 1931</t>
  </si>
  <si>
    <t xml:space="preserve">I Surrender Dear </t>
  </si>
  <si>
    <t>1931-04-20</t>
  </si>
  <si>
    <t>0:02:42.022040</t>
  </si>
  <si>
    <t>0:03:07.082040</t>
  </si>
  <si>
    <t>AQAF45qSiFyULChDGsd59EL3HPuIfkTy_0.01.08.033632-0.01.30.020952</t>
  </si>
  <si>
    <t>George Mitchell (cor), Johnny Dodds (cl), Johnny St. Cyr (other, bjo), Kid Ory (tb), Lil Armstrong (p)</t>
  </si>
  <si>
    <t>Johnny Dodds</t>
  </si>
  <si>
    <t>New Orleans Wanderers/Bootblacks</t>
  </si>
  <si>
    <t>Johnny Dodds – Group Recordings 1926</t>
  </si>
  <si>
    <t xml:space="preserve">Perdido Street Blues </t>
  </si>
  <si>
    <t>1926-07-13</t>
  </si>
  <si>
    <t>0:01:08.033632</t>
  </si>
  <si>
    <t>0:01:30.020952</t>
  </si>
  <si>
    <t>AQAF45qSiFyULChDGsd59EL3HPuIfkTy_0.02.13.090947-0.02.36.045605</t>
  </si>
  <si>
    <t>Kid Ory</t>
  </si>
  <si>
    <t>0:02:13.090947</t>
  </si>
  <si>
    <t>0:02:36.045605</t>
  </si>
  <si>
    <t>AQAF49JOaYmQH32h5zfOB9-xnYeOCz9y_0.02.03.094811-0.02.27.046993</t>
  </si>
  <si>
    <t>Harry Carney, Johnny Hodges</t>
  </si>
  <si>
    <t>Arthur Whetsol (tp), Baby Cox (voc), Barney Bigard (ts, cl), Bubber Miley (tp), Duke Ellington (other, p), Fred Guy (bjo), Harry Carney (cl, bs, as), Joe 'Tricky Sam' Nanton (tb), Johnny Hodges (cl, ss, as), Lonnie Johnson (g), Sonny Greer (dr), Wellman Braud (b)</t>
  </si>
  <si>
    <t>Duke Ellington And His Orchestra</t>
  </si>
  <si>
    <t>Duke Ellington</t>
  </si>
  <si>
    <t>Duke Ellington 1928</t>
  </si>
  <si>
    <t xml:space="preserve">The Mooche </t>
  </si>
  <si>
    <t>1928-10-17</t>
  </si>
  <si>
    <t>0:02:03.094811</t>
  </si>
  <si>
    <t>0:02:27.046993</t>
  </si>
  <si>
    <t>AQAF4krkRFIyJvgjPLpgJzzyKEey7IQv_0.00.09.079882-0.00.34.089959</t>
  </si>
  <si>
    <t>Frank Melrose (p), Jimmy Bertrand (other, dr), Jimmy Cobb (cor), Junie (E.C.) Cobb (ts, cl)</t>
  </si>
  <si>
    <t>Junie (E.C.) Cobb</t>
  </si>
  <si>
    <t>Junie C. Cobb And His Grains Of Corn</t>
  </si>
  <si>
    <t xml:space="preserve">Panama Blues </t>
  </si>
  <si>
    <t>1928-12-14</t>
  </si>
  <si>
    <t>0:00:09.079882</t>
  </si>
  <si>
    <t>0:00:34.089959</t>
  </si>
  <si>
    <t>AQAF4krkRFIyJvgjPLpgJzzyKEey7IQv_0.00.34.089959-0.00.59.097714</t>
  </si>
  <si>
    <t>0:00:59.097714</t>
  </si>
  <si>
    <t>AQAF4krkRFIyJvgjPLpgJzzyKEey7IQv_0.02.15.034911-0.02.41.003038</t>
  </si>
  <si>
    <t>0:02:15.034911</t>
  </si>
  <si>
    <t>0:02:41.003038</t>
  </si>
  <si>
    <t>AQAF4krkRFIyJvgjPLpgJzzyKEey7IQv_0.02.41.003038-0.03.09.009333</t>
  </si>
  <si>
    <t>0:03:09.009333</t>
  </si>
  <si>
    <t>AQAF4UnaJVGSJAp-gUtTkfh-TM-RRmzw_0.02.19.072897-0.02.23.028163</t>
  </si>
  <si>
    <t>Johnny Guarnieri (p), Lester Young (ts), Sid Catlett (dr), Slam Stewart (b)</t>
  </si>
  <si>
    <t>Lester Young Quartet</t>
  </si>
  <si>
    <t>Lester Young Vol. 3 (1942-44)</t>
  </si>
  <si>
    <t>Afternoon Of A Basie-ite</t>
  </si>
  <si>
    <t>1943-12-28</t>
  </si>
  <si>
    <t>0:02:19.072897</t>
  </si>
  <si>
    <t>0:02:23.028163</t>
  </si>
  <si>
    <t>AQAF4UnaJVGSJAp-gUtTkfh-TM-RRmzw_0.02.27.040897-0.02.31.045795</t>
  </si>
  <si>
    <t>0:02:27.040897</t>
  </si>
  <si>
    <t>0:02:31.045795</t>
  </si>
  <si>
    <t>AQAF4UnaJVGSJAp-gUtTkfh-TM-RRmzw_0.02.35.011510-0.02.39.003346</t>
  </si>
  <si>
    <t>0:02:35.011510</t>
  </si>
  <si>
    <t>0:02:39.003346</t>
  </si>
  <si>
    <t>AQAF5cmkJMo1wZMWo0_xHt1hpsIbHQ_h_0.01.11.081333-0.02.33.087863</t>
  </si>
  <si>
    <t>Barney Kessel (g), J.C. Heard (dr), Oscar Peterson (org), Ray Brown (b), Roy Eldridge (voc, tp)</t>
  </si>
  <si>
    <t>The Roy Eldridge Quintet</t>
  </si>
  <si>
    <t>Roy Eldridge Vol. 6 (1952-53)</t>
  </si>
  <si>
    <t>Roy's Riff</t>
  </si>
  <si>
    <t>1952-12-13</t>
  </si>
  <si>
    <t>0:01:11.081333</t>
  </si>
  <si>
    <t>0:02:33.087863</t>
  </si>
  <si>
    <t>AQAF5Ym0J0lCCVdyHQ-TD7rgQ8-Kv0TO_0.01.16.025433-0.01.37.033804</t>
  </si>
  <si>
    <t>Arthur Rollini (ts), Ben Kantor (ts), Benny Goodman (other, cl), Dean Kincaide (other), Frank Froeba (p), Gene Krupa (dr), George Van Eps (g), Harry Goodman (b), Helen Ward (voc), Hymie Schertzer (as), Jack Lacey (tb), Pee Wee Erwin (tp), Ralph Muzillo (tp), Ray Hendricks (voc), Red Ballard (tb), Toots Mondello (as)</t>
  </si>
  <si>
    <t>Benny Goodman And His Orchestra</t>
  </si>
  <si>
    <t>Benny Goodman 1935</t>
  </si>
  <si>
    <t>The Dixieland Band</t>
  </si>
  <si>
    <t>1935-01-15</t>
  </si>
  <si>
    <t>0:01:16.025433</t>
  </si>
  <si>
    <t>0:01:37.033804</t>
  </si>
  <si>
    <t>AQAF6XkSRUoU43sRU1eKxwvCHDqOXjve_0.01.44.018793-0.02.19.078412</t>
  </si>
  <si>
    <t>Lammar Wright, R.Q. Dickerson</t>
  </si>
  <si>
    <t>Andrew Brown (ts, cl), Andy Preer (other), Charley Stamps (bjo), Davey Jones (as, cl), DePriest Wheeler (tb), Earl Prince (p), George Scott (as, cl), Jimmy Smith (b), Lammar Wright (tp), Leroy Maxey (dr), R.Q. Dickerson (tp), Walter Thomas (bs, ts)</t>
  </si>
  <si>
    <t>ANDY PREER AND THE COTTON CLUB ORCHESTRA</t>
  </si>
  <si>
    <t>Andy Preer</t>
  </si>
  <si>
    <t>The Missourians 1927-30/ Alphonso Trent 1928-33</t>
  </si>
  <si>
    <t>I've Found A New Baby</t>
  </si>
  <si>
    <t>1927-02-03</t>
  </si>
  <si>
    <t>0:01:44.018793</t>
  </si>
  <si>
    <t>0:02:19.078412</t>
  </si>
  <si>
    <t>AQAF7EkVKUsW6MKVDz1lPHwErxL6b0hO_0.01.30.039528-0.03.10.037333</t>
  </si>
  <si>
    <t>Bernie Leighton (p), Buddy Rich (dr), Charlie Parker (as), Edwin C. Brown (org), Harry Melnikoff (vln), Howard Kay (vln), Isadore Zir (vln), Joe Lippman (other), Joseph Singer (other), Maurice Brown (voc), Ray Brown (b), Sam Caplan (vln), Sam Rand (vln), Verley Mills (other), Zelly Smirnoff (vln)</t>
  </si>
  <si>
    <t>Dancing In The Dark</t>
  </si>
  <si>
    <t>1950-08-01</t>
  </si>
  <si>
    <t>0:01:30.039528</t>
  </si>
  <si>
    <t>0:03:10.037333</t>
  </si>
  <si>
    <t>AQAF7fvzBFy2ockDpouP78N-BvlyJDsa_0.02.16.021623-0.02.20.093641</t>
  </si>
  <si>
    <t>Bingie Madison (ts, cl), Charlie Holmes (as), Greely Walton (ts), Gus Aiken (tp), Harry White (tb), Henry Jones (as), Jimmy Archey (tb), Lee Blair (g), Leonard Davis (tp), Louis Armstrong (voc, other, tp), Louis Bacon (tp), Luis Russell (p, other), Paul Barbarin (dr, vib), Pops Foster (b)</t>
  </si>
  <si>
    <t>Bingie Madison</t>
  </si>
  <si>
    <t>Louis Armstrong 1935-36</t>
  </si>
  <si>
    <t>Falling In Love With You</t>
  </si>
  <si>
    <t>1935-11-21</t>
  </si>
  <si>
    <t>0:02:16.021623</t>
  </si>
  <si>
    <t>0:02:20.093641</t>
  </si>
  <si>
    <t>AQAF7fvzBFy2ockDpouP78N-BvlyJDsa_0.02.20.093641-0.03.10.043999</t>
  </si>
  <si>
    <t>0:03:10.043999</t>
  </si>
  <si>
    <t>AQAF7kqiREkSKUkTVLmFJI-OnDiO70Ff_0.01.17.057786-0.01.32.081015</t>
  </si>
  <si>
    <t>Andrew Hilaire (dr), George Mitchell (cor), Jelly-Roll Morton (other, p), John Lindsay (b), Johnny St. Cyr (bjo), Kid Ory (tb), Omer Simeon (cl)</t>
  </si>
  <si>
    <t>Omer Simeon</t>
  </si>
  <si>
    <t>Jelly Roll Morton's Red Hot Peppers</t>
  </si>
  <si>
    <t>Jelly Roll Morton Groups (1923-26)</t>
  </si>
  <si>
    <t xml:space="preserve">The Chant </t>
  </si>
  <si>
    <t>1926-09-15</t>
  </si>
  <si>
    <t>0:01:17.057786</t>
  </si>
  <si>
    <t>0:01:32.081015</t>
  </si>
  <si>
    <t>AQAF7kqiREkSKUkTVLmFJI-OnDiO70Ff_0.01.32.081015-0.01.44.079165</t>
  </si>
  <si>
    <t>George Mitchell</t>
  </si>
  <si>
    <t>cor</t>
  </si>
  <si>
    <t>0:01:44.079165</t>
  </si>
  <si>
    <t>AQAF7kqiREkSKUkTVLmFJI-OnDiO70Ff_0.01.54.003319-0.02.06.098993</t>
  </si>
  <si>
    <t>0:01:54.003319</t>
  </si>
  <si>
    <t>0:02:06.098993</t>
  </si>
  <si>
    <t>AQAF7kqiREkSKUkTVLmFJI-OnDiO70Ff_0.02.06.098993-0.02.19.022684</t>
  </si>
  <si>
    <t>0:02:19.022684</t>
  </si>
  <si>
    <t>AQAF7kqiREkSKUkTVLmFJI-OnDiO70Ff_0.02.19.022684-0.02.30.037242</t>
  </si>
  <si>
    <t>0:02:30.037242</t>
  </si>
  <si>
    <t>AQAF7tq6pFHw7HC1w96KfSOoHKGSLOOR_0.00.40.028662-0.00.59.037342</t>
  </si>
  <si>
    <t>Al Cohn, Allen Eager, Brew Moore, Stan Getz, Zoot Sims</t>
  </si>
  <si>
    <t>Al Cohn (ts), Allen Eager (ts), Brew Moore (ts), Charlie Perry (dr), Gene Ramey (b), Jr. (p), Stan Getz (ts), Walter Bishop (p), Zoot Sims (ts)</t>
  </si>
  <si>
    <t>Stan Getz And His Five Brothers</t>
  </si>
  <si>
    <t xml:space="preserve">White Bebop Boys Vol. 3 (1948-49) Kai Winding – Allen Eager – Brew Moore – Stan Getz </t>
  </si>
  <si>
    <t>Five Brothers</t>
  </si>
  <si>
    <t>1949-04-08</t>
  </si>
  <si>
    <t>0:00:40.028662</t>
  </si>
  <si>
    <t>0:00:59.037342</t>
  </si>
  <si>
    <t>AQAF7tq6pFHw7HC1w96KfSOoHKGSLOOR_0.00.59.037342-0.01.08.028988</t>
  </si>
  <si>
    <t>0:01:08.028988</t>
  </si>
  <si>
    <t>AQAF7tq6pFHw7HC1w96KfSOoHKGSLOOR_0.01.08.028988-0.01.16.057941</t>
  </si>
  <si>
    <t>0:01:16.057941</t>
  </si>
  <si>
    <t>AQAF7tq6pFHw7HC1w96KfSOoHKGSLOOR_0.01.16.057941-0.01.23.096335</t>
  </si>
  <si>
    <t>0:01:23.096335</t>
  </si>
  <si>
    <t>AQAF7tq6pFHw7HC1w96KfSOoHKGSLOOR_0.01.23.096335-0.01.34.064453</t>
  </si>
  <si>
    <t>0:01:34.064453</t>
  </si>
  <si>
    <t>AQAF7tq6pFHw7HC1w96KfSOoHKGSLOOR_0.01.34.064453-0.01.52.070965</t>
  </si>
  <si>
    <t>0:01:52.070965</t>
  </si>
  <si>
    <t>AQAF7tq6pFHw7HC1w96KfSOoHKGSLOOR_0.01.52.070965-0.02.01.039392</t>
  </si>
  <si>
    <t>0:02:01.039392</t>
  </si>
  <si>
    <t>AQAF7tq6pFHw7HC1w96KfSOoHKGSLOOR_0.02.01.039392-0.02.10.031038</t>
  </si>
  <si>
    <t>0:02:10.031038</t>
  </si>
  <si>
    <t>AQAF7VKUSYmuBM2eI3nyJMhzWE92jA-a_0.00.43.099020-0.01.27.066693</t>
  </si>
  <si>
    <t>Al Haig (p), Bill Barber (other), Gerry Mulligan (bs, other), Joe Shulman (b), John Lewis (other), Junior Collins (other), Kai Winding (tb), Lee Konitz (as), Max Roach (dr), Miles Davis (tp)</t>
  </si>
  <si>
    <t>Miles Davis' Nonet</t>
  </si>
  <si>
    <t>Miles Davis Vol. 2 (1949-50)</t>
  </si>
  <si>
    <t xml:space="preserve">Godchild  </t>
  </si>
  <si>
    <t>1949-01-21</t>
  </si>
  <si>
    <t>0:00:43.099020</t>
  </si>
  <si>
    <t>0:01:27.066693</t>
  </si>
  <si>
    <t>AQAF7VKUSYmuBM2eI3nyJMhzWE92jA-a_0.01.35.050367-0.02.00.054639</t>
  </si>
  <si>
    <t>0:01:35.050367</t>
  </si>
  <si>
    <t>0:02:00.054639</t>
  </si>
  <si>
    <t>AQAF7VKUSYmuBM2eI3nyJMhzWE92jA-a_0.02.34.085387-0.02.45.079047</t>
  </si>
  <si>
    <t>Kai Winding</t>
  </si>
  <si>
    <t>0:02:34.085387</t>
  </si>
  <si>
    <t>0:02:45.079047</t>
  </si>
  <si>
    <t>AQAF7xM1ZemCP0F_nHLA62iKWsyC6CLU_0.00.40.019954-0.01.10.015328</t>
  </si>
  <si>
    <t>Arthur Whetsol (tp), Barney Bigard (ts, cl), Billy Taylor Sr. (b), Cootie Williams (tp), Duke Ellington (other, p), Fred Guy (g), Harry Carney (as, cl, bs), Helmy Kress (other), Ivy Anderson (voc), Joe 'Tricky Sam' Nanton (tb), Johnny Hodges (cl, as, ss), Juan Tizol (tb), Lawrence Brown (tb), Otto Hardwick (as, bs), Rex Stewart (cor), Sonny Greer (dr)</t>
  </si>
  <si>
    <t>Duke Elllington And His Famous Orchestra</t>
  </si>
  <si>
    <t>Duke Ellington 1936-37</t>
  </si>
  <si>
    <t>Trumpet In Spades (Rex's Concerto)</t>
  </si>
  <si>
    <t>1936-07-17</t>
  </si>
  <si>
    <t>0:00:40.019954</t>
  </si>
  <si>
    <t>0:01:10.015328</t>
  </si>
  <si>
    <t>AQAF7xM1ZemCP0F_nHLA62iKWsyC6CLU_0.02.13.036380-0.02.52.025142</t>
  </si>
  <si>
    <t>0:02:13.036380</t>
  </si>
  <si>
    <t>0:02:52.025142</t>
  </si>
  <si>
    <t>AQAF8kmi6HuCMHvQXTr2XMEZuEpWPFmK_0.00.26.019210-0.01.08.026666</t>
  </si>
  <si>
    <t>Buddy Rich (dr), Johnny Morris (p), Mike Mainieri (other, vib), Rolf Ericson (tp), Sam Most (cl, as, fl), Wyatt Ruther (b)</t>
  </si>
  <si>
    <t>Sam Most</t>
  </si>
  <si>
    <t>Buddy Rich</t>
  </si>
  <si>
    <t>Blues Caravan</t>
  </si>
  <si>
    <t>B.R. blues</t>
  </si>
  <si>
    <t>1961-08-14</t>
  </si>
  <si>
    <t>fl</t>
  </si>
  <si>
    <t>0:00:26.019210</t>
  </si>
  <si>
    <t>0:01:08.026666</t>
  </si>
  <si>
    <t>AQAF8kmi6HuCMHvQXTr2XMEZuEpWPFmK_0.01.08.026666-0.01.47.072897</t>
  </si>
  <si>
    <t>Rolf Ericson</t>
  </si>
  <si>
    <t>0:01:47.072897</t>
  </si>
  <si>
    <t>AQAF8kmi6HuCMHvQXTr2XMEZuEpWPFmK_0.01.47.072897-0.02.41.082857</t>
  </si>
  <si>
    <t>Mike Mainieri</t>
  </si>
  <si>
    <t>0:02:41.082857</t>
  </si>
  <si>
    <t>AQAF8kySSJGkC2GWjPjRqMmhPQyHHMcz_0.01.03.010022-0.01.30.084807</t>
  </si>
  <si>
    <t>Benny James (bjo), Castor McCord (cl, ts), Crawford Wethington (cl, bs, as), Ed Anderson (tp), Edgar Hayes (p), George Morton (voc), Harry White (tb), Hayes Alvis (b), Henry Hicks (tb), Nat Leslie (other), Shelton Hemphill (tp), Ted McCord (cl, as), Wardell Jones (tp), Willie Lynch (dr)</t>
  </si>
  <si>
    <t>Castor McCord</t>
  </si>
  <si>
    <t>Mills Blue Rhythm Band</t>
  </si>
  <si>
    <t>Mills Blue Rhythm Band 1931</t>
  </si>
  <si>
    <t>Blue Flame</t>
  </si>
  <si>
    <t>1931-04-28</t>
  </si>
  <si>
    <t>0:01:03.010022</t>
  </si>
  <si>
    <t>0:01:30.084807</t>
  </si>
  <si>
    <t>AQAF8VWkLIqewPkO7TquHM9xoTOco1fx_0.00.00.000000-0.01.38.028426</t>
  </si>
  <si>
    <t>Al Spieldock (dr), Helen Forrest (voc), Lionel Hampton (dr, other, p, vib), Nat King Cole (p), Oscar Moore (g), Wesley Prince (b)</t>
  </si>
  <si>
    <t>Lionel Hampton Groups 1939-40</t>
  </si>
  <si>
    <t>House Of Morgan</t>
  </si>
  <si>
    <t>1940-05-10</t>
  </si>
  <si>
    <t>0:01:38.028426</t>
  </si>
  <si>
    <t>AQAF8VWkLIqewPkO7TquHM9xoTOco1fx_0.02.22.075047-0.03.11.000000</t>
  </si>
  <si>
    <t>0:02:22.075047</t>
  </si>
  <si>
    <t>0:03:11.000000</t>
  </si>
  <si>
    <t>AQAF98qYJI0ksMS1o0mmaKj-YD_OB5dR_0.01.17.035147-0.02.53.042403</t>
  </si>
  <si>
    <t>Alex Riel (dr), Kenny Drew (p), Stuff Smith (voc, vln)</t>
  </si>
  <si>
    <t>Stuff Smith</t>
  </si>
  <si>
    <t>Swingin' Stuff</t>
  </si>
  <si>
    <t>Bugle blues</t>
  </si>
  <si>
    <t>1965-03-23</t>
  </si>
  <si>
    <t>Live "Jazzhus Montmartre", Copenhagen, Denmark</t>
  </si>
  <si>
    <t>0:01:17.035147</t>
  </si>
  <si>
    <t>0:02:53.042403</t>
  </si>
  <si>
    <t>AQAF9NKVSFIU4bjw4HiOKqMsCU2e6DiL_0.00.49.041206-0.01.27.012126</t>
  </si>
  <si>
    <t>Gerald Wilson, Paul Webster, Snooky Young</t>
  </si>
  <si>
    <t>Al Norris (g), Chappie Willet (other), Dan Grissom (as, voc), Earl Carruthers (as, cl, bs), Edwin Wilcox (other, p), Elmer Crumbley (tb), Gerald Wilson (tp), Jimmie Lunceford (other), Jimmy Crawford (dr), Joe Thomas (cl, voc, ts), Moses Allen (b), Paul Webster (tp), Russell Bowles (tb), Snooky Young (tp), Ted Buckner (other, as), Trummy Young (voc, tb), Willie Smith (cl, bs, voc, as)</t>
  </si>
  <si>
    <t>What's Your Story, Morning Glory</t>
  </si>
  <si>
    <t>1940-02-28</t>
  </si>
  <si>
    <t>0:00:49.041206</t>
  </si>
  <si>
    <t>0:01:27.012126</t>
  </si>
  <si>
    <t>AQAF9NKVSFIU4bjw4HiOKqMsCU2e6DiL_0.01.39.047428-0.02.11.023918</t>
  </si>
  <si>
    <t>0:01:39.047428</t>
  </si>
  <si>
    <t>0:02:11.023918</t>
  </si>
  <si>
    <t>AQAFA2GiZg0ROzl-IT888dAZSvCRjjWO_0.01.29.058081-0.01.50.013952</t>
  </si>
  <si>
    <t>Roy Eldridge (tp)</t>
  </si>
  <si>
    <t>Roy Eldridge With George Williams' Orchestra</t>
  </si>
  <si>
    <t>Roy Eldridge Vol. 5 (1950-51)</t>
  </si>
  <si>
    <t>Basin Street Blues</t>
  </si>
  <si>
    <t>1951-12-01</t>
  </si>
  <si>
    <t>0:01:29.058081</t>
  </si>
  <si>
    <t>0:01:50.013952</t>
  </si>
  <si>
    <t>AQAFAEmUJFISKUkSJcKXB2_xxsQzvIev_0.00.52.024489-0.01.24.091537</t>
  </si>
  <si>
    <t>Allen Eager (ts), Eddie Safranski (b), Kai Winding (tb), Marty Napoleon (p), Shelly Manne (dr)</t>
  </si>
  <si>
    <t>Terry Reig's All Stars</t>
  </si>
  <si>
    <t xml:space="preserve">White Bebop Boys Vol. 1 (1945-47) </t>
  </si>
  <si>
    <t>Mr. Dues</t>
  </si>
  <si>
    <t>1947-01-22</t>
  </si>
  <si>
    <t>0:00:52.024489</t>
  </si>
  <si>
    <t>0:01:24.091537</t>
  </si>
  <si>
    <t>AQAFAEmUJFISKUkSJcKXB2_xxsQzvIev_0.01.24.091537-0.01.58.049142</t>
  </si>
  <si>
    <t>0:01:58.049142</t>
  </si>
  <si>
    <t>AQAFamum7EmQB8mD63h-VD_-ojYlvO8Q_0.01.20.033523-0.01.52.038458</t>
  </si>
  <si>
    <t>Joe Pass</t>
  </si>
  <si>
    <t>Great Motion Picture Themes</t>
  </si>
  <si>
    <t>The sweetest sounds</t>
  </si>
  <si>
    <t>1964-06-01</t>
  </si>
  <si>
    <t>0:01:20.033523</t>
  </si>
  <si>
    <t>0:01:52.038458</t>
  </si>
  <si>
    <t>AQAFAO2YRHrwRCn-4FKOejMRPUiU_OiD_0.00.04.077868-0.00.11.074349</t>
  </si>
  <si>
    <t>Artie Bernstein (b), Charlie Christian (g), Clyde Hart (p), Earl Bostic (as), Henry Red Allen (tp, voc), J.C. Higginbotham (tb), Lionel Hampton (other, vib, voc), Sidney Catlett (dr)</t>
  </si>
  <si>
    <t>The Heebie Jeebies Are Rockin' The Town</t>
  </si>
  <si>
    <t>1939-10-12</t>
  </si>
  <si>
    <t>0:00:04.077868</t>
  </si>
  <si>
    <t>0:00:11.074349</t>
  </si>
  <si>
    <t>AQAFAO2YRHrwRCn-4FKOejMRPUiU_OiD_0.00.11.074349-0.00.18.017224</t>
  </si>
  <si>
    <t>Henry Red Allen</t>
  </si>
  <si>
    <t>0:00:18.017224</t>
  </si>
  <si>
    <t>AQAFAO2YRHrwRCn-4FKOejMRPUiU_OiD_0.01.13.033442-0.01.37.012435</t>
  </si>
  <si>
    <t>J.C. Higginbotham</t>
  </si>
  <si>
    <t>0:01:13.033442</t>
  </si>
  <si>
    <t>0:01:37.012435</t>
  </si>
  <si>
    <t>AQAFAO2YRHrwRCn-4FKOejMRPUiU_OiD_0.01.37.012435-0.01.42.000163</t>
  </si>
  <si>
    <t>Henry Red Allen, Lionel Hampton</t>
  </si>
  <si>
    <t>0:01:42.000163</t>
  </si>
  <si>
    <t>AQAFAO2YRHrwRCn-4FKOejMRPUiU_OiD_0.02.09.099836-0.02.41.015999</t>
  </si>
  <si>
    <t>0:02:09.099836</t>
  </si>
  <si>
    <t>0:02:41.015999</t>
  </si>
  <si>
    <t>AQAFB8mSKFkViRB_VEdIHeeO9Kh0oSf8_0.00.24.035773-0.00.40.075102</t>
  </si>
  <si>
    <t>Dick Vance, Joe Thomas, Roy Eldridge</t>
  </si>
  <si>
    <t>Bob Lessey (g), Buster Bailey (as, cl), Chu Berry (cl, ts), Dick Vance (voc, tp), Ed Cuffee (tb), Elmer Williams (ts, cl), Fernando Arbello (tb), Fletcher Henderson (other, p), Horace Henderson (p, other), Israel Crosby (b), Jerome Pasquall (as, cl), Joe Thomas (tp), Roy Eldridge (tp), Sid Catlett (dr), Spud Murphy (other), Teddy Lewis (voc)</t>
  </si>
  <si>
    <t>Fletcher Henderson 1936-37</t>
  </si>
  <si>
    <t>Grand Terrace Rhythm</t>
  </si>
  <si>
    <t>1936-05-23</t>
  </si>
  <si>
    <t>0:00:24.035773</t>
  </si>
  <si>
    <t>0:00:40.075102</t>
  </si>
  <si>
    <t>AQAFbk8WSVmi4PBz_EYe5dCPKYSqR0iT_0.01.09.093850-0.01.18.039056</t>
  </si>
  <si>
    <t>Buster Bailey, Don Pasquall</t>
  </si>
  <si>
    <t>Benny Morton (tb), Buster Bailey (as, cl), Charlie Dixon (bjo), Coleman Hawkins (ts, cl), Don Pasquall (as, cl), Fletcher Henderson (p, other), Jimmy Harrison (voc, tb), Joe Smith (tp), June Cole (b), Kaiser Marshall (dr), Russell Smith (tp), Tommy Ladnier (tp)</t>
  </si>
  <si>
    <t xml:space="preserve">Fletcher Henderson 1927 </t>
  </si>
  <si>
    <t xml:space="preserve">Hop Off </t>
  </si>
  <si>
    <t>1927-11-04</t>
  </si>
  <si>
    <t>0:01:18.039056</t>
  </si>
  <si>
    <t>AQAFbk8WSVmi4PBz_EYe5dCPKYSqR0iT_0.01.22.061224-0.01.38.048163</t>
  </si>
  <si>
    <t>Joe Smith, Russell Smith, Tommy Ladnier</t>
  </si>
  <si>
    <t>0:01:22.061224</t>
  </si>
  <si>
    <t>0:01:38.048163</t>
  </si>
  <si>
    <t>AQAFbk8WSVmi4PBz_EYe5dCPKYSqR0iT_0.01.38.048163-0.01.54.093877</t>
  </si>
  <si>
    <t>Buster Bailey, Coleman Hawkins, Don Pasquall</t>
  </si>
  <si>
    <t>0:01:54.093877</t>
  </si>
  <si>
    <t>AQAFbk8WSVmi4PBz_EYe5dCPKYSqR0iT_0.01.54.093877-0.02.11.042494</t>
  </si>
  <si>
    <t>0:02:11.042494</t>
  </si>
  <si>
    <t>AQAFBkmiiFnCSThpdPDRP9h34spx9ILh_0.00.58.048816-0.01.24.003591</t>
  </si>
  <si>
    <t>Give Peace A Chance</t>
  </si>
  <si>
    <t>Black bird</t>
  </si>
  <si>
    <t>1970-03-07</t>
  </si>
  <si>
    <t>0:00:58.048816</t>
  </si>
  <si>
    <t>0:01:24.003591</t>
  </si>
  <si>
    <t>AQAFcJqVKEkiLUL4QPlx5shLJ8HFRBYI_0.01.26.054077-0.01.47.060126</t>
  </si>
  <si>
    <t>Art Blakey (dr), Bob Paige (b), George Taitt (tp), Sahib Shihab (as), Thelonious Monk (p)</t>
  </si>
  <si>
    <t>George Taitt</t>
  </si>
  <si>
    <t>Thelonious Monk</t>
  </si>
  <si>
    <t>Thelonious Monk Vol. 1 (1947-48)</t>
  </si>
  <si>
    <t>In Walked Bud</t>
  </si>
  <si>
    <t>1947-11-21</t>
  </si>
  <si>
    <t>0:01:26.054077</t>
  </si>
  <si>
    <t>0:01:47.060126</t>
  </si>
  <si>
    <t>AQAFcJqVKEkiLUL4QPlx5shLJ8HFRBYI_0.01.47.060126-0.02.08.070820</t>
  </si>
  <si>
    <t>Sahib Shihab</t>
  </si>
  <si>
    <t>0:02:08.070820</t>
  </si>
  <si>
    <t>AQAFcom0ZNESKkIuLYHz4Mef6SgzonmR_0.00.34.001723-0.00.51.036253</t>
  </si>
  <si>
    <t>Crawford Wethington, Ted McCord</t>
  </si>
  <si>
    <t>Benny James (bjo), Castor McCord (ts, cl), Crawford Wethington (bs, cl, as), Ed Anderson (tp), Edgar Hayes (p), George Morton (voc), Harry White (tb), Hayes Alvis (b), Henry Hicks (tb), Nat Leslie (other), Shelton Hemphill (tp), Ted McCord (cl, as), Wardell Jones (tp), Willie Lynch (dr)</t>
  </si>
  <si>
    <t>Red Devil</t>
  </si>
  <si>
    <t>0:00:34.001723</t>
  </si>
  <si>
    <t>0:00:51.036253</t>
  </si>
  <si>
    <t>AQAFcom0ZNESKkIuLYHz4Mef6SgzonmR_0.00.51.036253-0.01.09.059020</t>
  </si>
  <si>
    <t>Ed Anderson, Shelton Hemphill, Wardell Jones</t>
  </si>
  <si>
    <t>0:01:09.059020</t>
  </si>
  <si>
    <t>AQAFcom0ZNESKkIuLYHz4Mef6SgzonmR_0.01.43.093251-0.02.01.030104</t>
  </si>
  <si>
    <t>Harry White, Henry Hicks</t>
  </si>
  <si>
    <t>0:01:43.093251</t>
  </si>
  <si>
    <t>0:02:01.030104</t>
  </si>
  <si>
    <t>AQAFcom0ZNESKkIuLYHz4Mef6SgzonmR_0.02.01.030104-0.02.18.048380</t>
  </si>
  <si>
    <t>0:02:18.048380</t>
  </si>
  <si>
    <t>AQAFCVGyLIkiZWidAznOo5GkBT7y44dY_0.02.06.078095-0.02.42.022666</t>
  </si>
  <si>
    <t>Duke's awakening</t>
  </si>
  <si>
    <t>1964-04-23</t>
  </si>
  <si>
    <t>0:02:06.078095</t>
  </si>
  <si>
    <t>0:02:42.022666</t>
  </si>
  <si>
    <t>AQAFd1yWhFk4jNVEoxSYLFxSJA-iPzg-_0.02.20.013242-0.02.33.034458</t>
  </si>
  <si>
    <t>Buster Bailey, Jerry Blake</t>
  </si>
  <si>
    <t>Al Hall (b), Allan Reuss (g), Bobby Hackett (cor), Buster Bailey (as, cl), Jerry Blake (as, cl), Johnny Blowers (dr), Johnny Hodges (as), Nan Wynn (voc), Teddy Wilson (other, p)</t>
  </si>
  <si>
    <t>Teddy Wilson And His Orchestra</t>
  </si>
  <si>
    <t>Teddy Wilson</t>
  </si>
  <si>
    <t>Teddy Wilson Vol. 5 (1937-38)</t>
  </si>
  <si>
    <t>If I Were You</t>
  </si>
  <si>
    <t>1938-04-29</t>
  </si>
  <si>
    <t>0:02:20.013242</t>
  </si>
  <si>
    <t>0:02:33.034458</t>
  </si>
  <si>
    <t>AQAfd2IvLsih9kKuPAnWB9R3PMet4MyO_0.01.58.059591-0.04.32.019591</t>
  </si>
  <si>
    <t>Bill Goodwin (dr), Harry Leahey (g), Mike Melillo (p), Phil Woods (as), Steve Gilmore (b)</t>
  </si>
  <si>
    <t>Phil Woods</t>
  </si>
  <si>
    <t>20Th Anniversary Set</t>
  </si>
  <si>
    <t>Song for Sisyphus</t>
  </si>
  <si>
    <t>1977-08-15</t>
  </si>
  <si>
    <t>Concert, Pori, Finland</t>
  </si>
  <si>
    <t>0:01:58.059591</t>
  </si>
  <si>
    <t>0:04:32.019591</t>
  </si>
  <si>
    <t>AQAfd2IvLsih9kKuPAnWB9R3PMet4MyO_0.12.51.083129-0.13.35.085632</t>
  </si>
  <si>
    <t>0:12:51.083129</t>
  </si>
  <si>
    <t>0:13:35.085632</t>
  </si>
  <si>
    <t>AQAfd2IvLsih9kKuPAnWB9R3PMet4MyO_0.13.40.003591-0.13.45.033006</t>
  </si>
  <si>
    <t>0:13:40.003591</t>
  </si>
  <si>
    <t>0:13:45.033006</t>
  </si>
  <si>
    <t>AQAfd2IvLsih9kKuPAnWB9R3PMet4MyO_0.13.49.027746-0.13.54.010721</t>
  </si>
  <si>
    <t>0:13:49.027746</t>
  </si>
  <si>
    <t>0:13:54.010721</t>
  </si>
  <si>
    <t>AQAfd2IvLsih9kKuPAnWB9R3PMet4MyO_0.13.58.056544-0.14.03.058095</t>
  </si>
  <si>
    <t>0:13:58.056544</t>
  </si>
  <si>
    <t>0:14:03.058095</t>
  </si>
  <si>
    <t>AQAfd2IvLsih9kKuPAnWB9R3PMet4MyO_0.14.07.034258-0.14.13.024045</t>
  </si>
  <si>
    <t>0:14:07.034258</t>
  </si>
  <si>
    <t>0:14:13.024045</t>
  </si>
  <si>
    <t>AQAfd2IvLsih9kKuPAnWB9R3PMet4MyO_0.14.16.067700-0.14.22.052843</t>
  </si>
  <si>
    <t>0:14:16.067700</t>
  </si>
  <si>
    <t>0:14:22.052843</t>
  </si>
  <si>
    <t>AQAfd2IvLsih9kKuPAnWB9R3PMet4MyO_0.14.26.047582-0.14.32.000217</t>
  </si>
  <si>
    <t>0:14:26.047582</t>
  </si>
  <si>
    <t>0:14:32.000217</t>
  </si>
  <si>
    <t>AQAfd2IvLsih9kKuPAnWB9R3PMet4MyO_0.14.35.081024-0.14.41.056879</t>
  </si>
  <si>
    <t>0:14:35.081024</t>
  </si>
  <si>
    <t>0:14:41.056879</t>
  </si>
  <si>
    <t>AQAfd2IvLsih9kKuPAnWB9R3PMet4MyO_0.14.44.091247-0.14.47.079174</t>
  </si>
  <si>
    <t>0:14:44.091247</t>
  </si>
  <si>
    <t>0:14:47.079174</t>
  </si>
  <si>
    <t>AQAfd2IvLsih9kKuPAnWB9R3PMet4MyO_0.14.49.023138-0.14.52.015709</t>
  </si>
  <si>
    <t>0:14:49.023138</t>
  </si>
  <si>
    <t>0:14:52.015709</t>
  </si>
  <si>
    <t>AQAfd2IvLsih9kKuPAnWB9R3PMet4MyO_0.14.53.050385-0.14.56.066176</t>
  </si>
  <si>
    <t>0:14:53.050385</t>
  </si>
  <si>
    <t>0:14:56.066176</t>
  </si>
  <si>
    <t>AQAfd2IvLsih9kKuPAnWB9R3PMet4MyO_0.14.58.024072-0.15.00.088780</t>
  </si>
  <si>
    <t>0:14:58.024072</t>
  </si>
  <si>
    <t>0:15:00.088780</t>
  </si>
  <si>
    <t>AQAfd2IvLsih9kKuPAnWB9R3PMet4MyO_0.15.02.088471-0.15.05.090331</t>
  </si>
  <si>
    <t>0:15:02.088471</t>
  </si>
  <si>
    <t>0:15:05.090331</t>
  </si>
  <si>
    <t>AQAfd2IvLsih9kKuPAnWB9R3PMet4MyO_0.15.07.048226-0.15.10.003646</t>
  </si>
  <si>
    <t>0:15:07.048226</t>
  </si>
  <si>
    <t>0:15:10.003646</t>
  </si>
  <si>
    <t>AQAFdEmUJEuUSDluCNEHeB5-vMelKIV3_0.01.51.060816-0.02.57.037142</t>
  </si>
  <si>
    <t>Benny Goodman, Fud Livingston</t>
  </si>
  <si>
    <t>Ben Pollack (dr), Benny Goodman (bs, cor, as, cl), Dick Morgan (g), Fud Livingston (ts, cl), Glenn Miller (tb), Harry Goodman (b), Jimmy McPartland (cor), Vic Breidis (p)</t>
  </si>
  <si>
    <t>Benny Goodman's Boys</t>
  </si>
  <si>
    <t>Benny Goodman 1927-29</t>
  </si>
  <si>
    <t xml:space="preserve">Blue </t>
  </si>
  <si>
    <t>1928-06-04</t>
  </si>
  <si>
    <t>0:01:51.060816</t>
  </si>
  <si>
    <t>0:02:57.037142</t>
  </si>
  <si>
    <t>AQAFDImiRqFi5IG1LchpzDyOMlwG0nuQ_0.01.50.041814-0.02.27.050965</t>
  </si>
  <si>
    <t>Allan Reuss (g), Arthur Rollini (ts), Gene Krupa (dr), George Koenig (as), Harry Goodman (b), Hymie Schertzer (as), Jess Stacy (p), Lionel Hampton (voc, dr, other, vib), Vido Musso (ts), Ziggy Elman (tp)</t>
  </si>
  <si>
    <t>Lionel Hampton Groups 1937</t>
  </si>
  <si>
    <t>The Mood That I'm In</t>
  </si>
  <si>
    <t>1937-02-08</t>
  </si>
  <si>
    <t>0:01:50.041814</t>
  </si>
  <si>
    <t>0:02:27.050965</t>
  </si>
  <si>
    <t>AQAFDkqWSIqSpImC99hfop9iwbGPfsR__0.01.07.022176-0.01.38.052226</t>
  </si>
  <si>
    <t>Allan Reuss (g), Buster Bailey (cl), Cozy Cole (dr), Harry James (tp), Helen Ward (voc), John Kirby (b), Johnny Hodges (as), Teddy Wilson (p)</t>
  </si>
  <si>
    <t>Teddy Wilson Vol. 3 (1937)</t>
  </si>
  <si>
    <t>I'm Coming, Virginia</t>
  </si>
  <si>
    <t>1937-04-23</t>
  </si>
  <si>
    <t>0:01:07.022176</t>
  </si>
  <si>
    <t>0:01:38.052226</t>
  </si>
  <si>
    <t>AQAFDkqWSIqSpImC99hfop9iwbGPfsR__0.01.38.052226-0.02.08.056888</t>
  </si>
  <si>
    <t>0:02:08.056888</t>
  </si>
  <si>
    <t>AQAFdUoULV-kBOeOnDyaNMyhPcc55FeM_0.01.44.055510-0.02.07.060816</t>
  </si>
  <si>
    <t>Benny Goodman (cl, as), Bix Beiderbecke (cor), Boyce Cullen (tb), Bud Freeman (ts), Eddie Lang (g), Gene Krupa (dr), Irving Brodsky (p), Jimmy Dorsey (cl, as), Joe Venuti (vln), Min Leibrook (bs), Pee Wee Russell (cl, as), Ray Lodwig (tp), Wes Vaughn (voc)</t>
  </si>
  <si>
    <t>Joe Venuti</t>
  </si>
  <si>
    <t>Bix Beiderbecke And His Orchestra</t>
  </si>
  <si>
    <t>Bix Beiderbecke</t>
  </si>
  <si>
    <t xml:space="preserve">I Don't Mind Walkin' In The Rain </t>
  </si>
  <si>
    <t>1930-09-08</t>
  </si>
  <si>
    <t>0:01:44.055510</t>
  </si>
  <si>
    <t>0:02:07.060816</t>
  </si>
  <si>
    <t>AQAFdUoULV-kBOeOnDyaNMyhPcc55FeM_0.02.18.097142-0.02.30.023310</t>
  </si>
  <si>
    <t>0:02:18.097142</t>
  </si>
  <si>
    <t>0:02:30.023310</t>
  </si>
  <si>
    <t>AQAFdUoULV-kBOeOnDyaNMyhPcc55FeM_0.02.30.023310-0.02.38.049941</t>
  </si>
  <si>
    <t>0:02:38.049941</t>
  </si>
  <si>
    <t>AQAFe0qk6EosTDQdONTRJYxwurgteNFx_0.01.15.063099-0.02.56.040000</t>
  </si>
  <si>
    <t>Maynard Ferguson</t>
  </si>
  <si>
    <t>Maynard '63</t>
  </si>
  <si>
    <t>Antibes</t>
  </si>
  <si>
    <t>1962-03-01</t>
  </si>
  <si>
    <t>New York, c.</t>
  </si>
  <si>
    <t>0:01:15.063099</t>
  </si>
  <si>
    <t>0:02:56.040000</t>
  </si>
  <si>
    <t>AQAFe9m6KFGYKMgv4_GObxOeo_xh1TiV_0.00.37.010548-0.01.08.056852</t>
  </si>
  <si>
    <t>Turnstile</t>
  </si>
  <si>
    <t>0:00:37.010548</t>
  </si>
  <si>
    <t>0:01:08.056852</t>
  </si>
  <si>
    <t>AQAFe9m6KFGYKMgv4_GObxOeo_xh1TiV_0.01.08.056852-0.01.37.070956</t>
  </si>
  <si>
    <t>0:01:37.070956</t>
  </si>
  <si>
    <t>AQAFe9m6KFGYKMgv4_GObxOeo_xh1TiV_0.01.37.070956-0.01.44.076843</t>
  </si>
  <si>
    <t>0:01:44.076843</t>
  </si>
  <si>
    <t>AQAFe9m6KFGYKMgv4_GObxOeo_xh1TiV_0.01.48.082612-0.01.52.079673</t>
  </si>
  <si>
    <t>0:01:48.082612</t>
  </si>
  <si>
    <t>0:01:52.079673</t>
  </si>
  <si>
    <t>AQAFe9m6KFGYKMgv4_GObxOeo_xh1TiV_0.01.52.079673-0.01.59.058857</t>
  </si>
  <si>
    <t>0:01:59.058857</t>
  </si>
  <si>
    <t>AQAFe9m6KFGYKMgv4_GObxOeo_xh1TiV_0.02.06.084190-0.02.10.078349</t>
  </si>
  <si>
    <t>0:02:06.084190</t>
  </si>
  <si>
    <t>0:02:10.078349</t>
  </si>
  <si>
    <t>AQAFe9m6KFGYKMgv4_GObxOeo_xh1TiV_0.02.13.091238-0.02.17.091492</t>
  </si>
  <si>
    <t>0:02:13.091238</t>
  </si>
  <si>
    <t>0:02:17.091492</t>
  </si>
  <si>
    <t>AQAFe9m6KFGYKMgv4_GObxOeo_xh1TiV_0.02.21.018603-0.02.24.098539</t>
  </si>
  <si>
    <t>0:02:21.018603</t>
  </si>
  <si>
    <t>0:02:24.098539</t>
  </si>
  <si>
    <t>AQAFe9m6KFGYKMgv4_GObxOeo_xh1TiV_0.02.28.031746-0.02.32.038095</t>
  </si>
  <si>
    <t>0:02:28.031746</t>
  </si>
  <si>
    <t>0:02:32.038095</t>
  </si>
  <si>
    <t>AQAFeUrWKJeGPz-u4Irw7AgzHoly4dIx_0.00.36.040888-0.01.38.003464</t>
  </si>
  <si>
    <t>Horace Silver (p), Jimmy Raney (g), Leonard Gaskin (b), Roy Haynes (dr), Stan Getz (ts)</t>
  </si>
  <si>
    <t>White Bebop Boys Vol. 8 (1951-52)</t>
  </si>
  <si>
    <t>Yvette</t>
  </si>
  <si>
    <t>1951-08-15</t>
  </si>
  <si>
    <t>0:00:36.040888</t>
  </si>
  <si>
    <t>0:01:38.003464</t>
  </si>
  <si>
    <t>AQAfeYmarNGkIazCYMqP43nQVAyqJyF4_0.02.00.018648-0.04.26.071020</t>
  </si>
  <si>
    <t>Charlie Sepulveda, Dizzy Gillespie</t>
  </si>
  <si>
    <t>Charlie Sepulveda (tp), Dizzy Gillespie (tp), Junior Mance (p), Kenny Washington (dr), Peter Washington (b)</t>
  </si>
  <si>
    <t>A night in Tunisia</t>
  </si>
  <si>
    <t>0:02:00.018648</t>
  </si>
  <si>
    <t>0:04:26.071020</t>
  </si>
  <si>
    <t>AQAfeYmarNGkIazCYMqP43nQVAyqJyF4_0.04.41.060000-0.06.30.000816</t>
  </si>
  <si>
    <t>0:04:41.060000</t>
  </si>
  <si>
    <t>0:06:30.000816</t>
  </si>
  <si>
    <t>AQAfeYmarNGkIazCYMqP43nQVAyqJyF4_0.06.44.002721-0.07.59.081714</t>
  </si>
  <si>
    <t>0:06:44.002721</t>
  </si>
  <si>
    <t>0:07:59.081714</t>
  </si>
  <si>
    <t>AQAFFlIUJXGUFXaC73DMGH2ISkwOc63g_0.02.04.070022-0.02.22.064489</t>
  </si>
  <si>
    <t>Cecil Irwin, Jimmy Mundy</t>
  </si>
  <si>
    <t>Cecil Irwin (cl, other, ts), Charlie Allen (tp), Darnell Howard (vln, cl), Earl Hines (p, other), George Dixon (tp), Herb Jeffries (voc), Jimmy Mundy (other, ts), Lawrence Dixon (g, other), Louis Taylor (tb), Omer Simeon (bs, cl, as), Quinn Wilson (b, other), Trummy Young (tb), Walter Bishop (dr), Walter Fuller (voc, tp), William Franklin (tb)</t>
  </si>
  <si>
    <t>Earl Hines And His Orchestra</t>
  </si>
  <si>
    <t>Earl Hines 1934</t>
  </si>
  <si>
    <t>Just To Be In Caroline</t>
  </si>
  <si>
    <t>1934-03-26</t>
  </si>
  <si>
    <t>0:02:04.070022</t>
  </si>
  <si>
    <t>0:02:22.064489</t>
  </si>
  <si>
    <t>AQAFfqKiZekWlFk02CEqS8Ez5cONKw1O_0.01.09.012580-0.01.38.026684</t>
  </si>
  <si>
    <t>Carson Smith (b), Chet Baker (tp), Gerry Mulligan (bs), Larry Bunker (dr), Lee Konitz (as)</t>
  </si>
  <si>
    <t>Cool Jazz - Lee Konitz-Gerry Mulligan-Shorty Rogers</t>
  </si>
  <si>
    <t>Almost Like Being In Love</t>
  </si>
  <si>
    <t>1953-02-01</t>
  </si>
  <si>
    <t>0:01:09.012580</t>
  </si>
  <si>
    <t>0:01:38.026684</t>
  </si>
  <si>
    <t>AQAFfqKiZekWlFk02CEqS8Ez5cONKw1O_0.01.38.026684-0.02.01.007174</t>
  </si>
  <si>
    <t>0:02:01.007174</t>
  </si>
  <si>
    <t>AQAFfqKiZekWlFk02CEqS8Ez5cONKw1O_0.02.01.007174-0.02.22.075047</t>
  </si>
  <si>
    <t>Lee Konitz</t>
  </si>
  <si>
    <t>AQAFfUuSJ1OiREKTPE6GX0YOZZWUIV-L_0.01.08.038276-0.01.41.023900</t>
  </si>
  <si>
    <t>Billy Banks (voc), Eddie Condon (bjo), Fats Waller (p), Henry 'Red' Allen (tp), Jack Bland (g), Jimmy Lord (cl), Pee Wee Russell (ts), Pops Foster (b), Zutty Singleton (dr)</t>
  </si>
  <si>
    <t>Pee Wee Russell</t>
  </si>
  <si>
    <t>Billy Banks And His Orchestra</t>
  </si>
  <si>
    <t>Billy Banks</t>
  </si>
  <si>
    <t>Harlem meets Chicago Jazz 1932 The Rhythmakers</t>
  </si>
  <si>
    <t xml:space="preserve">I Would Do Anything For You </t>
  </si>
  <si>
    <t>1932-07-26</t>
  </si>
  <si>
    <t>0:01:08.038276</t>
  </si>
  <si>
    <t>0:01:41.023900</t>
  </si>
  <si>
    <t>AQAFG1mVJJEUariC5Dp6PmhOPCOuoHke_0.02.04.018081-0.02.16.065895</t>
  </si>
  <si>
    <t>Benny Morton, Dan Minor, Dicky Wells</t>
  </si>
  <si>
    <t>Benny Morton (tb), Buck Clayton (tp), Buddy Tate (ts), Count Basie (other, p), Dan Minor (tb), Dicky Wells (tb), Earl Warren (as), Ed Lewis (tp), Freddie Green (g), Harry 'Sweets' Edison (tp), Helen Humes (voc), Jack Washington (bs, as), Jimmy Mundy (other), Jo Jones (dr), Lester Young (ts), Shad Collins (tp), Walter Page (b)</t>
  </si>
  <si>
    <t>Count Basie 1939</t>
  </si>
  <si>
    <t>If I Didn't Care</t>
  </si>
  <si>
    <t>1939-03-20</t>
  </si>
  <si>
    <t>0:02:04.018081</t>
  </si>
  <si>
    <t>0:02:16.065895</t>
  </si>
  <si>
    <t>AQAFG1mVJJEUariC5Dp6PmhOPCOuoHke_0.02.16.065895-0.02.29.024988</t>
  </si>
  <si>
    <t>Buck Clayton, Ed Lewis, Harry 'Sweets' Edison, Shad Collins</t>
  </si>
  <si>
    <t>0:02:29.024988</t>
  </si>
  <si>
    <t>AQAFG8qSKdqySOCP_-ieYyKZYlSi45-F_0.00.16.064870-0.00.40.082068</t>
  </si>
  <si>
    <t>Benny Carter, Pete Brown</t>
  </si>
  <si>
    <t>Benny Carter (as, tp), Billy Kyle (p), Bobby Hackett (g, cor), Cozy Cole (dr), Hayes Alvis (b), Joe Marsala (cl), Pete Brown (as, tp)</t>
  </si>
  <si>
    <t>Leonard Feather's All-Star Jam Band</t>
  </si>
  <si>
    <t>All-Star Groups Vol. 3 (1939-44)</t>
  </si>
  <si>
    <t>Twelve Bar Stampede</t>
  </si>
  <si>
    <t>1939-04-20</t>
  </si>
  <si>
    <t>0:00:16.064870</t>
  </si>
  <si>
    <t>0:00:40.082068</t>
  </si>
  <si>
    <t>AQAFG8qSKdqySOCP_-ieYyKZYlSi45-F_0.01.05.038739-0.01.29.079156</t>
  </si>
  <si>
    <t>Joe Marsala</t>
  </si>
  <si>
    <t>0:01:05.038739</t>
  </si>
  <si>
    <t>0:01:29.079156</t>
  </si>
  <si>
    <t>AQAFG8qSKdqySOCP_-ieYyKZYlSi45-F_0.01.29.079156-0.01.54.005641</t>
  </si>
  <si>
    <t>0:01:54.005641</t>
  </si>
  <si>
    <t>AQAFG8qSKdqySOCP_-ieYyKZYlSi45-F_0.01.54.005641-0.02.19.038938</t>
  </si>
  <si>
    <t>0:02:19.038938</t>
  </si>
  <si>
    <t>AQAFGBm7RHkS9ISWkEIe_EGnMVXQRH4Q_0.01.00.058086-0.01.24.098503</t>
  </si>
  <si>
    <t>James King, Teddy Edwards</t>
  </si>
  <si>
    <t>Bob Kesterson (b), Howard McGhee (tp), James King (voc, ts), Jimmy Bunn (p), Roy Porter (dr), Teddy Edwards (ts), Vernon Biddle (p)</t>
  </si>
  <si>
    <t>Howard McGhee And His Orchestra</t>
  </si>
  <si>
    <t>Howard McGhee Vol. 1 (1945)</t>
  </si>
  <si>
    <t>Sweet Potato</t>
  </si>
  <si>
    <t>1945-09-01</t>
  </si>
  <si>
    <t>0:01:00.058086</t>
  </si>
  <si>
    <t>0:01:24.098503</t>
  </si>
  <si>
    <t>AQAFGBm7RHkS9ISWkEIe_EGnMVXQRH4Q_0.01.24.098503-0.02.13.063083</t>
  </si>
  <si>
    <t>0:02:13.063083</t>
  </si>
  <si>
    <t>AQAFGooqJZSoBD3xZMWTG-mmGbqR08Qe_0.00.23.066113-0.00.59.076816</t>
  </si>
  <si>
    <t xml:space="preserve">Susie (Of The Islands) </t>
  </si>
  <si>
    <t>0:00:23.066113</t>
  </si>
  <si>
    <t>0:00:59.076816</t>
  </si>
  <si>
    <t>AQAfGUucREoookdyhHmao2ok48GPJqJy_0.02.05.099147-0.03.07.064045</t>
  </si>
  <si>
    <t>Buck Clayton, Jay Brower</t>
  </si>
  <si>
    <t>Buck Clayton (tp), Buddy Tate (ts), Jay Brower (tp), Jo Jones (dr), Lem Davis (as), Mel Powell (p), Milt Hinton (b), Ruby Braff (cor), Steve Jordan (g), Tony Scott (cl), Urbie Green (tb), Vernon Brown (tb)</t>
  </si>
  <si>
    <t>Mel Powell And His All Stars</t>
  </si>
  <si>
    <t>Mel Powell</t>
  </si>
  <si>
    <t>Jam Sessions Vol. 6 (1954)</t>
  </si>
  <si>
    <t>I Found A New Baby</t>
  </si>
  <si>
    <t>1954-04-09</t>
  </si>
  <si>
    <t>Carnegie Hall</t>
  </si>
  <si>
    <t>0:02:05.099147</t>
  </si>
  <si>
    <t>0:03:07.064045</t>
  </si>
  <si>
    <t>AQAfGUucREoookdyhHmao2ok48GPJqJy_0.03.07.064045-0.04.08.024453</t>
  </si>
  <si>
    <t>Lem Davis</t>
  </si>
  <si>
    <t>0:04:08.024453</t>
  </si>
  <si>
    <t>AQAfGUucREoookdyhHmao2ok48GPJqJy_0.04.08.024453-0.05.09.098639</t>
  </si>
  <si>
    <t>0:05:09.098639</t>
  </si>
  <si>
    <t>AQAfGUucREoookdyhHmao2ok48GPJqJy_0.05.09.098639-0.06.39.001170</t>
  </si>
  <si>
    <t>Buddy Tate</t>
  </si>
  <si>
    <t>0:06:39.001170</t>
  </si>
  <si>
    <t>AQAfGUucREoookdyhHmao2ok48GPJqJy_0.06.39.001170-0.08.08.073360</t>
  </si>
  <si>
    <t>Urbie Green, Vernon Brown</t>
  </si>
  <si>
    <t>0:08:08.073360</t>
  </si>
  <si>
    <t>AQAfGUucREoookdyhHmao2ok48GPJqJy_0.08.08.073360-0.09.39.089514</t>
  </si>
  <si>
    <t>Tony Scott</t>
  </si>
  <si>
    <t>0:09:39.089514</t>
  </si>
  <si>
    <t>AQAfGUucREoookdyhHmao2ok48GPJqJy_0.09.39.089514-0.10.39.077941</t>
  </si>
  <si>
    <t>0:10:39.077941</t>
  </si>
  <si>
    <t>AQAFgVoWJUykB0_gSThRUUwo45wu5NIO_0.01.19.018585-0.01.57.027238</t>
  </si>
  <si>
    <t>Chuck Miller (cl), Frank DiPrima (bjo), Frank Trumbauer (other, as), Miff Mole (tb), Roy Johnston (tp), Rube Bloom (p), Sam Lanin (other), Ward Archer (dr)</t>
  </si>
  <si>
    <t>Frank Trumbauer</t>
  </si>
  <si>
    <t>Lanin's Arkansaw Travelers</t>
  </si>
  <si>
    <t>New York Jazz Groups 1924-30</t>
  </si>
  <si>
    <t xml:space="preserve">Lost My Baby Blues </t>
  </si>
  <si>
    <t>1924-05-20</t>
  </si>
  <si>
    <t>0:01:19.018585</t>
  </si>
  <si>
    <t>0:01:57.027238</t>
  </si>
  <si>
    <t>AQAFgVoWJUykB0_gSThRUUwo45wu5NIO_0.01.57.027238-0.02.17.036925</t>
  </si>
  <si>
    <t>0:02:17.036925</t>
  </si>
  <si>
    <t>AQAFgYsopVFGXFfQhR90o83xsErw5ygv_0.01.15.004108-0.01.26.042975</t>
  </si>
  <si>
    <t>Billy Kyle (p), Buster Bailey (cl), Charlie Shavers (other, tp), John Kirby (b), O'Neil Spencer (dr), Russell Procope (as)</t>
  </si>
  <si>
    <t>Russell Procope</t>
  </si>
  <si>
    <t>Cuttin' The Campus</t>
  </si>
  <si>
    <t>1941-01-15</t>
  </si>
  <si>
    <t>0:01:15.004108</t>
  </si>
  <si>
    <t>0:01:26.042975</t>
  </si>
  <si>
    <t>AQAFgYsopVFGXFfQhR90o83xsErw5ygv_0.01.26.042975-0.01.37.084081</t>
  </si>
  <si>
    <t>Charlie Shavers</t>
  </si>
  <si>
    <t>0:01:37.084081</t>
  </si>
  <si>
    <t>AQAFgYsopVFGXFfQhR90o83xsErw5ygv_0.01.37.084081-0.01.48.047564</t>
  </si>
  <si>
    <t>0:01:48.047564</t>
  </si>
  <si>
    <t>AQAFh4-USFIiIUfyB_5yPKOES0azqMmR_0.00.04.043501-0.01.00.025578</t>
  </si>
  <si>
    <t>Argonne Thornton (p), Lester Young (ts), Lyndell Marshall (dr), Nasir Barakaat (g), Rodney Richardson (b), Shorty McConnell (tp)</t>
  </si>
  <si>
    <t>Lester Young Vol. 7 (1946-47)</t>
  </si>
  <si>
    <t>Just Cooling</t>
  </si>
  <si>
    <t>1947-04-02</t>
  </si>
  <si>
    <t>0:00:04.043501</t>
  </si>
  <si>
    <t>0:01:00.025578</t>
  </si>
  <si>
    <t>AQAFh4-USFIiIUfyB_5yPKOES0azqMmR_0.01.00.025578-0.01.28.049950</t>
  </si>
  <si>
    <t>Shorty McConnell</t>
  </si>
  <si>
    <t>0:01:28.049950</t>
  </si>
  <si>
    <t>AQAFh4-USFIiIUfyB_5yPKOES0azqMmR_0.01.56.047129-0.02.31.092816</t>
  </si>
  <si>
    <t>0:01:56.047129</t>
  </si>
  <si>
    <t>0:02:31.092816</t>
  </si>
  <si>
    <t>AQAFh4-USFIiIUfyB_5yPKOES0azqMmR_0.02.31.092816-0.02.39.024244</t>
  </si>
  <si>
    <t>0:02:39.024244</t>
  </si>
  <si>
    <t>AQAFh4-USFIiIUfyB_5yPKOES0azqMmR_0.02.39.024244-0.02.46.025487</t>
  </si>
  <si>
    <t>0:02:46.025487</t>
  </si>
  <si>
    <t>AQAFh4-USFIiIUfyB_5yPKOES0azqMmR_0.02.46.025487-0.02.49.064498</t>
  </si>
  <si>
    <t>0:02:49.064498</t>
  </si>
  <si>
    <t>AQAFh4kyXU8SaGk-5MrwDK7-AL-SBS_2_0.00.35.052653-0.01.31.011510</t>
  </si>
  <si>
    <t>Bud Powell (p), Curly Russell (b), Max Roach (dr), Sonny Stitt (ts)</t>
  </si>
  <si>
    <t>Sonny Stitt</t>
  </si>
  <si>
    <t xml:space="preserve">Sonny Stitt Quartet/Sonny Stitt And Bud Powell Quartet </t>
  </si>
  <si>
    <t>Sonny Stitt Vol. 1 (1946-50)</t>
  </si>
  <si>
    <t>All God's Chillun Got Rhythm</t>
  </si>
  <si>
    <t>1949-12-11</t>
  </si>
  <si>
    <t>0:00:35.052653</t>
  </si>
  <si>
    <t>0:01:31.011510</t>
  </si>
  <si>
    <t>AQAFh4kyXU8SaGk-5MrwDK7-AL-SBS_2_0.02.24.072997-0.02.28.021297</t>
  </si>
  <si>
    <t>0:02:24.072997</t>
  </si>
  <si>
    <t>0:02:28.021297</t>
  </si>
  <si>
    <t>AQAFh4kyXU8SaGk-5MrwDK7-AL-SBS_2_0.02.31.074240-0.02.35.017895</t>
  </si>
  <si>
    <t>0:02:31.074240</t>
  </si>
  <si>
    <t>0:02:35.017895</t>
  </si>
  <si>
    <t>AQAFh5kSMkuUKcENBzpvxD1-ND-6pMEZ_0.01.20.061968-0.01.58.066122</t>
  </si>
  <si>
    <t>Buster Bailey (cl), Chu Berry (ts), Cozy Cole (dr), George Matthews (tb), Horace Henderson (p), Hot Lips Page (voc, tp), Israel Crosby (b), Lawrence Lucie (g)</t>
  </si>
  <si>
    <t>Chu Berry And His Stompy Stevedores</t>
  </si>
  <si>
    <t>Leon 'Chu' Berry Vol. 1 (1937-38)</t>
  </si>
  <si>
    <t>Too Marvelous For Words</t>
  </si>
  <si>
    <t>1937-03-23</t>
  </si>
  <si>
    <t>0:01:20.061968</t>
  </si>
  <si>
    <t>0:01:58.066122</t>
  </si>
  <si>
    <t>AQAFh5kSMkuUKcENBzpvxD1-ND-6pMEZ_0.02.17.007755-0.02.27.026530</t>
  </si>
  <si>
    <t>George Matthews</t>
  </si>
  <si>
    <t>0:02:17.007755</t>
  </si>
  <si>
    <t>0:02:27.026530</t>
  </si>
  <si>
    <t>AQAFh5kSMkuUKcENBzpvxD1-ND-6pMEZ_0.02.27.026530-0.02.36.040816</t>
  </si>
  <si>
    <t>0:02:36.040816</t>
  </si>
  <si>
    <t>AQAFHdESJ2EYJZD4oNIJxcnywb4RWtmP_0.01.26.009959-0.01.37.073278</t>
  </si>
  <si>
    <t>Al Beller (vln), Al Hendrickson (g), Allan Harshman (vln), Anita Boyer (voc), Artie Shaw (other, cl), Bill Brower (vln), Billy Butterfield (tp), Bob Morrow (vln), Bus Bassey (ts), Eugene Lamas (vln), Fred Goerner (voc), George Wendt (tp), Jack Jenney (tb), Jerry Jerome (ts), Jim Cathcart (tp), Johnny Guarnieri (p), Jud DeNaut (b), Keith Collins (vln), Les Robinson (as), Neely Plumb (as), Nick Fatool (dr), Ray Conniff (tb), Ted Klages (vln), Truman Boardman (vln), Vernon Brown (tb)</t>
  </si>
  <si>
    <t>Artie Shaw</t>
  </si>
  <si>
    <t xml:space="preserve">Artie Shaw And His Orchestra </t>
  </si>
  <si>
    <t>Artie Shaw 1940-42</t>
  </si>
  <si>
    <t>The Calypso</t>
  </si>
  <si>
    <t>1940-12-17</t>
  </si>
  <si>
    <t>0:01:26.009959</t>
  </si>
  <si>
    <t>0:01:37.073278</t>
  </si>
  <si>
    <t>AQAFHIqYJNmUKEpwPDr-okn0o08dNONx_0.00.48.069224-0.01.41.066857</t>
  </si>
  <si>
    <t>Bud Powell (p), Dizzy Gillespie (tp, voc), Double Six of Paris (voc), Kenny Clarke (dr), Pierre Michelot (b)</t>
  </si>
  <si>
    <t>Dizzy Gillespie Quintet And Double Six Of Paris</t>
  </si>
  <si>
    <t>Ow !</t>
  </si>
  <si>
    <t>1963-07-08</t>
  </si>
  <si>
    <t>Paris, France</t>
  </si>
  <si>
    <t>0:00:48.069224</t>
  </si>
  <si>
    <t>0:01:41.066857</t>
  </si>
  <si>
    <t>AQAFHIqYJNmUKEpwPDr-okn0o08dNONx_0.01.41.066857-0.01.46.089306</t>
  </si>
  <si>
    <t>Dizzy Gillespie, Double Six of Paris</t>
  </si>
  <si>
    <t>0:01:46.089306</t>
  </si>
  <si>
    <t>AQAFHIqYJNmUKEpwPDr-okn0o08dNONx_0.01.46.089306-0.02.02.025306</t>
  </si>
  <si>
    <t>0:02:02.025306</t>
  </si>
  <si>
    <t>AQAFHIqYJNmUKEpwPDr-okn0o08dNONx_0.02.02.025306-0.02.07.032081</t>
  </si>
  <si>
    <t>0:02:07.032081</t>
  </si>
  <si>
    <t>AQAFHIqYJNmUKEpwPDr-okn0o08dNONx_0.02.07.032081-0.02.12.044081</t>
  </si>
  <si>
    <t>0:02:12.044081</t>
  </si>
  <si>
    <t>AQAFHpSUJJSYJfgu-HlwPLgZPBeabvnQ_0.00.59.016600-0.01.09.010843</t>
  </si>
  <si>
    <t>Benny Morton (tb), Bobby Stark (tp), Buster Bailey (cl, as), Charlie Dixon (bjo), Charlie Green (tb), Coleman Hawkins (ts), Don Pasquall (as), Fletcher Henderson (p, other), Joe Smith (tp), June Cole (b), Kaiser Marshall (dr), Russell Smith (tp)</t>
  </si>
  <si>
    <t>1928-09-14</t>
  </si>
  <si>
    <t>0:00:59.016600</t>
  </si>
  <si>
    <t>0:01:09.010843</t>
  </si>
  <si>
    <t>AQAFHpSUJJSYJfgu-HlwPLgZPBeabvnQ_0.01.12.081777-0.01.30.053460</t>
  </si>
  <si>
    <t>0:01:12.081777</t>
  </si>
  <si>
    <t>0:01:30.053460</t>
  </si>
  <si>
    <t>AQAFHpSUJJSYJfgu-HlwPLgZPBeabvnQ_0.01.30.053460-0.01.49.001233</t>
  </si>
  <si>
    <t>Benny Morton, Charlie Green</t>
  </si>
  <si>
    <t>0:01:49.001233</t>
  </si>
  <si>
    <t>AQAFHpSUJJSYJfgu-HlwPLgZPBeabvnQ_0.01.49.001233-0.02.08.014968</t>
  </si>
  <si>
    <t>0:02:08.014968</t>
  </si>
  <si>
    <t>AQAFI0q0KE2WBgyPMIXK9MiPe2iuzZjM_0.01.39.010666-0.01.59.065258</t>
  </si>
  <si>
    <t>Bud Scott (g, bjo), Earl Hines (p), Jimmie Noone (cl), Joe Poston (as), Johnny Wells (dr), Lawson Buford (b)</t>
  </si>
  <si>
    <t>Jimmie Noone</t>
  </si>
  <si>
    <t>Jimmie Noone's Apex Club Orchestra</t>
  </si>
  <si>
    <t xml:space="preserve">Jimmie Noone 1928 </t>
  </si>
  <si>
    <t xml:space="preserve">Oh! Sister, Ain't That Hot! </t>
  </si>
  <si>
    <t>1928-08-25</t>
  </si>
  <si>
    <t>0:01:39.010666</t>
  </si>
  <si>
    <t>0:01:59.065258</t>
  </si>
  <si>
    <t>AQAFiGmWzNmU4ElR6hK0Z3iOd9VR_SnC_0.01.05.001587-0.01.33.015845</t>
  </si>
  <si>
    <t>Albert Wynn (tb), Bob Schoffner (cor), Johnny Dodds (cl), Kid Ory (tb), Lovie Austin (p), Shirley Clay (cor), W.E. Burton (dr)</t>
  </si>
  <si>
    <t>Lovie Austin's Serenaders</t>
  </si>
  <si>
    <t>Lovie Austin</t>
  </si>
  <si>
    <t xml:space="preserve">Black Chicago Jazz Tommy Ladnier-Lovie Austin-Ollie Powers </t>
  </si>
  <si>
    <t>1926-04-01</t>
  </si>
  <si>
    <t>0:01:33.015845</t>
  </si>
  <si>
    <t>AQAFiGmWzNmU4ElR6hK0Z3iOd9VR_SnC_0.01.33.015845-0.02.01.011528</t>
  </si>
  <si>
    <t>Albert Wynn, Kid Ory</t>
  </si>
  <si>
    <t>0:02:01.011528</t>
  </si>
  <si>
    <t>AQAFJFKeLEoSbeilA1cfPMSj8KgOnxW6_0.00.27.041405-0.01.20.041070</t>
  </si>
  <si>
    <t>Charlie Barnet, Jim Lamare, Kurt Bloom</t>
  </si>
  <si>
    <t>Bill Miller (p), Bill Robertson (tb), Bob Burnet (tp), Bus Etri (g), Charlie Barnet (as, other, ss, ts), Cliff Leeman (dr), Don Ruppersberg (tb), Gene Kinsey (as), Jim Lamare (bs, ts), John Owens (tp), Kurt Bloom (ts), Lyman Vunk (tp), Phil Stephens (b), Skippy Martin (bs, as), Spud Murphy (tb)</t>
  </si>
  <si>
    <t>Clap Hands, Here Comes Charlie</t>
  </si>
  <si>
    <t>1939-12-11</t>
  </si>
  <si>
    <t>0:00:27.041405</t>
  </si>
  <si>
    <t>0:01:20.041070</t>
  </si>
  <si>
    <t>AQAFjM-sJFoifHkYPJGHetJERAoN1Tmy_0.00.54.098775-0.01.16.011428</t>
  </si>
  <si>
    <t>Artie Miller (b), Babe Russin (ts), Benny Goodman (cl), Charlie Teagarden (tp), Gene Krupa (dr), Glenn Miller (other, tb), Jack Teagarden (voc, tb), Joe Sullivan (p), Red Nichols (tp), Ruby Weinstein (tp), Sid Stoneburn (as), Treg Brown (bjo, voc)</t>
  </si>
  <si>
    <t>Babe Russin</t>
  </si>
  <si>
    <t>Red Nichols And His Five Pennies</t>
  </si>
  <si>
    <t>Red Nichols</t>
  </si>
  <si>
    <t>Jack Teagarden 1930-31</t>
  </si>
  <si>
    <t xml:space="preserve">Shim-Me-Sha-Wabble </t>
  </si>
  <si>
    <t>1930-07-03</t>
  </si>
  <si>
    <t>0:00:54.098775</t>
  </si>
  <si>
    <t>0:01:16.011428</t>
  </si>
  <si>
    <t>AQAFjM-sJFoifHkYPJGHetJERAoN1Tmy_0.01.16.011428-0.01.36.003773</t>
  </si>
  <si>
    <t>0:01:36.003773</t>
  </si>
  <si>
    <t>AQAFjM-sJFoifHkYPJGHetJERAoN1Tmy_0.01.36.003773-0.01.57.015918</t>
  </si>
  <si>
    <t>Glenn Miller, Jack Teagarden</t>
  </si>
  <si>
    <t>0:01:57.015918</t>
  </si>
  <si>
    <t>AQAFJYkoJUuSFY-I-7gD_7iiHM-DH9V1_0.00.43.000335-0.01.21.022340</t>
  </si>
  <si>
    <t>Billy Bauer (g), Chubby Jackson (b), Dave Tough (dr), Flip Phillips (ts), Neal Hefti (tp), Ralph Burns (p)</t>
  </si>
  <si>
    <t>Chubby Jackson Sextet</t>
  </si>
  <si>
    <t>Chubby Jackson</t>
  </si>
  <si>
    <t>Don't Get Too Wild, Child</t>
  </si>
  <si>
    <t>1944-07-01</t>
  </si>
  <si>
    <t>0:00:43.000335</t>
  </si>
  <si>
    <t>0:01:21.022340</t>
  </si>
  <si>
    <t>AQAFJYkoJUuSFY-I-7gD_7iiHM-DH9V1_0.01.21.022340-0.01.39.086902</t>
  </si>
  <si>
    <t>Neal Hefti</t>
  </si>
  <si>
    <t>0:01:39.086902</t>
  </si>
  <si>
    <t>AQAFjZL0SFwS5Bn0Iw0fPEfyZUecH80b_0.02.06.050231-0.03.05.094539</t>
  </si>
  <si>
    <t>Al Harris (cor), Ben Pollack (voc, dr), Benny Goodman (ss, cl, as), Bob Haring (other), Dick Morgan (bjo), Don Wilkinson (other), Elliott Jacoby (other), Gil Rodin (as, cl), Harry Goodman (b), Irving Mills (as Milton Irving) (voc, other), Irving Mills substituting either Alex Beller (p), Jack Teagarden (tb), Jimmy McPartland (cor), Larry Binyon (ts), Vic Breidis (p)</t>
  </si>
  <si>
    <t xml:space="preserve">Since You Went Away </t>
  </si>
  <si>
    <t>1928-10-16</t>
  </si>
  <si>
    <t>0:02:06.050231</t>
  </si>
  <si>
    <t>0:03:05.094539</t>
  </si>
  <si>
    <t>AQAFk5KeKlEUoT-SZUd-Bc1RD1WW_Ggu_0.00.35.089804-0.01.08.019700</t>
  </si>
  <si>
    <t>Charlie Rouse (ts), Ernie Henry (as), Fats Navarro (tp), Nelson Boyd (b), Shadow Wilson (dr), Tadd Dameron (p, other)</t>
  </si>
  <si>
    <t>The Chase</t>
  </si>
  <si>
    <t>0:00:35.089804</t>
  </si>
  <si>
    <t>0:01:08.019700</t>
  </si>
  <si>
    <t>AQAFk5KeKlEUoT-SZUd-Bc1RD1WW_Ggu_0.01.08.019700-0.02.10.058902</t>
  </si>
  <si>
    <t>0:02:10.058902</t>
  </si>
  <si>
    <t>AQAFk5KeKlEUoT-SZUd-Bc1RD1WW_Ggu_0.02.10.058902-0.02.40.098394</t>
  </si>
  <si>
    <t>Ernie Henry</t>
  </si>
  <si>
    <t>0:02:40.098394</t>
  </si>
  <si>
    <t>AQAFKdKSMlEXmMeniApyHc2ocYFWDmcb_0.00.27.015210-0.00.55.047682</t>
  </si>
  <si>
    <t>Django Reinhardt (g), Freddy Taylor (voc), Joseph Reinhardt (g), Lucien Simoens (b), Pierre Ferret (g), Stephane Grappelli (vln)</t>
  </si>
  <si>
    <t>Django Reinhardt &amp; Le Quintette Du Hot Club De France (1936-37)</t>
  </si>
  <si>
    <t>Limehouse Blues</t>
  </si>
  <si>
    <t>1936-05-04</t>
  </si>
  <si>
    <t>0:00:27.015210</t>
  </si>
  <si>
    <t>0:00:55.047682</t>
  </si>
  <si>
    <t>AQAFKdKSMlEXmMeniApyHc2ocYFWDmcb_0.02.16.021142-0.02.37.005469</t>
  </si>
  <si>
    <t>0:02:16.021142</t>
  </si>
  <si>
    <t>0:02:37.005469</t>
  </si>
  <si>
    <t>AQAFkFkSLUqmTJg-6Pjxw09i_Hh1TKmY_0.01.35.081814-0.02.15.017065</t>
  </si>
  <si>
    <t>Ben Pollack (dr), George Brunies (tb), Leon Roppolo (cl), Mel Stitzel (p), Paul Mares (cor)</t>
  </si>
  <si>
    <t>Leon Roppolo</t>
  </si>
  <si>
    <t xml:space="preserve">New Orleans Rhythm Kings </t>
  </si>
  <si>
    <t>Friars Society Orchestra</t>
  </si>
  <si>
    <t xml:space="preserve">Wolverine Blues </t>
  </si>
  <si>
    <t>1923-03-13</t>
  </si>
  <si>
    <t>Richmond, Indiana</t>
  </si>
  <si>
    <t>0:01:35.081814</t>
  </si>
  <si>
    <t>0:02:15.017065</t>
  </si>
  <si>
    <t>AQAFkt0mSdkUIL2hKVSUHDF2Dk9Y4W9E_0.01.19.055156-0.01.50.013224</t>
  </si>
  <si>
    <t>Sonny Skylar, Woody Herman</t>
  </si>
  <si>
    <t>Clarence Willard (tb), Frank Carlson (dr), Jack Ferrier (as), Joe Bishop (other), Malcolm Crain (tp (tb), Neal Reid (tb), Oliver Matthewson (g), Pete Johns (ts), Ray Hopfner (as), Saxie Mansfield (ts), Sonny Skylar (voc), Tommy Linehan (p), Walter Yoder (b), Woody Herman (other, cl, as, voc)</t>
  </si>
  <si>
    <t>Woody Herman 1937-38</t>
  </si>
  <si>
    <t>Laughing Boy Blues</t>
  </si>
  <si>
    <t>1938-04-14</t>
  </si>
  <si>
    <t>0:01:19.055156</t>
  </si>
  <si>
    <t>0:01:50.013224</t>
  </si>
  <si>
    <t>AQAFL0z4JEoWBbVS48nxFHmO9yTqQOzR_0.00.45.005786-0.01.14.097251</t>
  </si>
  <si>
    <t>Colin Oxley (g), Jim Hart (vib), Julian Bliss (cl), Martin Shaw (tp), Matt Skelton (dr), Neal Thornton (p, other), Tim Thornton (b)</t>
  </si>
  <si>
    <t>Jim Hart</t>
  </si>
  <si>
    <t>Julian Bliss</t>
  </si>
  <si>
    <t>A Tribute To Benny Goodman</t>
  </si>
  <si>
    <t>Soft winds</t>
  </si>
  <si>
    <t>2011-09-19</t>
  </si>
  <si>
    <t>London</t>
  </si>
  <si>
    <t>0:00:45.005786</t>
  </si>
  <si>
    <t>0:01:14.097251</t>
  </si>
  <si>
    <t>AQAFL0z4JEoWBbVS48nxFHmO9yTqQOzR_0.01.14.097251-0.01.43.047274</t>
  </si>
  <si>
    <t>0:01:43.047274</t>
  </si>
  <si>
    <t>AQAFlEyYJJI0RQma9wj1mEgWJcelzMf5_0.00.38.063800-0.01.13.023573</t>
  </si>
  <si>
    <t>Ben Webster (ts), Charlie Drayton (b), Clyde Hart (p), Denzil Best (dr), Hot Lips Page (tp)</t>
  </si>
  <si>
    <t>Hot Lips Page</t>
  </si>
  <si>
    <t>Ben Webster And His Orchestra</t>
  </si>
  <si>
    <t>Ben Webster</t>
  </si>
  <si>
    <t>All-Star Groups Vol. 4 (1943-44)</t>
  </si>
  <si>
    <t>Tea For Two</t>
  </si>
  <si>
    <t>1944-02-08</t>
  </si>
  <si>
    <t>0:00:38.063800</t>
  </si>
  <si>
    <t>0:01:13.023573</t>
  </si>
  <si>
    <t>AQAFlEyYJJI0RQma9wj1mEgWJcelzMf5_0.01.48.073904-0.02.22.059374</t>
  </si>
  <si>
    <t>0:01:48.073904</t>
  </si>
  <si>
    <t>0:02:22.059374</t>
  </si>
  <si>
    <t>AQAFLJKSRZuiZZiswwcJ_2jwHMfzcNCP_0.00.05.041043-0.00.44.055782</t>
  </si>
  <si>
    <t>Artie Bernstein (b), Benny Carter (tp), Coleman Hawkins (ts), Edmond Hall (cl), Freddie Green (g), Joe Sullivan (p), Lionel Hampton (other, vib), Zutty Singleton (dr)</t>
  </si>
  <si>
    <t>Dinah</t>
  </si>
  <si>
    <t>1939-12-21</t>
  </si>
  <si>
    <t>0:00:05.041043</t>
  </si>
  <si>
    <t>0:00:44.055782</t>
  </si>
  <si>
    <t>AQAFLJKSRZuiZZiswwcJ_2jwHMfzcNCP_0.00.44.055782-0.01.23.031464</t>
  </si>
  <si>
    <t>0:01:23.031464</t>
  </si>
  <si>
    <t>AQAFLJKSRZuiZZiswwcJ_2jwHMfzcNCP_0.01.23.031464-0.02.02.083356</t>
  </si>
  <si>
    <t>0:02:02.083356</t>
  </si>
  <si>
    <t>AQAFLJKSRZuiZZiswwcJ_2jwHMfzcNCP_0.02.02.083356-0.02.21.084870</t>
  </si>
  <si>
    <t>0:02:21.084870</t>
  </si>
  <si>
    <t>AQAFLJKSRZuiZZiswwcJ_2jwHMfzcNCP_0.02.21.084870-0.02.32.024489</t>
  </si>
  <si>
    <t>0:02:32.024489</t>
  </si>
  <si>
    <t>AQAFLJKSRZuiZZiswwcJ_2jwHMfzcNCP_0.02.32.024489-0.02.46.063999</t>
  </si>
  <si>
    <t>0:02:46.063999</t>
  </si>
  <si>
    <t>AQAFllGWKJK0JEmSoBePZye4bi-Oc4Kf_0.00.25.084380-0.01.02.074031</t>
  </si>
  <si>
    <t>Al Hall (b), Albert Nicholas (cl), Ben Webster (ts), J.C. Heard (dr), Jimmy Shirley (g), Pete Johnson (p)</t>
  </si>
  <si>
    <t>Pete Johnson's Housewarming</t>
  </si>
  <si>
    <t>Pete Johnson</t>
  </si>
  <si>
    <t>All-Star Groups Vol. 5 (1944-46)</t>
  </si>
  <si>
    <t>Ben Rides Out</t>
  </si>
  <si>
    <t>1946-01-31</t>
  </si>
  <si>
    <t>0:00:25.084380</t>
  </si>
  <si>
    <t>0:01:02.074031</t>
  </si>
  <si>
    <t>AQAFllGWKJK0JEmSoBePZye4bi-Oc4Kf_0.01.02.074031-0.01.21.020018</t>
  </si>
  <si>
    <t>Albert Nicholas</t>
  </si>
  <si>
    <t>0:01:21.020018</t>
  </si>
  <si>
    <t>AQAFllGWKJK0JEmSoBePZye4bi-Oc4Kf_0.01.21.020018-0.02.19.025006</t>
  </si>
  <si>
    <t>0:02:19.025006</t>
  </si>
  <si>
    <t>AQAFllmiMEkWJUmiINfxBz6PjyuiK4eV_0.00.32.024571-0.01.03.024698</t>
  </si>
  <si>
    <t>Alix Combelle, Coleman Hawkins</t>
  </si>
  <si>
    <t>Alix Combelle (cl, ts), André Ekyan (as), Benny Carter (other, as, tp), Coleman Hawkins (ts), Django Reinhardt (g), Eugene D'Hellemmes (b), Stephane Grappelli (p), Tommy Benford (dr)</t>
  </si>
  <si>
    <t xml:space="preserve">Coleman Hawkins And His All Star Jam Band </t>
  </si>
  <si>
    <t>Coleman Hawkins 1936-38</t>
  </si>
  <si>
    <t>Sweet Georgia Brown</t>
  </si>
  <si>
    <t>1937-04-28</t>
  </si>
  <si>
    <t>0:00:32.024571</t>
  </si>
  <si>
    <t>0:01:03.024698</t>
  </si>
  <si>
    <t>AQAFllmiMEkWJUmiINfxBz6PjyuiK4eV_0.01.03.024698-0.01.29.044888</t>
  </si>
  <si>
    <t>0:01:29.044888</t>
  </si>
  <si>
    <t>AQAFllmiMEkWJUmiINfxBz6PjyuiK4eV_0.01.29.044888-0.01.59.023632</t>
  </si>
  <si>
    <t>0:01:59.023632</t>
  </si>
  <si>
    <t>AQAFmFcSSlKCL8rxBzeNL8fxB7_RB_6h_0.01.12.072489-0.01.47.027619</t>
  </si>
  <si>
    <t>Bud Freeman (ts), Dave Tough (dr), Jack Teagarden (voc, tb), Joe Sullivan (p), Pee Wee Russell (cl), Red Nichols (other, tp)</t>
  </si>
  <si>
    <t>Bud Freeman</t>
  </si>
  <si>
    <t>Louisiana Rhythm Kings</t>
  </si>
  <si>
    <t xml:space="preserve">Last Cent </t>
  </si>
  <si>
    <t>1929-06-11</t>
  </si>
  <si>
    <t>0:01:12.072489</t>
  </si>
  <si>
    <t>0:01:47.027619</t>
  </si>
  <si>
    <t>AQAFmFcSSlKCL8rxBzeNL8fxB7_RB_6h_0.01.47.027619-0.02.04.083047</t>
  </si>
  <si>
    <t>0:02:04.083047</t>
  </si>
  <si>
    <t>AQAFmFcSSlKCL8rxBzeNL8fxB7_RB_6h_0.02.04.083047-0.02.18.085532</t>
  </si>
  <si>
    <t>0:02:18.085532</t>
  </si>
  <si>
    <t>AQAFmI7GKJIS4uVWjEfyFvkPljl-1Hgi_0.00.42.090095-0.01.27.047646</t>
  </si>
  <si>
    <t>Buckin' The Blues</t>
  </si>
  <si>
    <t>0:00:42.090095</t>
  </si>
  <si>
    <t>0:01:27.047646</t>
  </si>
  <si>
    <t>AQAFml3yaNGEPSGaiQGjYkoy7kX-IPkZ_0.00.51.026965-0.01.28.002684</t>
  </si>
  <si>
    <t>Charles LaRue, John Youngman, Red Benson, Tommy Dorsey</t>
  </si>
  <si>
    <t>Al Ableser (tp), Charles LaRue (tb), Charlie Shavers (tp), Claude Bowen (tp), Corky Corcoran (ts), Joe Koch (bs), John Youngman (tb), Louis Bellson (dr), Louis Prisby (as), Marty Berman (ts), Mickey Mangano (tp), Red Benson (tb), Roosco Collucio (p), Sam Chieftz (b), Sid Cooper (other), Tommy Dorsey (other, tb), Tony Rizzi (g), Ziggy Elman (tp)</t>
  </si>
  <si>
    <t>Tommy Dorsey And His Orchestra</t>
  </si>
  <si>
    <t>Tommy Dorsey</t>
  </si>
  <si>
    <t>Tommy Dorsey 1946-50</t>
  </si>
  <si>
    <t>Trombonology</t>
  </si>
  <si>
    <t>1947-07-01</t>
  </si>
  <si>
    <t>0:00:51.026965</t>
  </si>
  <si>
    <t>0:01:28.002684</t>
  </si>
  <si>
    <t>AQAFml3yaNGEPSGaiQGjYkoy7kX-IPkZ_0.01.32.025287-0.02.08.082430</t>
  </si>
  <si>
    <t>0:01:32.025287</t>
  </si>
  <si>
    <t>0:02:08.082430</t>
  </si>
  <si>
    <t>AQAFnQkfa5GC68EbBnnn4MkFP8Qz_Lgf_0.01.18.029768-0.01.51.008426</t>
  </si>
  <si>
    <t>Louis Armstrong (cor), Nolan Welsh (voc), Richard M. Jones (p)</t>
  </si>
  <si>
    <t>Nolan Welsh</t>
  </si>
  <si>
    <t>Louis Armstrong And The Blues Singers 1926-27</t>
  </si>
  <si>
    <t xml:space="preserve">St. Peter Blues </t>
  </si>
  <si>
    <t>1926-06-16</t>
  </si>
  <si>
    <t>0:01:18.029768</t>
  </si>
  <si>
    <t>0:01:51.008426</t>
  </si>
  <si>
    <t>AQAFNsmSJEsSRYoC_fgVhN_QF654nIoc_0.01.02.046167-0.01.50.027156</t>
  </si>
  <si>
    <t>Ben Pollack (dr), Bob Gilette (bjo), Chink Martin (b), Don Murray (ts), George Brunies (tb), Glenn Scoville (ts, as), Jack Pettis (other), Jelly Roll Morton (p), Kyle Pierce (p), Leon Roppolo (cl, as), Paul Mares (cor)</t>
  </si>
  <si>
    <t xml:space="preserve">Milenberg Joys </t>
  </si>
  <si>
    <t>1923-07-18</t>
  </si>
  <si>
    <t>0:01:02.046167</t>
  </si>
  <si>
    <t>0:01:50.027156</t>
  </si>
  <si>
    <t>AQAFnVokMVKTRKiVY_pBVTqiZyl0w0wu_0.00.59.024571-0.01.10.093986</t>
  </si>
  <si>
    <t>Arthur Schutt (p), Fud Livingston (other, cl, ts), Joe Tarto (b), Manny Klein (tp), Miff Mole (tb), Phil Napoleon (tp), Stan King (dr)</t>
  </si>
  <si>
    <t>Fud Livingston</t>
  </si>
  <si>
    <t xml:space="preserve">Wild Oat Joe </t>
  </si>
  <si>
    <t>1928-11-26</t>
  </si>
  <si>
    <t>0:00:59.024571</t>
  </si>
  <si>
    <t>0:01:10.093986</t>
  </si>
  <si>
    <t>AQAFnVokMVKTRKiVY_pBVTqiZyl0w0wu_0.01.16.077877-0.01.22.096979</t>
  </si>
  <si>
    <t>0:01:16.077877</t>
  </si>
  <si>
    <t>0:01:22.096979</t>
  </si>
  <si>
    <t>AQAFnVokMVKTRKiVY_pBVTqiZyl0w0wu_0.01.22.096979-0.02.05.086448</t>
  </si>
  <si>
    <t>0:02:05.086448</t>
  </si>
  <si>
    <t>AQAFo1I2JVKUJAt-fIePHs9RHf5Rqw9K_0.00.33.020453-0.01.45.084816</t>
  </si>
  <si>
    <t>Art Mardigan (dr), John Richardson (b), Phil Hill (p), Wardell Gray (ts)</t>
  </si>
  <si>
    <t>Wardell Gray Quartet</t>
  </si>
  <si>
    <t>Wardell Gray Vol. 3 (1950-51)</t>
  </si>
  <si>
    <t>Grayhound</t>
  </si>
  <si>
    <t>1950-04-25</t>
  </si>
  <si>
    <t>Detroit</t>
  </si>
  <si>
    <t>0:00:33.020453</t>
  </si>
  <si>
    <t>0:01:45.084816</t>
  </si>
  <si>
    <t>AQAFo1I2JVKUJAt-fIePHs9RHf5Rqw9K_0.02.14.003428-0.02.27.098367</t>
  </si>
  <si>
    <t>0:02:14.003428</t>
  </si>
  <si>
    <t>0:02:27.098367</t>
  </si>
  <si>
    <t>AQAFoFG2UyH2Qz_OQTOVB42WHl1zNNAP_0.00.34.055129-0.01.01.034712</t>
  </si>
  <si>
    <t>Al Cohn (other, ts), Charlie Perry (dr), Curly Russel (b), Duke Jordan (p), Earl Swope (tb), Jimmy Raney (g), Stan Getz (ts), Zoot Sims (ts)</t>
  </si>
  <si>
    <t>Stan Getz Boppers (New Sound Stars)</t>
  </si>
  <si>
    <t>Fast</t>
  </si>
  <si>
    <t>1949-05-02</t>
  </si>
  <si>
    <t>0:00:34.055129</t>
  </si>
  <si>
    <t>0:01:01.034712</t>
  </si>
  <si>
    <t>AQAFoFG2UyH2Qz_OQTOVB42WHl1zNNAP_0.01.01.034712-0.01.29.028653</t>
  </si>
  <si>
    <t>Earl Swope</t>
  </si>
  <si>
    <t>0:01:29.028653</t>
  </si>
  <si>
    <t>AQAFoFG2UyH2Qz_OQTOVB42WHl1zNNAP_0.01.29.028653-0.01.56.098213</t>
  </si>
  <si>
    <t>0:01:56.098213</t>
  </si>
  <si>
    <t>AQAFoFG2UyH2Qz_OQTOVB42WHl1zNNAP_0.01.56.098213-0.02.24.066031</t>
  </si>
  <si>
    <t>0:02:24.066031</t>
  </si>
  <si>
    <t>AQAFoFG2UyH2Qz_OQTOVB42WHl1zNNAP_0.02.24.066031-0.02.27.005197</t>
  </si>
  <si>
    <t>0:02:27.005197</t>
  </si>
  <si>
    <t>AQAFoFG2UyH2Qz_OQTOVB42WHl1zNNAP_0.02.27.005197-0.02.30.092970</t>
  </si>
  <si>
    <t>0:02:30.092970</t>
  </si>
  <si>
    <t>AQAFoFG2UyH2Qz_OQTOVB42WHl1zNNAP_0.02.30.092970-0.02.34.059845</t>
  </si>
  <si>
    <t>0:02:34.059845</t>
  </si>
  <si>
    <t>AQAFoFG2UyH2Qz_OQTOVB42WHl1zNNAP_0.02.34.059845-0.02.37.084925</t>
  </si>
  <si>
    <t>0:02:37.084925</t>
  </si>
  <si>
    <t>AQAFON8mPQkeJ_iDH-45XB_04yeew8Ej_0.00.30.043265-0.00.56.032000</t>
  </si>
  <si>
    <t>Al Cohn (other), Al Haig (p), Allen Eager (ts), Chubby Jackson (b), Gerry Mulligan (other), Red Rodney (tp), Serge Chaloff (bs), Tiny Kahn (other, dr)</t>
  </si>
  <si>
    <t>Red Rodney's Be-Boppers</t>
  </si>
  <si>
    <t>Red Rodney</t>
  </si>
  <si>
    <t>Woody's Boys Vol. 3 (1945-49)</t>
  </si>
  <si>
    <t>1947-01-29</t>
  </si>
  <si>
    <t>0:00:30.043265</t>
  </si>
  <si>
    <t>0:00:56.032000</t>
  </si>
  <si>
    <t>AQAFON8mPQkeJ_iDH-45XB_04yeew8Ej_0.00.56.032000-0.01.22.092426</t>
  </si>
  <si>
    <t>0:01:22.092426</t>
  </si>
  <si>
    <t>AQAFON8mPQkeJ_iDH-45XB_04yeew8Ej_0.01.22.092426-0.01.52.080544</t>
  </si>
  <si>
    <t>Serge Chaloff</t>
  </si>
  <si>
    <t>0:01:52.080544</t>
  </si>
  <si>
    <t>AQAFPe0yaUqSYDoLPpUwnMlxhRC36XhS_0.01.19.069959-0.01.29.080897</t>
  </si>
  <si>
    <t>Bill Rank (tb), Bix Beiderbecke (cor), Irving Friedman (cl), Min Leibrook (bs), Roy Bargy (p), Stan King (dr)</t>
  </si>
  <si>
    <t>Bix Beiderbecke And His Gang</t>
  </si>
  <si>
    <t>Bix Beiderbecke / Frank Trumbauer 1927-28</t>
  </si>
  <si>
    <t xml:space="preserve">Thou Swell </t>
  </si>
  <si>
    <t>1928-04-17</t>
  </si>
  <si>
    <t>0:01:19.069959</t>
  </si>
  <si>
    <t>0:01:29.080897</t>
  </si>
  <si>
    <t>AQAFPe0yaUqSYDoLPpUwnMlxhRC36XhS_0.01.29.080897-0.01.39.089224</t>
  </si>
  <si>
    <t>Irving Friedman</t>
  </si>
  <si>
    <t>0:01:39.089224</t>
  </si>
  <si>
    <t>AQAFPe0yaUqSYDoLPpUwnMlxhRC36XhS_0.01.39.089224-0.01.50.005387</t>
  </si>
  <si>
    <t>0:01:50.005387</t>
  </si>
  <si>
    <t>AQAFPe0yaUqSYDoLPpUwnMlxhRC36XhS_0.01.50.005387-0.01.59.040571</t>
  </si>
  <si>
    <t>0:01:59.040571</t>
  </si>
  <si>
    <t>AQAFptGYSEwe_PgPMsFVHU2dEHV6qI6O_0.00.47.049061-0.01.15.067383</t>
  </si>
  <si>
    <t>Artie Bernstein (b), Bill Harris (tb), Chuck Wayne (g), Don Lamond (dr), Flip Phillips (ts), Ralph Burns (p), Serge Chaloff (bs), Shorty Rogers (other), Sonny Berman (tp)</t>
  </si>
  <si>
    <t>Sonny Berman</t>
  </si>
  <si>
    <t xml:space="preserve">Sonny Berman/ Bill Harris Big Eight/ Bill Harris/ Mad Monks/ Ralph Burns Quintet </t>
  </si>
  <si>
    <t>Bill Harris</t>
  </si>
  <si>
    <t xml:space="preserve">Woody's Boys Vol. 2 (1946) </t>
  </si>
  <si>
    <t>Curbstone Scuffle</t>
  </si>
  <si>
    <t>1946-09-21</t>
  </si>
  <si>
    <t>0:00:47.049061</t>
  </si>
  <si>
    <t>0:01:15.067383</t>
  </si>
  <si>
    <t>AQAFptGYSEwe_PgPMsFVHU2dEHV6qI6O_0.01.42.044643-0.01.57.037687</t>
  </si>
  <si>
    <t>0:01:42.044643</t>
  </si>
  <si>
    <t>0:01:57.037687</t>
  </si>
  <si>
    <t>AQAFptGYSEwe_PgPMsFVHU2dEHV6qI6O_0.01.57.037687-0.02.11.026240</t>
  </si>
  <si>
    <t>0:02:11.026240</t>
  </si>
  <si>
    <t>AQAFptGYSEwe_PgPMsFVHU2dEHV6qI6O_0.02.11.026240-0.02.24.093895</t>
  </si>
  <si>
    <t>0:02:24.093895</t>
  </si>
  <si>
    <t>AQAFpV8USaIUdMRn-EePszixKzqyR53Q_0.02.23.024390-0.03.01.060000</t>
  </si>
  <si>
    <t>Andrew Brown (as, cl), Bennie Payne (p), Cab Calloway (other, voc), Chu Berry (ts), Cozy Cole (dr), Danny Barker (g), Dizzy Gillespie (tp, other), Hilton Jefferson (as, cl), Jerry Blake (cl, as), Keg Johnson (tb), Lammar Wright (tp, other), Mario Bauza (tp, other), Milt Hinton (b), Quentin Jackson (tb), Tyree Glenn (vib, tb), Walter 'Foots' Thomas (ts)</t>
  </si>
  <si>
    <t>Cab Calloway</t>
  </si>
  <si>
    <t>Cab Calloway And His Orchestra</t>
  </si>
  <si>
    <t xml:space="preserve">Dizzy Gillespie (1937-40) The Early Years Vol. 1 </t>
  </si>
  <si>
    <t>Chop, Chop, Charlie Chan</t>
  </si>
  <si>
    <t>1940-03-08</t>
  </si>
  <si>
    <t>0:02:23.024390</t>
  </si>
  <si>
    <t>0:03:01.060000</t>
  </si>
  <si>
    <t>AQAFPYykRImSLErQhFr0IJ-hegmTIU90_0.00.54.073897-0.01.13.075755</t>
  </si>
  <si>
    <t>Billy Kyle (p), Buster Bailey (voc, cl), Charlie Shavers (voc, tp), John Kirby (b), Lou Singer (other), Russell Procope (voc, as), Specs Powell (dr)</t>
  </si>
  <si>
    <t>John Kirby And His Orchestra 1941-43</t>
  </si>
  <si>
    <t>Tweed Me</t>
  </si>
  <si>
    <t>1941-10-07</t>
  </si>
  <si>
    <t>0:00:54.073897</t>
  </si>
  <si>
    <t>0:01:13.075755</t>
  </si>
  <si>
    <t>AQAFPYykRImSLErQhFr0IJ-hegmTIU90_0.01.13.075755-0.01.22.037823</t>
  </si>
  <si>
    <t>0:01:22.037823</t>
  </si>
  <si>
    <t>AQAFPYykRImSLErQhFr0IJ-hegmTIU90_0.01.22.037823-0.01.29.059873</t>
  </si>
  <si>
    <t>0:01:29.059873</t>
  </si>
  <si>
    <t>AQAFPYykRImSLErQhFr0IJ-hegmTIU90_0.01.50.060571-0.02.08.006095</t>
  </si>
  <si>
    <t>0:01:50.060571</t>
  </si>
  <si>
    <t>0:02:08.006095</t>
  </si>
  <si>
    <t>AQAFPYykRImSLErQhFr0IJ-hegmTIU90_0.02.27.098530-0.02.36.066068</t>
  </si>
  <si>
    <t>0:02:27.098530</t>
  </si>
  <si>
    <t>0:02:36.066068</t>
  </si>
  <si>
    <t>AQAFq0kiaXk27HqgJWQePIxd5FKOh8eP_0.00.44.086385-0.01.15.042857</t>
  </si>
  <si>
    <t>Billy Kyle (p), Buster Bailey (cl), Charlie Shavers (tp), John Kirby (b), O'Neil Spencer (dr), Russell Procope (as)</t>
  </si>
  <si>
    <t>Coquette</t>
  </si>
  <si>
    <t>1941-01-01</t>
  </si>
  <si>
    <t>0:00:44.086385</t>
  </si>
  <si>
    <t>0:01:15.042857</t>
  </si>
  <si>
    <t>AQAFq0kiaXk27HqgJWQePIxd5FKOh8eP_0.01.18.088870-0.01.47.073333</t>
  </si>
  <si>
    <t>0:01:18.088870</t>
  </si>
  <si>
    <t>0:01:47.073333</t>
  </si>
  <si>
    <t>AQAFq0kiaXk27HqgJWQePIxd5FKOh8eP_0.01.47.073333-0.02.20.018122</t>
  </si>
  <si>
    <t>0:02:20.018122</t>
  </si>
  <si>
    <t>AQAFQ1G0RNHm4YqHR8-hVcmEXMfRp8ZT_0.00.45.010476-0.01.15.081315</t>
  </si>
  <si>
    <t>Bill Harris (tb), Billy Bauer (g), Chubby Jackson (b), Dave Tough (dr), Flip Phillips (ts), Howard McGhee (tp), Ralph Burns (p)</t>
  </si>
  <si>
    <t>Chubby Jackson And His Orchestra</t>
  </si>
  <si>
    <t>Northwest Passage</t>
  </si>
  <si>
    <t>1945-01-10</t>
  </si>
  <si>
    <t>0:00:45.010476</t>
  </si>
  <si>
    <t>0:01:15.081315</t>
  </si>
  <si>
    <t>AQAFQ1G0RNHm4YqHR8-hVcmEXMfRp8ZT_0.01.15.081315-0.01.46.005714</t>
  </si>
  <si>
    <t>0:01:46.005714</t>
  </si>
  <si>
    <t>AQAFQ1G0RNHm4YqHR8-hVcmEXMfRp8ZT_0.01.46.005714-0.02.09.030031</t>
  </si>
  <si>
    <t>0:02:09.030031</t>
  </si>
  <si>
    <t>AQAFQFOSMIqiMOAB_MGP40IYzQn0K8in_0.01.36.022349-0.02.08.001160</t>
  </si>
  <si>
    <t>Guy Carey (tb), Marvin Saxbe (g, other, bjo), Mel Stitzel (p), Muggsy Spanier (cor), Volly De Faut (cl)</t>
  </si>
  <si>
    <t>Guy Carey</t>
  </si>
  <si>
    <t>The Bucktown Five</t>
  </si>
  <si>
    <t xml:space="preserve">The Bucktown Five </t>
  </si>
  <si>
    <t xml:space="preserve">Hot Mittens </t>
  </si>
  <si>
    <t>1924-02-25</t>
  </si>
  <si>
    <t>0:01:36.022349</t>
  </si>
  <si>
    <t>0:02:08.001160</t>
  </si>
  <si>
    <t>AQAFQhKjZkoYoU9yNKGGOJeRHP8l9Etc_0.00.43.072897-0.01.24.084759</t>
  </si>
  <si>
    <t>Coleman Hawkins (ts), Denzil Best (dr), Edward 'Bass' Robinson (b), Thelonious Monk (p)</t>
  </si>
  <si>
    <t xml:space="preserve">Coleman Hawkins Quartet </t>
  </si>
  <si>
    <t>Coleman Hawkins 1944-45</t>
  </si>
  <si>
    <t>Flyin' Hawk</t>
  </si>
  <si>
    <t>1944-10-19</t>
  </si>
  <si>
    <t>0:00:43.072897</t>
  </si>
  <si>
    <t>0:01:24.084759</t>
  </si>
  <si>
    <t>AQAFQhKjZkoYoU9yNKGGOJeRHP8l9Etc_0.02.05.041510-0.02.49.034666</t>
  </si>
  <si>
    <t>0:02:05.041510</t>
  </si>
  <si>
    <t>0:02:49.034666</t>
  </si>
  <si>
    <t>AQAFQlGURkmU7GjeQ1t6In_waDH8Hp9z_0.01.07.015210-0.01.24.070639</t>
  </si>
  <si>
    <t>Elliott Jacoby (other), Frank Signorelli (p), Irving Mills (voc), Jack Teagarden (tb), Jimmy Dorsey (ts), Manny Klein (tp), Ray Bauduc (dr), Unknown (bjo), unknown (ts, b)</t>
  </si>
  <si>
    <t>Goody's Good Timers</t>
  </si>
  <si>
    <t xml:space="preserve">Digga Digga Do </t>
  </si>
  <si>
    <t>1928-11-16</t>
  </si>
  <si>
    <t>0:01:07.015210</t>
  </si>
  <si>
    <t>0:01:24.070639</t>
  </si>
  <si>
    <t>AQAFQlGURkmU7GjeQ1t6In_waDH8Hp9z_0.01.24.070639-0.01.33.011201</t>
  </si>
  <si>
    <t>Irving Mills</t>
  </si>
  <si>
    <t>0:01:33.011201</t>
  </si>
  <si>
    <t>AQAFQlGURkmU7GjeQ1t6In_waDH8Hp9z_0.01.33.011201-0.01.41.061632</t>
  </si>
  <si>
    <t>0:01:41.061632</t>
  </si>
  <si>
    <t>AQAFQlGURkmU7GjeQ1t6In_waDH8Hp9z_0.02.21.071428-0.02.43.039591</t>
  </si>
  <si>
    <t>0:02:21.071428</t>
  </si>
  <si>
    <t>0:02:43.039591</t>
  </si>
  <si>
    <t>AQAFqpISRbESEfmR7Awa7RmOP7iO78jl_0.02.14.011845-0.02.37.061705</t>
  </si>
  <si>
    <t>Hersal Thomas (p), Louis Armstrong (cor), Sippie Wallace (voc)</t>
  </si>
  <si>
    <t>Sippie Wallace</t>
  </si>
  <si>
    <t xml:space="preserve">The Mail Train Blues </t>
  </si>
  <si>
    <t>1926-03-03</t>
  </si>
  <si>
    <t>0:02:14.011845</t>
  </si>
  <si>
    <t>0:02:37.061705</t>
  </si>
  <si>
    <t>AQAFRkqjKZci9IeJRD6y4yN-wTweeDp6_0.00.38.022004-0.01.15.013977</t>
  </si>
  <si>
    <t>Buddy DeFranco (cl), Clark Terry (tp), Count Basie (p), Freddie Green (g), Gus Johnson (dr), Jimmy Lewis (b), Rudy Rutherford (bs), Wardell Gray (ts)</t>
  </si>
  <si>
    <t>Buddy DeFranco</t>
  </si>
  <si>
    <t>Count Basie Octet</t>
  </si>
  <si>
    <t>Tootie</t>
  </si>
  <si>
    <t>1950-11-03</t>
  </si>
  <si>
    <t>0:00:38.022004</t>
  </si>
  <si>
    <t>0:01:15.013977</t>
  </si>
  <si>
    <t>AQAFRkqjKZci9IeJRD6y4yN-wTweeDp6_0.01.15.013977-0.02.05.036453</t>
  </si>
  <si>
    <t>0:02:05.036453</t>
  </si>
  <si>
    <t>AQAFS6KS5EkSRYF5nMwRKj-0pJqFn1CU_0.00.48.087800-0.01.07.008244</t>
  </si>
  <si>
    <t>Shad Collins, William Johnson</t>
  </si>
  <si>
    <t>Don Stovall (as), Duke Jordan (b), Harold 'Doc' West (dr), Lester Young (ts), Sam Price (p), Shad Collins (tp), Spo-De-O Sam (presumably Price) (voc), William Johnson (tp), Yack Taylor (voc)</t>
  </si>
  <si>
    <t>Sammy Price And His Texas Blusicians</t>
  </si>
  <si>
    <t>Lester Young Vol. 2 (1939-41)</t>
  </si>
  <si>
    <t>Just Jivin' Around</t>
  </si>
  <si>
    <t>1941-04-03</t>
  </si>
  <si>
    <t>0:00:48.087800</t>
  </si>
  <si>
    <t>0:01:07.008244</t>
  </si>
  <si>
    <t>AQAFS6KS5EkSRYF5nMwRKj-0pJqFn1CU_0.01.07.008244-0.01.25.054231</t>
  </si>
  <si>
    <t>Don Stovall</t>
  </si>
  <si>
    <t>0:01:25.054231</t>
  </si>
  <si>
    <t>AQAFS6KS5EkSRYF5nMwRKj-0pJqFn1CU_0.01.25.054231-0.02.01.044036</t>
  </si>
  <si>
    <t>0:02:01.044036</t>
  </si>
  <si>
    <t>AQAFsEq4ZAvDBE_CKvjBiXnQDmGUQrUi_0.01.27.051020-0.01.58.013877</t>
  </si>
  <si>
    <t>Ben Webster (ts), Benny Carter (other), Buster Bailey (cl), Claude Jones (tb), Elmer James (b), Fletcher Henderson (p, other), Henry 'Red' Allen (tp), Hilton Jefferson (as), Horace Henderson (p, other), Irving 'Mouse' Randolph (tp), Keg Johnson (tb), Lawrence 'Larry' Lucie (g), Russell Procope (as), Russell Smith (tp), Walter Johnson (dr)</t>
  </si>
  <si>
    <t>Fletcher Henderson 1934-36</t>
  </si>
  <si>
    <t>Shanghai Shuffle</t>
  </si>
  <si>
    <t>1934-09-11</t>
  </si>
  <si>
    <t>0:01:27.051020</t>
  </si>
  <si>
    <t>0:01:58.013877</t>
  </si>
  <si>
    <t>AQAFsEq4ZAvDBE_CKvjBiXnQDmGUQrUi_0.01.58.013877-0.02.28.037551</t>
  </si>
  <si>
    <t>Henry 'Red' Allen, Irving 'Mouse' Randolph, Russell Smith</t>
  </si>
  <si>
    <t>0:02:28.037551</t>
  </si>
  <si>
    <t>AQAFsEq4ZAvDBE_CKvjBiXnQDmGUQrUi_0.02.44.090811-0.02.52.047782</t>
  </si>
  <si>
    <t>Hilton Jefferson, Russell Procope</t>
  </si>
  <si>
    <t>0:02:44.090811</t>
  </si>
  <si>
    <t>0:02:52.047782</t>
  </si>
  <si>
    <t>AQAFSFIiiuGSJNgl-PTQR8fjG5d4PFkY_0.01.02.048489-0.01.33.048353</t>
  </si>
  <si>
    <t>Abe Lincoln (tb), Adrian Rollini (bs), Bobby Davis (as, cl, ss), Chelsea Quealey (tp), Herb Weil (other, dr), Irving Brodsky (p), Sam Ruby (ts), Tom Felline (bjo)</t>
  </si>
  <si>
    <t>Adrian Rollini</t>
  </si>
  <si>
    <t>The Goofus Five</t>
  </si>
  <si>
    <t>The Goofus Five 1926-27</t>
  </si>
  <si>
    <t xml:space="preserve">Where'd You Get Those Eyes? </t>
  </si>
  <si>
    <t>1926-06-29</t>
  </si>
  <si>
    <t>0:01:02.048489</t>
  </si>
  <si>
    <t>0:01:33.048353</t>
  </si>
  <si>
    <t>AQAFt4lEKtOa4EmyFydToj384GMUOITO_0.01.48.001922-0.02.28.023619</t>
  </si>
  <si>
    <t xml:space="preserve">A Man For Every Day In The Week </t>
  </si>
  <si>
    <t>0:01:48.001922</t>
  </si>
  <si>
    <t>0:02:28.023619</t>
  </si>
  <si>
    <t>AQAFt9ITKdGD48GXHT6uPDh3YU2PJkou_0.00.01.045850-0.00.09.032317</t>
  </si>
  <si>
    <t>Billy Taylor (b), Cootie Williams (tp), Duke Ellington (p), Harry Carney (bs), Johnny Hodges (ss, as), Lawrence Brown (tb), Mary McHugh (voc), Sonny Greer (dr)</t>
  </si>
  <si>
    <t>Johnny Hodges And His Orchestra</t>
  </si>
  <si>
    <t>I Let A Song Go Out Of My Heart</t>
  </si>
  <si>
    <t>1938-03-28</t>
  </si>
  <si>
    <t>0:00:01.045850</t>
  </si>
  <si>
    <t>0:00:09.032317</t>
  </si>
  <si>
    <t>AQAFt9ITKdGD48GXHT6uPDh3YU2PJkou_0.02.53.025714-0.03.01.034857</t>
  </si>
  <si>
    <t>0:02:53.025714</t>
  </si>
  <si>
    <t>0:03:01.034857</t>
  </si>
  <si>
    <t>AQAFtcqk6FMU0MeP89jqVPhxKkfjLSdc_0.01.08.000000-0.01.18.059755</t>
  </si>
  <si>
    <t>Alfie Evans (as), Arthur Schutt (other, p), Jimmy Dorsey (cl, as), Miff Mole (tb), Red Nichols (cor), Tony Colucci (bjo), Vic Berton (dr)</t>
  </si>
  <si>
    <t>Red And Miff's Stompers</t>
  </si>
  <si>
    <t>Miff Mole 1926-27</t>
  </si>
  <si>
    <t xml:space="preserve">Delirium </t>
  </si>
  <si>
    <t>1927-02-11</t>
  </si>
  <si>
    <t>0:01:08.000000</t>
  </si>
  <si>
    <t>0:01:18.059755</t>
  </si>
  <si>
    <t>AQAFtcqk6FMU0MeP89jqVPhxKkfjLSdc_0.01.34.057378-0.01.39.071047</t>
  </si>
  <si>
    <t>0:01:34.057378</t>
  </si>
  <si>
    <t>0:01:39.071047</t>
  </si>
  <si>
    <t>AQAFtcqk6FMU0MeP89jqVPhxKkfjLSdc_0.01.39.071047-0.01.44.053224</t>
  </si>
  <si>
    <t>0:01:44.053224</t>
  </si>
  <si>
    <t>AQAFtcqk6FMU0MeP89jqVPhxKkfjLSdc_0.01.44.053224-0.01.49.084408</t>
  </si>
  <si>
    <t>0:01:49.084408</t>
  </si>
  <si>
    <t>AQAFtcqk6FMU0MeP89jqVPhxKkfjLSdc_0.01.49.084408-0.01.52.054965</t>
  </si>
  <si>
    <t>0:01:52.054965</t>
  </si>
  <si>
    <t>AQAFtcqk6FMU0MeP89jqVPhxKkfjLSdc_0.01.52.054965-0.01.55.011183</t>
  </si>
  <si>
    <t>0:01:55.011183</t>
  </si>
  <si>
    <t>AQAFtcqk6FMU0MeP89jqVPhxKkfjLSdc_0.01.55.011183-0.01.57.027673</t>
  </si>
  <si>
    <t>0:01:57.027673</t>
  </si>
  <si>
    <t>AQAFtcqk6FMU0MeP89jqVPhxKkfjLSdc_0.01.57.027673-0.01.59.089478</t>
  </si>
  <si>
    <t>0:01:59.089478</t>
  </si>
  <si>
    <t>AQAFtcqk6FMU0MeP89jqVPhxKkfjLSdc_0.02.28.065995-0.02.41.028000</t>
  </si>
  <si>
    <t>Alfie Evans, Jimmy Dorsey</t>
  </si>
  <si>
    <t>0:02:28.065995</t>
  </si>
  <si>
    <t>0:02:41.028000</t>
  </si>
  <si>
    <t>AQAFtGyUSFmY4MeP5E-G_MFToXlCojy-_0.02.02.081034-0.02.05.003945</t>
  </si>
  <si>
    <t>Johnny Dodds (cl), Johnny St. Cyr (bjo), Kid Ory (tb), Lil Armstrong (p), Lonnie Johnson (g), Louis Armstrong (cor, voc)</t>
  </si>
  <si>
    <t>Louis Armstrong And His Hot Five</t>
  </si>
  <si>
    <t>Louis Armstrong  1927</t>
  </si>
  <si>
    <t xml:space="preserve">Hotter Than That </t>
  </si>
  <si>
    <t>1927-12-13</t>
  </si>
  <si>
    <t>0:02:02.081034</t>
  </si>
  <si>
    <t>0:02:05.003945</t>
  </si>
  <si>
    <t>AQAFtGyUSFmY4MeP5E-G_MFToXlCojy-_0.02.06.080417-0.02.09.017260</t>
  </si>
  <si>
    <t>0:02:06.080417</t>
  </si>
  <si>
    <t>0:02:09.017260</t>
  </si>
  <si>
    <t>AQAFtGyUSFmY4MeP5E-G_MFToXlCojy-_0.02.11.041333-0.02.13.045088</t>
  </si>
  <si>
    <t>0:02:11.041333</t>
  </si>
  <si>
    <t>0:02:13.045088</t>
  </si>
  <si>
    <t>AQAFtlIUMRKboDx6-GFxCRauLUFuPNCs_0.00.42.061442-0.01.13.042149</t>
  </si>
  <si>
    <t>Al Klink (ts), Al Mastren (tb), Chummy McGregor (p), Clyde Hurley (tp), Dale 'Mickey' McMickle (tp), Dick Fisher (g), Eddie Durham (other), Glenn Miller (other, tb), Hal McIntyre (as), Hal Tennyson (bs, as), Leigh Knowles (tp), Marion Hutton (voc), Maurice Purtill (dr), Paul Tanner (tb), Rollie Bundock (b), Tex Beneke (ts), Wilbur Schwartz, (cl, as)</t>
  </si>
  <si>
    <t>Glenn Miller And His Orchestra</t>
  </si>
  <si>
    <t>Glenn Miller</t>
  </si>
  <si>
    <t>Glenn Miller 1938-42</t>
  </si>
  <si>
    <t>I Want To Be Happy</t>
  </si>
  <si>
    <t>1939-08-01</t>
  </si>
  <si>
    <t>0:00:42.061442</t>
  </si>
  <si>
    <t>0:01:13.042149</t>
  </si>
  <si>
    <t>AQAFtlIUMRKboDx6-GFxCRauLUFuPNCs_0.01.13.042149-0.01.47.080734</t>
  </si>
  <si>
    <t>0:01:47.080734</t>
  </si>
  <si>
    <t>AQAFU0miaJuUSMMf9Gh-IY_UIHyh5Tm-_0.00.49.028435-0.01.33.003074</t>
  </si>
  <si>
    <t>Eddie Miller, Irving Fazola, Jack Ferrier</t>
  </si>
  <si>
    <t>Billy Butterfield (tp), Bob Crosby (other), Bob Haggart (other, b), Bob Zurke (p), Eddie Miller (ts, cl), Gil Rodin (ts), Irving Fazola (cl), Jack Ferrier (as, cl), Jim Emert (tb), Nappy Lamare (g, voc), Ray Bauduc (dr), Sterling Bose (tp), Warren Smith (tb), Zeke Zarchy (tp)</t>
  </si>
  <si>
    <t>Bob Haggart-Ray Bauduc</t>
  </si>
  <si>
    <t>Ray Bauduc</t>
  </si>
  <si>
    <t xml:space="preserve">Bob Crosby </t>
  </si>
  <si>
    <t>Skater's Waltz (In Swingtime)</t>
  </si>
  <si>
    <t>1939-01-23</t>
  </si>
  <si>
    <t>0:00:49.028435</t>
  </si>
  <si>
    <t>0:01:33.003074</t>
  </si>
  <si>
    <t>AQAFudPML8JfeD-Y6ymqRUGjxfh4408w_0.01.33.036743-0.01.55.086757</t>
  </si>
  <si>
    <t>Allen Reuss (g), Benny Goodman (cl), Gene Krupa (dr), Gordon Griffin (tp), Harry Goodman (b), Helen Ward (other), Lionel Hampton (vib), Red Harper (voc), Teddy Wilson (p), Vido Musso (ts)</t>
  </si>
  <si>
    <t>Vido Musso</t>
  </si>
  <si>
    <t xml:space="preserve">Teddy Wilson And His Orchestra </t>
  </si>
  <si>
    <t>Teddy Wilson Vol. 2 (1936)</t>
  </si>
  <si>
    <t>Here's Love In Your Eyes</t>
  </si>
  <si>
    <t>1936-08-24</t>
  </si>
  <si>
    <t>0:01:33.036743</t>
  </si>
  <si>
    <t>0:01:55.086757</t>
  </si>
  <si>
    <t>AQAFudPML8JfeD-Y6ymqRUGjxfh4408w_0.01.55.086757-0.02.17.018349</t>
  </si>
  <si>
    <t>0:02:17.018349</t>
  </si>
  <si>
    <t>AQAFudPML8JfeD-Y6ymqRUGjxfh4408w_0.02.17.018349-0.02.39.010312</t>
  </si>
  <si>
    <t>0:02:39.010312</t>
  </si>
  <si>
    <t>AQAFUsqlJIqSJcHp4tKOULqH51hdiD3K_0.01.02.078675-0.01.28.083954</t>
  </si>
  <si>
    <t>Harry Carney, Johnny Hodges, Otto Hardwick</t>
  </si>
  <si>
    <t>Barney Bigard (cl), Ben Webster (ts), Billy Strayhorn (p, other), Cootie Williams (tp), Duke Ellington (p, other), Fred Guy (g), Harry Carney (bs, cl, as), Jimmy Blanton (b), Joe 'Tricky Sam' Nanton (tb), Johnny Hodges (ss, cl, as), Juan Tizol (tb), Lawrence Brown (tb), Otto Hardwick (bs, as), Ray Nance (vln, tp), Rex Stewart (cor), Sonny Greer (dr), Wallace Jones (tp)</t>
  </si>
  <si>
    <t xml:space="preserve">Duke Ellington And His Famous Orchestra </t>
  </si>
  <si>
    <t>Duke Ellington 1941- The Hollywood Transcriptions</t>
  </si>
  <si>
    <t>Clementine</t>
  </si>
  <si>
    <t>1941-09-17</t>
  </si>
  <si>
    <t>Hollywood</t>
  </si>
  <si>
    <t>0:01:02.078675</t>
  </si>
  <si>
    <t>0:01:28.083954</t>
  </si>
  <si>
    <t>AQAFUsqlJIqSJcHp4tKOULqH51hdiD3K_0.01.41.081950-0.02.25.044979</t>
  </si>
  <si>
    <t>0:01:41.081950</t>
  </si>
  <si>
    <t>0:02:25.044979</t>
  </si>
  <si>
    <t>AQAFuUsmkYpUUJ8UhH9xKbHw6LiDUM4l_0.01.36.024897-0.02.31.025659</t>
  </si>
  <si>
    <t>Bobby Williams, Roy Eldridge</t>
  </si>
  <si>
    <t>Bobby Williams (tp), Clyde Hart (p), Eli Robinson (tb), Franz Jackson (ts), Joe Eldridge (as), John Collins (g), Laurel Watson (voc), Panama Francis (dr), Prince Robinson (ts), Roy Eldridge (voc, tp), Ted Sturgis (b)</t>
  </si>
  <si>
    <t>You're A Lucky Guy</t>
  </si>
  <si>
    <t>1939-10-01</t>
  </si>
  <si>
    <t>0:01:36.024897</t>
  </si>
  <si>
    <t>0:02:31.025659</t>
  </si>
  <si>
    <t>AQAFuUsmkYpUUJ8UhH9xKbHw6LiDUM4l_0.02.31.025659-0.02.44.071727</t>
  </si>
  <si>
    <t>Franz Jackson, Prince Robinson</t>
  </si>
  <si>
    <t>0:02:44.071727</t>
  </si>
  <si>
    <t>AQAFUv6WTcHNIMx_JKOSo1KijEKjSiFO_0.01.01.057931-0.02.51.030666</t>
  </si>
  <si>
    <t>James Moody (as), Pierre Lemarchand (dr), Pierre Michelot (b), Raymond Fol (p), Roger Guerin (tp)</t>
  </si>
  <si>
    <t>James Moody</t>
  </si>
  <si>
    <t>James Moody Quintet</t>
  </si>
  <si>
    <t>The Boppers In Europe Vol. 2 (1949-52)</t>
  </si>
  <si>
    <t>Deep Purple</t>
  </si>
  <si>
    <t>1951-07-27</t>
  </si>
  <si>
    <t>0:01:01.057931</t>
  </si>
  <si>
    <t>0:02:51.030666</t>
  </si>
  <si>
    <t>AQAFv0mUSYoSRYG_BF_gH3_wGL5yPIF__0.02.38.033825-0.02.51.076961</t>
  </si>
  <si>
    <t>Django Reinhardt (g), Freddy Taylor (voc), Joseph Reinhardt (g), Louis Vola (b), Pierre Ferret (g), Stephane Grappelli (vln)</t>
  </si>
  <si>
    <t>In The Still Of The Night</t>
  </si>
  <si>
    <t>1936-10-15</t>
  </si>
  <si>
    <t>0:02:38.033825</t>
  </si>
  <si>
    <t>0:02:51.076961</t>
  </si>
  <si>
    <t>AQAFv0oSNYrGJAnCKxGhO46CPDsm33hD_0.01.16.057941-0.01.33.076217</t>
  </si>
  <si>
    <t>Alfred Bell (other, voc), Darnell Howard (cl, as), Ed Hudson (bjo, voc), Jimmy Blythe (p), Roy Palmer (tb)</t>
  </si>
  <si>
    <t xml:space="preserve">Georgia Grind </t>
  </si>
  <si>
    <t>0:01:33.076217</t>
  </si>
  <si>
    <t>AQAFv0oSNYrGJAnCKxGhO46CPDsm33hD_0.01.51.022358-0.02.08.033668</t>
  </si>
  <si>
    <t>0:01:51.022358</t>
  </si>
  <si>
    <t>0:02:08.033668</t>
  </si>
  <si>
    <t>AQAFv0oSNYrGJAnCKxGhO46CPDsm33hD_0.02.08.033668-0.02.25.079809</t>
  </si>
  <si>
    <t>0:02:25.079809</t>
  </si>
  <si>
    <t>AQAFv0oSNYrGJAnCKxGhO46CPDsm33hD_0.02.25.079809-0.02.42.086476</t>
  </si>
  <si>
    <t>Alfred Bell, Ed Hudson</t>
  </si>
  <si>
    <t>0:02:42.086476</t>
  </si>
  <si>
    <t>AQAFV9QmSQmzoMelHH344MSDH7twH5Xe_0.00.52.008163-0.01.57.003727</t>
  </si>
  <si>
    <t>I See Everybody's Baby</t>
  </si>
  <si>
    <t>0:00:52.008163</t>
  </si>
  <si>
    <t>0:01:57.003727</t>
  </si>
  <si>
    <t>AQAFV9QmSQmzoMelHH344MSDH7twH5Xe_0.02.26.055673-0.02.43.042204</t>
  </si>
  <si>
    <t>0:02:26.055673</t>
  </si>
  <si>
    <t>0:02:43.042204</t>
  </si>
  <si>
    <t>AQAFvI2UJIoiTUmAZG8Qk52CJ-SDieEC_0.01.05.005650-0.01.41.068888</t>
  </si>
  <si>
    <t>Benny Carter, Don Redman</t>
  </si>
  <si>
    <t>Benny Carter (as), Billy Taylor (b), Claude Jones (tb), Coleman Hawkins (ts), Dave Wilborn (bjo), Don Redman (voc, other, as), Fats Waller (p, other), Joe Smith (tp), Kaiser Marshall (dr), Leonard Davis (tp), Sidney de Paris (tp), Theodore McCord (ts)</t>
  </si>
  <si>
    <t>McKinney's Cotton Pickers</t>
  </si>
  <si>
    <t>McKinney's Cotton Pickers 1929-30</t>
  </si>
  <si>
    <t xml:space="preserve">I'd Love It </t>
  </si>
  <si>
    <t>1929-11-06</t>
  </si>
  <si>
    <t>0:01:05.005650</t>
  </si>
  <si>
    <t>0:01:41.068888</t>
  </si>
  <si>
    <t>AQAFvI2UJIoiTUmAZG8Qk52CJ-SDieEC_0.02.40.022349-0.03.04.036000</t>
  </si>
  <si>
    <t>Coleman Hawkins, Theodore McCord</t>
  </si>
  <si>
    <t>0:02:40.022349</t>
  </si>
  <si>
    <t>0:03:04.036000</t>
  </si>
  <si>
    <t>AQAFvUukJEmSSHqQ_kGrQn_wHF3kIMyz_0.00.36.022312-0.01.06.075736</t>
  </si>
  <si>
    <t>Buck Clayton, Ed Lewis, Harry 'Sweets' Edison</t>
  </si>
  <si>
    <t>Benny Morton (tb), Buck Clayton (tp), Count Basie (other, p), Dan Minor (tb), Dicky Wells (tb), Don Redman (other), Earl Warren (as), Ed Lewis (tp), Freddie Green (g), Harry 'Sweets' Edison (tp), Herschel Evans (other, cl, ts), Jack Washington (bs, as), Jo Jones (dr), Lester Young (cl, ts), Walter Page (b)</t>
  </si>
  <si>
    <t>Count Basie 1938-39</t>
  </si>
  <si>
    <t>Texas Shuffle</t>
  </si>
  <si>
    <t>1938-08-22</t>
  </si>
  <si>
    <t>0:00:36.022312</t>
  </si>
  <si>
    <t>0:01:06.075736</t>
  </si>
  <si>
    <t>AQAFvUukJEmSSHqQ_kGrQn_wHF3kIMyz_0.01.06.075736-0.01.38.063836</t>
  </si>
  <si>
    <t>Earl Warren, Jack Washington</t>
  </si>
  <si>
    <t>0:01:38.063836</t>
  </si>
  <si>
    <t>AQAFvUukJEmSSHqQ_kGrQn_wHF3kIMyz_0.01.38.063836-0.01.56.047129</t>
  </si>
  <si>
    <t>AQAFvUukJEmSSHqQ_kGrQn_wHF3kIMyz_0.01.56.047129-0.02.04.004099</t>
  </si>
  <si>
    <t>Herschel Evans, Lester Young</t>
  </si>
  <si>
    <t>0:02:04.004099</t>
  </si>
  <si>
    <t>AQAFvUukJEmSSHqQ_kGrQn_wHF3kIMyz_0.02.04.004099-0.02.13.016643</t>
  </si>
  <si>
    <t>0:02:13.016643</t>
  </si>
  <si>
    <t>AQAFVVElJ6JxHPoaxK_w7EPJFi439Phx_0.01.18.043047-0.01.22.000163</t>
  </si>
  <si>
    <t>Barney Bigard (cl), Ben Webster (ts), Duke Ellington (p), Jimmy Blanton (b), Juan Tizol (tb), Ray Nance (tp), Sonny Greer (dr)</t>
  </si>
  <si>
    <t xml:space="preserve">Barney Bigard And Orchestra </t>
  </si>
  <si>
    <t>Duke Ellington Small Groups Vol. 5 (1940-41)</t>
  </si>
  <si>
    <t>Lament For Javanette</t>
  </si>
  <si>
    <t>1940-11-11</t>
  </si>
  <si>
    <t>0:01:18.043047</t>
  </si>
  <si>
    <t>0:01:22.000163</t>
  </si>
  <si>
    <t>AQAFVVElJ6JxHPoaxK_w7EPJFi439Phx_0.01.26.048816-0.01.29.094394</t>
  </si>
  <si>
    <t>0:01:26.048816</t>
  </si>
  <si>
    <t>0:01:29.094394</t>
  </si>
  <si>
    <t>AQAFVVElJ6JxHPoaxK_w7EPJFi439Phx_0.01.29.094394-0.02.03.077106</t>
  </si>
  <si>
    <t>0:02:03.077106</t>
  </si>
  <si>
    <t>AQAFw0mSMNySqAid5Do4d8WPLBMfaNmO_0.01.46.037061-0.02.03.094811</t>
  </si>
  <si>
    <t>Bobby Stark (tp), Clarence Holiday (g), Claude Jones (tb), Coleman Hawkins (ts), Dick Robertson (voc), Edgar Sampson (vln, as), Fletcher Henderson (p, other), John Kirby (b), Rex Stewart (cor), Russell Procope (cl, as), Walter Johnson (dr, other)</t>
  </si>
  <si>
    <t>Edgar Sampson</t>
  </si>
  <si>
    <t xml:space="preserve">Fletcher Henderson And His Connie's Inn Orchestra </t>
  </si>
  <si>
    <t>Fletcher Henderson 1931-32</t>
  </si>
  <si>
    <t>My Sweet Tooth Says</t>
  </si>
  <si>
    <t>1931-07-31</t>
  </si>
  <si>
    <t>0:01:46.037061</t>
  </si>
  <si>
    <t>AQAFw0mSMNySqAid5Do4d8WPLBMfaNmO_0.02.03.094811-0.02.22.052408</t>
  </si>
  <si>
    <t>Edgar Sampson, Russell Procope</t>
  </si>
  <si>
    <t>0:02:22.052408</t>
  </si>
  <si>
    <t>AQAFw0mSMNySqAid5Do4d8WPLBMfaNmO_0.02.22.052408-0.02.40.072852</t>
  </si>
  <si>
    <t>0:02:40.072852</t>
  </si>
  <si>
    <t>AQAFW1nCRVQUSai-QK6O-MF2Bfzhl3gO_0.01.31.050984-0.02.52.036000</t>
  </si>
  <si>
    <t>Ben Webster (ts), Emil Richards (vib), Joe Mondragon (b), Johnny Hodges (as), Lawrence Brown (tb), Mel Lewis (dr), Ray Nance (tp), Russ Freeman (p)</t>
  </si>
  <si>
    <t>Lawrence Brown</t>
  </si>
  <si>
    <t>Exactly like you</t>
  </si>
  <si>
    <t>1961-01-31</t>
  </si>
  <si>
    <t>0:01:31.050984</t>
  </si>
  <si>
    <t>0:02:52.036000</t>
  </si>
  <si>
    <t>AQAFWskSJlEUZcHx4jj0wPixHeXx4nsY_0.01.19.076054-0.01.50.011482</t>
  </si>
  <si>
    <t>Dizzy Gillespie (tp), Freddie Strong (voc), John Coltrane (as, ts), Kansas Fields (dr), Kenny Burrell (g), Milt Jackson (p, vib), Percy Heath (b)</t>
  </si>
  <si>
    <t>John Coltrane</t>
  </si>
  <si>
    <t>Dizzy Gillespie Sextet</t>
  </si>
  <si>
    <t>Dizzy Gillespie Vol. 5 (1949-51)</t>
  </si>
  <si>
    <t>We Love To Boogie</t>
  </si>
  <si>
    <t>1951-03-01</t>
  </si>
  <si>
    <t>0:01:19.076054</t>
  </si>
  <si>
    <t>0:01:50.011482</t>
  </si>
  <si>
    <t>AQAFWskSJlEUZcHx4jj0wPixHeXx4nsY_0.01.50.011482-0.02.27.067891</t>
  </si>
  <si>
    <t>0:02:27.067891</t>
  </si>
  <si>
    <t>AQAFwVISJUkiKxOuKkX5oXmDdhl-nJLx_0.01.49.096970-0.02.26.028571</t>
  </si>
  <si>
    <t>Blanche Calloway (voc), Louis Armstrong (cor), Richard M. Jones (p)</t>
  </si>
  <si>
    <t>Blanche Calloway</t>
  </si>
  <si>
    <t xml:space="preserve">Louis Armstrong And The Blues Singers 1925-26 </t>
  </si>
  <si>
    <t xml:space="preserve">Lazy Woman Blues </t>
  </si>
  <si>
    <t>1925-11-09</t>
  </si>
  <si>
    <t>0:01:49.096970</t>
  </si>
  <si>
    <t>0:02:26.028571</t>
  </si>
  <si>
    <t>AQAFYEmiZEnESEmSBJ_DFKqYiGiHXLpw_0.00.33.073859-0.00.51.022321</t>
  </si>
  <si>
    <t>Stan Gets Along</t>
  </si>
  <si>
    <t>0:00:33.073859</t>
  </si>
  <si>
    <t>0:00:51.022321</t>
  </si>
  <si>
    <t>AQAFYEmiZEnESEmSBJ_DFKqYiGiHXLpw_0.00.51.022321-0.01.08.028988</t>
  </si>
  <si>
    <t>AQAFYEmiZEnESEmSBJ_DFKqYiGiHXLpw_0.01.08.028988-0.01.24.059029</t>
  </si>
  <si>
    <t>0:01:24.059029</t>
  </si>
  <si>
    <t>AQAFYEmiZEnESEmSBJ_DFKqYiGiHXLpw_0.01.41.000680-0.01.57.042331</t>
  </si>
  <si>
    <t>0:01:41.000680</t>
  </si>
  <si>
    <t>0:01:57.042331</t>
  </si>
  <si>
    <t>AQAFYI8SPQl-HFeO5BryHCcqH41yq_jR_0.01.12.070748-0.01.31.071882</t>
  </si>
  <si>
    <t>Harlan Leonard, LaForest Dent</t>
  </si>
  <si>
    <t>Bennie Moten (other, p), Ed Lewis (tp), Harlan Leonard (cl, as), LaForest Dent (bs, as), Lammar Wright (cor), Sam Tall (bjo), Thamon Hayes (tb), Vernon Page (b), Willie McWashington (dr), Woody Walder (ts, cl)</t>
  </si>
  <si>
    <t>Bennie Moten's Kansas City Orchestra</t>
  </si>
  <si>
    <t>Bennie Moten</t>
  </si>
  <si>
    <t>Bennie Moten 1926-27</t>
  </si>
  <si>
    <t xml:space="preserve">Thick Lip Stomp </t>
  </si>
  <si>
    <t>1926-12-13</t>
  </si>
  <si>
    <t>0:01:12.070748</t>
  </si>
  <si>
    <t>0:01:31.071882</t>
  </si>
  <si>
    <t>AQAFYI8SPQl-HFeO5BryHCcqH41yq_jR_0.01.31.071882-0.01.46.005714</t>
  </si>
  <si>
    <t>Ed Lewis</t>
  </si>
  <si>
    <t>AQAFYI8SPQl-HFeO5BryHCcqH41yq_jR_0.01.46.005714-0.02.23.003492</t>
  </si>
  <si>
    <t>0:02:23.003492</t>
  </si>
  <si>
    <t>AQAFZ9OYRhGVoJJurEp0XFYqos-PKdcR_0.01.44.086131-0.02.22.087238</t>
  </si>
  <si>
    <t>Benny Harris, Dizzy Gillespie, Willie Cook</t>
  </si>
  <si>
    <t>Al Gibson (bs), Al McKibbon (b), Andy Duryea (tb), Benny Harris (tp), Budd Johnson (other), Dizzy Gillespie (other, tp), Ernie Henry (as), Gil Fuller (other), James 'Hen Gates' Forman (p), Jesse Tarrant (tb), Jimmy Mundy (other), Joe Gayles (ts), John Brown (as), Johnny Hartman (voc), Sam Hurt (tb), Teddy Stewart (dr), Vince Guerra (other), Willie Cook (tp), Yusef Lateef (ts)</t>
  </si>
  <si>
    <t>Dizzy Gillespie And His Orchestra</t>
  </si>
  <si>
    <t>Swedish Suite</t>
  </si>
  <si>
    <t>1949-04-14</t>
  </si>
  <si>
    <t>0:01:44.086131</t>
  </si>
  <si>
    <t>0:02:22.087238</t>
  </si>
  <si>
    <t>AQAFZdKeLIpSPG-CKwpSRT9-LdCZX0ib_0.01.56.065705-0.02.53.065333</t>
  </si>
  <si>
    <t>Brew Moore (ts), Gene DiNovi (p), Jimmy Dee (dr), Jimmy Johnson (b)</t>
  </si>
  <si>
    <t>Brew Moore</t>
  </si>
  <si>
    <t>Brew Moore Quartet</t>
  </si>
  <si>
    <t>Brew Blew</t>
  </si>
  <si>
    <t>1948-10-22</t>
  </si>
  <si>
    <t>0:01:56.065705</t>
  </si>
  <si>
    <t>0:02:53.065333</t>
  </si>
  <si>
    <t>AQAFzkmSJI2ibBGaxAv6Iz2DXniioF-O_0.01.07.083854-0.01.39.070068</t>
  </si>
  <si>
    <t>Joe Sample (p), Stix Hooper (dr)</t>
  </si>
  <si>
    <t>The thrill is gone</t>
  </si>
  <si>
    <t>0:01:07.083854</t>
  </si>
  <si>
    <t>0:01:39.070068</t>
  </si>
  <si>
    <t>AQAFzkmSJI2ibBGaxAv6Iz2DXniioF-O_0.01.39.070068-0.02.08.088888</t>
  </si>
  <si>
    <t>0:02:08.088888</t>
  </si>
  <si>
    <t>AQAFZWMZVRMemciDWmjkQ8nxB2EuNHVi_0.01.30.044172-0.01.48.099446</t>
  </si>
  <si>
    <t>Billie Holiday (voc), Cozy Cole (dr), Dave Barbour (g), Dick Clark (tp), Grachan Moncur (b), Johnny Hodges (as), Teddy Wilson (p), Tom Mace (cl)</t>
  </si>
  <si>
    <t>Teddy Wilson Vol. 1 (1935-36)</t>
  </si>
  <si>
    <t>You Let Me Down</t>
  </si>
  <si>
    <t>1935-12-03</t>
  </si>
  <si>
    <t>0:01:30.044172</t>
  </si>
  <si>
    <t>0:01:48.099446</t>
  </si>
  <si>
    <t>AQAG0V-SKIlwnSmuPag-PNJhTI9wI9B__0.01.23.005777-0.02.49.078285</t>
  </si>
  <si>
    <t>Art Velasco (tb), Charlie Otwell (p), Gene Burkert (ts, as, fl), Poncho Sanchez (other, voc), Ramon Banda (tb, dr), Sal Cracchiolo (flg, tp), Tony Banda (b)</t>
  </si>
  <si>
    <t>Sal Cracchiolo</t>
  </si>
  <si>
    <t>Poncho Sanchez</t>
  </si>
  <si>
    <t>Chile Con Soul</t>
  </si>
  <si>
    <t>Soul burst</t>
  </si>
  <si>
    <t>1989-11-19</t>
  </si>
  <si>
    <t>Hollywood, CA</t>
  </si>
  <si>
    <t>0:01:23.005777</t>
  </si>
  <si>
    <t>0:02:49.078285</t>
  </si>
  <si>
    <t>AQAG34mlTJoThPmDUCaDJ8qQ50H1ofmC_0.00.36.026666-0.01.13.014285</t>
  </si>
  <si>
    <t>Charlie Parker (as), Dizzy Gillespie (tp), Flip Philips (ts), Red Norvo (vib), Slam Stewart (b), Specs Powell (dr), Teddy Wilson (p)</t>
  </si>
  <si>
    <t>Red Norvo And His Selected Sextet</t>
  </si>
  <si>
    <t>Dizzy Gillespie &amp; Charlie Parker Vol. 2 (1945)</t>
  </si>
  <si>
    <t>Get Happy</t>
  </si>
  <si>
    <t>1945-06-06</t>
  </si>
  <si>
    <t>0:00:36.026666</t>
  </si>
  <si>
    <t>0:01:13.014285</t>
  </si>
  <si>
    <t>AQAG34mlTJoThPmDUCaDJ8qQ50H1ofmC_0.01.13.014285-0.01.48.025142</t>
  </si>
  <si>
    <t>Flip Philips</t>
  </si>
  <si>
    <t>0:01:48.025142</t>
  </si>
  <si>
    <t>AQAG34mlTJoThPmDUCaDJ8qQ50H1ofmC_0.01.48.025142-0.02.19.041260</t>
  </si>
  <si>
    <t>0:02:19.041260</t>
  </si>
  <si>
    <t>AQAG34mlTJoThPmDUCaDJ8qQ50H1ofmC_0.02.19.041260-0.02.50.099174</t>
  </si>
  <si>
    <t>0:02:50.099174</t>
  </si>
  <si>
    <t>AQAG3ZyiRInIBY-ScCJ-GuMJ8QfvpMe8_0.00.52.005333-0.02.36.074920</t>
  </si>
  <si>
    <t>Al Cohn, Zoot Sims</t>
  </si>
  <si>
    <t>Al Cohn (cl, ts), Mose Allison (p), Nick Stabulas (dr), Teddy Kotick (b), Zoot Sims (cl, ts)</t>
  </si>
  <si>
    <t>Al Cohn Quintet Feat. Zoot Sims</t>
  </si>
  <si>
    <t>Al Cohn</t>
  </si>
  <si>
    <t>Modern Mainstream - Al Cohn &amp; Zoot Sims</t>
  </si>
  <si>
    <t>1957-03-27</t>
  </si>
  <si>
    <t>0:00:52.005333</t>
  </si>
  <si>
    <t>0:02:36.074920</t>
  </si>
  <si>
    <t>AQAg5mqo5EkCq4kQK0-Lv7hyTFn2oH8C_0.00.41.023863-0.07.49.042040</t>
  </si>
  <si>
    <t>Bobby Timmons (p), Dexter Gordon (ts), Percy Brice (dr), Victor Gaskin (b)</t>
  </si>
  <si>
    <t>L.T.D.</t>
  </si>
  <si>
    <t>Broadway</t>
  </si>
  <si>
    <t>1969-05-04</t>
  </si>
  <si>
    <t>Live, Famous Ballroom, Left Bank Jazz Society, Baltimore, MD</t>
  </si>
  <si>
    <t>0:00:41.023863</t>
  </si>
  <si>
    <t>0:07:49.042040</t>
  </si>
  <si>
    <t>AQAg5mqo5EkCq4kQK0-Lv7hyTFn2oH8C_0.14.51.003673-0.15.45.099183</t>
  </si>
  <si>
    <t>0:14:51.003673</t>
  </si>
  <si>
    <t>0:15:45.099183</t>
  </si>
  <si>
    <t>AQAg5mqo5EkCq4kQK0-Lv7hyTFn2oH8C_0.15.54.097142-0.16.06.010612</t>
  </si>
  <si>
    <t>0:15:54.097142</t>
  </si>
  <si>
    <t>0:16:06.010612</t>
  </si>
  <si>
    <t>AQAg5mqo5EkCq4kQK0-Lv7hyTFn2oH8C_0.16.15.028163-0.16.36.044081</t>
  </si>
  <si>
    <t>0:16:15.028163</t>
  </si>
  <si>
    <t>0:16:36.044081</t>
  </si>
  <si>
    <t>AQAGB4l0KVGYBPmPch6eHb2HZ8vRxCh__0.01.16.048507-0.02.16.008344</t>
  </si>
  <si>
    <t>Clark Terry, Snooky Young</t>
  </si>
  <si>
    <t>Albert Dailey (p), Bob Brookmeyer (tb), Clark Terry (tp), Danny Bank (bs), Eric Gale (g), Grady Tate (dr), Jerome Richardson (ts, ss, fl), Jerry Dodgion (fl, as, cl), Jimmy Cleveland (tb), Oliver Nelson (other), Phil Kraus (other), Phil Woods (cl, as), Ron Carter (b), Snooky Young (flg, tp), Tony Studd (tb), Zoot Sims (ts)</t>
  </si>
  <si>
    <t>Leonard Feather</t>
  </si>
  <si>
    <t>Leonard Feather's Encyclopedia Of Jazz All Stars</t>
  </si>
  <si>
    <t>Patterns for orchestra</t>
  </si>
  <si>
    <t>1966-11-03</t>
  </si>
  <si>
    <t>Englewood Cliffs, N.J.</t>
  </si>
  <si>
    <t>0:01:16.048507</t>
  </si>
  <si>
    <t>0:02:16.008344</t>
  </si>
  <si>
    <t>AQAGb5Kymwlu3EUp0USzSMOL_rg-9Bny_0.00.43.053741-0.01.21.020018</t>
  </si>
  <si>
    <t>Albert Nicholas (cl, as), Charlie Holmes (as, cl, ss), Ernest Hill (b), Greely Walton (ts), Henry 'Red' Allen (voc, tp), Jimmy Archey (tb), Luis Russell (p, other), Otis Johnson (tp), Paul Barbarin (vib, dr), Will Johnson (bjo, g)</t>
  </si>
  <si>
    <t>Greely Walton</t>
  </si>
  <si>
    <t>Henry Allen And His New York Orchestra</t>
  </si>
  <si>
    <t>Luis Russell &amp; Henry 'Red' Allen 1929-30</t>
  </si>
  <si>
    <t xml:space="preserve">I Fell In Love With You </t>
  </si>
  <si>
    <t>1930-07-15</t>
  </si>
  <si>
    <t>0:00:43.053741</t>
  </si>
  <si>
    <t>AQAGb5Kymwlu3EUp0USzSMOL_rg-9Bny_0.01.26.086585-0.02.04.057505</t>
  </si>
  <si>
    <t>Henry 'Red' Allen</t>
  </si>
  <si>
    <t>0:01:26.086585</t>
  </si>
  <si>
    <t>0:02:04.057505</t>
  </si>
  <si>
    <t>AQAGb5Kymwlu3EUp0USzSMOL_rg-9Bny_0.02.04.057505-0.02.09.007972</t>
  </si>
  <si>
    <t>0:02:09.007972</t>
  </si>
  <si>
    <t>AQAGb5Kymwlu3EUp0USzSMOL_rg-9Bny_0.02.09.007972-0.02.46.051029</t>
  </si>
  <si>
    <t>Henry 'Red' Allen, Otis Johnson</t>
  </si>
  <si>
    <t>0:02:46.051029</t>
  </si>
  <si>
    <t>AQAGBlrEZFGSJQuuorkOfdvxNHi0w39w_0.00.38.040580-0.00.58.016598</t>
  </si>
  <si>
    <t>Edmond Hall, Gene Johnson</t>
  </si>
  <si>
    <t>Albert Snaer (tp), Bobby Sands (ts), Claude Hopkins (other, p), Edmond Hall (bs, as, cl), Fernando Arbello (tb), Gene Johnson (as), Henry Turner (b), Jimmy Mundy (other), Orlando Roberson (voc), Ovie Alston (tp, voc), Pete Jacobs (dr), Sylvester Lewis (tp), Walter Jones (bjo, g)</t>
  </si>
  <si>
    <t>Claude Hopkins And His Orchestra</t>
  </si>
  <si>
    <t>Claude Hopkins</t>
  </si>
  <si>
    <t>Claude Hopkins 1932-34</t>
  </si>
  <si>
    <t>I Would Do Anything For You</t>
  </si>
  <si>
    <t>1932-05-24</t>
  </si>
  <si>
    <t>0:00:38.040580</t>
  </si>
  <si>
    <t>0:00:58.016598</t>
  </si>
  <si>
    <t>AQAGBlrEZFGSJQuuorkOfdvxNHi0w39w_0.01.17.002058-0.01.35.075909</t>
  </si>
  <si>
    <t>Edmond Hall</t>
  </si>
  <si>
    <t>0:01:17.002058</t>
  </si>
  <si>
    <t>0:01:35.075909</t>
  </si>
  <si>
    <t>AQAGBlrEZFGSJQuuorkOfdvxNHi0w39w_0.01.35.075909-0.01.45.058693</t>
  </si>
  <si>
    <t>Bobby Sands</t>
  </si>
  <si>
    <t>0:01:45.058693</t>
  </si>
  <si>
    <t>AQAGBlrEZFGSJQuuorkOfdvxNHi0w39w_0.01.45.058693-0.01.56.012299</t>
  </si>
  <si>
    <t>0:01:56.012299</t>
  </si>
  <si>
    <t>AQAGBsqmSJQenDx-_JFz_GOQJj-e5IYu_0.00.31.071265-0.01.29.011818</t>
  </si>
  <si>
    <t>Feelin's</t>
  </si>
  <si>
    <t>Look up</t>
  </si>
  <si>
    <t>1962-02-01</t>
  </si>
  <si>
    <t>0:00:31.071265</t>
  </si>
  <si>
    <t>0:01:29.011818</t>
  </si>
  <si>
    <t>AQAGBsqmSJQenDx-_JFz_GOQJj-e5IYu_0.01.56.045387-0.02.53.073170</t>
  </si>
  <si>
    <t>0:01:56.045387</t>
  </si>
  <si>
    <t>0:02:53.073170</t>
  </si>
  <si>
    <t>AQAGc9SjSGEUfMYdlFHgFQ9ChRqSWifK_0.01.03.080843-0.01.28.029387</t>
  </si>
  <si>
    <t>Arnold Brilhart (as), Benny Goodman (cl), Bix Beiderbecke (cor), Bubber Miley (tp), Bud Freeman (ts), Carson Robison (voc), Eddie Lang (g), Gene Krupa (dr), Harry Goodman (b), Hoagy Carmichael (voc), Irving Brodsky (voc, p), Joe Venuti (voc, vln), Tommy Dorsey (tb)</t>
  </si>
  <si>
    <t>Hoagy Carmichael And His Orchestra</t>
  </si>
  <si>
    <t>Hoagy Carmichael</t>
  </si>
  <si>
    <t xml:space="preserve">Rockin' Chair </t>
  </si>
  <si>
    <t>1930-05-21</t>
  </si>
  <si>
    <t>0:01:03.080843</t>
  </si>
  <si>
    <t>0:01:28.029387</t>
  </si>
  <si>
    <t>AQAGc9SjSGEUfMYdlFHgFQ9ChRqSWifK_0.02.25.050204-0.02.32.027646</t>
  </si>
  <si>
    <t>0:02:25.050204</t>
  </si>
  <si>
    <t>0:02:32.027646</t>
  </si>
  <si>
    <t>AQAGc9SjSGEUfMYdlFHgFQ9ChRqSWifK_0.02.43.060780-0.02.55.002040</t>
  </si>
  <si>
    <t>0:02:43.060780</t>
  </si>
  <si>
    <t>0:02:55.002040</t>
  </si>
  <si>
    <t>AQAGCokmRZJyVMqRC5_C4Iqi49ThREf5_0.01.32.027755-0.01.55.017097</t>
  </si>
  <si>
    <t>Bernard Addison (g), Buster Bailey (cl, as), Charles Holland (voc), Claude Jones (tb), Coleman Hawkins (ts), Fletcher Henderson (other, p), Henry 'Red' Allen (tp), Hilton Jefferson (as, cl), Joe Thomas (tp), John Kirby (b), Keg Johnson (tb), Russ Morgan (other), Russell Procope (cl, as), Russell Smith (tp), Victor Engle (dr), Will Hudson (other)</t>
  </si>
  <si>
    <t>Phantom Phantasy</t>
  </si>
  <si>
    <t>1934-03-06</t>
  </si>
  <si>
    <t>0:01:32.027755</t>
  </si>
  <si>
    <t>0:01:55.017097</t>
  </si>
  <si>
    <t>AQAGCZqyJI2URBFC-8FL3EbzG_UnaDfS_0.01.10.072798-0.02.07.073297</t>
  </si>
  <si>
    <t>Beverley Peer (b), Bobby Johnson (g), Bobby Stark (tp), Charlie Dixon (other), Chauncey Haughton (as, bs, cl), Chick Webb (other, dr), Ella Fitzgerald (voc), Louis Jordan (cl, as), Mario Bauza (tp), Nat Story (tb), Sandy Williams (tb), Taft Jordan (tp), Ted McRae (ts), Tommy Fulford (p), Turk Van Lake (other), Wayman Carver (ts, other)</t>
  </si>
  <si>
    <t>Ella Fitzgerald</t>
  </si>
  <si>
    <t>Chick Webb 1937-38</t>
  </si>
  <si>
    <t>The Dipsy Doodle</t>
  </si>
  <si>
    <t>1937-12-17</t>
  </si>
  <si>
    <t>0:01:10.072798</t>
  </si>
  <si>
    <t>0:02:07.073297</t>
  </si>
  <si>
    <t>AQAGCZqyJI2URBFC-8FL3EbzG_UnaDfS_0.02.07.073297-0.02.44.042049</t>
  </si>
  <si>
    <t>Nat Story, Sandy Williams</t>
  </si>
  <si>
    <t>0:02:44.042049</t>
  </si>
  <si>
    <t>AQAGD1GViIkSfIbuBAdzNCdO4cflGz_R_0.00.47.000734-0.02.00.054204</t>
  </si>
  <si>
    <t>Albert Casey (g), Cozy Cole (dr), Frank Newton (tp), James P. Johnson (p), John Kirby (b), Mezz Mezzrow (cl), Pete Brown (as)</t>
  </si>
  <si>
    <t>Frank Newton</t>
  </si>
  <si>
    <t>Frankie Newton And His Orchestra</t>
  </si>
  <si>
    <t>Frankie Newton 1937-39</t>
  </si>
  <si>
    <t>The Blues My Baby Gave To Me</t>
  </si>
  <si>
    <t>1939-01-13</t>
  </si>
  <si>
    <t>0:00:47.000734</t>
  </si>
  <si>
    <t>0:02:00.054204</t>
  </si>
  <si>
    <t>AQAGD1GViIkSfIbuBAdzNCdO4cflGz_R_0.02.33.097732-0.03.14.066666</t>
  </si>
  <si>
    <t>0:02:33.097732</t>
  </si>
  <si>
    <t>0:03:14.066666</t>
  </si>
  <si>
    <t>AQAGDl8YSWvwyCIuPeiPR7dgTT-qxxvy_0.01.06.054839-0.01.28.065378</t>
  </si>
  <si>
    <t>Adrian Rollini (bs), Arthur Schutt (p), Eddie Lang (g), Jimmy Dorsey (as), Miff Mole (tb), Red Nichols (cor), Vic Berton (dr)</t>
  </si>
  <si>
    <t>Red Nichols &amp; His Five Pennies</t>
  </si>
  <si>
    <t>Red Nichols 1927</t>
  </si>
  <si>
    <t xml:space="preserve">Mean Dog Blues </t>
  </si>
  <si>
    <t>1927-06-24</t>
  </si>
  <si>
    <t>0:01:06.054839</t>
  </si>
  <si>
    <t>0:01:28.065378</t>
  </si>
  <si>
    <t>AQAGDl8YSWvwyCIuPeiPR7dgTT-qxxvy_0.01.28.065378-0.01.52.094185</t>
  </si>
  <si>
    <t>0:01:52.094185</t>
  </si>
  <si>
    <t>AQAGFolCOsmUJGhmE3m042_QNBeJSGRW_0.00.05.088385-0.00.35.058698</t>
  </si>
  <si>
    <t>Arthur Schutt (p), Dick McDonough (bjo, g), Jimmy Dorsey (cl, as), Joe Tarto (b), Miff Mole (tb), Red Nichols (cor), Vic Berton (other, dr)</t>
  </si>
  <si>
    <t>The Charleston Chasers</t>
  </si>
  <si>
    <t xml:space="preserve">My Gal Sal </t>
  </si>
  <si>
    <t>1927-05-18</t>
  </si>
  <si>
    <t>0:00:05.088385</t>
  </si>
  <si>
    <t>0:00:35.058698</t>
  </si>
  <si>
    <t>AQAGFolCOsmUJGhmE3m042_QNBeJSGRW_0.00.35.058698-0.01.05.051253</t>
  </si>
  <si>
    <t>0:01:05.051253</t>
  </si>
  <si>
    <t>AQAGFolCOsmUJGhmE3m042_QNBeJSGRW_0.01.05.051253-0.02.03.075328</t>
  </si>
  <si>
    <t>0:02:03.075328</t>
  </si>
  <si>
    <t>AQAGGdISZVErhD2aM3iCw3mMZ0GkTkez_0.00.30.065034-0.02.10.042648</t>
  </si>
  <si>
    <t>Buddy Rich (dr), Flip Phillips (ts), Hank Jones (p), Ray Brown (b)</t>
  </si>
  <si>
    <t>Flip Phillips Quartet</t>
  </si>
  <si>
    <t>Woody's Boys Vol. 4 (1949-51)</t>
  </si>
  <si>
    <t>Lover Come Back To Me</t>
  </si>
  <si>
    <t>1950-03-01</t>
  </si>
  <si>
    <t>0:00:30.065034</t>
  </si>
  <si>
    <t>0:02:10.042648</t>
  </si>
  <si>
    <t>AQAGGdISZVErhD2aM3iCw3mMZ0GkTkez_0.02.10.042648-0.02.21.058206</t>
  </si>
  <si>
    <t>0:02:21.058206</t>
  </si>
  <si>
    <t>AQAGGdISZVErhD2aM3iCw3mMZ0GkTkez_0.02.28.053804-0.02.35.080589</t>
  </si>
  <si>
    <t>0:02:28.053804</t>
  </si>
  <si>
    <t>0:02:35.080589</t>
  </si>
  <si>
    <t>AQAGGdISZVErhD2aM3iCw3mMZ0GkTkez_0.02.57.051655-0.03.05.017913</t>
  </si>
  <si>
    <t>0:02:57.051655</t>
  </si>
  <si>
    <t>0:03:05.017913</t>
  </si>
  <si>
    <t>AQAGGdISZVErhD2aM3iCw3mMZ0GkTkez_0.03.08.056925-0.03.15.090666</t>
  </si>
  <si>
    <t>0:03:08.056925</t>
  </si>
  <si>
    <t>0:03:15.090666</t>
  </si>
  <si>
    <t>AQAGGZmqJIso4T_-oKmh8QgZzsbJBC4T_0.01.29.030394-0.03.15.090666</t>
  </si>
  <si>
    <t>Al Porcino (tp), Bill Castagnino (tp), Bill Perkins (ts), Charlie Walp (tp), Chuck Flores (dr), Dave Madden (ts), Dick Hafer (ts), Dick Kenney (tb), Dirk Collins (tp), Jack Nimitz (bs), John Howell (tp), Keith Moon (tb), Nat Pierce (p), Red Kelly (b), Woody Herman (cl, other, as)</t>
  </si>
  <si>
    <t>Off Shore</t>
  </si>
  <si>
    <t>1954-08-04</t>
  </si>
  <si>
    <t>Oregon</t>
  </si>
  <si>
    <t>0:01:29.030394</t>
  </si>
  <si>
    <t>AQAGH05OTSmS6wr2BA8PTU_ho2RNnIYW_0.00.43.004979-0.01.07.088353</t>
  </si>
  <si>
    <t>Spookin'</t>
  </si>
  <si>
    <t>0:00:43.004979</t>
  </si>
  <si>
    <t>0:01:07.088353</t>
  </si>
  <si>
    <t>AQAGH05OTSmS6wr2BA8PTU_ho2RNnIYW_0.01.23.010421-0.01.49.087682</t>
  </si>
  <si>
    <t>0:01:49.087682</t>
  </si>
  <si>
    <t>AQAGH05OTSmS6wr2BA8PTU_ho2RNnIYW_0.01.49.087682-0.02.13.009968</t>
  </si>
  <si>
    <t>0:02:13.009968</t>
  </si>
  <si>
    <t>AQAGI9HGJY3CgMdzTEqh6fjj4LnwPUMT_0.01.15.004689-0.01.50.028027</t>
  </si>
  <si>
    <t>Bob Mintzer (ts), Jimmy Haslip (b), Marcus Baylor (dr), Russell Ferrante (other)</t>
  </si>
  <si>
    <t>Bob Mintzer</t>
  </si>
  <si>
    <t>Yellowjackets</t>
  </si>
  <si>
    <t>Peace Round: A Christmas Celebration</t>
  </si>
  <si>
    <t>Winter wonderland</t>
  </si>
  <si>
    <t>2003-01-01</t>
  </si>
  <si>
    <t>0:01:15.004689</t>
  </si>
  <si>
    <t>0:01:50.028027</t>
  </si>
  <si>
    <t>AQAGKJmeqJEWaIcj5rCU7KjU487xzYWX_0.02.05.006267-0.03.17.075999</t>
  </si>
  <si>
    <t>They Can't Take That Away From Me</t>
  </si>
  <si>
    <t>0:02:05.006267</t>
  </si>
  <si>
    <t>0:03:17.075999</t>
  </si>
  <si>
    <t>AQAGKZISSswTPNdx3HnwPDm-5Eh-hHmC_0.02.06.000888-0.02.26.046857</t>
  </si>
  <si>
    <t>Barney Alexander (bjo), Boyd 'Red' Rosser (tp), Charlie Irvis (tb), Dave Richards (), George Baquet (cl), Harry Prather (b), Jelly Roll Morton (p, other), Joe Thomas (ts), Paul Barnes (ss), Walter 'Foots' Thomas (as), William Laws (dr)</t>
  </si>
  <si>
    <t xml:space="preserve">Down My Way </t>
  </si>
  <si>
    <t>0:02:06.000888</t>
  </si>
  <si>
    <t>0:02:26.046857</t>
  </si>
  <si>
    <t>AQAGL4yVTVKWIPeRMEdnnqj9CU3C6Aqe_0.01.02.022947-0.01.28.049124</t>
  </si>
  <si>
    <t>Adrian Rollini (bs), Arthur Schutt (p), Bill Rank (tb), Bo Ashford (tp), Carl Kress (g), Charlie Farrell (voc), Chauncey Morehouse (dr), Frank Trumbauer (other), Jack Hansen (b), Jim Miller (voc), Leo McConville (tp), Max Farley (as), Miff Mole (tb), Pee Wee  Russell (ts, cl), Red Nichols (cor)</t>
  </si>
  <si>
    <t>Red Nichols' Stompers</t>
  </si>
  <si>
    <t xml:space="preserve">Make My Cot Where The Cot- Cot- Cotton Grows </t>
  </si>
  <si>
    <t>1927-10-26</t>
  </si>
  <si>
    <t>0:01:02.022947</t>
  </si>
  <si>
    <t>0:01:28.049124</t>
  </si>
  <si>
    <t>AQAGL4yVTVKWIPeRMEdnnqj9CU3C6Aqe_0.02.17.050857-0.02.46.071927</t>
  </si>
  <si>
    <t>0:02:17.050857</t>
  </si>
  <si>
    <t>0:02:46.071927</t>
  </si>
  <si>
    <t>AQAGLYqULVmWRBH2xIS7BZd14aMH_0d__0.00.29.035292-0.01.36.070603</t>
  </si>
  <si>
    <t>Ben Webster (ts), Duke Ellington (p), Harry Carney (bs, as), Jimmy Blanton (b), Lawrence Brown (tb), Rex Stewart (cor), Sonny Greer (dr)</t>
  </si>
  <si>
    <t>Rex Stewart And His Orchestra</t>
  </si>
  <si>
    <t>Rex Stewart</t>
  </si>
  <si>
    <t>Subtle Slough</t>
  </si>
  <si>
    <t>1941-07-03</t>
  </si>
  <si>
    <t>0:00:29.035292</t>
  </si>
  <si>
    <t>0:01:36.070603</t>
  </si>
  <si>
    <t>AQAGM0oSLk0ULUHTH09wkUfDKCz-IGcC_0.01.31.000952-0.01.35.045142</t>
  </si>
  <si>
    <t>Ben Webster (ts), Duke Ellington (p), Harry Carney (as, bs), Jimmy Blanton (b), Lawrence Brown (tb), Rex Stewart (cor), Sonny Greer (dr)</t>
  </si>
  <si>
    <t>Menelik (The Lion Of Judah)</t>
  </si>
  <si>
    <t>0:01:31.000952</t>
  </si>
  <si>
    <t>0:01:35.045142</t>
  </si>
  <si>
    <t>AQAGM0oSLk0ULUHTH09wkUfDKCz-IGcC_0.01.41.004689-0.01.54.077333</t>
  </si>
  <si>
    <t>0:01:41.004689</t>
  </si>
  <si>
    <t>0:01:54.077333</t>
  </si>
  <si>
    <t>AQAGM0oSLk0ULUHTH09wkUfDKCz-IGcC_0.02.00.036353-0.02.03.066222</t>
  </si>
  <si>
    <t>0:02:00.036353</t>
  </si>
  <si>
    <t>0:02:03.066222</t>
  </si>
  <si>
    <t>AQAGM0oSLk0ULUHTH09wkUfDKCz-IGcC_0.02.03.066222-0.02.51.054539</t>
  </si>
  <si>
    <t>0:02:51.054539</t>
  </si>
  <si>
    <t>AQAgmkmiPNOyBJF05ZjyE4_Q47nhKcmH_0.00.25.007755-0.05.52.091428</t>
  </si>
  <si>
    <t>Gene Ammons</t>
  </si>
  <si>
    <t>Wee dot</t>
  </si>
  <si>
    <t>1970-07-26</t>
  </si>
  <si>
    <t>Live "North Park Hotel", Chicago, Afternoon Set</t>
  </si>
  <si>
    <t>0:00:25.007755</t>
  </si>
  <si>
    <t>0:05:52.091428</t>
  </si>
  <si>
    <t>AQAgmkmiPNOyBJF05ZjyE4_Q47nhKcmH_0.14.03.016299-0.14.27.059038</t>
  </si>
  <si>
    <t>0:14:03.016299</t>
  </si>
  <si>
    <t>0:14:27.059038</t>
  </si>
  <si>
    <t>AQAgmkmiPNOyBJF05ZjyE4_Q47nhKcmH_0.14.38.036444-0.14.48.058122</t>
  </si>
  <si>
    <t>0:14:38.036444</t>
  </si>
  <si>
    <t>0:14:48.058122</t>
  </si>
  <si>
    <t>AQAgmkmiPNOyBJF05ZjyE4_Q47nhKcmH_0.14.57.054412-0.15.09.010766</t>
  </si>
  <si>
    <t>0:14:57.054412</t>
  </si>
  <si>
    <t>0:15:09.010766</t>
  </si>
  <si>
    <t>AQAgmkmiPNOyBJF05ZjyE4_Q47nhKcmH_0.15.19.055664-0.15.30.098086</t>
  </si>
  <si>
    <t>0:15:19.055664</t>
  </si>
  <si>
    <t>0:15:30.098086</t>
  </si>
  <si>
    <t>AQAgmkmiPNOyBJF05ZjyE4_Q47nhKcmH_0.15.40.082612-0.15.44.086639</t>
  </si>
  <si>
    <t>0:15:40.082612</t>
  </si>
  <si>
    <t>0:15:44.086639</t>
  </si>
  <si>
    <t>AQAgmkmiPNOyBJF05ZjyE4_Q47nhKcmH_0.15.47.083854-0.15.52.043609</t>
  </si>
  <si>
    <t>0:15:47.083854</t>
  </si>
  <si>
    <t>0:15:52.043609</t>
  </si>
  <si>
    <t>AQAgmkmiPNOyBJF05ZjyE4_Q47nhKcmH_0.15.55.008317-0.15.58.056616</t>
  </si>
  <si>
    <t>0:15:55.008317</t>
  </si>
  <si>
    <t>0:15:58.056616</t>
  </si>
  <si>
    <t>AQAgmkmiPNOyBJF05ZjyE4_Q47nhKcmH_0.16.01.067764-0.16.05.043927</t>
  </si>
  <si>
    <t>0:16:01.067764</t>
  </si>
  <si>
    <t>0:16:05.043927</t>
  </si>
  <si>
    <t>AQAgmkmiPNOyBJF05ZjyE4_Q47nhKcmH_0.16.08.045786-0.16.12.049814</t>
  </si>
  <si>
    <t>0:16:08.045786</t>
  </si>
  <si>
    <t>0:16:12.049814</t>
  </si>
  <si>
    <t>AQAgmkmiPNOyBJF05ZjyE4_Q47nhKcmH_0.16.15.051673-0.16.19.051056</t>
  </si>
  <si>
    <t>0:16:15.051673</t>
  </si>
  <si>
    <t>0:16:19.051056</t>
  </si>
  <si>
    <t>AQAGn8sURWGSbAl-MD0cMSMOHMmsI2am_0.00.48.092444-0.01.15.051999</t>
  </si>
  <si>
    <t>Al Grey (tb), Billy Mitchell (ts), Frank Wess (as), Hank Jones (p), Osie Johnson (dr), Richard Davis (b), Thad Jones (tp)</t>
  </si>
  <si>
    <t>Thad Jones</t>
  </si>
  <si>
    <t>The Best Of Birdland Vol.2</t>
  </si>
  <si>
    <t>Tip toe</t>
  </si>
  <si>
    <t>1960-05-12</t>
  </si>
  <si>
    <t>0:00:48.092444</t>
  </si>
  <si>
    <t>0:01:15.051999</t>
  </si>
  <si>
    <t>AQAGn8sURWGSbAl-MD0cMSMOHMmsI2am_0.01.15.051999-0.01.39.098222</t>
  </si>
  <si>
    <t>0:01:39.098222</t>
  </si>
  <si>
    <t>AQAGn8sURWGSbAl-MD0cMSMOHMmsI2am_0.01.46.030095-0.02.04.093206</t>
  </si>
  <si>
    <t>Billy Mitchell</t>
  </si>
  <si>
    <t>0:01:46.030095</t>
  </si>
  <si>
    <t>0:02:04.093206</t>
  </si>
  <si>
    <t>AQAGn8sURWGSbAl-MD0cMSMOHMmsI2am_0.02.04.093206-0.02.28.084716</t>
  </si>
  <si>
    <t>0:02:28.084716</t>
  </si>
  <si>
    <t>AQAGNlSTdVkiJD_yE88YB72OM8_xWQue_0.00.33.066893-0.02.47.083383</t>
  </si>
  <si>
    <t>Al McKibbon (b), Buddy DeFranco (cl), Dizzy Gilllespie (tp), Don Elliott (tp, other), Max Roach (dr), Ray Abrams (ts), Ronnie Ball (p)</t>
  </si>
  <si>
    <t>Hot Versus Cool - Dizzy Gillespie's Cool Jazz Stars</t>
  </si>
  <si>
    <t>Dizzy Gillespie Vol. 7 (1952-53)</t>
  </si>
  <si>
    <t>Indiana</t>
  </si>
  <si>
    <t>1952-11-24</t>
  </si>
  <si>
    <t>0:00:33.066893</t>
  </si>
  <si>
    <t>0:02:47.083383</t>
  </si>
  <si>
    <t>AQAGNNQzLQx-PDm-48Ij6Dv6BM_RxEpO_0.00.36.088489-0.01.08.064979</t>
  </si>
  <si>
    <t>Bill Coleman (tp), Dicky Wells (tb), Jo Jones (dr), Joe Bushkin (p), John Simmons (b), Lester Young (ts)</t>
  </si>
  <si>
    <t>Dicky Wells</t>
  </si>
  <si>
    <t>Kansas City Six</t>
  </si>
  <si>
    <t>Lester Young Vol. 4 (1944)</t>
  </si>
  <si>
    <t>Jo-Jo</t>
  </si>
  <si>
    <t>1944-03-27</t>
  </si>
  <si>
    <t>0:00:36.088489</t>
  </si>
  <si>
    <t>0:01:08.064979</t>
  </si>
  <si>
    <t>AQAGNNQzLQx-PDm-48Ij6Dv6BM_RxEpO_0.01.08.064979-0.01.39.089224</t>
  </si>
  <si>
    <t>AQAGNNQzLQx-PDm-48Ij6Dv6BM_RxEpO_0.01.39.089224-0.02.11.052653</t>
  </si>
  <si>
    <t>Bill Coleman</t>
  </si>
  <si>
    <t>0:02:11.052653</t>
  </si>
  <si>
    <t>AQAGOlqUJUkUZTj84jgSXghx48yD5zia_0.01.12.000507-0.02.13.012000</t>
  </si>
  <si>
    <t>Clarence Willard (tb), Frank Carlson (dr), Jack Ferrier (as), Joe Bishop (other), Malcolm Crain (tp (tb), Neal Reid (tb), Oliver Matthewson (g), Pete Johns (ts), Ray Hopfner (as), Saxie Mansfield (ts), Sonny Skylar (voc), Tommy Linehan (p), Walter Yoder (b), Woody Herman (as, other, cl, voc)</t>
  </si>
  <si>
    <t>Calliope Blues</t>
  </si>
  <si>
    <t>0:01:12.000507</t>
  </si>
  <si>
    <t>0:02:13.012000</t>
  </si>
  <si>
    <t>AQAGOVLCLMkUTfjh13iP_8gv6DkupsET_0.01.21.037142-0.02.04.083047</t>
  </si>
  <si>
    <t>Charlie Dixon (bjo), Coleman Hawkins (ts, bs), Don Redman (other, as, cl), Elmer Chambers (cor), Fletcher Henderson (other, p), Howard Scott (cor), Kaiser Marshall (d) unknown (other), Lonnie Brown (ts), Ralph Escudero (b), Teddy Nixon (tb)</t>
  </si>
  <si>
    <t>Fletcher Henderson 1923 &amp; 24</t>
  </si>
  <si>
    <t xml:space="preserve">Muscle Shoals Blues </t>
  </si>
  <si>
    <t>1924-06-21</t>
  </si>
  <si>
    <t>0:01:21.037142</t>
  </si>
  <si>
    <t>AQAGOVLCLMkUTfjh13iP_8gv6DkupsET_0.02.04.083047-0.02.31.067274</t>
  </si>
  <si>
    <t>0:02:31.067274</t>
  </si>
  <si>
    <t>AQAGOVLCLMkUTfjh13iP_8gv6DkupsET_0.02.31.067274-0.02.51.064190</t>
  </si>
  <si>
    <t>Don Redman</t>
  </si>
  <si>
    <t>0:02:51.064190</t>
  </si>
  <si>
    <t>AQAGp4nGZZGWRNA4hoLVDtfRXBwuloJ2_0.00.42.084081-0.01.22.065142</t>
  </si>
  <si>
    <t>Charles Mingus (b), J.J. Johnson (tb), Kenny Clarke (dr), Louis 'Sabu' Martinez (other), Wynton Kelly (p)</t>
  </si>
  <si>
    <t>J.J. Johnson Quintet</t>
  </si>
  <si>
    <t>Cool Jazz - J.J. Johnson 1954-55</t>
  </si>
  <si>
    <t>1954-09-24</t>
  </si>
  <si>
    <t>0:00:42.084081</t>
  </si>
  <si>
    <t>0:01:22.065142</t>
  </si>
  <si>
    <t>AQAGp4nGZZGWRNA4hoLVDtfRXBwuloJ2_0.02.00.054349-0.02.39.034984</t>
  </si>
  <si>
    <t>0:02:00.054349</t>
  </si>
  <si>
    <t>0:02:39.034984</t>
  </si>
  <si>
    <t>AQAGp4nGZZGWRNA4hoLVDtfRXBwuloJ2_0.02.39.034984-0.02.44.040888</t>
  </si>
  <si>
    <t>0:02:44.040888</t>
  </si>
  <si>
    <t>AQAGp4nGZZGWRNA4hoLVDtfRXBwuloJ2_0.02.48.071619-0.02.53.083619</t>
  </si>
  <si>
    <t>0:02:48.071619</t>
  </si>
  <si>
    <t>0:02:53.083619</t>
  </si>
  <si>
    <t>AQAGPlq0ZNEYBW6OH80z4Hh6XI6m4NvR_0.01.09.077596-0.02.05.034018</t>
  </si>
  <si>
    <t>Benjamin Lundy (ts), Cecil Payne (bs), Curly Russell (b), J.J. Johnson (tb), John Collins (g), Kay Penton (voc), Kenny Clarke (dr), Miles Davis (tp), Sahib Shihab (as), Tadd Dameron (p, other)</t>
  </si>
  <si>
    <t>Kay Penton</t>
  </si>
  <si>
    <t xml:space="preserve">Tadd Dameron And His Orchestra </t>
  </si>
  <si>
    <t xml:space="preserve">Heaven's Doors Are Wide Open </t>
  </si>
  <si>
    <t>1949-04-21</t>
  </si>
  <si>
    <t>0:01:09.077596</t>
  </si>
  <si>
    <t>0:02:05.034018</t>
  </si>
  <si>
    <t>AQAGPlq0ZNEYBW6OH80z4Hh6XI6m4NvR_0.02.05.034018-0.03.01.069614</t>
  </si>
  <si>
    <t>0:03:01.069614</t>
  </si>
  <si>
    <t>AQAGPpKeRBETJXgkIs-cBH5-5NFxHjOT_0.02.25.072843-0.02.35.085233</t>
  </si>
  <si>
    <t>Charlie Irvis, Jimmy Harrison</t>
  </si>
  <si>
    <t>Charlie Irvis (tb), Don Redman (cl, as), Duke Ellington (p), Fred Guy (bjo), George Thomas (ts, cl), Harry Cooper (tp), Henry Edwards (b), Jimmy Harrison (voc, tb), Leroy Rutlegde (tp), Otto Hardwick (bs, as), Prince Robinson (ts, cl), Sonny Greer (dr)</t>
  </si>
  <si>
    <t>Duke Ellington and His Orchestra 1924 – 27</t>
  </si>
  <si>
    <t>Duke Ellington 1924 – 27</t>
  </si>
  <si>
    <t xml:space="preserve">If You Can't Hold The Man You Love </t>
  </si>
  <si>
    <t>1926-03-30</t>
  </si>
  <si>
    <t>0:02:25.072843</t>
  </si>
  <si>
    <t>0:02:35.085233</t>
  </si>
  <si>
    <t>AQAGq1k0JUmUC7qO41mOwyuNA7AWHCei_0.00.46.043990-0.01.31.077687</t>
  </si>
  <si>
    <t>Dennis Warren (other, dr), Earl Grant Lawrence (fl), Larry Roland (b), Martin Gil (other), Raphe Malik (tp), Raqib Hassan (ts), Tony Owens (as), Tor Yochai Snyder (g)</t>
  </si>
  <si>
    <t>Dennis Warren</t>
  </si>
  <si>
    <t>Watch Out !</t>
  </si>
  <si>
    <t>Adam's garden sketch</t>
  </si>
  <si>
    <t>1996-02-17</t>
  </si>
  <si>
    <t>Boston, MA</t>
  </si>
  <si>
    <t>0:01:31.077687</t>
  </si>
  <si>
    <t>AQAGq1k0JUmUC7qO41mOwyuNA7AWHCei_0.01.31.077687-0.02.15.019673</t>
  </si>
  <si>
    <t>0:02:15.019673</t>
  </si>
  <si>
    <t>AQAGQpKiKVU0PLiGKVYE3kGQRDOOhg9K_0.00.53.002857-0.01.11.005306</t>
  </si>
  <si>
    <t>Benny Goodman, Ted Lewis</t>
  </si>
  <si>
    <t>Benny Goodman (cl), Dave Klein (tp), Fats Waller (voc, p), George Brunies (tb), Harry Barth (b), Hymie Wolfson (ts), John Lucas (dr), Muggsy Spanier (cor), Sam Shapiro (vln), Sol Klein (vln), Ted Lewis (voc, cl), Tony Gerhardi (g)</t>
  </si>
  <si>
    <t>Ted Lewis And His Band</t>
  </si>
  <si>
    <t>Ted Lewis</t>
  </si>
  <si>
    <t>Fats Waller 1927-31</t>
  </si>
  <si>
    <t xml:space="preserve">Egyptian Ella </t>
  </si>
  <si>
    <t>1931-03-05</t>
  </si>
  <si>
    <t>0:00:53.002857</t>
  </si>
  <si>
    <t>0:01:11.005306</t>
  </si>
  <si>
    <t>AQAGQpKiKVU0PLiGKVYE3kGQRDOOhg9K_0.01.11.005306-0.01.20.032653</t>
  </si>
  <si>
    <t>0:01:20.032653</t>
  </si>
  <si>
    <t>AQAGQpKiKVU0PLiGKVYE3kGQRDOOhg9K_0.01.20.032653-0.01.29.035038</t>
  </si>
  <si>
    <t>0:01:29.035038</t>
  </si>
  <si>
    <t>AQAgQtGoRFqmKDju44aWo5-HHL5ynATL_0.05.47.042857-0.09.49.022956</t>
  </si>
  <si>
    <t>Gary Bartz (ss, as), Jack DeJohnette (dr), Keith Jarrett (org, p), Mike Henderson (b), Miles Davis (tp)</t>
  </si>
  <si>
    <t>Yesternow</t>
  </si>
  <si>
    <t>1970-12-16</t>
  </si>
  <si>
    <t>Live "Cellar Door", 1st set, Washington, D.C.</t>
  </si>
  <si>
    <t>0:05:47.042857</t>
  </si>
  <si>
    <t>0:09:49.022956</t>
  </si>
  <si>
    <t>AQAgQtGoRFqmKDju44aWo5-HHL5ynATL_0.09.49.022956-0.14.14.049433</t>
  </si>
  <si>
    <t>Gary Bartz</t>
  </si>
  <si>
    <t>0:14:14.049433</t>
  </si>
  <si>
    <t>AQAGslKSKVkSJYJ__MKP1gLqw7gPXPBz_0.01.15.065061-0.02.31.018512</t>
  </si>
  <si>
    <t>Bill Green (bs, ss), Bob Cooper (ts), Bob Maize (b), Ernie Andrews (voc), Frank Capp (dr), Joe Roccisano (as), Mel Wanzo (tb), Nat Pierce (p), Ray Pohlman (g), Warren Luening (tp)</t>
  </si>
  <si>
    <t>Bill Green</t>
  </si>
  <si>
    <t>Frank Capp</t>
  </si>
  <si>
    <t>The Juggernaut Strikes Again</t>
  </si>
  <si>
    <t>New York shuffle</t>
  </si>
  <si>
    <t>1981-10-01</t>
  </si>
  <si>
    <t>0:01:15.065061</t>
  </si>
  <si>
    <t>0:02:31.018512</t>
  </si>
  <si>
    <t>AQAGSVGWJHQSEXmfog_CnMe1I3kd3JnQ_0.02.28.097922-0.02.38.077804</t>
  </si>
  <si>
    <t>Al Beller (vln), Ben Pollack (voc), Bob Haring (other), Charlie Spivak (tp), Eddie Miller (ts), Gil Bowers (p), Gil Rodin (as), Harry Goodman (b), Jack Teagarden (voc, tb), Jimmy Dorsey (as, cl), Nappy Lamare (g), Ray Bauduc (dr), Sterling Bose (tp)</t>
  </si>
  <si>
    <t>New Orleans Ramblers</t>
  </si>
  <si>
    <t xml:space="preserve">I'm One Of God's Children </t>
  </si>
  <si>
    <t>1931-02-18</t>
  </si>
  <si>
    <t>0:02:28.097922</t>
  </si>
  <si>
    <t>0:02:38.077804</t>
  </si>
  <si>
    <t>AQAGSVGWJHQSEXmfog_CnMe1I3kd3JnQ_0.02.38.077804-0.02.43.074712</t>
  </si>
  <si>
    <t>0:02:43.074712</t>
  </si>
  <si>
    <t>AQAGSVGWJHQSEXmfog_CnMe1I3kd3JnQ_0.02.43.074712-0.02.56.088961</t>
  </si>
  <si>
    <t>Charlie Spivak, Sterling Bose</t>
  </si>
  <si>
    <t>0:02:56.088961</t>
  </si>
  <si>
    <t>AQAGu2SSpVGYoF9neMcPdz96BrUyIWkm_0.01.03.047755-0.02.01.016172</t>
  </si>
  <si>
    <t>David Stump (as), David Sycks (tp), Gary Potter (b), Jack Gilfoy (dr), Jared Rodin (tb), Koji Suzuki (other), Luke Gillespie (p), Sigurdur Flosason (bs), Tom Walsh (ts)</t>
  </si>
  <si>
    <t>David Stump</t>
  </si>
  <si>
    <t>Eugene Rousseau</t>
  </si>
  <si>
    <t>Mr. Mellow</t>
  </si>
  <si>
    <t>Take five</t>
  </si>
  <si>
    <t>1990-01-01</t>
  </si>
  <si>
    <t>Wilmington, N.C. ?</t>
  </si>
  <si>
    <t>0:01:03.047755</t>
  </si>
  <si>
    <t>0:02:01.016172</t>
  </si>
  <si>
    <t>AQAGu2SSpVGYoF9neMcPdz96BrUyIWkm_0.02.49.037142-0.03.23.095102</t>
  </si>
  <si>
    <t>0:02:49.037142</t>
  </si>
  <si>
    <t>0:03:23.095102</t>
  </si>
  <si>
    <t>AQAGUXIjJVIolDemLGOOzwF1FpNIPFyO_0.00.49.048752-0.01.23.044671</t>
  </si>
  <si>
    <t>Andrew Brown (ts, bcl), Arville Harris (as, cl), Cab Calloway (other, voc), De Priest Wheeler (tb), Earres Prince (p), Harry White (tb), Jimmy Smith (b), Lammar Wright (tp), Leroy Maxey (dr), Morris White (bjo), R.Q. Dickerson (tp), Reuben Reeves (tp), Walter 'Foots' Thomas (bs, ts, other, as)</t>
  </si>
  <si>
    <t xml:space="preserve">Cab Calloway </t>
  </si>
  <si>
    <t xml:space="preserve">Six Or Seven Times </t>
  </si>
  <si>
    <t>1931-06-11</t>
  </si>
  <si>
    <t>0:00:49.048752</t>
  </si>
  <si>
    <t>0:01:23.044671</t>
  </si>
  <si>
    <t>AQAGUXIjJVIolDemLGOOzwF1FpNIPFyO_0.01.31.057369-0.02.03.090748</t>
  </si>
  <si>
    <t>0:01:31.057369</t>
  </si>
  <si>
    <t>0:02:03.090748</t>
  </si>
  <si>
    <t>AQAGUXIjJVIolDemLGOOzwF1FpNIPFyO_0.02.36.067664-0.03.11.076780</t>
  </si>
  <si>
    <t>0:02:36.067664</t>
  </si>
  <si>
    <t>0:03:11.076780</t>
  </si>
  <si>
    <t>AQAGW4rSJMumKMFTbDv6UEiaLjviB6eM_0.01.45.011673-0.02.29.021142</t>
  </si>
  <si>
    <t>Joe Sample (p)</t>
  </si>
  <si>
    <t>Love and peace</t>
  </si>
  <si>
    <t>1968-07-10</t>
  </si>
  <si>
    <t>0:02:29.021142</t>
  </si>
  <si>
    <t>AQAGWVmSKNoWRUP63fhxLfBRHzeOzj_-_0.00.58.035174-0.01.16.009179</t>
  </si>
  <si>
    <t>Arthur Whetsol (tp), Barney Bigard (cl, ts), Cootie Williams (tp), Duke Ellington (p, other), Fred Guy (bjo), Freddy Jenkins (tp), Harry Carney (as, cl, bs), Joe 'Tricky Sam' Nanton (tb), Johnny Hodges (cl, as, ss), Sonny Greer (dr), Wellman Braud (b)</t>
  </si>
  <si>
    <t>Joe 'Tricky Sam' Nanton</t>
  </si>
  <si>
    <t>Duke Ellington (Mills' Ten Black Berries)</t>
  </si>
  <si>
    <t>Duke Ellington 1930</t>
  </si>
  <si>
    <t xml:space="preserve">Double Check Stomp </t>
  </si>
  <si>
    <t>1930-06-12</t>
  </si>
  <si>
    <t>0:00:58.035174</t>
  </si>
  <si>
    <t>0:01:16.009179</t>
  </si>
  <si>
    <t>AQAGWVmSKNoWRUP63fhxLfBRHzeOzj_-_0.01.16.009179-0.01.33.099437</t>
  </si>
  <si>
    <t>Arthur Whetsol, Cootie Williams, Freddy Jenkins</t>
  </si>
  <si>
    <t>0:01:33.099437</t>
  </si>
  <si>
    <t>AQAGWVmSKNoWRUP63fhxLfBRHzeOzj_-_0.01.33.099437-0.02.09.026548</t>
  </si>
  <si>
    <t>Harry Carney</t>
  </si>
  <si>
    <t>0:02:09.026548</t>
  </si>
  <si>
    <t>AQAGWVmSKNoWRUP63fhxLfBRHzeOzj_-_0.02.09.026548-0.02.42.094603</t>
  </si>
  <si>
    <t>0:02:42.094603</t>
  </si>
  <si>
    <t>AQAGX2qiLJIiCqctNPPQ6zhzNEujQjvx_0.01.57.015891-0.02.17.053251</t>
  </si>
  <si>
    <t>Benny Goodman (cl), Gene Krupa (dr), Teddy Wilson (p)</t>
  </si>
  <si>
    <t>Benny Goodman Trio</t>
  </si>
  <si>
    <t>Benny Goodman Groups (1935-36)</t>
  </si>
  <si>
    <t>Body And Soul</t>
  </si>
  <si>
    <t>1935-07-13</t>
  </si>
  <si>
    <t>0:01:57.015891</t>
  </si>
  <si>
    <t>0:02:17.053251</t>
  </si>
  <si>
    <t>AQAGX5J-MgqaSyRCXULiK8R_o_GV48dD_0.00.52.036099-0.01.33.064607</t>
  </si>
  <si>
    <t>Jack Teagarden, Johnny Mercer</t>
  </si>
  <si>
    <t>Artie Bernstein (b), Chet Hazlett (as, cl), Frank Guarente (tp), Frank Worrell (g), Jack Teagarden (tb, voc), Jimmy Dorsey (as, cl), Joe Meresco (p), Joe Venuti (vln), Johnny Mercer (voc), Larry Gomar (dr), Lou Kosloff (vln), Mutt Hayes (cl, ts), Sterling Bose (tp), Walt Edelstein (vln)</t>
  </si>
  <si>
    <t>Paul Whiteman And His Orchestra</t>
  </si>
  <si>
    <t>Paul Whiteman</t>
  </si>
  <si>
    <t>Jack Teagarden 1934-35</t>
  </si>
  <si>
    <t>Christmas Night In Harlem</t>
  </si>
  <si>
    <t>1934-04-17</t>
  </si>
  <si>
    <t>0:00:52.036099</t>
  </si>
  <si>
    <t>0:01:33.064607</t>
  </si>
  <si>
    <t>AQAGX5J-MgqaSyRCXULiK8R_o_GV48dD_0.01.33.064607-0.02.05.087537</t>
  </si>
  <si>
    <t>0:02:05.087537</t>
  </si>
  <si>
    <t>AQAGX5J-MgqaSyRCXULiK8R_o_GV48dD_0.02.05.087537-0.02.21.075782</t>
  </si>
  <si>
    <t>0:02:21.075782</t>
  </si>
  <si>
    <t>AQAGX5J-MgqaSyRCXULiK8R_o_GV48dD_0.02.21.075782-0.02.43.005052</t>
  </si>
  <si>
    <t>Frank Guarente, Sterling Bose</t>
  </si>
  <si>
    <t>0:02:43.005052</t>
  </si>
  <si>
    <t>AQAGXBIbShJ85Xg6Yz-aYeIffGOK58Zh_0.00.53.098639-0.01.07.070938</t>
  </si>
  <si>
    <t>George Oldham, Omer Simeon</t>
  </si>
  <si>
    <t>Alvin Burroughs (dr), Budd Johnson (ts), George Oldham (as), Jesse Simpkins (b), Lionel Hampton (other, p, voc, vib), Omer Simeon (cl, as), Robert Crowder (ts), Spencer Odun (p), Walter Fuller (tp)</t>
  </si>
  <si>
    <t>Lionel Hampton Groups 1938-39</t>
  </si>
  <si>
    <t>Fiddle Diddle</t>
  </si>
  <si>
    <t>1938-10-11</t>
  </si>
  <si>
    <t>0:00:53.098639</t>
  </si>
  <si>
    <t>0:01:07.070938</t>
  </si>
  <si>
    <t>AQAGXBIbShJ85Xg6Yz-aYeIffGOK58Zh_0.02.15.006394-0.02.27.013469</t>
  </si>
  <si>
    <t>0:02:15.006394</t>
  </si>
  <si>
    <t>0:02:27.013469</t>
  </si>
  <si>
    <t>AQAGXBIbShJ85Xg6Yz-aYeIffGOK58Zh_0.02.27.013469-0.02.53.059673</t>
  </si>
  <si>
    <t>Walter Fuller</t>
  </si>
  <si>
    <t>0:02:53.059673</t>
  </si>
  <si>
    <t>AQAGXBIbShJ85Xg6Yz-aYeIffGOK58Zh_0.02.53.059673-0.03.07.049333</t>
  </si>
  <si>
    <t>0:03:07.049333</t>
  </si>
  <si>
    <t>AQAGXBIbShJ85Xg6Yz-aYeIffGOK58Zh_0.03.07.049333-0.03.24.024000</t>
  </si>
  <si>
    <t>0:03:24.024000</t>
  </si>
  <si>
    <t>AQAGXOrETJHQ6FYC1yny5Uj44y36fGil_0.01.33.046031-0.02.36.040961</t>
  </si>
  <si>
    <t>Chris White (b), Dizzy Gillespie (voc, tp), Double Six of Paris (voc), Eddy Louiss (voc), Kenny Barron (p), Lalo Schifrin (other), Rudy Collins (dr)</t>
  </si>
  <si>
    <t>Dizzy For President</t>
  </si>
  <si>
    <t>Oo-shoo-bee-doo-bee</t>
  </si>
  <si>
    <t>1963-10-08</t>
  </si>
  <si>
    <t>Chicago, Il</t>
  </si>
  <si>
    <t>0:01:33.046031</t>
  </si>
  <si>
    <t>0:02:36.040961</t>
  </si>
  <si>
    <t>AQAGXoySKBGTVChlXMQuEuEh6TyefJhO_0.01.36.096653-0.01.56.009396</t>
  </si>
  <si>
    <t>Charlie Irvis (tb), Eddie King (dr), Fats Waller (org), Tom Morris (cor)</t>
  </si>
  <si>
    <t>Tom Morris</t>
  </si>
  <si>
    <t>Thomas Wallers With Morris' Hot Babies</t>
  </si>
  <si>
    <t xml:space="preserve">Fats Waller Stomp </t>
  </si>
  <si>
    <t>1927-05-20</t>
  </si>
  <si>
    <t>0:01:36.096653</t>
  </si>
  <si>
    <t>0:01:56.009396</t>
  </si>
  <si>
    <t>AQAGXoySKBGTVChlXMQuEuEh6TyefJhO_0.01.56.009396-0.02.15.036653</t>
  </si>
  <si>
    <t>0:02:15.036653</t>
  </si>
  <si>
    <t>AQAGYIvEJVOURTie8AKTZeGMHkN4aBmr_0.01.20.009142-0.02.33.091455</t>
  </si>
  <si>
    <t>Benny Goodman (cl), Gene Krupa (dr), Lionel Hampton (vib), Teddy Wilson (p)</t>
  </si>
  <si>
    <t>Benny Goodman Quartet</t>
  </si>
  <si>
    <t>Moon Glow</t>
  </si>
  <si>
    <t>1936-08-21</t>
  </si>
  <si>
    <t>0:01:20.009142</t>
  </si>
  <si>
    <t>0:02:33.091455</t>
  </si>
  <si>
    <t>AQAGYIvEJVOURTie8AKTZeGMHkN4aBmr_0.02.33.091455-0.02.53.062285</t>
  </si>
  <si>
    <t>0:02:53.062285</t>
  </si>
  <si>
    <t>AQAGYkqSJMqYZRq2rI2Cciae41LO4HmH_0.02.10.003174-0.02.41.070376</t>
  </si>
  <si>
    <t>Al McKibbon (b), Bill Barber (other), Gerry Mulligan (bs, other), Gil Evans (other), Gunther Schuller (other), J.J. Johnson (tb), John Lewis (p), Kenny Hagood (voc), Lee Konitz (as), Max Roach (dr), Miles Davis (other, tp)</t>
  </si>
  <si>
    <t xml:space="preserve">Darn That Dream </t>
  </si>
  <si>
    <t>1950-03-09</t>
  </si>
  <si>
    <t>0:02:10.003174</t>
  </si>
  <si>
    <t>0:02:41.070376</t>
  </si>
  <si>
    <t>AQAGyppME12Z4seJh0cvIj-DUyJOc8G6_0.00.54.028825-0.01.46.011519</t>
  </si>
  <si>
    <t>Bucky Pizzarelli (g), Evan Christopher (other, cl), Greg Cohen (b), James Chirillo (g)</t>
  </si>
  <si>
    <t>Evan Christopher</t>
  </si>
  <si>
    <t>The Remembering Song</t>
  </si>
  <si>
    <t>My home is in a southern town</t>
  </si>
  <si>
    <t>2009-05-19</t>
  </si>
  <si>
    <t>0:00:54.028825</t>
  </si>
  <si>
    <t>0:01:46.011519</t>
  </si>
  <si>
    <t>AQAGyppME12Z4seJh0cvIj-DUyJOc8G6_0.02.11.098222-0.02.39.002040</t>
  </si>
  <si>
    <t>0:02:11.098222</t>
  </si>
  <si>
    <t>0:02:39.002040</t>
  </si>
  <si>
    <t>AQAGZkkURYoySUU-8EeYjQn0w9dwbGdz_0.01.09.023115-0.01.42.089512</t>
  </si>
  <si>
    <t>Bobby Hackett (cor), Hank Jones (p), Mel Lewis (dr), Peter Appleyard (vib), Slam Stewart (b), Urbie Green (tb), Zoot Sims (ts)</t>
  </si>
  <si>
    <t>Peter Appleyard</t>
  </si>
  <si>
    <t>The Lost 1974 Sessions</t>
  </si>
  <si>
    <t>A smooth one</t>
  </si>
  <si>
    <t>1974-09-14</t>
  </si>
  <si>
    <t>Toronto, ON, Canada</t>
  </si>
  <si>
    <t>0:01:09.023115</t>
  </si>
  <si>
    <t>0:01:42.089512</t>
  </si>
  <si>
    <t>AQAGZkkURYoySUU-8EeYjQn0w9dwbGdz_0.01.42.089512-0.01.58.090823</t>
  </si>
  <si>
    <t>Zoot Sims</t>
  </si>
  <si>
    <t>0:01:58.090823</t>
  </si>
  <si>
    <t>AQAGZkkURYoySUU-8EeYjQn0w9dwbGdz_0.01.58.090823-0.02.14.067573</t>
  </si>
  <si>
    <t>0:02:14.067573</t>
  </si>
  <si>
    <t>AQAGZkkURYoySUU-8EeYjQn0w9dwbGdz_0.02.14.067573-0.02.47.033548</t>
  </si>
  <si>
    <t>0:02:47.033548</t>
  </si>
  <si>
    <t>AQAGZkkURYoySUU-8EeYjQn0w9dwbGdz_0.02.47.033548-0.03.02.098455</t>
  </si>
  <si>
    <t>Urbie Green</t>
  </si>
  <si>
    <t>0:03:02.098455</t>
  </si>
  <si>
    <t>AQAGZZKeKJ2SoI5yODysP0SviEL1oFmS_0.01.07.047428-0.02.29.079192</t>
  </si>
  <si>
    <t>Bill Ware (other, voc, vib), Brad Jones (b, voc), Curtis Fowlkes (voc, tb), Jim Nolet (other, vln, g), Rodriguez (), Roy Nathanson (ts, voc, as, other, ss)</t>
  </si>
  <si>
    <t>The Jazz Passengers</t>
  </si>
  <si>
    <t>Plain Old Joe</t>
  </si>
  <si>
    <t>Inzane</t>
  </si>
  <si>
    <t>1993-01-01</t>
  </si>
  <si>
    <t>New Jersey</t>
  </si>
  <si>
    <t>0:01:07.047428</t>
  </si>
  <si>
    <t>0:02:29.079192</t>
  </si>
  <si>
    <t>AQAH-QmnZFSK66i4Q39HWB-D8Md5zMHB_0.00.59.037342-0.01.49.006412</t>
  </si>
  <si>
    <t>Ben Webster, Coleman Hawkins</t>
  </si>
  <si>
    <t>Ben Webster (ts), Coleman Hawkins (ts), Herb Ellis (g), Oscar Peterson (p), Ray Brown (b), Stan Levey (dr)</t>
  </si>
  <si>
    <t>Ben Webster - Coleman Hawkins</t>
  </si>
  <si>
    <t>Ben Webster and Friends 1957</t>
  </si>
  <si>
    <t>You'd Be So Nice To Come Home To</t>
  </si>
  <si>
    <t>1957-10-16</t>
  </si>
  <si>
    <t>0:01:49.006412</t>
  </si>
  <si>
    <t>AQAH-QmnZFSK66i4Q39HWB-D8Md5zMHB_0.02.37.045451-0.03.30.000126</t>
  </si>
  <si>
    <t>0:02:37.045451</t>
  </si>
  <si>
    <t>0:03:30.000126</t>
  </si>
  <si>
    <t>AQAH-QmnZFSK66i4Q39HWB-D8Md5zMHB_0.03.30.000126-0.03.47.030013</t>
  </si>
  <si>
    <t>0:03:47.030013</t>
  </si>
  <si>
    <t>AQAH-ZKS6kqSBJciWniiH8d5Ij1DYQ-X_0.01.26.079619-0.01.35.096807</t>
  </si>
  <si>
    <t>Billy Bauer (g), Charlie Parker (as), Dizzy  Gillespie (tp), John LaPorta (cl), Lennie Tristano (p), Max Roach (dr), Ray Brown (b)</t>
  </si>
  <si>
    <t>Barry Ulanov's All Star Modern Jazz Musicians</t>
  </si>
  <si>
    <t>Dizzy Gillespie &amp; Charlie Parker Vol. 4 (1947-50)</t>
  </si>
  <si>
    <t>Koko (Theme) / On The Sunny Side Of The Street</t>
  </si>
  <si>
    <t>1947-09-20</t>
  </si>
  <si>
    <t>0:01:26.079619</t>
  </si>
  <si>
    <t>0:01:35.096807</t>
  </si>
  <si>
    <t>AQAH-ZKS6kqSBJciWniiH8d5Ij1DYQ-X_0.01.35.096807-0.01.42.023746</t>
  </si>
  <si>
    <t>Dizzy  Gillespie</t>
  </si>
  <si>
    <t>0:01:42.023746</t>
  </si>
  <si>
    <t>AQAH-ZKS6kqSBJciWniiH8d5Ij1DYQ-X_0.01.42.023746-0.01.44.048979</t>
  </si>
  <si>
    <t>0:01:44.048979</t>
  </si>
  <si>
    <t>AQAH-ZKS6kqSBJciWniiH8d5Ij1DYQ-X_0.01.44.048979-0.01.54.047437</t>
  </si>
  <si>
    <t>0:01:54.047437</t>
  </si>
  <si>
    <t>AQAH-ZKS6kqSBJciWniiH8d5Ij1DYQ-X_0.01.54.047437-0.01.59.044344</t>
  </si>
  <si>
    <t>0:01:59.044344</t>
  </si>
  <si>
    <t>AQAH-ZKS6kqSBJciWniiH8d5Ij1DYQ-X_0.01.59.044344-0.02.06.040943</t>
  </si>
  <si>
    <t>0:02:06.040943</t>
  </si>
  <si>
    <t>AQAH-ZKS6kqSBJciWniiH8d5Ij1DYQ-X_0.02.06.040943-0.02.12.002866</t>
  </si>
  <si>
    <t>0:02:12.002866</t>
  </si>
  <si>
    <t>AQAH-ZKS6kqSBJciWniiH8d5Ij1DYQ-X_0.02.12.002866-0.02.16.030113</t>
  </si>
  <si>
    <t>0:02:16.030113</t>
  </si>
  <si>
    <t>AQAH-ZKS6kqSBJciWniiH8d5Ij1DYQ-X_0.02.16.030113-0.02.17.039247</t>
  </si>
  <si>
    <t>0:02:17.039247</t>
  </si>
  <si>
    <t>AQAH-ZKS6kqSBJciWniiH8d5Ij1DYQ-X_0.02.17.039247-0.02.19.011074</t>
  </si>
  <si>
    <t>0:02:19.011074</t>
  </si>
  <si>
    <t>AQAH-ZKS6kqSBJciWniiH8d5Ij1DYQ-X_0.02.19.011074-0.02.20.027174</t>
  </si>
  <si>
    <t>0:02:20.027174</t>
  </si>
  <si>
    <t>AQAH-ZKS6kqSBJciWniiH8d5Ij1DYQ-X_0.02.20.027174-0.02.22.022222</t>
  </si>
  <si>
    <t>0:02:22.022222</t>
  </si>
  <si>
    <t>AQAH-ZKS6kqSBJciWniiH8d5Ij1DYQ-X_0.02.22.022222-0.02.22.096526</t>
  </si>
  <si>
    <t>0:02:22.096526</t>
  </si>
  <si>
    <t>AQAH-ZKS6kqSBJciWniiH8d5Ij1DYQ-X_0.02.22.096526-0.02.24.070675</t>
  </si>
  <si>
    <t>0:02:24.070675</t>
  </si>
  <si>
    <t>AQAH-ZKS6kqSBJciWniiH8d5Ij1DYQ-X_0.02.24.070675-0.02.26.049469</t>
  </si>
  <si>
    <t>0:02:26.049469</t>
  </si>
  <si>
    <t>AQAH-ZKS6kqSBJciWniiH8d5Ij1DYQ-X_0.02.26.049469-0.02.28.002721</t>
  </si>
  <si>
    <t>0:02:28.002721</t>
  </si>
  <si>
    <t>AQAH-ZKS6kqSBJciWniiH8d5Ij1DYQ-X_0.02.28.002721-0.02.29.023464</t>
  </si>
  <si>
    <t>0:02:29.023464</t>
  </si>
  <si>
    <t>AQAH-ZKS6kqSBJciWniiH8d5Ij1DYQ-X_0.02.29.023464-0.02.30.058140</t>
  </si>
  <si>
    <t>0:02:30.058140</t>
  </si>
  <si>
    <t>AQAH-ZKS6kqSBJciWniiH8d5Ij1DYQ-X_0.02.30.058140-0.02.31.097460</t>
  </si>
  <si>
    <t>0:02:31.097460</t>
  </si>
  <si>
    <t>AQAH-ZKS6kqSBJciWniiH8d5Ij1DYQ-X_0.02.31.097460-0.02.33.008916</t>
  </si>
  <si>
    <t>0:02:33.008916</t>
  </si>
  <si>
    <t>AQAH-ZKS6kqSBJciWniiH8d5Ij1DYQ-X_0.02.33.008916-0.02.36.096689</t>
  </si>
  <si>
    <t>0:02:36.096689</t>
  </si>
  <si>
    <t>AQAH-ZKS6kqSBJciWniiH8d5Ij1DYQ-X_0.03.00.016362-0.03.23.089442</t>
  </si>
  <si>
    <t>0:03:00.016362</t>
  </si>
  <si>
    <t>0:03:23.089442</t>
  </si>
  <si>
    <t>AQAH0EymJJKiSFFQ6zizTHh6HPXxDOGR_0.01.20.015528-0.02.30.026938</t>
  </si>
  <si>
    <t>Art Velasco, Ramon Banda</t>
  </si>
  <si>
    <t>Art Velasco (tb), Charlie Otwell (p), Gene Burkert (ts, as, fl), Poncho Sanchez (voc, other), Ramon Banda (dr, tb), Sal Cracchiolo (tp, flg), Tony Banda (b)</t>
  </si>
  <si>
    <t>Will you still be mine ?</t>
  </si>
  <si>
    <t>0:01:20.015528</t>
  </si>
  <si>
    <t>0:02:30.026938</t>
  </si>
  <si>
    <t>AQAH1JGSREqkJEoS4jzCZyIe9LAbhN_x_0.00.41.074367-0.01.17.021795</t>
  </si>
  <si>
    <t>Barney Kessel (g), Dicky Wells (tb), Harry Edison (tp), Illinois Jacquet (ts), Jo Jones (dr), John Simmons (b), Lester Young (ts), Marie Bryant (voc), Marlowe Morris (p)</t>
  </si>
  <si>
    <t>Jammin' The Blues</t>
  </si>
  <si>
    <t>Lester Young Vol. 5 (1944-46)</t>
  </si>
  <si>
    <t>1944-08-01</t>
  </si>
  <si>
    <t>0:00:41.074367</t>
  </si>
  <si>
    <t>0:01:17.021795</t>
  </si>
  <si>
    <t>AQAH1JGSREqkJEoS4jzCZyIe9LAbhN_x_0.01.40.078040-0.02.16.020244</t>
  </si>
  <si>
    <t>Harry Edison</t>
  </si>
  <si>
    <t>0:01:40.078040</t>
  </si>
  <si>
    <t>0:02:16.020244</t>
  </si>
  <si>
    <t>AQAH1JGSREqkJEoS4jzCZyIe9LAbhN_x_0.02.49.058693-0.03.35.045795</t>
  </si>
  <si>
    <t>0:02:49.058693</t>
  </si>
  <si>
    <t>0:03:35.045795</t>
  </si>
  <si>
    <t>AQAH22qyTMmG78h3aN4YI9fxHWj-Inm2_0.01.04.078367-0.02.08.073142</t>
  </si>
  <si>
    <t>Clark Terry (flg, tp), Danny Bank (bs), George Dorsey (as, other), Harry Breuer (other), Jim Hall (g), Joe Newman (tp), Milt Hinton (b), Oliver Nelson (other, ts, as), Osie Johnson (dr), Phil Woods (as, cl), Romeo Penque (bs), Stan Webb (ts), Tony Studd (tb)</t>
  </si>
  <si>
    <t>Oliver Nelson</t>
  </si>
  <si>
    <t>Full Nelson</t>
  </si>
  <si>
    <t>Miss Fine</t>
  </si>
  <si>
    <t>1963-02-26</t>
  </si>
  <si>
    <t>0:01:04.078367</t>
  </si>
  <si>
    <t>0:02:08.073142</t>
  </si>
  <si>
    <t>AQAH2Y6Wy7gJ7PiKXMUf_NCuw9LOISes_0.01.20.006530-0.02.11.014630</t>
  </si>
  <si>
    <t>Billy Higgins (dr), Cedar Walton (p), Clifford Jordan (ts), Sam Jones (b)</t>
  </si>
  <si>
    <t>Clifford Jordan</t>
  </si>
  <si>
    <t>Glass Bead Games</t>
  </si>
  <si>
    <t>Prayer to the people</t>
  </si>
  <si>
    <t>1973-10-29</t>
  </si>
  <si>
    <t>White Plains, NY</t>
  </si>
  <si>
    <t>0:01:20.006530</t>
  </si>
  <si>
    <t>0:02:11.014630</t>
  </si>
  <si>
    <t>AQAh49eSKTpM5MdOBTqaY_rxJA-Ohjuq_0.08.54.080199-0.11.06.069133</t>
  </si>
  <si>
    <t>Christopher Hoffman (other), Elliot Humberto Kavee (dr, other), Henry Threadgill (fl, as), Jose Davila (other, tb), Liberty Ellman (g)</t>
  </si>
  <si>
    <t>Henry Threadgill</t>
  </si>
  <si>
    <t>In For A Penny, In For A Pound</t>
  </si>
  <si>
    <t>Unoepic (for guitar)</t>
  </si>
  <si>
    <t>2014-12-08</t>
  </si>
  <si>
    <t>Brooklyn, NY</t>
  </si>
  <si>
    <t>0:08:54.080199</t>
  </si>
  <si>
    <t>0:11:06.069133</t>
  </si>
  <si>
    <t>AQAh49eSKTpM5MdOBTqaY_rxJA-Ohjuq_0.15.02.000816-0.17.32.021224</t>
  </si>
  <si>
    <t>Jose Davila</t>
  </si>
  <si>
    <t>0:15:02.000816</t>
  </si>
  <si>
    <t>0:17:32.021224</t>
  </si>
  <si>
    <t>AQAH4BdVKTj3I0-So6kOrT9OXAnEJmGR_0.00.00.000000-0.02.43.052653</t>
  </si>
  <si>
    <t>Anthony Braxton (cl, bcl, bs, ss, as), Muhal Richard Abrams (p)</t>
  </si>
  <si>
    <t>Anthony Braxton</t>
  </si>
  <si>
    <t>Duets 1976</t>
  </si>
  <si>
    <t>Miss Ann</t>
  </si>
  <si>
    <t>1976-08-01</t>
  </si>
  <si>
    <t>Woodstock, NY</t>
  </si>
  <si>
    <t>0:02:43.052653</t>
  </si>
  <si>
    <t>AQAH4BdVKTj3I0-So6kOrT9OXAnEJmGR_0.03.39.029795-0.04.07.051020</t>
  </si>
  <si>
    <t>0:03:39.029795</t>
  </si>
  <si>
    <t>0:04:07.051020</t>
  </si>
  <si>
    <t>AQAH50qU5IuSDv2DSyFqDs-P_kOz46bA_0.01.08.070204-0.02.11.079646</t>
  </si>
  <si>
    <t>Alan Yankee (bs), Bob Doll (tp), Gary Clinton (ts), Gary Hobbs (dr), John Worster (b), Michael Bard (as, ss), Ramon Lopez (other), Robeson (), Stan Kenton (p)</t>
  </si>
  <si>
    <t>Robeson</t>
  </si>
  <si>
    <t>Stan Kenton</t>
  </si>
  <si>
    <t>Artistry In Symphonic Jazz</t>
  </si>
  <si>
    <t>Satin doll</t>
  </si>
  <si>
    <t>1977-05-11</t>
  </si>
  <si>
    <t>Live "Lancer Steak House", Schaumberg, Illinois</t>
  </si>
  <si>
    <t>0:01:08.070204</t>
  </si>
  <si>
    <t>0:02:11.079646</t>
  </si>
  <si>
    <t>AQAH5FEkpaGTJLik487xBHqiC-EP_vCl_0.02.15.070612-0.02.59.033061</t>
  </si>
  <si>
    <t>Bryan Smith (other), Carla Kihlstedt (voc, other, vln), Mark Orton (bjo, other, g), Rob Burger (other, p), Zeena Parkins (other)</t>
  </si>
  <si>
    <t>Carla Kihlstedt</t>
  </si>
  <si>
    <t>Tin Hat Trio</t>
  </si>
  <si>
    <t>Book of Silk</t>
  </si>
  <si>
    <t>Lauren's lullaby</t>
  </si>
  <si>
    <t>2004-01-01</t>
  </si>
  <si>
    <t>Portland, OR</t>
  </si>
  <si>
    <t>0:02:15.070612</t>
  </si>
  <si>
    <t>0:02:59.033061</t>
  </si>
  <si>
    <t>AQAH6EsUJZFGDTWuRjb-CD165EjGH00T_0.01.14.058249-0.02.23.036000</t>
  </si>
  <si>
    <t>Benny Morton (tb), Don Frye (p), Edmond Hall (cl), Everett Barksdale (g), Harry Carney (bs), Junior Raglin (b), Sidney Catlett (dr)</t>
  </si>
  <si>
    <t>Edmond Hall Swingtet</t>
  </si>
  <si>
    <t>Big City Blues</t>
  </si>
  <si>
    <t>1944-05-05</t>
  </si>
  <si>
    <t>0:01:14.058249</t>
  </si>
  <si>
    <t>0:02:23.036000</t>
  </si>
  <si>
    <t>AQAH6EsUJZFGDTWuRjb-CD165EjGH00T_0.02.23.036000-0.03.33.071646</t>
  </si>
  <si>
    <t>0:03:33.071646</t>
  </si>
  <si>
    <t>AQAH6WKSJUkUHg_x42eO6_DxKfhc5NsR_0.03.30.014734-0.04.10.024000</t>
  </si>
  <si>
    <t>Charlie Christian (g), Edmond Hall (cl), Israel Crosby (b), Meade Lux Lewis (other)</t>
  </si>
  <si>
    <t>Edmond Hall Celeste Quartet</t>
  </si>
  <si>
    <t>Charlie Christian Vol. 2 (1940-41)</t>
  </si>
  <si>
    <t>Profoundly Blue No. 2</t>
  </si>
  <si>
    <t>1941-02-05</t>
  </si>
  <si>
    <t>0:03:30.014734</t>
  </si>
  <si>
    <t>0:04:10.024000</t>
  </si>
  <si>
    <t>AQAHA4qiJI-aCBOTT7gr_EL4Bcny7EFN_0.00.38.013877-0.01.13.079591</t>
  </si>
  <si>
    <t>Bobby Haynes (b), Joe Sample (p), Stix Hooper (dr), Wayne Henderson (tb), Wilton Felder (ts, as)</t>
  </si>
  <si>
    <t>Deacon Brown</t>
  </si>
  <si>
    <t>0:00:38.013877</t>
  </si>
  <si>
    <t>0:01:13.079591</t>
  </si>
  <si>
    <t>AQAHA4qiJI-aCBOTT7gr_EL4Bcny7EFN_0.01.13.079591-0.01.49.081224</t>
  </si>
  <si>
    <t>Wayne Henderson</t>
  </si>
  <si>
    <t>0:01:49.081224</t>
  </si>
  <si>
    <t>AQAHA4qiJI-aCBOTT7gr_EL4Bcny7EFN_0.02.23.011836-0.02.32.006530</t>
  </si>
  <si>
    <t>0:02:23.011836</t>
  </si>
  <si>
    <t>0:02:32.006530</t>
  </si>
  <si>
    <t>AQAHA4qiJI-aCBOTT7gr_EL4Bcny7EFN_0.02.32.006530-0.02.40.084897</t>
  </si>
  <si>
    <t>0:02:40.084897</t>
  </si>
  <si>
    <t>AQAHA4qiJI-aCBOTT7gr_EL4Bcny7EFN_0.02.49.063265-0.02.58.071020</t>
  </si>
  <si>
    <t>0:02:49.063265</t>
  </si>
  <si>
    <t>0:02:58.071020</t>
  </si>
  <si>
    <t>AQAHC8uSilGUJMLzHP0FJtfxDPmaEGoj_0.01.05.076326-0.02.14.007201</t>
  </si>
  <si>
    <t>Curtis Fowlkes (tb), Derrek Phillips (dr), Gregoire Maret (other), John Ellis (ts)</t>
  </si>
  <si>
    <t>John Ellis</t>
  </si>
  <si>
    <t>Charlie Hunter</t>
  </si>
  <si>
    <t>Right Now Move</t>
  </si>
  <si>
    <t>Changui</t>
  </si>
  <si>
    <t>2002-10-01</t>
  </si>
  <si>
    <t>0:01:05.076326</t>
  </si>
  <si>
    <t>0:02:14.007201</t>
  </si>
  <si>
    <t>AQAHco-qJNqEMyETwYmzC99y5McP_XBV_0.01.33.020489-0.02.08.038312</t>
  </si>
  <si>
    <t>Conte Candoli, Neal Hefti, Pete Candoli, Ray Linn, Sonny Berman</t>
  </si>
  <si>
    <t>Bill Harris (tb), Billy Bauer (g), Chubby Jackson (b), Conte Candoli (tp), Dave Tough (dr), Ed Kiefer (tb), Flip Phillips (ts), John LaPorta (as, cl), Neal Hefti (tp), Pete Candoli (tp), Pete Mondello (ts), Ralph Pfeffner (tb), Ray Linn (tp), Sam Marowitz (as, cl), Skippy DeSair (bs), Sonny Berman (tp), Tony Aless (p), Woody Herman (other, as, cl)</t>
  </si>
  <si>
    <t xml:space="preserve">Woody Herman And His Orchestra (First Herd) </t>
  </si>
  <si>
    <t>The Early Years Vol. 9 - The First Herd (1944-46)</t>
  </si>
  <si>
    <t>Don't Worry 'Bout That Mule</t>
  </si>
  <si>
    <t>1945-08-22</t>
  </si>
  <si>
    <t>0:01:33.020489</t>
  </si>
  <si>
    <t>0:02:08.038312</t>
  </si>
  <si>
    <t>AQAHco-qJNqEMyETwYmzC99y5McP_XBV_0.02.41.077342-0.03.22.056507</t>
  </si>
  <si>
    <t>John LaPorta, Sam Marowitz, Woody Herman</t>
  </si>
  <si>
    <t>0:02:41.077342</t>
  </si>
  <si>
    <t>0:03:22.056507</t>
  </si>
  <si>
    <t>AQAHDNIcKcsmOOaQ5MkR8CgXrUKlUB9O_0.01.39.005632-0.02.36.093061</t>
  </si>
  <si>
    <t>Benny Goodman (cl), Charly Antolini (dr), Don Haas (p), Harry Pepl (g), Peter Witte (b)</t>
  </si>
  <si>
    <t>The Benny Goodman Quintet</t>
  </si>
  <si>
    <t>The world is waiting for the sunrise</t>
  </si>
  <si>
    <t>1980-11-07</t>
  </si>
  <si>
    <t>Concert "Philharmonic Hall", Berlin, Germany</t>
  </si>
  <si>
    <t>0:01:39.005632</t>
  </si>
  <si>
    <t>0:02:36.093061</t>
  </si>
  <si>
    <t>AQAHDNIcKcsmOOaQ5MkR8CgXrUKlUB9O_0.03.05.024879-0.03.45.097659</t>
  </si>
  <si>
    <t>0:03:05.024879</t>
  </si>
  <si>
    <t>0:03:45.097659</t>
  </si>
  <si>
    <t>AQAHEFLSRJnCJMNhHz2Dr8Ev4j3CROSR_0.00.59.030376-0.01.23.031319</t>
  </si>
  <si>
    <t>Detroit Brooks (bjo), Gregory Stafford (voc, tp), Herman LeBeaux (dr), Lucien Barbarin (tb), Mark Braud (tp), Mark Brooks (b), Michael White (cl), Steve Pistorius (p), Thais Clark (voc)</t>
  </si>
  <si>
    <t>Michael White</t>
  </si>
  <si>
    <t>Dancing In The Sky</t>
  </si>
  <si>
    <t>Jambalaya strut</t>
  </si>
  <si>
    <t>2004-01-24</t>
  </si>
  <si>
    <t>New Orleans, LA</t>
  </si>
  <si>
    <t>0:00:59.030376</t>
  </si>
  <si>
    <t>0:01:23.031319</t>
  </si>
  <si>
    <t>AQAHEFLSRJnCJMNhHz2Dr8Ev4j3CROSR_0.02.09.098530-0.02.57.067909</t>
  </si>
  <si>
    <t>0:02:09.098530</t>
  </si>
  <si>
    <t>0:02:57.067909</t>
  </si>
  <si>
    <t>AQAHEFLSRJnCJMNhHz2Dr8Ev4j3CROSR_0.02.57.067909-0.03.30.046566</t>
  </si>
  <si>
    <t>Gregory Stafford, Mark Braud</t>
  </si>
  <si>
    <t>0:03:30.046566</t>
  </si>
  <si>
    <t>AQAHeosXLeLwLAr846ky_PiDPRqabTqS_0.00.28.089142-0.01.22.024507</t>
  </si>
  <si>
    <t>Hallelujah</t>
  </si>
  <si>
    <t>0:00:28.089142</t>
  </si>
  <si>
    <t>0:01:22.024507</t>
  </si>
  <si>
    <t>AQAHeosXLeLwLAr846ky_PiDPRqabTqS_0.01.22.024507-0.01.48.043428</t>
  </si>
  <si>
    <t>0:01:48.043428</t>
  </si>
  <si>
    <t>AQAHeosXLeLwLAr846ky_PiDPRqabTqS_0.02.14.042031-0.02.40.081269</t>
  </si>
  <si>
    <t>0:02:14.042031</t>
  </si>
  <si>
    <t>0:02:40.081269</t>
  </si>
  <si>
    <t>AQAHeosXLeLwLAr846ky_PiDPRqabTqS_0.02.40.081269-0.03.04.084825</t>
  </si>
  <si>
    <t>0:03:04.084825</t>
  </si>
  <si>
    <t>AQAHeosXLeLwLAr846ky_PiDPRqabTqS_0.03.04.084825-0.03.31.009841</t>
  </si>
  <si>
    <t>0:03:31.009841</t>
  </si>
  <si>
    <t>AQAHeSKXakqg6ziaoxcVPIoxi8rxLQ-Y_0.02.16.006893-0.03.17.009097</t>
  </si>
  <si>
    <t>Barbara Haffner (other), Bobby Lewis (voc, flg, other, tp), Dick Bovell (other), Elliott Golub (vln), Everett Mirsky (other), Jim Ryan (other, p), Larry Gray (b)</t>
  </si>
  <si>
    <t>Bobby Lewis</t>
  </si>
  <si>
    <t>Flugel Gourmet</t>
  </si>
  <si>
    <t>Moon love</t>
  </si>
  <si>
    <t>1997-04-01</t>
  </si>
  <si>
    <t>Chicago, IL, September 1996-</t>
  </si>
  <si>
    <t>0:02:16.006893</t>
  </si>
  <si>
    <t>0:03:17.009097</t>
  </si>
  <si>
    <t>AQAHF0qcqEuDnHiIpzruFZF7tJouNDNy_0.00.36.050176-0.01.54.015510</t>
  </si>
  <si>
    <t>O sole mio</t>
  </si>
  <si>
    <t>0:00:36.050176</t>
  </si>
  <si>
    <t>0:01:54.015510</t>
  </si>
  <si>
    <t>AQAHF0qcqEuDnHiIpzruFZF7tJouNDNy_0.03.09.038775-0.03.44.071836</t>
  </si>
  <si>
    <t>0:03:09.038775</t>
  </si>
  <si>
    <t>0:03:44.071836</t>
  </si>
  <si>
    <t>AQAHfIokRWukJbCOSUd9hDmPK9CcHteK_0.01.19.004072-0.01.58.005024</t>
  </si>
  <si>
    <t>Aaron Paulin (dr), Dwayne Paulin (other), Jeffery Herbert (tb), Julius Schexnayder (as), Leon Aguilar (ts), Philip Paulin (tp), Rickey Paulin (dr), Scott Paulin (tb)</t>
  </si>
  <si>
    <t>Philip Paulin</t>
  </si>
  <si>
    <t>Ernest "Doc" Paulin</t>
  </si>
  <si>
    <t>Doc Paulin's Marching Band</t>
  </si>
  <si>
    <t>Just a little while to stay here</t>
  </si>
  <si>
    <t>1980-05-23</t>
  </si>
  <si>
    <t>New Orleans, La.</t>
  </si>
  <si>
    <t>0:01:19.004072</t>
  </si>
  <si>
    <t>0:01:58.005024</t>
  </si>
  <si>
    <t>AQAHH9EohcnGoPzRhHzwJFmO82j0HCX0_0.01.11.037959-0.02.03.068979</t>
  </si>
  <si>
    <t>Air</t>
  </si>
  <si>
    <t>King Porter stomp</t>
  </si>
  <si>
    <t>1979-05-12</t>
  </si>
  <si>
    <t>0:01:11.037959</t>
  </si>
  <si>
    <t>0:02:03.068979</t>
  </si>
  <si>
    <t>AQAHH9EohcnGoPzRhHzwJFmO82j0HCX0_0.02.44.070204-0.03.38.097142</t>
  </si>
  <si>
    <t>0:02:44.070204</t>
  </si>
  <si>
    <t>0:03:38.097142</t>
  </si>
  <si>
    <t>AQAHHGki6cuhh6WgP9Hwo2_RfPiRVxvy_0.01.54.035102-0.02.45.015918</t>
  </si>
  <si>
    <t>Garvin Bushell (other, cl), Ray Skjelbred (p), Richard Hadlock (ss), Stu Wilson (b)</t>
  </si>
  <si>
    <t>Garvin Bushell</t>
  </si>
  <si>
    <t>One Steady Roll</t>
  </si>
  <si>
    <t>I got it bad</t>
  </si>
  <si>
    <t>1982-05-03</t>
  </si>
  <si>
    <t>Alameda, CA</t>
  </si>
  <si>
    <t>0:01:54.035102</t>
  </si>
  <si>
    <t>0:02:45.015918</t>
  </si>
  <si>
    <t>AQAHhVrSJRopbE-Poy9C78MjHReRFz74_0.02.23.002040-0.03.56.066938</t>
  </si>
  <si>
    <t>Daniel Sadownick (other), Kevin Hays (p), Marcus Gilmore (dr), Nicholas Payton (tp), Vicente Archer (b)</t>
  </si>
  <si>
    <t>Nicholas Payton</t>
  </si>
  <si>
    <t>Into The Blue</t>
  </si>
  <si>
    <t>Chinatown</t>
  </si>
  <si>
    <t>2007-09-13</t>
  </si>
  <si>
    <t>0:02:23.002040</t>
  </si>
  <si>
    <t>0:03:56.066938</t>
  </si>
  <si>
    <t>AQAHiImULImyJIqEH8054TjxwR-Ky8Af_0.00.44.093061-0.01.22.002448</t>
  </si>
  <si>
    <t>Allan Morrissey (tb, other), Bruce Haag (tp), Denny Brunk (tb), Don Landis (ts), Jay Cummings (dr), Jon Ward (b), Lisa Hittle (bs), Michael Bard (ss, fl, as), Ramon Lopez (other), Robeson (), Stan Kenton (p, other)</t>
  </si>
  <si>
    <t>Bruce Haag</t>
  </si>
  <si>
    <t>A Time For Love (The Final Chapter)</t>
  </si>
  <si>
    <t>A time for love</t>
  </si>
  <si>
    <t>1978-04-21</t>
  </si>
  <si>
    <t>"Student Center" William Rainey Harper College, Palatine, Il</t>
  </si>
  <si>
    <t>0:00:44.093061</t>
  </si>
  <si>
    <t>0:01:22.002448</t>
  </si>
  <si>
    <t>AQAHJEmiaGGShAtyhL9gNk-C48YP50P9_0.01.48.040816-0.03.48.096326</t>
  </si>
  <si>
    <t>Silent night</t>
  </si>
  <si>
    <t>0:01:48.040816</t>
  </si>
  <si>
    <t>0:03:48.096326</t>
  </si>
  <si>
    <t>AQAHLFsjLYuU4AH3oDvCpBEeaPkRcuTw_0.03.00.027972-0.03.16.095165</t>
  </si>
  <si>
    <t>Pannonica</t>
  </si>
  <si>
    <t>0:03:00.027972</t>
  </si>
  <si>
    <t>0:03:16.095165</t>
  </si>
  <si>
    <t>AQAHMZMiMUl0jCm-B09OeA_KHNEPXUNG_0.02.30.086040-0.03.50.058666</t>
  </si>
  <si>
    <t>Buddy Rich (dr), Herb Ellis (g), Oscar Peterson (p), Ray Brown (b), Roy Eldridge (tp)</t>
  </si>
  <si>
    <t>Roy Eldridge Vol. 7 (1954-55)</t>
  </si>
  <si>
    <t>If I Had You</t>
  </si>
  <si>
    <t>1954-09-14</t>
  </si>
  <si>
    <t>0:02:30.086040</t>
  </si>
  <si>
    <t>0:03:50.058666</t>
  </si>
  <si>
    <t>AQAHn2kiJckmJsIf6LLw4w9x5Q76LBPC_0.00.52.019845-0.02.19.062448</t>
  </si>
  <si>
    <t>Jodie Christian (p, other), Reggie Workman (other, b), Roscoe Mitchell (ts, other, cl, ss, as)</t>
  </si>
  <si>
    <t>Roscoe Mitchell</t>
  </si>
  <si>
    <t>In Walked Buckner</t>
  </si>
  <si>
    <t>Till autumn</t>
  </si>
  <si>
    <t>1998-07-13</t>
  </si>
  <si>
    <t>0:00:52.019845</t>
  </si>
  <si>
    <t>0:02:19.062448</t>
  </si>
  <si>
    <t>AQAHqMrCSIsSJUQfHv4HfipCHnqy4zoC_0.01.07.001278-0.01.35.052689</t>
  </si>
  <si>
    <t>Message From Maynard</t>
  </si>
  <si>
    <t>September moan</t>
  </si>
  <si>
    <t>0:01:07.001278</t>
  </si>
  <si>
    <t>0:01:35.052689</t>
  </si>
  <si>
    <t>AQAHqMrCSIsSJUQfHv4HfipCHnqy4zoC_0.01.50.024834-0.02.26.044897</t>
  </si>
  <si>
    <t>0:01:50.024834</t>
  </si>
  <si>
    <t>0:02:26.044897</t>
  </si>
  <si>
    <t>AQAHqMrCSIsSJUQfHv4HfipCHnqy4zoC_0.02.40.079818-0.02.54.036734</t>
  </si>
  <si>
    <t>0:02:40.079818</t>
  </si>
  <si>
    <t>0:02:54.036734</t>
  </si>
  <si>
    <t>AQAHr0oSJnK2REFzIMyPK8dJhE-Poyea_0.00.28.051410-0.02.01.057968</t>
  </si>
  <si>
    <t>Charles Pillow (other, fl, as), Jeff Campbell (b), Rich Thompson (dr)</t>
  </si>
  <si>
    <t>Charles Pillow</t>
  </si>
  <si>
    <t>Triocity</t>
  </si>
  <si>
    <t>I Believe In You</t>
  </si>
  <si>
    <t>Just in time</t>
  </si>
  <si>
    <t>2016-06-01</t>
  </si>
  <si>
    <t>Rochester, NY</t>
  </si>
  <si>
    <t>0:00:28.051410</t>
  </si>
  <si>
    <t>0:02:01.057968</t>
  </si>
  <si>
    <t>AQAHr0oSJnK2REFzIMyPK8dJhE-Poyea_0.02.59.072244-0.03.28.097959</t>
  </si>
  <si>
    <t>0:02:59.072244</t>
  </si>
  <si>
    <t>0:03:28.097959</t>
  </si>
  <si>
    <t>AQAHSIuyRUySKMSuF1c--MfZ483QH49Q_0.00.39.005306-0.01.59.044489</t>
  </si>
  <si>
    <t>Angela Holley (voc), Hugh Ragin (tp, flg), John Hines (tb), Michael Pagan (other), Mike Williams (b), Rob Ward (dr)</t>
  </si>
  <si>
    <t>John Hines</t>
  </si>
  <si>
    <t>In The Pocket</t>
  </si>
  <si>
    <t>In the pocket</t>
  </si>
  <si>
    <t>2003-07-01</t>
  </si>
  <si>
    <t>Westminster, Colorado</t>
  </si>
  <si>
    <t>0:00:39.005306</t>
  </si>
  <si>
    <t>0:01:59.044489</t>
  </si>
  <si>
    <t>AQAHtEnkcREVaEwexDq4lDkmpkepSMeX_0.01.53.054557-0.02.37.033841</t>
  </si>
  <si>
    <t>I'm getting sentimental over you</t>
  </si>
  <si>
    <t>0:01:53.054557</t>
  </si>
  <si>
    <t>0:02:37.033841</t>
  </si>
  <si>
    <t>AQAHTEoiSUq0JFmCG6m-49BxPD_w4xDO_0.00.30.067356-0.01.46.048671</t>
  </si>
  <si>
    <t>Jimmy Cobb (dr), Julian 'Cannonball' Adderley (as), Junior Mance (p), Nat Adderley (cor), Sam Jones (b)</t>
  </si>
  <si>
    <t>Julian 'Cannonball' Adderley</t>
  </si>
  <si>
    <t>Cannonball Adderley Quintet</t>
  </si>
  <si>
    <t>Hard Bop - Cannonball Adderley Vol. 3</t>
  </si>
  <si>
    <t>Spectacular</t>
  </si>
  <si>
    <t>1957-02-06</t>
  </si>
  <si>
    <t>0:00:30.067356</t>
  </si>
  <si>
    <t>0:01:46.048671</t>
  </si>
  <si>
    <t>AQAHTEoiSUq0JFmCG6m-49BxPD_w4xDO_0.01.46.048671-0.02.35.068979</t>
  </si>
  <si>
    <t>Nat Adderley</t>
  </si>
  <si>
    <t>0:02:35.068979</t>
  </si>
  <si>
    <t>AQAHu4qWTRFVJBfy7Pjx5XByL3hdBekb_0.01.57.095736-0.02.33.062321</t>
  </si>
  <si>
    <t>Tunes &amp; Topics / Part Two</t>
  </si>
  <si>
    <t>Tonight</t>
  </si>
  <si>
    <t>1970-10-06</t>
  </si>
  <si>
    <t>Live "Golden Lion", Dayton, OH</t>
  </si>
  <si>
    <t>0:01:57.095736</t>
  </si>
  <si>
    <t>0:02:33.062321</t>
  </si>
  <si>
    <t>AQAHW1Si5FKShAip5IKccDliE9vBpYfj_0.00.39.089188-0.01.55.068181</t>
  </si>
  <si>
    <t>Art Blakey (dr), Charlie Rouse (ts), Clifford Brown (tp), Gigi Gryce (as, other), John Lewis (p), Percy Heath (b)</t>
  </si>
  <si>
    <t>Clifford Brown</t>
  </si>
  <si>
    <t>Clifford Brown Sextet</t>
  </si>
  <si>
    <t>Hard Bop - Clifford Brown Vol. 1</t>
  </si>
  <si>
    <t>Brownie Eyes</t>
  </si>
  <si>
    <t>1953-08-28</t>
  </si>
  <si>
    <t>0:00:39.089188</t>
  </si>
  <si>
    <t>0:01:55.068181</t>
  </si>
  <si>
    <t>AQAHW1Si5FKShAip5IKccDliE9vBpYfj_0.01.55.068181-0.02.49.045922</t>
  </si>
  <si>
    <t>0:02:49.045922</t>
  </si>
  <si>
    <t>AQAHW1Si5FKShAip5IKccDliE9vBpYfj_0.02.49.045922-0.03.14.079219</t>
  </si>
  <si>
    <t>0:03:14.079219</t>
  </si>
  <si>
    <t>AQAHwJmiJVKSdMIHLX9UhI-Fxym-aM6R_0.02.07.005959-0.03.35.029541</t>
  </si>
  <si>
    <t>Diedre Murray (other), Fred Hopkins (b), Henry Threadgill (cl, as, ts), Rasul Siddik (tp), Reggie Nicholson (dr)</t>
  </si>
  <si>
    <t>Easily Slip Into Another World</t>
  </si>
  <si>
    <t>I can't wait till I get home</t>
  </si>
  <si>
    <t>1987-09-20</t>
  </si>
  <si>
    <t>0:02:07.005959</t>
  </si>
  <si>
    <t>0:03:35.029541</t>
  </si>
  <si>
    <t>AQAHX1EULcmSFsG5A_0R7UePCxe0Czj6_0.00.00.013061-0.02.01.076544</t>
  </si>
  <si>
    <t>Charnett Moffett (b), Pharoah Sanders (ts), Stanley Jordan (other, g, p)</t>
  </si>
  <si>
    <t>Pharoah Sanders</t>
  </si>
  <si>
    <t>Charnett Moffett</t>
  </si>
  <si>
    <t>Music From Our Soul</t>
  </si>
  <si>
    <t>Music from our soul</t>
  </si>
  <si>
    <t>2015-02-21</t>
  </si>
  <si>
    <t>0:00:00.013061</t>
  </si>
  <si>
    <t>0:02:01.076544</t>
  </si>
  <si>
    <t>AQAHXUpSRSFDqMe1weoF6imG40FaFclv_0.00.38.087020-0.01.12.072489</t>
  </si>
  <si>
    <t>I want to be happy</t>
  </si>
  <si>
    <t>0:00:38.087020</t>
  </si>
  <si>
    <t>AQAHXUpSRSFDqMe1weoF6imG40FaFclv_0.01.12.072489-0.01.44.039691</t>
  </si>
  <si>
    <t>0:01:44.039691</t>
  </si>
  <si>
    <t>AQAHXUpSRSFDqMe1weoF6imG40FaFclv_0.01.44.039691-0.02.15.083673</t>
  </si>
  <si>
    <t>0:02:15.083673</t>
  </si>
  <si>
    <t>AQAHYEoSJUmiJUpxw6iEbkcufIR2Vsh9_0.01.22.061224-0.02.04.079999</t>
  </si>
  <si>
    <t>Angelina Tallaj (p), Dave Zinno (b), Gustavo Rodriguez (other), Jose Duluc (other, voc), Juan Valdez (b), Julio Figueroa (other), Kwaku Kwaakye Obeng (other), Paul Austerlitz (bcl, voc, ts, cl), Regie Gibson (other), Renee Cologne (voc), Wellington Valenzuela (dr)</t>
  </si>
  <si>
    <t>Paul Austerlitz</t>
  </si>
  <si>
    <t>Journey</t>
  </si>
  <si>
    <t>Santiago</t>
  </si>
  <si>
    <t>2006-01-01</t>
  </si>
  <si>
    <t>0:02:04.079999</t>
  </si>
  <si>
    <t>AQAHZ7uSTJKFTzgO_8WDK9B__Kh8WD2c_0.01.09.068163-0.01.39.036326</t>
  </si>
  <si>
    <t>Maynard Ferguson, Nat Pavone</t>
  </si>
  <si>
    <t>Don Menza (fl, cl, ss, ts), Frank Hittner (bs), Kenny Rupp (tb), Lanny Morgan (as), Linc Milliman (b), Maynard Ferguson (other, tp), Michael Abene (p), Nat Pavone (tp), Rufus Jones (dr)</t>
  </si>
  <si>
    <t>Si! Si! M.F.</t>
  </si>
  <si>
    <t>Early hours</t>
  </si>
  <si>
    <t>1962-01-01</t>
  </si>
  <si>
    <t>0:01:09.068163</t>
  </si>
  <si>
    <t>0:01:39.036326</t>
  </si>
  <si>
    <t>AQAHZ7uSTJKFTzgO_8WDK9B__Kh8WD2c_0.01.39.036326-0.02.07.077941</t>
  </si>
  <si>
    <t>Don Menza</t>
  </si>
  <si>
    <t>AQAI_UrSpVEWos8BL2yHXzg_NM9yTHoe_0.00.19.053689-0.03.49.066185</t>
  </si>
  <si>
    <t>Jake Hanna (dr), James Chirillo (g), John Sheridan (p), Phil Flanigan (b), Ron Hockett (ss, cl)</t>
  </si>
  <si>
    <t>Ron Hockett</t>
  </si>
  <si>
    <t>Finally, Ron</t>
  </si>
  <si>
    <t>Memories of you</t>
  </si>
  <si>
    <t>2008-01-15</t>
  </si>
  <si>
    <t>0:00:19.053689</t>
  </si>
  <si>
    <t>0:03:49.066185</t>
  </si>
  <si>
    <t>AQAI-6K4UNki_MGPPvnQBGeqI7k2B3nS_0.00.43.023265-0.01.58.066122</t>
  </si>
  <si>
    <t>Bill Goodwin (dr), Hal Galper (p), Phil Woods (as), Steve Gilmore (b)</t>
  </si>
  <si>
    <t>Star eyes</t>
  </si>
  <si>
    <t>1981-08-11</t>
  </si>
  <si>
    <t>Stroudsberg, PA</t>
  </si>
  <si>
    <t>0:00:43.023265</t>
  </si>
  <si>
    <t>AQAI-6K4UNki_MGPPvnQBGeqI7k2B3nS_0.03.10.082448-0.03.21.059999</t>
  </si>
  <si>
    <t>0:03:10.082448</t>
  </si>
  <si>
    <t>0:03:21.059999</t>
  </si>
  <si>
    <t>AQAI-6K4UNki_MGPPvnQBGeqI7k2B3nS_0.03.34.007346-0.03.44.067628</t>
  </si>
  <si>
    <t>0:03:34.007346</t>
  </si>
  <si>
    <t>0:03:44.067628</t>
  </si>
  <si>
    <t>AQAI-z-n4GbgbscXvXhi59j3DX7i4omR_0.01.17.017986-0.02.23.070902</t>
  </si>
  <si>
    <t>Benny Carter (as), Bill Harris (tb), Buddy Rich (dr), Herb Ellis (g), Oscar Peterson (p), Ray Brown (b)</t>
  </si>
  <si>
    <t>New Jazz Sounds</t>
  </si>
  <si>
    <t>Benny Carter Vol. 2 (1954)</t>
  </si>
  <si>
    <t>The Song Is You</t>
  </si>
  <si>
    <t>0:01:17.017986</t>
  </si>
  <si>
    <t>0:02:23.070902</t>
  </si>
  <si>
    <t>AQAI-z-n4GbgbscXvXhi59j3DX7i4omR_0.02.23.070902-0.03.30.053387</t>
  </si>
  <si>
    <t>0:03:30.053387</t>
  </si>
  <si>
    <t>AQAI-z-n4GbgbscXvXhi59j3DX7i4omR_0.03.39.042276-0.03.47.074784</t>
  </si>
  <si>
    <t>0:03:39.042276</t>
  </si>
  <si>
    <t>0:03:47.074784</t>
  </si>
  <si>
    <t>AQAI-z-n4GbgbscXvXhi59j3DX7i4omR_0.03.55.068979-0.04.04.041142</t>
  </si>
  <si>
    <t>0:03:55.068979</t>
  </si>
  <si>
    <t>0:04:04.041142</t>
  </si>
  <si>
    <t>AQAI08_CSEsiob6QngqS5kF_fAxOHA9x_0.02.48.001959-0.03.18.018231</t>
  </si>
  <si>
    <t>Ben Webster (ts), Bill Harris (tb), Charlie Shavers (tp), Gene Krupa (dr), Herb Ellis (g), Ray Brown (b), Teddy Wilson (p)</t>
  </si>
  <si>
    <t xml:space="preserve">Gene Krupa </t>
  </si>
  <si>
    <t>Gene Krupa</t>
  </si>
  <si>
    <t>Ben Webster and Friends 1953-54</t>
  </si>
  <si>
    <t>Don't Take Your Love From Me</t>
  </si>
  <si>
    <t>1953-09-10</t>
  </si>
  <si>
    <t>0:02:48.001959</t>
  </si>
  <si>
    <t>0:03:18.018231</t>
  </si>
  <si>
    <t>AQAI08_CSEsiob6QngqS5kF_fAxOHA9x_0.03.45.097659-0.04.29.017732</t>
  </si>
  <si>
    <t>0:04:29.017732</t>
  </si>
  <si>
    <t>AQAI1W-kHf-B6_iDI0fzQLuQ6_jx5sjR_0.01.38.082412-0.02.18.085532</t>
  </si>
  <si>
    <t>Claudio Roditi (tp), Danilo Perez (p), Jay Ashby (tb), Nilson Matta (b), Portinho (dr), Ralph Moore (ts), Raphael Cruz (other)</t>
  </si>
  <si>
    <t>Claudio Roditi</t>
  </si>
  <si>
    <t>Paquito D'Rivera</t>
  </si>
  <si>
    <t>Return To Ipanema</t>
  </si>
  <si>
    <t>Cancao do Amanhecer</t>
  </si>
  <si>
    <t>1989-03-01</t>
  </si>
  <si>
    <t>0:01:38.082412</t>
  </si>
  <si>
    <t>AQAI1W-kHf-B6_iDI0fzQLuQ6_jx5sjR_0.03.11.051818-0.03.48.057723</t>
  </si>
  <si>
    <t>0:03:11.051818</t>
  </si>
  <si>
    <t>0:03:48.057723</t>
  </si>
  <si>
    <t>AQAI5OKahRbKJNqNNOlGCfqyByF-HH86_0.02.21.012834-0.03.54.011102</t>
  </si>
  <si>
    <t>Coleman Hawkins (ts), John Kirby (b), Sid Catlett (dr), Teddy Wilson (p)</t>
  </si>
  <si>
    <t>Coleman Hawkins' All American Four</t>
  </si>
  <si>
    <t>Coleman Hawkins 1944</t>
  </si>
  <si>
    <t>Make Believe</t>
  </si>
  <si>
    <t>1944-05-24</t>
  </si>
  <si>
    <t>0:02:21.012834</t>
  </si>
  <si>
    <t>0:03:54.011102</t>
  </si>
  <si>
    <t>AQAI5OKahRbKJNqNNOlGCfqyByF-HH86_0.04.17.055428-0.04.44.043999</t>
  </si>
  <si>
    <t>0:04:17.055428</t>
  </si>
  <si>
    <t>0:04:44.043999</t>
  </si>
  <si>
    <t>AQAI7YqWKIoqSYE5Ew9rvCp8_PAR_niG_0.00.53.035510-0.02.16.025469</t>
  </si>
  <si>
    <t>David Sundby (dr), Jimmi Roger Pedersen (b), Ove Johansson (ts), Susanna Lindeborg (other, p)</t>
  </si>
  <si>
    <t>Ove Johansson</t>
  </si>
  <si>
    <t>Susanna Lindeborg</t>
  </si>
  <si>
    <t>Breathing Clusters</t>
  </si>
  <si>
    <t>You don't need 2 know</t>
  </si>
  <si>
    <t>1998-01-01</t>
  </si>
  <si>
    <t>Halmstad</t>
  </si>
  <si>
    <t>0:00:53.035510</t>
  </si>
  <si>
    <t>0:02:16.025469</t>
  </si>
  <si>
    <t>AQAIAhlpRQv05sitoqGPUGJIqOmRZ8OP_0.00.33.022775-0.02.27.014485</t>
  </si>
  <si>
    <t>Al Haig (p), Charlie Parker (as), Red Rodney (tp), Roy Haynes (dr), Tommy Potter (b)</t>
  </si>
  <si>
    <t>Now's The Time</t>
  </si>
  <si>
    <t>1950-02-18</t>
  </si>
  <si>
    <t>0:00:33.022775</t>
  </si>
  <si>
    <t>0:02:27.014485</t>
  </si>
  <si>
    <t>AQAIAhlpRQv05sitoqGPUGJIqOmRZ8OP_0.02.27.014485-0.02.32.076408</t>
  </si>
  <si>
    <t>0:02:32.076408</t>
  </si>
  <si>
    <t>AQAIAhlpRQv05sitoqGPUGJIqOmRZ8OP_0.02.32.076408-0.02.37.059383</t>
  </si>
  <si>
    <t>0:02:37.059383</t>
  </si>
  <si>
    <t>AQAIAhlpRQv05sitoqGPUGJIqOmRZ8OP_0.02.37.059383-0.02.42.081832</t>
  </si>
  <si>
    <t>0:02:42.081832</t>
  </si>
  <si>
    <t>AQAIAhlpRQv05sitoqGPUGJIqOmRZ8OP_0.02.42.081832-0.02.47.076417</t>
  </si>
  <si>
    <t>0:02:47.076417</t>
  </si>
  <si>
    <t>AQAIAhlpRQv05sitoqGPUGJIqOmRZ8OP_0.02.47.076417-0.02.53.003510</t>
  </si>
  <si>
    <t>0:02:53.003510</t>
  </si>
  <si>
    <t>AQAIAhlpRQv05sitoqGPUGJIqOmRZ8OP_0.02.53.003510-0.02.58.035247</t>
  </si>
  <si>
    <t>0:02:58.035247</t>
  </si>
  <si>
    <t>AQAIAhlpRQv05sitoqGPUGJIqOmRZ8OP_0.02.58.035247-0.03.04.004136</t>
  </si>
  <si>
    <t>0:03:04.004136</t>
  </si>
  <si>
    <t>AQAIAhlpRQv05sitoqGPUGJIqOmRZ8OP_0.03.04.004136-0.03.09.026585</t>
  </si>
  <si>
    <t>0:03:09.026585</t>
  </si>
  <si>
    <t>AQAIAhlpRQv05sitoqGPUGJIqOmRZ8OP_0.03.09.026585-0.03.14.088507</t>
  </si>
  <si>
    <t>0:03:14.088507</t>
  </si>
  <si>
    <t>AQAIAhlpRQv05sitoqGPUGJIqOmRZ8OP_0.03.14.088507-0.03.19.048263</t>
  </si>
  <si>
    <t>0:03:19.048263</t>
  </si>
  <si>
    <t>AQAIAhlpRQv05sitoqGPUGJIqOmRZ8OP_0.03.19.048263-0.03.24.080000</t>
  </si>
  <si>
    <t>0:03:24.080000</t>
  </si>
  <si>
    <t>AQAIAhlpRQv05sitoqGPUGJIqOmRZ8OP_0.03.24.080000-0.03.29.081551</t>
  </si>
  <si>
    <t>0:03:29.081551</t>
  </si>
  <si>
    <t>AQAIAhlpRQv05sitoqGPUGJIqOmRZ8OP_0.03.29.081551-0.03.34.078458</t>
  </si>
  <si>
    <t>0:03:34.078458</t>
  </si>
  <si>
    <t>AQAIAhlpRQv05sitoqGPUGJIqOmRZ8OP_0.03.34.078458-0.03.40.010195</t>
  </si>
  <si>
    <t>0:03:40.010195</t>
  </si>
  <si>
    <t>AQAIAIqaZOGiKMGPTD9Uoysd8Ct0Jjke_0.00.23.024897-0.01.41.056408</t>
  </si>
  <si>
    <t>Christoph Luty (b), Jeff Hamilton (dr), Scott Hamilton (ts), Tamir Hendelman (p)</t>
  </si>
  <si>
    <t>Scott Hamilton</t>
  </si>
  <si>
    <t>Live in Bern</t>
  </si>
  <si>
    <t>The champ</t>
  </si>
  <si>
    <t>2014-05-18</t>
  </si>
  <si>
    <t>Live "Marian's Jazzroom", Bern, Switzerland</t>
  </si>
  <si>
    <t>0:00:23.024897</t>
  </si>
  <si>
    <t>0:01:41.056408</t>
  </si>
  <si>
    <t>AQAIAIqaZOGiKMGPTD9Uoysd8Ct0Jjke_0.02.24.052244-0.03.27.080408</t>
  </si>
  <si>
    <t>0:02:24.052244</t>
  </si>
  <si>
    <t>0:03:27.080408</t>
  </si>
  <si>
    <t>AQAIAIqaZOGiKMGPTD9Uoysd8Ct0Jjke_0.03.27.080408-0.03.49.015918</t>
  </si>
  <si>
    <t>0:03:49.015918</t>
  </si>
  <si>
    <t>AQAIBIuSJEksJQl-XEJSm0J6WsJdHL0W_0.00.42.002811-0.01.15.055773</t>
  </si>
  <si>
    <t>Aaron Sachs (cl, as), Clyde Lombardi (g), Dale Pierce (tp), Dick Taylor (tb), Flip Phillips (ts), John Blowers (dr), Ralph Burns (p), Red Norvo (other, vib)</t>
  </si>
  <si>
    <t>Red Norvo And His Overseas Spotlight Band</t>
  </si>
  <si>
    <t xml:space="preserve">Red Norvo - The Early Years Vol. 10 </t>
  </si>
  <si>
    <t>Flyin' Home</t>
  </si>
  <si>
    <t>1943-10-28</t>
  </si>
  <si>
    <t>0:00:42.002811</t>
  </si>
  <si>
    <t>0:01:15.055773</t>
  </si>
  <si>
    <t>AQAIBIuSJEksJQl-XEJSm0J6WsJdHL0W_0.01.15.055773-0.01.47.053160</t>
  </si>
  <si>
    <t>0:01:47.053160</t>
  </si>
  <si>
    <t>AQAICNGjJEoSRkngK9CTEZGPSYd1Z0Wf_0.01.00.097560-0.01.56.093569</t>
  </si>
  <si>
    <t>Art Velasco (tb), Charlie Otwell (p), Gene Burkert (as, fl, ts), Poncho Sanchez (other, voc), Ramon Banda (dr, tb), Sal Cracchiolo (flg, tp), Tito Puente (tb), Tony Banda (b)</t>
  </si>
  <si>
    <t>Gene Burkert</t>
  </si>
  <si>
    <t>Song for Cal</t>
  </si>
  <si>
    <t>0:01:00.097560</t>
  </si>
  <si>
    <t>AQAICNGjJEoSRkngK9CTEZGPSYd1Z0Wf_0.01.56.093569-0.02.53.063882</t>
  </si>
  <si>
    <t>Art Velasco, Ramon Banda, Tito Puente</t>
  </si>
  <si>
    <t>0:02:53.063882</t>
  </si>
  <si>
    <t>AQAIeEuWKNSSaPhjvDiOXCIqHY-eQjvS_0.01.24.028843-0.02.25.072020</t>
  </si>
  <si>
    <t>Bob Sheppard (ts), David Finck (b), Jeremy Pelt (tp), Joe LaBarbera (dr), Joe Locke (vib), Tom Ranier (p)</t>
  </si>
  <si>
    <t>Joe Locke</t>
  </si>
  <si>
    <t>David Finck</t>
  </si>
  <si>
    <t>Future Day</t>
  </si>
  <si>
    <t>Transparency</t>
  </si>
  <si>
    <t>2007-04-14</t>
  </si>
  <si>
    <t>0:01:24.028843</t>
  </si>
  <si>
    <t>0:02:25.072020</t>
  </si>
  <si>
    <t>AQAIf5HThIoShF_RJDcuPMd348mF0M3h_0.00.00.000000-0.00.16.095594</t>
  </si>
  <si>
    <t>Andrew Hill (p), Greg Osby (cl, as), Scott Colley (b), Terri Lyne Carrington (dr)</t>
  </si>
  <si>
    <t>Greg Osby</t>
  </si>
  <si>
    <t>The Invisible Hand</t>
  </si>
  <si>
    <t>1999-09-09</t>
  </si>
  <si>
    <t>0:00:16.095594</t>
  </si>
  <si>
    <t>AQAIG1KSLNolwddRPNGD60QPX0mRf0h6_0.01.17.012979-0.01.57.099655</t>
  </si>
  <si>
    <t>Jamming In Four</t>
  </si>
  <si>
    <t>0:01:17.012979</t>
  </si>
  <si>
    <t>0:01:57.099655</t>
  </si>
  <si>
    <t>AQAIG1KSLNolwddRPNGD60QPX0mRf0h6_0.03.34.075283-0.04.19.056000</t>
  </si>
  <si>
    <t>0:03:34.075283</t>
  </si>
  <si>
    <t>0:04:19.056000</t>
  </si>
  <si>
    <t>AQAIgbSUSEqaBD8cM8XHCdeFXPCUInmi_0.02.33.025013-0.03.05.029421</t>
  </si>
  <si>
    <t>Bill Cunliffe (p), Don Shelton (ts, cl), Gary Foster (as), Gary Smulyan (bs), Gene Cipriano (ts), Joe LaBarbera (dr), Mark Masters (other), Pete Christlieb (ts), Tom Harrington (b)</t>
  </si>
  <si>
    <t>Gary Smulyan</t>
  </si>
  <si>
    <t>Mark Masters</t>
  </si>
  <si>
    <t>Ellington Saxophone Encounters</t>
  </si>
  <si>
    <t>We’re in love again</t>
  </si>
  <si>
    <t>2012-01-15</t>
  </si>
  <si>
    <t>Glendale, CA</t>
  </si>
  <si>
    <t>0:02:33.025013</t>
  </si>
  <si>
    <t>0:03:05.029421</t>
  </si>
  <si>
    <t>AQAIgbSUSEqaBD8cM8XHCdeFXPCUInmi_0.03.38.046845-0.04.16.040818</t>
  </si>
  <si>
    <t>0:03:38.046845</t>
  </si>
  <si>
    <t>0:04:16.040818</t>
  </si>
  <si>
    <t>AQAIgtEaJdmKdBKD42JiHOciIkzzIDnY_0.00.40.026503-0.02.41.007702</t>
  </si>
  <si>
    <t>Glass bead games</t>
  </si>
  <si>
    <t>0:00:40.026503</t>
  </si>
  <si>
    <t>0:02:41.007702</t>
  </si>
  <si>
    <t>AQAIgtEaJdmKdBKD42JiHOciIkzzIDnY_0.03.48.062367-0.04.05.066712</t>
  </si>
  <si>
    <t>0:03:48.062367</t>
  </si>
  <si>
    <t>0:04:05.066712</t>
  </si>
  <si>
    <t>AQAIHNSibBsj5GGOR61wOkisZQ-8J7gv_0.00.36.060408-0.01.08.099591</t>
  </si>
  <si>
    <t>Bobby Durham (dr), Bucky Pizzarelli (g), Clark Terry (tp, flg), Milt Hinton (b), Seldon Powell (ts), Sir Roland Hanna (p)</t>
  </si>
  <si>
    <t>Seldon Powell</t>
  </si>
  <si>
    <t>The Basie Alumni</t>
  </si>
  <si>
    <t>Swinging For The Count</t>
  </si>
  <si>
    <t>Jumpin' at the Woodside</t>
  </si>
  <si>
    <t>1992-06-12</t>
  </si>
  <si>
    <t>0:00:36.060408</t>
  </si>
  <si>
    <t>0:01:08.099591</t>
  </si>
  <si>
    <t>AQAIHNSibBsj5GGOR61wOkisZQ-8J7gv_0.01.08.099591-0.01.39.062448</t>
  </si>
  <si>
    <t>Clark Terry</t>
  </si>
  <si>
    <t>0:01:39.062448</t>
  </si>
  <si>
    <t>AQAIHNSibBsj5GGOR61wOkisZQ-8J7gv_0.01.39.062448-0.02.09.027346</t>
  </si>
  <si>
    <t>flg</t>
  </si>
  <si>
    <t>0:02:09.027346</t>
  </si>
  <si>
    <t>AQAIHNSibBsj5GGOR61wOkisZQ-8J7gv_0.03.07.075510-0.04.19.065714</t>
  </si>
  <si>
    <t>0:03:07.075510</t>
  </si>
  <si>
    <t>0:04:19.065714</t>
  </si>
  <si>
    <t>AQAIJkkSa5ISZQn6WAtYPcjPgpGkqnhC_0.01.28.042158-0.02.01.092798</t>
  </si>
  <si>
    <t>Al Jones (dr), Bill Graham (as, bs), Dizzy Gillespie (other, voc, tp), Joe Carroll (voc), Lou Hackney (b), Sarah Vaughan (voc), Wade Legge (p)</t>
  </si>
  <si>
    <t>Bill Graham</t>
  </si>
  <si>
    <t>The Boppers In Europe Vol. 3 (1953)</t>
  </si>
  <si>
    <t>1952-02-09</t>
  </si>
  <si>
    <t>0:01:28.042158</t>
  </si>
  <si>
    <t>0:02:01.092798</t>
  </si>
  <si>
    <t>AQAIJkkSa5ISZQn6WAtYPcjPgpGkqnhC_0.02.01.092798-0.03.02.059591</t>
  </si>
  <si>
    <t>0:03:02.059591</t>
  </si>
  <si>
    <t>AQAIJWJCJVosXA96onlyHIf3HHmizEiW_0.02.18.099464-0.02.42.044680</t>
  </si>
  <si>
    <t>Bobby Bruce (vln), Gene Cipriano (ts, as), Ken Shroyer (tb), Larry Bunker (other, vib), Max Bennett (b), Michael Franks (voc, other, g, bjo), Ollie Mitchell (tp), Paul Humphrey (dr, other), Tom Scott (ts, fl), Tommy Tedesco (g), Wendy Waldman (other)</t>
  </si>
  <si>
    <t>Bobby Bruce</t>
  </si>
  <si>
    <t>Michael Franks</t>
  </si>
  <si>
    <t>Previously Unavailable</t>
  </si>
  <si>
    <t>Life's little highway</t>
  </si>
  <si>
    <t>1973-01-01</t>
  </si>
  <si>
    <t>Los Angeles ?</t>
  </si>
  <si>
    <t>0:02:18.099464</t>
  </si>
  <si>
    <t>0:02:42.044680</t>
  </si>
  <si>
    <t>AQAIkdqTURI-EnWDNxeeI7-RoJ-Hhmqo_0.01.59.095428-0.02.55.021777</t>
  </si>
  <si>
    <t>Andy Narell (other), Dave Samuels (other, vib), Sammy Figueroa (other)</t>
  </si>
  <si>
    <t>Dave Samuels</t>
  </si>
  <si>
    <t>Del Sol</t>
  </si>
  <si>
    <t>Del sol</t>
  </si>
  <si>
    <t>1992-12-01</t>
  </si>
  <si>
    <t>The Carriage House, Stamford, CT</t>
  </si>
  <si>
    <t>0:01:59.095428</t>
  </si>
  <si>
    <t>0:02:55.021777</t>
  </si>
  <si>
    <t>AQAIkdqTURI-EnWDNxeeI7-RoJ-Hhmqo_0.03.23.012816-0.03.31.053378</t>
  </si>
  <si>
    <t>0:03:23.012816</t>
  </si>
  <si>
    <t>0:03:31.053378</t>
  </si>
  <si>
    <t>AQAIkdqTURI-EnWDNxeeI7-RoJ-Hhmqo_0.03.41.028616-0.03.48.094875</t>
  </si>
  <si>
    <t>0:03:41.028616</t>
  </si>
  <si>
    <t>0:03:48.094875</t>
  </si>
  <si>
    <t>AQAIkdqTURI-EnWDNxeeI7-RoJ-Hhmqo_0.03.59.007265-0.04.08.068571</t>
  </si>
  <si>
    <t>0:03:59.007265</t>
  </si>
  <si>
    <t>0:04:08.068571</t>
  </si>
  <si>
    <t>AQAIkIwSJcsqBudxol-RQx9-PIdmDmme_0.00.47.080408-0.01.57.009387</t>
  </si>
  <si>
    <t>Eliot Zigmund (dr), Joel Frahm (ss, ts), Tim Ferguson (b), Tom Dempsey (g)</t>
  </si>
  <si>
    <t>Tom Dempsey</t>
  </si>
  <si>
    <t>Beautiful Friendship</t>
  </si>
  <si>
    <t>Focus pocus</t>
  </si>
  <si>
    <t>2010-08-22</t>
  </si>
  <si>
    <t>Union City, NJ</t>
  </si>
  <si>
    <t>0:00:47.080408</t>
  </si>
  <si>
    <t>0:01:57.009387</t>
  </si>
  <si>
    <t>AQAIklGSSVHSZEmQ_jCP8gR32kIjc0Wo_0.02.00.055510-0.04.05.081224</t>
  </si>
  <si>
    <t>Brandon Seabrook (g, bjo), Eivind Opsvik (b), Jeremy Udden (other, as, ss), Miller (), Pete Rende (g, p, other, org)</t>
  </si>
  <si>
    <t>Jeremy Udden</t>
  </si>
  <si>
    <t>Plainville</t>
  </si>
  <si>
    <t>Big lick</t>
  </si>
  <si>
    <t>2008-02-01</t>
  </si>
  <si>
    <t>0:02:00.055510</t>
  </si>
  <si>
    <t>0:04:05.081224</t>
  </si>
  <si>
    <t>AQAIkpIkJYseNCuehIVr5wh7BsnzDBWS_0.01.14.081469-0.02.18.018195</t>
  </si>
  <si>
    <t>Billy Wallace (p), George Morrow (b), Kenny Dorham (tp), Max Roach (dr), Sonny Rollins (ts)</t>
  </si>
  <si>
    <t>Max Roach Quintet</t>
  </si>
  <si>
    <t>Max Roach</t>
  </si>
  <si>
    <t>Hard Bop - Max Roach</t>
  </si>
  <si>
    <t>I'll Take Romance</t>
  </si>
  <si>
    <t>1957-03-18</t>
  </si>
  <si>
    <t>0:01:14.081469</t>
  </si>
  <si>
    <t>0:02:18.018195</t>
  </si>
  <si>
    <t>AQAIkpIkJYseNCuehIVr5wh7BsnzDBWS_0.02.18.018195-0.03.24.038204</t>
  </si>
  <si>
    <t>Sonny Rollins</t>
  </si>
  <si>
    <t>0:03:24.038204</t>
  </si>
  <si>
    <t>AQAIlose9cIDXsWTHPvxHk19PAxzXHtw_0.01.38.048163-0.01.49.019183</t>
  </si>
  <si>
    <t>Algebra Blessett (voc), Billy Hart (dr), Esperanza Spalding (voc, b), Jef Lee Johnson (g), Joe Lovano (ts), Leni Stern (voc), Leo Genovese (p), Lionel Loueke (voc, g)</t>
  </si>
  <si>
    <t>Esperanza Spalding</t>
  </si>
  <si>
    <t>Radio Music Society</t>
  </si>
  <si>
    <t>Crowned &amp; kissed</t>
  </si>
  <si>
    <t>2011-01-01</t>
  </si>
  <si>
    <t>Englewood, NJ</t>
  </si>
  <si>
    <t>0:01:49.019183</t>
  </si>
  <si>
    <t>AQAIlose9cIDXsWTHPvxHk19PAxzXHtw_0.02.16.075102-0.02.34.084081</t>
  </si>
  <si>
    <t>0:02:16.075102</t>
  </si>
  <si>
    <t>0:02:34.084081</t>
  </si>
  <si>
    <t>AQAIMlIihYqSRgn6yDjf4j8e5niOikfj_0.00.36.078040-0.01.14.030385</t>
  </si>
  <si>
    <t>Bobby Durham (dr), Bucky Pizzarelli (g), Clark Terry (flg, tp), Milt Hinton (b), Seldon Powell (ts), Sir Roland Hanna (p)</t>
  </si>
  <si>
    <t>Swinging for the Count</t>
  </si>
  <si>
    <t>0:00:36.078040</t>
  </si>
  <si>
    <t>0:01:14.030385</t>
  </si>
  <si>
    <t>AQAIMlIihYqSRgn6yDjf4j8e5niOikfj_0.01.14.030385-0.01.51.022358</t>
  </si>
  <si>
    <t>AQAIMlIihYqSRgn6yDjf4j8e5niOikfj_0.01.51.022358-0.02.27.012163</t>
  </si>
  <si>
    <t>0:02:27.012163</t>
  </si>
  <si>
    <t>AQAIoU6WNcoSBWHuoHYy6Frw7MipB6eY_0.00.33.095918-0.01.36.091428</t>
  </si>
  <si>
    <t>Bob Magnusson (b), Bud Shank (as), Joe LaBarbera (dr), Mike Wofford (p)</t>
  </si>
  <si>
    <t>Bud Shank</t>
  </si>
  <si>
    <t>Jake Fryer</t>
  </si>
  <si>
    <t>In Good Company</t>
  </si>
  <si>
    <t>Tip top and tickety boo</t>
  </si>
  <si>
    <t>2009-04-01</t>
  </si>
  <si>
    <t>San Diego, CA</t>
  </si>
  <si>
    <t>0:00:33.095918</t>
  </si>
  <si>
    <t>0:01:36.091428</t>
  </si>
  <si>
    <t>AQAIoU6WNcoSBWHuoHYy6Frw7MipB6eY_0.02.34.012244-0.03.35.024897</t>
  </si>
  <si>
    <t>0:02:34.012244</t>
  </si>
  <si>
    <t>0:03:35.024897</t>
  </si>
  <si>
    <t>AQAIP0mSbEkSLWJwQriC58E941CO9MK3_0.00.56.049414-0.01.08.047564</t>
  </si>
  <si>
    <t>Hank Mobley (ts), Horace Silver (p), J.J. Johnson (tb), Kenny Clarke (dr), Paul Chambers (b)</t>
  </si>
  <si>
    <t>Hank Mobley</t>
  </si>
  <si>
    <t>Pennies From Heaven</t>
  </si>
  <si>
    <t>1955-06-06</t>
  </si>
  <si>
    <t>0:00:56.049414</t>
  </si>
  <si>
    <t>0:01:08.047564</t>
  </si>
  <si>
    <t>AQAIP0mSbEkSLWJwQriC58E941CO9MK3_0.01.08.047564-0.01.55.087047</t>
  </si>
  <si>
    <t>0:01:55.087047</t>
  </si>
  <si>
    <t>AQAIP0mSbEkSLWJwQriC58E941CO9MK3_0.01.55.087047-0.02.44.020571</t>
  </si>
  <si>
    <t>0:02:44.020571</t>
  </si>
  <si>
    <t>AQAIP0mSbEkSLWJwQriC58E941CO9MK3_0.03.31.015936-0.03.49.026222</t>
  </si>
  <si>
    <t>0:03:31.015936</t>
  </si>
  <si>
    <t>0:03:49.026222</t>
  </si>
  <si>
    <t>AQAIP0mSbEkSLWJwQriC58E941CO9MK3_0.03.49.026222-0.03.54.086984</t>
  </si>
  <si>
    <t>0:03:54.086984</t>
  </si>
  <si>
    <t>AQAIpUkyUcmUJFqgaEV6vMeN6xlxmDvx_0.01.37.082857-0.02.11.052653</t>
  </si>
  <si>
    <t>Aaron Parks (p, voc), Eric Harland (other, dr), Joshua Redman (ss, ts), Matt Penman (b)</t>
  </si>
  <si>
    <t>Joshua Redman</t>
  </si>
  <si>
    <t>James Farm</t>
  </si>
  <si>
    <t>City Folk</t>
  </si>
  <si>
    <t>Farms</t>
  </si>
  <si>
    <t>2014-01-04</t>
  </si>
  <si>
    <t>0:01:37.082857</t>
  </si>
  <si>
    <t>AQAIpUkyUcmUJFqgaEV6vMeN6xlxmDvx_0.03.19.097024-0.03.54.070730</t>
  </si>
  <si>
    <t>0:03:19.097024</t>
  </si>
  <si>
    <t>0:03:54.070730</t>
  </si>
  <si>
    <t>AQAIQ3pIJUyEZyOJm8JDIzn-IFT6oYnK_0.00.34.092281-0.01.59.079174</t>
  </si>
  <si>
    <t>Count Basie (as 'Prince Charming') (p), Freddie Green (g), Jo Jones (dr), Lester Young (ts), Rodney Richardson (b)</t>
  </si>
  <si>
    <t>Kansas City Seven</t>
  </si>
  <si>
    <t>Lester Leaps Again</t>
  </si>
  <si>
    <t>1944-03-22</t>
  </si>
  <si>
    <t>0:00:34.092281</t>
  </si>
  <si>
    <t>0:01:59.079174</t>
  </si>
  <si>
    <t>AQAIQ3pIJUyEZyOJm8JDIzn-IFT6oYnK_0.02.56.047165-0.03.01.006920</t>
  </si>
  <si>
    <t>0:02:56.047165</t>
  </si>
  <si>
    <t>0:03:01.006920</t>
  </si>
  <si>
    <t>AQAIQ3pIJUyEZyOJm8JDIzn-IFT6oYnK_0.03.05.078285-0.03.10.047328</t>
  </si>
  <si>
    <t>0:03:05.078285</t>
  </si>
  <si>
    <t>0:03:10.047328</t>
  </si>
  <si>
    <t>AQAIQ3pIJUyEZyOJm8JDIzn-IFT6oYnK_0.03.15.025659-0.03.19.066839</t>
  </si>
  <si>
    <t>0:03:15.025659</t>
  </si>
  <si>
    <t>0:03:19.066839</t>
  </si>
  <si>
    <t>AQAIQ3pIJUyEZyOJm8JDIzn-IFT6oYnK_0.03.24.082321-0.03.29.060653</t>
  </si>
  <si>
    <t>0:03:24.082321</t>
  </si>
  <si>
    <t>0:03:29.060653</t>
  </si>
  <si>
    <t>AQAIQ3pIJUyEZyOJm8JDIzn-IFT6oYnK_0.03.34.057560-0.03.39.049823</t>
  </si>
  <si>
    <t>0:03:34.057560</t>
  </si>
  <si>
    <t>0:03:39.049823</t>
  </si>
  <si>
    <t>AQAIqNciZVKUBD2aZA_etDJ-7AqeScKV_0.00.36.087328-0.02.26.087346</t>
  </si>
  <si>
    <t>Gary Smulyan (bs), Grant Stewart (ts), Joel Forbes (b), Kevin Kanner (dr), Rossano Sportiello (p)</t>
  </si>
  <si>
    <t>Grant Stewart</t>
  </si>
  <si>
    <t>Harry Allen</t>
  </si>
  <si>
    <t>The Candy Men</t>
  </si>
  <si>
    <t>The red door</t>
  </si>
  <si>
    <t>2015-08-19</t>
  </si>
  <si>
    <t>Paramus, NJ</t>
  </si>
  <si>
    <t>0:00:36.087328</t>
  </si>
  <si>
    <t>0:02:26.087346</t>
  </si>
  <si>
    <t>AQAIqNciZVKUBD2aZA_etDJ-7AqeScKV_0.02.26.087346-0.03.03.057551</t>
  </si>
  <si>
    <t>0:03:03.057551</t>
  </si>
  <si>
    <t>AQAItYmkZGMipfiT4Dya6whFh8OzZMeR_0.00.44.081451-0.01.02.083319</t>
  </si>
  <si>
    <t>Aleksandar Gajic (vln), Dafnis Prieto (dr), David Buchbinder (tp), Hilario Duran (p), John Gzowski (other), Quinsin Nachoff (other), Roberto Occhipinti (b)</t>
  </si>
  <si>
    <t>David Buchbinder</t>
  </si>
  <si>
    <t>Odessa/Havana</t>
  </si>
  <si>
    <t>Freylekhs tumbao</t>
  </si>
  <si>
    <t>2007-01-01</t>
  </si>
  <si>
    <t>New York ?</t>
  </si>
  <si>
    <t>0:00:44.081451</t>
  </si>
  <si>
    <t>0:01:02.083319</t>
  </si>
  <si>
    <t>AQAItYmkZGMipfiT4Dya6whFh8OzZMeR_0.02.51.036326-0.03.13.046866</t>
  </si>
  <si>
    <t>Aleksandar Gajic</t>
  </si>
  <si>
    <t>0:02:51.036326</t>
  </si>
  <si>
    <t>0:03:13.046866</t>
  </si>
  <si>
    <t>AQAIu0q0UNOSIvmHWLiMrklITMmPo0l0_0.02.18.051428-0.02.29.068163</t>
  </si>
  <si>
    <t>Ari Munkres (b), Evan Price (vln), John Santos (other), Kim Nalley (voc), Larry Vuckovich (p), Noel Jewkes (fl, ts), Omar Clay (dr), Paul Mehling (g)</t>
  </si>
  <si>
    <t>Noel Jewkes</t>
  </si>
  <si>
    <t>Josh Workman</t>
  </si>
  <si>
    <t>Jumpin' At The Border</t>
  </si>
  <si>
    <t>You're driving me crazy</t>
  </si>
  <si>
    <t>Berkeley, CA</t>
  </si>
  <si>
    <t>0:02:18.051428</t>
  </si>
  <si>
    <t>0:02:29.068163</t>
  </si>
  <si>
    <t>AQAIu0q0UNOSIvmHWLiMrklITMmPo0l0_0.03.06.025306-0.03.18.049795</t>
  </si>
  <si>
    <t>Kim Nalley</t>
  </si>
  <si>
    <t>0:03:06.025306</t>
  </si>
  <si>
    <t>0:03:18.049795</t>
  </si>
  <si>
    <t>AQAIvEmSJEmkREmiJBm0UMXz4Tq68tBE_0.01.09.075274-0.02.00.029387</t>
  </si>
  <si>
    <t>Nida</t>
  </si>
  <si>
    <t>0:01:09.075274</t>
  </si>
  <si>
    <t>0:02:00.029387</t>
  </si>
  <si>
    <t>AQAIvEmSJEmkREmiJBm0UMXz4Tq68tBE_0.02.48.048979-0.03.36.029387</t>
  </si>
  <si>
    <t>0:02:48.048979</t>
  </si>
  <si>
    <t>0:03:36.029387</t>
  </si>
  <si>
    <t>AQAIvMpkqsWPyxae2Ei6HflhRTn4DbfC_0.01.25.074693-0.02.26.074285</t>
  </si>
  <si>
    <t>Christian McBride (b), Gregory Hutchinson (dr), Joshua Redman (ts), Kevin Hays (p)</t>
  </si>
  <si>
    <t>n</t>
  </si>
  <si>
    <t>I got you (I feel good)</t>
  </si>
  <si>
    <t>1992-09-15</t>
  </si>
  <si>
    <t>0:01:25.074693</t>
  </si>
  <si>
    <t>0:02:26.074285</t>
  </si>
  <si>
    <t>AQAIxpKSZUyTJAkchzt-5FEkSsZNlGiq_0.00.57.046938-0.03.17.035510</t>
  </si>
  <si>
    <t>Alejo Poveda (other), Curt Bley (b), Danny Embrey (g), Frank Mantooth (other), Howie Smith (bcl, ss, as), Jerry DiMuzio (fl, bs), Kelly Sill (b), Kevin Mahogany (voc), Kim Park (as, fl), Lee Gause (tb), Mike Steinel (tp), Ramsey Lewis (p), Scott Robinson (cl, fl, ts), Steve Houghton (dr)</t>
  </si>
  <si>
    <t>Scott Robinson</t>
  </si>
  <si>
    <t>Frank Mantooth</t>
  </si>
  <si>
    <t>Dangerous Precedent</t>
  </si>
  <si>
    <t>Summertime</t>
  </si>
  <si>
    <t>1991-12-01</t>
  </si>
  <si>
    <t>0:00:57.046938</t>
  </si>
  <si>
    <t>0:03:17.035510</t>
  </si>
  <si>
    <t>AQAIZkrIhGEc3IjJHHKiFLH0oId_4aip_0.02.27.010517-0.03.11.096086</t>
  </si>
  <si>
    <t>New valley</t>
  </si>
  <si>
    <t>0:02:27.010517</t>
  </si>
  <si>
    <t>0:03:11.096086</t>
  </si>
  <si>
    <t>AQAJ_lKSKdk6CZXC43yCC_XRNJDbHPfx_0.03.06.046204-0.04.24.022857</t>
  </si>
  <si>
    <t>Don Menza (fl, ts, ss, cl), Frank Hittner (bs), Kenny Rupp (tb), Lanny Morgan (as), Linc Milliman (b), Maynard Ferguson (other, tp), Michael Abene (p), Nat Pavone (tp), Rufus Jones (dr)</t>
  </si>
  <si>
    <t>Mimi</t>
  </si>
  <si>
    <t>0:03:06.046204</t>
  </si>
  <si>
    <t>0:04:24.022857</t>
  </si>
  <si>
    <t>AQAJ0lIecTo-Y9uyo9bRMniQ34bYI_tV_0.00.36.075718-0.01.46.011519</t>
  </si>
  <si>
    <t>In good company</t>
  </si>
  <si>
    <t>0:00:36.075718</t>
  </si>
  <si>
    <t>AQAJ0lIecTo-Y9uyo9bRMniQ34bYI_tV_0.02.53.068526-0.04.02.004480</t>
  </si>
  <si>
    <t>0:02:53.068526</t>
  </si>
  <si>
    <t>0:04:02.004480</t>
  </si>
  <si>
    <t>AQAJ11GUWE8GfheU5oiVSYcfHE_yJGj2_0.02.16.088163-0.03.00.055836</t>
  </si>
  <si>
    <t>Art Blakey (dr), Curley Russell (b), Frank Foster (ts), Ray Copeland (tp), Thelonious Monk (p)</t>
  </si>
  <si>
    <t>Frank Foster</t>
  </si>
  <si>
    <t>Thelonious Monk Quintet</t>
  </si>
  <si>
    <t>Thelonious Monk Vol. 3 (1952-54)</t>
  </si>
  <si>
    <t>We See</t>
  </si>
  <si>
    <t>1954-05-11</t>
  </si>
  <si>
    <t>Hackensack, N.J.</t>
  </si>
  <si>
    <t>0:02:16.088163</t>
  </si>
  <si>
    <t>0:03:00.055836</t>
  </si>
  <si>
    <t>AQAJ11GUWE8GfheU5oiVSYcfHE_yJGj2_0.03.00.055836-0.03.43.081714</t>
  </si>
  <si>
    <t>Ray Copeland</t>
  </si>
  <si>
    <t>0:03:43.081714</t>
  </si>
  <si>
    <t>AQAJ11GUWE8GfheU5oiVSYcfHE_yJGj2_0.03.43.081714-0.04.27.054031</t>
  </si>
  <si>
    <t>0:04:27.054031</t>
  </si>
  <si>
    <t>AQAJ6KISmomGT10WvBVs-cWlLMGF5klG_0.02.33.020816-0.04.13.064897</t>
  </si>
  <si>
    <t>Alex Wintz (g), Chris Pattishall (p), Dezron Douglas (b), Jeremy Pelt (tp), Roxy Coss (ts, ss)</t>
  </si>
  <si>
    <t>Roxy Coss</t>
  </si>
  <si>
    <t>Restless Idealism</t>
  </si>
  <si>
    <t>Recurring dream</t>
  </si>
  <si>
    <t>2014-11-10</t>
  </si>
  <si>
    <t>0:02:33.020816</t>
  </si>
  <si>
    <t>0:04:13.064897</t>
  </si>
  <si>
    <t>AQAJ6ZKyb01QkTuaKUpG4Z-Q_EIenHhi_0.00.54.041015-0.02.04.059827</t>
  </si>
  <si>
    <t>Buster Williams (b), Joe Sample (p), Stix Hooper (dr), Wayne Henderson (tb), Wilton Felder (ts)</t>
  </si>
  <si>
    <t>Anita's new dance</t>
  </si>
  <si>
    <t>1970-02-28</t>
  </si>
  <si>
    <t>0:00:54.041015</t>
  </si>
  <si>
    <t>0:02:04.059827</t>
  </si>
  <si>
    <t>AQAJ6ZKyb01QkTuaKUpG4Z-Q_EIenHhi_0.02.04.059827-0.03.11.028598</t>
  </si>
  <si>
    <t>0:03:11.028598</t>
  </si>
  <si>
    <t>AQAJ8dKmMJkSSTi-6CjzolH-4T7OE0tS_0.01.33.019619-0.03.06.045333</t>
  </si>
  <si>
    <t>Allen (), Danny Grissett (p), Dwayne Burno (b), Gerald Cleaver (dr), Jeremy Pelt (flg, tp), Joanna Pascale (voc)</t>
  </si>
  <si>
    <t>Jeremy Pelt</t>
  </si>
  <si>
    <t>Soul</t>
  </si>
  <si>
    <t>Second love</t>
  </si>
  <si>
    <t>2011-09-29</t>
  </si>
  <si>
    <t>0:01:33.019619</t>
  </si>
  <si>
    <t>0:03:06.045333</t>
  </si>
  <si>
    <t>AQAJ8dKmMJkSSTi-6CjzolH-4T7OE0tS_0.03.06.045333-0.03.53.006158</t>
  </si>
  <si>
    <t>Allen</t>
  </si>
  <si>
    <t>0:03:53.006158</t>
  </si>
  <si>
    <t>AQAJA2GkJUmkJVEQPsGspMeVyaD5YMon_0.01.39.070938-0.02.51.007591</t>
  </si>
  <si>
    <t>Brent Fischer (b, dr), Clare Fischer (other), Dick Mitchell (other), Luis Conte (other), Michito Sanchez (other), Tris Imboden (dr)</t>
  </si>
  <si>
    <t>Clare Fischer</t>
  </si>
  <si>
    <t>Lembrancas</t>
  </si>
  <si>
    <t>C.P.</t>
  </si>
  <si>
    <t>1989-06-01</t>
  </si>
  <si>
    <t>Glendale, Ca.</t>
  </si>
  <si>
    <t>0:01:39.070938</t>
  </si>
  <si>
    <t>0:02:51.007591</t>
  </si>
  <si>
    <t>AQAJCpGjRJISBT_OEw0PhswO7Tz8dOhR_0.02.43.035238-0.03.36.066539</t>
  </si>
  <si>
    <t>Bob Brookmeyer (tb), Cliff Heather (tb), Eddie Daniels (cl, ts), Garnett Brown (tb), Jerry Dodgion (fl, as), Joe Farrell (ts, fl, cl), Mel Lewis (dr), Pepper Adams (cl, bs), Phil Woods (as, cl), Richard Davis (b), Richard Williams (tp), Sam Herman (g, other), Sir Roland Hanna (p), Thad Jones (flg)</t>
  </si>
  <si>
    <t>Richard Williams</t>
  </si>
  <si>
    <t>Thad Jones-Mel Lewis Orchestra Concert (Newport Jazz Festival, Newport, RI Jul 2, 1966)</t>
  </si>
  <si>
    <t>Willow tree</t>
  </si>
  <si>
    <t>1967-01-24</t>
  </si>
  <si>
    <t>0:02:43.035238</t>
  </si>
  <si>
    <t>0:03:36.066539</t>
  </si>
  <si>
    <t>AQAJDUmSSIuiSE1wJDjqND3-4CQeMngO_0.00.11.004070-0.01.41.092768</t>
  </si>
  <si>
    <t>You go to my head</t>
  </si>
  <si>
    <t>0:00:11.004070</t>
  </si>
  <si>
    <t>0:01:41.092768</t>
  </si>
  <si>
    <t>AQAJDUmSSIuiSE1wJDjqND3-4CQeMngO_0.02.56.047916-0.04.29.039437</t>
  </si>
  <si>
    <t>0:02:56.047916</t>
  </si>
  <si>
    <t>0:04:29.039437</t>
  </si>
  <si>
    <t>AQAJekq0RGHWCY9y_FtwPD2mH2kyH5oY_0.00.31.071845-0.01.47.027619</t>
  </si>
  <si>
    <t>Barry Harris (p), Louis Hayes (dr), Sam Jones (b), Sonny Stitt (ts, as)</t>
  </si>
  <si>
    <t>12!</t>
  </si>
  <si>
    <t>12 !</t>
  </si>
  <si>
    <t>1972-12-12</t>
  </si>
  <si>
    <t>0:00:31.071845</t>
  </si>
  <si>
    <t>AQAJekq0RGHWCY9y_FtwPD2mH2kyH5oY_0.01.47.027619-0.02.15.081351</t>
  </si>
  <si>
    <t>0:02:15.081351</t>
  </si>
  <si>
    <t>AQAJekq0RGHWCY9y_FtwPD2mH2kyH5oY_0.03.58.000453-0.04.02.095038</t>
  </si>
  <si>
    <t>0:03:58.000453</t>
  </si>
  <si>
    <t>0:04:02.095038</t>
  </si>
  <si>
    <t>AQAJekq0RGHWCY9y_FtwPD2mH2kyH5oY_0.04.06.094421-0.04.12.012226</t>
  </si>
  <si>
    <t>0:04:06.094421</t>
  </si>
  <si>
    <t>0:04:12.012226</t>
  </si>
  <si>
    <t>AQAJekq0RGHWCY9y_FtwPD2mH2kyH5oY_0.04.16.030185-0.04.21.045668</t>
  </si>
  <si>
    <t>0:04:16.030185</t>
  </si>
  <si>
    <t>0:04:21.045668</t>
  </si>
  <si>
    <t>AQAJh8oSKdGiTkCvw_ghHz3a47hnHL6g_0.01.25.038360-0.03.00.086603</t>
  </si>
  <si>
    <t>Improvisation #3</t>
  </si>
  <si>
    <t>1970-12-18</t>
  </si>
  <si>
    <t>0:01:25.038360</t>
  </si>
  <si>
    <t>0:03:00.086603</t>
  </si>
  <si>
    <t>AQAJhZokJYmiJDGOBz_y4zwO7QceHJo__0.00.51.085015-0.01.40.079782</t>
  </si>
  <si>
    <t>Bonebrake (), Danny Frankel (other, dr), David Piltch (b), Pablo Calogero (other, fl, bcl, bs), Steven Bernstein (flg, tp)</t>
  </si>
  <si>
    <t>Steven Bernstein</t>
  </si>
  <si>
    <t>Diaspora Hollywood</t>
  </si>
  <si>
    <t>Meyer Lansky</t>
  </si>
  <si>
    <t>2004-02-12</t>
  </si>
  <si>
    <t>0:00:51.085015</t>
  </si>
  <si>
    <t>0:01:40.079782</t>
  </si>
  <si>
    <t>AQAJi1KSSLHGJGhe4ckjnBOPXN2RPDl6_0.00.50.066594-0.02.30.018666</t>
  </si>
  <si>
    <t>Hank Jones (p), Roy Haynes (dr), Sonny Stitt (as), Tommy Potter (b)</t>
  </si>
  <si>
    <t>Stitt In Orbit</t>
  </si>
  <si>
    <t>Eye ball</t>
  </si>
  <si>
    <t>0:00:50.066594</t>
  </si>
  <si>
    <t>0:02:30.018666</t>
  </si>
  <si>
    <t>AQAJIlInJYmyBWcmE1cQPDgFTTmaHw-e_0.03.14.034104-0.04.02.058321</t>
  </si>
  <si>
    <t>Don't Blame Me</t>
  </si>
  <si>
    <t>0:03:14.034104</t>
  </si>
  <si>
    <t>0:04:02.058321</t>
  </si>
  <si>
    <t>AQAJIlInJYmyBWcmE1cQPDgFTTmaHw-e_0.04.23.066040-0.04.52.013333</t>
  </si>
  <si>
    <t>0:04:23.066040</t>
  </si>
  <si>
    <t>0:04:52.013333</t>
  </si>
  <si>
    <t>AQAJJ0miJIpCcUmCvOiFXAr65EetQkx8_0.01.18.013514-0.01.51.017714</t>
  </si>
  <si>
    <t>Bob Crosby (cl, ts, fl), Efrain Logreira (other), Fred Carter (tb), Gary Todd (b), Graham Ellis (other, tb), Joe Ellis (tp), John Van Ohlen (dr), Mike Vaccaro (fl, bs), Quin Davis (fl, as), Richard Torres (ts, fl), Stan Kenton (p), Tom Bridges (tb), Willie Maiden (bs)</t>
  </si>
  <si>
    <t>Quin Davis</t>
  </si>
  <si>
    <t>Tunes &amp; Topics / Part One</t>
  </si>
  <si>
    <t>Tico tico</t>
  </si>
  <si>
    <t>0:01:18.013514</t>
  </si>
  <si>
    <t>0:01:51.017714</t>
  </si>
  <si>
    <t>AQAJJ0miJIpCcUmCvOiFXAr65EetQkx8_0.01.51.017714-0.02.27.081823</t>
  </si>
  <si>
    <t>Joe Ellis</t>
  </si>
  <si>
    <t>0:02:27.081823</t>
  </si>
  <si>
    <t>AQAJJInKRAmNnviL-xB_nIaPE4946DuO_0.01.03.015827-0.01.56.023909</t>
  </si>
  <si>
    <t>Jerry Tilitz, Joe Gallardo</t>
  </si>
  <si>
    <t>Jerry Tilitz (voc, tb), Joe Gallardo (tb), Martin Zenker (b), Paul Kirby (p), Rick Hollander (dr)</t>
  </si>
  <si>
    <t>Jerry Tilitz</t>
  </si>
  <si>
    <t xml:space="preserve">Jerry Tilitz Meets Joe Gallardo - An Exciting Jazz Trombone Summit </t>
  </si>
  <si>
    <t>Suitcase samba</t>
  </si>
  <si>
    <t>2013-01-01</t>
  </si>
  <si>
    <t>Hamburg, Germany</t>
  </si>
  <si>
    <t>0:01:03.015827</t>
  </si>
  <si>
    <t>0:01:56.023909</t>
  </si>
  <si>
    <t>AQAJL8oViQS_I5dwHs0OjdGe4coyCSV5_0.02.05.020489-0.02.38.079836</t>
  </si>
  <si>
    <t>Justin Kauflin (p), Katie Thiroux (b, voc), Ken Peplowski (ts, cl), Matt Witek (dr), Roger Neumann (ss, ts)</t>
  </si>
  <si>
    <t>Ken Peplowski</t>
  </si>
  <si>
    <t>Katie Thiroux</t>
  </si>
  <si>
    <t>Off Beat</t>
  </si>
  <si>
    <t>When the wind was green</t>
  </si>
  <si>
    <t>2016-11-14</t>
  </si>
  <si>
    <t>Clayton, NC</t>
  </si>
  <si>
    <t>0:02:05.020489</t>
  </si>
  <si>
    <t>0:02:38.079836</t>
  </si>
  <si>
    <t>AQAJmVHyJtGDq9iXHw_zDH52lDx0ouQV_0.00.50.059628-0.02.13.039863</t>
  </si>
  <si>
    <t>Tangerine</t>
  </si>
  <si>
    <t>0:00:50.059628</t>
  </si>
  <si>
    <t>0:02:13.039863</t>
  </si>
  <si>
    <t>AQAJN2PIJVSG78-Q51B9ZA-aJ-gnPNmD_0.01.25.033333-0.03.35.036507</t>
  </si>
  <si>
    <t>Cliff Heather (tb), Eddie Daniels (cl, ts), Jerome Richardson (as, fl, ss), Jerry Dodgion (as, fl), Jimmy Knepper (tb), Mel Lewis (dr), Pepper Adams (bs, cl), Richard Davis (b), Richard Williams (tp), Sir Roland Hanna (p), Thad Jones (flg)</t>
  </si>
  <si>
    <t>Eddie Daniels</t>
  </si>
  <si>
    <t>Monday Night</t>
  </si>
  <si>
    <t>Mornin' Reverend</t>
  </si>
  <si>
    <t>1968-10-17</t>
  </si>
  <si>
    <t>Live "The Village Vanguard", New York</t>
  </si>
  <si>
    <t>0:01:25.033333</t>
  </si>
  <si>
    <t>0:03:35.036507</t>
  </si>
  <si>
    <t>AQAJN2PIJVSG78-Q51B9ZA-aJ-gnPNmD_0.03.35.036507-0.04.05.034204</t>
  </si>
  <si>
    <t>0:04:05.034204</t>
  </si>
  <si>
    <t>AQAJnko8ZZs0NOuQH4ofNPsQ5vvQSmRW_0.02.00.086857-0.02.54.087238</t>
  </si>
  <si>
    <t>Deron Johnson (other), Easy Mo Bee (other, voc), Kenny Garrett (as), Miles Davis (tp), Money ()</t>
  </si>
  <si>
    <t>Doo-bop</t>
  </si>
  <si>
    <t>Blow</t>
  </si>
  <si>
    <t>1991-01-01</t>
  </si>
  <si>
    <t>0:02:00.086857</t>
  </si>
  <si>
    <t>0:02:54.087238</t>
  </si>
  <si>
    <t>AQAJnko8ZZs0NOuQH4ofNPsQ5vvQSmRW_0.02.54.087238-0.05.07.046666</t>
  </si>
  <si>
    <t>0:05:07.046666</t>
  </si>
  <si>
    <t>AQAJNUmUTEmyKImWwMeDH4dxPfhxPPCO_0.01.29.052163-0.02.15.041877</t>
  </si>
  <si>
    <t>Brent Fischer (b), Clare Fischer (other), Dick Mitchell (other), Luis Conte (other), Michito Sanchez (other), Tris Imboden (dr)</t>
  </si>
  <si>
    <t>Xapuri</t>
  </si>
  <si>
    <t>0:01:29.052163</t>
  </si>
  <si>
    <t>0:02:15.041877</t>
  </si>
  <si>
    <t>AQAJolkVRgyhnUj9VPhnuGJs9Af6Yzx8_0.02.11.035528-0.03.19.008789</t>
  </si>
  <si>
    <t>Barry Springer (flg, tp), Bob Bowman (b), Earlie Braggs (tb), Frank Mantooth (p), Gary Foster (ts, cl, fl, as), Kerry Strayer (other, ss, bs), Todd Strait (dr)</t>
  </si>
  <si>
    <t>Kerry Strayer</t>
  </si>
  <si>
    <t>Mentor</t>
  </si>
  <si>
    <t>Don't ask why</t>
  </si>
  <si>
    <t>Kansas City, MO</t>
  </si>
  <si>
    <t>0:02:11.035528</t>
  </si>
  <si>
    <t>0:03:19.008789</t>
  </si>
  <si>
    <t>AQAJP4suTUlw-EmOJ1KG20HzMCiZIwzH_0.00.29.090730-0.01.28.053768</t>
  </si>
  <si>
    <t>Bobby Timmons (p), Chet Baker (tp), Jimmy Bond (b), Peter Littman (dr), Phil Urso (ts)</t>
  </si>
  <si>
    <t>Phil Urso</t>
  </si>
  <si>
    <t>Chet Baker Quintet</t>
  </si>
  <si>
    <t>West Coast Jazz - Chet Baker 1956</t>
  </si>
  <si>
    <t>Jumpin' Off A Clef</t>
  </si>
  <si>
    <t>1956-07-24</t>
  </si>
  <si>
    <t>0:00:29.090730</t>
  </si>
  <si>
    <t>0:01:28.053768</t>
  </si>
  <si>
    <t>AQAJP4suTUlw-EmOJ1KG20HzMCiZIwzH_0.01.28.053768-0.02.27.019129</t>
  </si>
  <si>
    <t>0:02:27.019129</t>
  </si>
  <si>
    <t>AQAJpJcULcOnI06kVTi0y0T6LUNFRWER_0.00.55.005451-0.02.50.015582</t>
  </si>
  <si>
    <t>Jimmy Greene, Tony Malaby</t>
  </si>
  <si>
    <t>Dave Ballou (tp, cor), Gerald Cleaver (dr), Jimmy Greene (ts), Mario Pavone (b), Peter Madsen (p), Tony Malaby (ss, ts)</t>
  </si>
  <si>
    <t>Mario Pavone</t>
  </si>
  <si>
    <t>Arc Suite T/PI T/PO</t>
  </si>
  <si>
    <t>Silver print</t>
  </si>
  <si>
    <t>2010-06-10</t>
  </si>
  <si>
    <t>0:00:55.005451</t>
  </si>
  <si>
    <t>0:02:50.015582</t>
  </si>
  <si>
    <t>AQAJpJcULcOnI06kVTi0y0T6LUNFRWER_0.02.50.015582-0.04.36.015492</t>
  </si>
  <si>
    <t>0:04:36.015492</t>
  </si>
  <si>
    <t>AQAJPJG0TIySJQmaX_hPnOgOb8mMH5rp_0.01.55.017097-0.03.18.094857</t>
  </si>
  <si>
    <t>Phil Bodner (other), Phil Kraus (other, vib)</t>
  </si>
  <si>
    <t>Hobo Flats</t>
  </si>
  <si>
    <t>Cool</t>
  </si>
  <si>
    <t>1963-03-28</t>
  </si>
  <si>
    <t>0:03:18.094857</t>
  </si>
  <si>
    <t>AQAJPVmihEkiJUyCHw_W73DFQ_vxB6GH_0.00.59.056789-0.01.34.095365</t>
  </si>
  <si>
    <t>Victor Gaskin (b)</t>
  </si>
  <si>
    <t>The Thing</t>
  </si>
  <si>
    <t>White cobra</t>
  </si>
  <si>
    <t>1965-02-22</t>
  </si>
  <si>
    <t>0:00:59.056789</t>
  </si>
  <si>
    <t>0:01:34.095365</t>
  </si>
  <si>
    <t>AQAJPVmihEkiJUyCHw_W73DFQ_vxB6GH_0.01.34.095365-0.02.11.016952</t>
  </si>
  <si>
    <t>0:02:11.016952</t>
  </si>
  <si>
    <t>AQAJq2-uJcRXnMe947SCxEyoIR9eZcWl_0.01.17.092616-0.02.08.061532</t>
  </si>
  <si>
    <t>Chris Beck (dr), Freddie Hendrix (tp), Jared Gold (org), Oliver Lake (fl, as)</t>
  </si>
  <si>
    <t>Freddie Hendrix</t>
  </si>
  <si>
    <t>Oliver Lake</t>
  </si>
  <si>
    <t>What I Heard</t>
  </si>
  <si>
    <t>Human voice</t>
  </si>
  <si>
    <t>2013-03-30</t>
  </si>
  <si>
    <t>0:01:17.092616</t>
  </si>
  <si>
    <t>0:02:08.061532</t>
  </si>
  <si>
    <t>AQAJq2-uJcRXnMe947SCxEyoIR9eZcWl_0.02.08.061532-0.03.49.004163</t>
  </si>
  <si>
    <t>0:03:49.004163</t>
  </si>
  <si>
    <t>AQAJqhQlUYqU4M_x8HCDfD30I_2RQ9eR_0.00.40.005442-0.01.53.017405</t>
  </si>
  <si>
    <t>Art Pepper (as), Ben Tucker (b), Carl Perkins (p), Chuck Flores (dr)</t>
  </si>
  <si>
    <t>Art Pepper</t>
  </si>
  <si>
    <t>Art Pepper Quartet</t>
  </si>
  <si>
    <t>West Coast Jazz - Art Pepper</t>
  </si>
  <si>
    <t>Holiday Flight</t>
  </si>
  <si>
    <t>1957-04-01</t>
  </si>
  <si>
    <t>0:00:40.005442</t>
  </si>
  <si>
    <t>0:01:53.017405</t>
  </si>
  <si>
    <t>AQAJqhQlUYqU4M_x8HCDfD30I_2RQ9eR_0.03.26.042539-0.03.31.055700</t>
  </si>
  <si>
    <t>0:03:26.042539</t>
  </si>
  <si>
    <t>0:03:31.055700</t>
  </si>
  <si>
    <t>AQAJqhQlUYqU4M_x8HCDfD30I_2RQ9eR_0.03.36.075827-0.03.41.070412</t>
  </si>
  <si>
    <t>0:03:36.075827</t>
  </si>
  <si>
    <t>0:03:41.070412</t>
  </si>
  <si>
    <t>AQAJqhQlUYqU4M_x8HCDfD30I_2RQ9eR_0.03.46.090539-0.03.51.096734</t>
  </si>
  <si>
    <t>0:03:46.090539</t>
  </si>
  <si>
    <t>0:03:51.096734</t>
  </si>
  <si>
    <t>AQAJqhQlUYqU4M_x8HCDfD30I_2RQ9eR_0.03.57.019183-0.04.02.095038</t>
  </si>
  <si>
    <t>0:03:57.019183</t>
  </si>
  <si>
    <t>AQAJQUpCRRI1wmcQhmNCSN8RLzeeH7eS_0.00.27.091038-0.02.36.047927</t>
  </si>
  <si>
    <t>Duke booty</t>
  </si>
  <si>
    <t>0:00:27.091038</t>
  </si>
  <si>
    <t>0:02:36.047927</t>
  </si>
  <si>
    <t>AQAJrJI2iZIWvEdfND-eJERyOQgTP6iS_0.00.38.080054-0.01.53.056879</t>
  </si>
  <si>
    <t>Aaron Keirbel (other), Daniel Fabricant (b), Darren Johnston (tp), Rob Reich (other)</t>
  </si>
  <si>
    <t>The Nice Guy Trio</t>
  </si>
  <si>
    <t>Here Comes... The Nice Guy Trio</t>
  </si>
  <si>
    <t>See ya</t>
  </si>
  <si>
    <t>2009-01-01</t>
  </si>
  <si>
    <t>San Francisco, CA</t>
  </si>
  <si>
    <t>0:00:38.080054</t>
  </si>
  <si>
    <t>0:01:53.056879</t>
  </si>
  <si>
    <t>AQAJrJI2iZIWvEdfND-eJERyOQgTP6iS_0.01.53.056879-0.03.04.090049</t>
  </si>
  <si>
    <t>Darren Johnston</t>
  </si>
  <si>
    <t>0:03:04.090049</t>
  </si>
  <si>
    <t>AQAJS4oiTcmWJUKzzsL7IOSPhN1y1HlE_0.01.00.085950-0.02.47.011401</t>
  </si>
  <si>
    <t>Barry Harris (p), Louis Hayes (dr), Sam Jones (b), Sonny Stitt (ts)</t>
  </si>
  <si>
    <t>The night has a thousand eyes</t>
  </si>
  <si>
    <t>0:01:00.085950</t>
  </si>
  <si>
    <t>0:02:47.011401</t>
  </si>
  <si>
    <t>AQAJsouSZEsSMYSjDvmxSxEqL9CiI5ZW_0.02.15.068580-0.02.57.076761</t>
  </si>
  <si>
    <t>Jumpin' at the border</t>
  </si>
  <si>
    <t>0:02:15.068580</t>
  </si>
  <si>
    <t>0:02:57.076761</t>
  </si>
  <si>
    <t>AQAJTImmUaKSBN-JvA2aH-GKY_zRPDF-_0.01.19.048190-0.01.53.087065</t>
  </si>
  <si>
    <t>Joe Temperley (bcl, bs), Mark McGowan (tp), Nancy Reed (voc), Norman Simmons (other, p), Paul Wells (dr), Shelia Early (other), Tom DiCarlo (b), Virginia Mayhew (other, ts), Wycliffe Gordon (tb)</t>
  </si>
  <si>
    <t>Mark McGowan</t>
  </si>
  <si>
    <t>Duke Ellington Legacy</t>
  </si>
  <si>
    <t>Thank You Uncle Edward</t>
  </si>
  <si>
    <t>Cotton tail</t>
  </si>
  <si>
    <t>2007-04-01</t>
  </si>
  <si>
    <t>Union City, N.J.</t>
  </si>
  <si>
    <t>0:01:19.048190</t>
  </si>
  <si>
    <t>0:01:53.087065</t>
  </si>
  <si>
    <t>AQAJTImmUaKSBN-JvA2aH-GKY_zRPDF-_0.03.39.091619-0.04.15.002476</t>
  </si>
  <si>
    <t>Virginia Mayhew</t>
  </si>
  <si>
    <t>0:03:39.091619</t>
  </si>
  <si>
    <t>0:04:15.002476</t>
  </si>
  <si>
    <t>AQAJUFIoKZkUScFfVD_CRTruwx2PnziJ_0.01.09.038122-0.02.12.005188</t>
  </si>
  <si>
    <t>Dave Zinno (b), Jim Gwin (dr), Scott Hamilton (ts), Tim Ray (p)</t>
  </si>
  <si>
    <t>Remembering Billie</t>
  </si>
  <si>
    <t>Them there eyes</t>
  </si>
  <si>
    <t>2012-02-01</t>
  </si>
  <si>
    <t>West Greenwich, RI</t>
  </si>
  <si>
    <t>0:01:09.038122</t>
  </si>
  <si>
    <t>0:02:12.005188</t>
  </si>
  <si>
    <t>AQAJUFIoKZkUScFfVD_CRTruwx2PnziJ_0.03.09.014975-0.03.14.007238</t>
  </si>
  <si>
    <t>0:03:09.014975</t>
  </si>
  <si>
    <t>0:03:14.007238</t>
  </si>
  <si>
    <t>AQAJUFIoKZkUScFfVD_CRTruwx2PnziJ_0.03.24.017306-0.03.29.007247</t>
  </si>
  <si>
    <t>0:03:24.017306</t>
  </si>
  <si>
    <t>0:03:29.007247</t>
  </si>
  <si>
    <t>AQAJw5IkZ0mUJUj2LM-QCxXD4ngsnEcf_0.02.23.066476-0.02.56.001015</t>
  </si>
  <si>
    <t>Benny Morton, Dicky Wells, Vic Dickenson</t>
  </si>
  <si>
    <t>Ben Webster (ts), Benny Morton (tb), Coleman Hawkins (ts), Count Basie (p), Dicky Wells (tb), Doc Cheatham (tp), Earl Warren (as), Eddie Jones (b), Emmett Berry (tp), Freddie Green (g), Gerry Mulligan (bs), Jimmy Rushing (voc), Jo Jones (d). (voc), Joe Newman (tp), Joe Wilder (tp), Roy Eldridge (tp), Vic Dickenson (tb)</t>
  </si>
  <si>
    <t>Count Basie All Stars</t>
  </si>
  <si>
    <t>Jam Sessions Vol. 10 (1957)</t>
  </si>
  <si>
    <t>I Left My Baby</t>
  </si>
  <si>
    <t>1957-12-08</t>
  </si>
  <si>
    <t>0:02:23.066476</t>
  </si>
  <si>
    <t>0:02:56.001015</t>
  </si>
  <si>
    <t>AQAJw5IkZ0mUJUj2LM-QCxXD4ngsnEcf_0.02.56.001015-0.03.26.050666</t>
  </si>
  <si>
    <t>Doc Cheatham, Emmett Berry, Joe Newman, Joe Wilder, Roy Eldridge</t>
  </si>
  <si>
    <t>0:03:26.050666</t>
  </si>
  <si>
    <t>AQAJX0pESskiJuiL5rmQTdIDkY_xJZGR_0.00.57.081768-0.01.45.034893</t>
  </si>
  <si>
    <t>Bill Goodwin (dr), Brian Lynch (tp), Jim McNeely (p), Phil Woods (as), Steve Gilmore (b)</t>
  </si>
  <si>
    <t>Hiatus</t>
  </si>
  <si>
    <t>1992-08-03</t>
  </si>
  <si>
    <t>Saylorsburg, PA</t>
  </si>
  <si>
    <t>0:00:57.081768</t>
  </si>
  <si>
    <t>0:01:45.034893</t>
  </si>
  <si>
    <t>AQAJX0pESskiJuiL5rmQTdIDkY_xJZGR_0.01.45.034893-0.02.29.095446</t>
  </si>
  <si>
    <t>Brian Lynch</t>
  </si>
  <si>
    <t>0:02:29.095446</t>
  </si>
  <si>
    <t>AQAJzUySRIwSEb_R5Mihc8ijL6j8qSgn_0.01.01.083764-0.01.50.064308</t>
  </si>
  <si>
    <t>Pan pipe dance</t>
  </si>
  <si>
    <t>0:01:01.083764</t>
  </si>
  <si>
    <t>0:01:50.064308</t>
  </si>
  <si>
    <t>AQAJzUySRIwSEb_R5Mihc8ijL6j8qSgn_0.01.50.064308-0.02.38.040000</t>
  </si>
  <si>
    <t>0:02:38.040000</t>
  </si>
  <si>
    <t>AQAJzxmXTBKLXEmOf3hyC5WPrWOOXj_q_0.00.33.080825-0.02.19.059836</t>
  </si>
  <si>
    <t>Art Taylor (dr), Doug Watkins (b), Jackie McLean (as), Mal Waldron (p)</t>
  </si>
  <si>
    <t>Jackie McLean</t>
  </si>
  <si>
    <t>Jackie Mclean Quartet/Quintet/Sextet</t>
  </si>
  <si>
    <t xml:space="preserve">Hard Bop - Jackie Mclean </t>
  </si>
  <si>
    <t>Why Was I Born</t>
  </si>
  <si>
    <t>1956-07-13</t>
  </si>
  <si>
    <t>0:00:33.080825</t>
  </si>
  <si>
    <t>0:02:19.059836</t>
  </si>
  <si>
    <t>AQAJzxmXTBKLXEmOf3hyC5WPrWOOXj_q_0.03.24.086965-0.05.13.057333</t>
  </si>
  <si>
    <t>0:03:24.086965</t>
  </si>
  <si>
    <t>0:05:13.057333</t>
  </si>
  <si>
    <t>AQAK_AqThFGSLIqCRzr8HX9S46zAnISb_0.00.29.086086-0.00.56.019229</t>
  </si>
  <si>
    <t>Brian Blade (dr), Christopher Thomas (b), Joshua Redman (ss, ts), Peter Martin (p)</t>
  </si>
  <si>
    <t>Spirit Of The Moment; Live At The Village Vanguard</t>
  </si>
  <si>
    <t>Slapstick</t>
  </si>
  <si>
    <t>1995-03-21</t>
  </si>
  <si>
    <t>Live "Village Vanguard", New York</t>
  </si>
  <si>
    <t>0:00:29.086086</t>
  </si>
  <si>
    <t>0:00:56.019229</t>
  </si>
  <si>
    <t>AQAK_AqThFGSLIqCRzr8HX9S46zAnISb_0.01.20.038748-0.01.33.036743</t>
  </si>
  <si>
    <t>AQAK_AqThFGSLIqCRzr8HX9S46zAnISb_0.01.45.014285-0.01.51.042857</t>
  </si>
  <si>
    <t>0:01:45.014285</t>
  </si>
  <si>
    <t>0:01:51.042857</t>
  </si>
  <si>
    <t>AQAK_AqThFGSLIqCRzr8HX9S46zAnISb_0.01.57.026077-0.02.03.062303</t>
  </si>
  <si>
    <t>0:01:57.026077</t>
  </si>
  <si>
    <t>0:02:03.062303</t>
  </si>
  <si>
    <t>AQAK_AqThFGSLIqCRzr8HX9S46zAnISb_0.02.09.014938-0.02.13.017551</t>
  </si>
  <si>
    <t>0:02:09.014938</t>
  </si>
  <si>
    <t>0:02:13.017551</t>
  </si>
  <si>
    <t>AQAK_AqThFGSLIqCRzr8HX9S46zAnISb_0.02.15.057551-0.02.18.071600</t>
  </si>
  <si>
    <t>0:02:15.057551</t>
  </si>
  <si>
    <t>0:02:18.071600</t>
  </si>
  <si>
    <t>AQAK_AqThFGSLIqCRzr8HX9S46zAnISb_0.02.21.054884-0.02.24.091428</t>
  </si>
  <si>
    <t>0:02:21.054884</t>
  </si>
  <si>
    <t>0:02:24.091428</t>
  </si>
  <si>
    <t>AQAK_AqThFGSLIqCRzr8HX9S46zAnISb_0.02.27.060816-0.02.30.095292</t>
  </si>
  <si>
    <t>0:02:27.060816</t>
  </si>
  <si>
    <t>0:02:30.095292</t>
  </si>
  <si>
    <t>AQAK19sYdYoUnHiG6x_iJEPy48L1g0-i_0.03.08.053151-0.04.34.038730</t>
  </si>
  <si>
    <t>Cameron Brown (b), Dannie Richmond (dr), Don Pullen (p), George Adams (fl, ts)</t>
  </si>
  <si>
    <t>Don Pullen</t>
  </si>
  <si>
    <t>Song Everlasting</t>
  </si>
  <si>
    <t>Sun watchers</t>
  </si>
  <si>
    <t>1987-04-21</t>
  </si>
  <si>
    <t>0:03:08.053151</t>
  </si>
  <si>
    <t>0:04:34.038730</t>
  </si>
  <si>
    <t>AQAK34mYM5mCMOsyxuiL4y7evLiOJ0qS_0.00.33.064571-0.01.30.079002</t>
  </si>
  <si>
    <t>Donald Byrd (tp), Horace Silver (p), Jerome Richardson (ts, other), Julian 'Cannonball' Adderley (as), Kenny Clarke (dr), Nat Adderley (cor), Paul Chambers (b)</t>
  </si>
  <si>
    <t>Kenny Clarke</t>
  </si>
  <si>
    <t>Hard Bop - Cannonball Adderley Vol. 1</t>
  </si>
  <si>
    <t>With Apologies To Oscar</t>
  </si>
  <si>
    <t>1955-06-28</t>
  </si>
  <si>
    <t>0:00:33.064571</t>
  </si>
  <si>
    <t>0:01:30.079002</t>
  </si>
  <si>
    <t>AQAK34mYM5mCMOsyxuiL4y7evLiOJ0qS_0.01.30.079002-0.02.27.081823</t>
  </si>
  <si>
    <t>AQAK34mYM5mCMOsyxuiL4y7evLiOJ0qS_0.02.27.081823-0.03.24.010340</t>
  </si>
  <si>
    <t>0:03:24.010340</t>
  </si>
  <si>
    <t>AQAK34mYM5mCMOsyxuiL4y7evLiOJ0qS_0.03.24.010340-0.03.31.016226</t>
  </si>
  <si>
    <t>0:03:31.016226</t>
  </si>
  <si>
    <t>AQAK34mYM5mCMOsyxuiL4y7evLiOJ0qS_0.03.37.033877-0.03.44.060662</t>
  </si>
  <si>
    <t>0:03:37.033877</t>
  </si>
  <si>
    <t>0:03:44.060662</t>
  </si>
  <si>
    <t>AQAK34mYM5mCMOsyxuiL4y7evLiOJ0qS_0.03.51.022430-0.03.58.046893</t>
  </si>
  <si>
    <t>0:03:51.022430</t>
  </si>
  <si>
    <t>0:03:58.046893</t>
  </si>
  <si>
    <t>AQAK34mYM5mCMOsyxuiL4y7evLiOJ0qS_0.03.58.046893-0.04.01.088226</t>
  </si>
  <si>
    <t>0:04:01.088226</t>
  </si>
  <si>
    <t>AQAK34mYM5mCMOsyxuiL4y7evLiOJ0qS_0.04.04.085442-0.04.11.089006</t>
  </si>
  <si>
    <t>0:04:04.085442</t>
  </si>
  <si>
    <t>0:04:11.089006</t>
  </si>
  <si>
    <t>AQAK34mYM5mCMOsyxuiL4y7evLiOJ0qS_0.04.11.089006-0.04.15.058204</t>
  </si>
  <si>
    <t>0:04:15.058204</t>
  </si>
  <si>
    <t>AQAK3eQnzbg05EmSHMmOJk-O5-jSOWim_0.00.37.019836-0.01.47.081024</t>
  </si>
  <si>
    <t>Gus Johnson (dr), John Williams (p), Nabil 'Knobby' Totah (b), Zoot Sims (bar (p), as (p), ts) by means of overdubbing (p)</t>
  </si>
  <si>
    <t>Zoot Sims Quartet</t>
  </si>
  <si>
    <t>Modern Mainstream - Zoot Sims</t>
  </si>
  <si>
    <t>Zonkin'</t>
  </si>
  <si>
    <t>1956-11-02</t>
  </si>
  <si>
    <t>0:00:37.019836</t>
  </si>
  <si>
    <t>0:01:47.081024</t>
  </si>
  <si>
    <t>AQAK3eQnzbg05EmSHMmOJk-O5-jSOWim_0.02.56.093605-0.04.09.077705</t>
  </si>
  <si>
    <t>0:02:56.093605</t>
  </si>
  <si>
    <t>0:04:09.077705</t>
  </si>
  <si>
    <t>AQAK3eQnzbg05EmSHMmOJk-O5-jSOWim_0.04.13.049224-0.04.17.095047</t>
  </si>
  <si>
    <t>0:04:13.049224</t>
  </si>
  <si>
    <t>0:04:17.095047</t>
  </si>
  <si>
    <t>AQAK3eQnzbg05EmSHMmOJk-O5-jSOWim_0.04.21.041024-0.04.26.040253</t>
  </si>
  <si>
    <t>0:04:21.041024</t>
  </si>
  <si>
    <t>0:04:26.040253</t>
  </si>
  <si>
    <t>AQAK3eQnzbg05EmSHMmOJk-O5-jSOWim_0.04.29.086231-0.04.34.029732</t>
  </si>
  <si>
    <t>0:04:29.086231</t>
  </si>
  <si>
    <t>0:04:34.029732</t>
  </si>
  <si>
    <t>AQAK54qSKkqSJCOaNnHwRVGjID5xCEeF_0.00.46.016126-0.01.40.038006</t>
  </si>
  <si>
    <t>Little pony</t>
  </si>
  <si>
    <t>0:00:46.016126</t>
  </si>
  <si>
    <t>0:01:40.038006</t>
  </si>
  <si>
    <t>AQAK54qSKkqSJCOaNnHwRVGjID5xCEeF_0.01.40.038006-0.02.34.064489</t>
  </si>
  <si>
    <t>0:02:34.064489</t>
  </si>
  <si>
    <t>AQAK54qSKkqSJCOaNnHwRVGjID5xCEeF_0.02.34.064489-0.02.41.071292</t>
  </si>
  <si>
    <t>0:02:41.071292</t>
  </si>
  <si>
    <t>AQAK54qSKkqSJCOaNnHwRVGjID5xCEeF_0.02.41.071292-0.02.48.069365</t>
  </si>
  <si>
    <t>0:02:48.069365</t>
  </si>
  <si>
    <t>AQAK54qSKkqSJCOaNnHwRVGjID5xCEeF_0.02.48.069365-0.02.55.031494</t>
  </si>
  <si>
    <t>0:02:55.031494</t>
  </si>
  <si>
    <t>AQAK54qSKkqSJCOaNnHwRVGjID5xCEeF_0.02.55.031494-0.02.58.062004</t>
  </si>
  <si>
    <t>0:02:58.062004</t>
  </si>
  <si>
    <t>AQAK54qSKkqSJCOaNnHwRVGjID5xCEeF_0.02.58.062004-0.03.00.050852</t>
  </si>
  <si>
    <t>0:03:00.050852</t>
  </si>
  <si>
    <t>AQAK54qSKkqSJCOaNnHwRVGjID5xCEeF_0.03.00.050852-0.03.02.041596</t>
  </si>
  <si>
    <t>0:03:02.041596</t>
  </si>
  <si>
    <t>AQAK54qSKkqSJCOaNnHwRVGjID5xCEeF_0.03.02.041596-0.03.05.075963</t>
  </si>
  <si>
    <t>0:03:05.075963</t>
  </si>
  <si>
    <t>AQAK54qSKkqSJCOaNnHwRVGjID5xCEeF_0.03.05.075963-0.03.09.014975</t>
  </si>
  <si>
    <t>AQAK54qSKkqSJCOaNnHwRVGjID5xCEeF_0.03.09.014975-0.03.12.034866</t>
  </si>
  <si>
    <t>0:03:12.034866</t>
  </si>
  <si>
    <t>AQAK54qSKkqSJCOaNnHwRVGjID5xCEeF_0.03.12.034866-0.03.15.063136</t>
  </si>
  <si>
    <t>0:03:15.063136</t>
  </si>
  <si>
    <t>AQAK54qSKkqSJCOaNnHwRVGjID5xCEeF_0.03.15.063136-0.03.19.040891</t>
  </si>
  <si>
    <t>0:03:19.040891</t>
  </si>
  <si>
    <t>AQAK54qSKkqSJCOaNnHwRVGjID5xCEeF_0.03.19.040891-0.03.22.072176</t>
  </si>
  <si>
    <t>0:03:22.072176</t>
  </si>
  <si>
    <t>AQAK54qSKkqSJCOaNnHwRVGjID5xCEeF_0.03.22.072176-0.03.26.012857</t>
  </si>
  <si>
    <t>0:03:26.012857</t>
  </si>
  <si>
    <t>AQAK54qSKkqSJCOaNnHwRVGjID5xCEeF_0.03.26.012857-0.03.29.051371</t>
  </si>
  <si>
    <t>0:03:29.051371</t>
  </si>
  <si>
    <t>AQAK54qSKkqSJCOaNnHwRVGjID5xCEeF_0.03.29.051371-0.03.33.002360</t>
  </si>
  <si>
    <t>0:03:33.002360</t>
  </si>
  <si>
    <t>AQAK54qSKkqSJCOaNnHwRVGjID5xCEeF_0.03.33.002360-0.03.36.048609</t>
  </si>
  <si>
    <t>0:03:36.048609</t>
  </si>
  <si>
    <t>AQAK54qSKkqSJCOaNnHwRVGjID5xCEeF_0.03.36.048609-0.03.39.091544</t>
  </si>
  <si>
    <t>0:03:39.091544</t>
  </si>
  <si>
    <t>AQAK54qSKkqSJCOaNnHwRVGjID5xCEeF_0.03.39.091544-0.03.43.036383</t>
  </si>
  <si>
    <t>0:03:43.036383</t>
  </si>
  <si>
    <t>AQAK54qSKkqSJCOaNnHwRVGjID5xCEeF_0.03.43.036383-0.03.46.084403</t>
  </si>
  <si>
    <t>0:03:46.084403</t>
  </si>
  <si>
    <t>AQAK54qSKkqSJCOaNnHwRVGjID5xCEeF_0.03.46.084403-0.03.50.036984</t>
  </si>
  <si>
    <t>0:03:50.036984</t>
  </si>
  <si>
    <t>AQAK54qSKkqSJCOaNnHwRVGjID5xCEeF_0.03.50.036984-0.03.54.004353</t>
  </si>
  <si>
    <t>0:03:54.004353</t>
  </si>
  <si>
    <t>AQAK54qSKkqSJCOaNnHwRVGjID5xCEeF_0.03.54.004353-0.03.57.002929</t>
  </si>
  <si>
    <t>0:03:57.002929</t>
  </si>
  <si>
    <t>AQAK54qSKkqSJCOaNnHwRVGjID5xCEeF_0.03.57.002929-0.04.04.008265</t>
  </si>
  <si>
    <t>0:04:04.008265</t>
  </si>
  <si>
    <t>AQAK54qSKkqSJCOaNnHwRVGjID5xCEeF_0.04.04.008265-0.04.10.097206</t>
  </si>
  <si>
    <t>0:04:10.097206</t>
  </si>
  <si>
    <t>AQAK54qSKkqSJCOaNnHwRVGjID5xCEeF_0.04.10.097206-0.04.14.038394</t>
  </si>
  <si>
    <t>0:04:14.038394</t>
  </si>
  <si>
    <t>AQAK54qSKkqSJCOaNnHwRVGjID5xCEeF_0.04.14.038394-0.04.17.066705</t>
  </si>
  <si>
    <t>0:04:17.066705</t>
  </si>
  <si>
    <t>AQAK54qSKkqSJCOaNnHwRVGjID5xCEeF_0.04.17.066705-0.04.24.029174</t>
  </si>
  <si>
    <t>0:04:24.029174</t>
  </si>
  <si>
    <t>AQAK54qSKkqSJCOaNnHwRVGjID5xCEeF_0.04.24.029174-0.04.27.092535</t>
  </si>
  <si>
    <t>0:04:27.092535</t>
  </si>
  <si>
    <t>AQAK54qSKkqSJCOaNnHwRVGjID5xCEeF_0.04.27.092535-0.04.31.009038</t>
  </si>
  <si>
    <t>0:04:31.009038</t>
  </si>
  <si>
    <t>AQAK54qSKkqSJCOaNnHwRVGjID5xCEeF_0.04.31.009038-0.04.34.043988</t>
  </si>
  <si>
    <t>0:04:34.043988</t>
  </si>
  <si>
    <t>AQAK54qSKkqSJCOaNnHwRVGjID5xCEeF_0.04.43.032988-0.05.03.064371</t>
  </si>
  <si>
    <t>0:04:43.032988</t>
  </si>
  <si>
    <t>0:05:03.064371</t>
  </si>
  <si>
    <t>AQAK54qSKkqSJCOaNnHwRVGjID5xCEeF_0.05.03.064371-0.05.30.082630</t>
  </si>
  <si>
    <t>0:05:30.082630</t>
  </si>
  <si>
    <t>AQAK60kSSkmSJImUKDiOGMfxgjnRxodV_0.01.59.032734-0.02.58.079365</t>
  </si>
  <si>
    <t>Bryan Carrott (vib), Craig Rivers (fl), Igor Atalita (p, other), Ruben Rodriguez (b), Steven Kroon (other), Tim Ries (ts), Vince Cherico (dr)</t>
  </si>
  <si>
    <t>Craig Rivers</t>
  </si>
  <si>
    <t>Steven Kroon</t>
  </si>
  <si>
    <t xml:space="preserve">On the # 1 </t>
  </si>
  <si>
    <t>Touch</t>
  </si>
  <si>
    <t>c.</t>
  </si>
  <si>
    <t>0:01:59.032734</t>
  </si>
  <si>
    <t>0:02:58.079365</t>
  </si>
  <si>
    <t>AQAK60kSSkmSJImUKDiOGMfxgjnRxodV_0.02.58.079365-0.03.39.031247</t>
  </si>
  <si>
    <t>Bryan Carrott</t>
  </si>
  <si>
    <t>0:03:39.031247</t>
  </si>
  <si>
    <t>AQAKBKSiSFKiCPmhb6kShH7w6HB39PiD_0.01.52.022204-0.03.27.091147</t>
  </si>
  <si>
    <t>Suite Tooth</t>
  </si>
  <si>
    <t>If the Shew fits</t>
  </si>
  <si>
    <t>1987-11-27</t>
  </si>
  <si>
    <t>0:01:52.022204</t>
  </si>
  <si>
    <t>0:03:27.091147</t>
  </si>
  <si>
    <t>AQAKBlKiJEmSKEkkPFbwH3mV4NFxHVqP_0.02.01.057968-0.02.57.047011</t>
  </si>
  <si>
    <t>Sybille's day</t>
  </si>
  <si>
    <t>0:02:57.047011</t>
  </si>
  <si>
    <t>AQAKCMySKIqyZMGVGycu_OiPy0MYXiR6_0.02.01.071900-0.02.49.078430</t>
  </si>
  <si>
    <t>Jay Ashby</t>
  </si>
  <si>
    <t>Ela e carioca</t>
  </si>
  <si>
    <t>0:02:01.071900</t>
  </si>
  <si>
    <t>0:02:49.078430</t>
  </si>
  <si>
    <t>AQAKCMySKIqyZMGVGycu_OiPy0MYXiR6_0.02.49.078430-0.04.00.014077</t>
  </si>
  <si>
    <t>Ralph Moore</t>
  </si>
  <si>
    <t>0:04:00.014077</t>
  </si>
  <si>
    <t>AQAKDiGTJEpDuEZfiCSP6MuCX2jWJcWN_0.01.37.026839-0.02.52.077968</t>
  </si>
  <si>
    <t>Anthony Pinciotti (dr), George Mraz (b), Lynne Arriale (p), Randy Brecker (tp, flg)</t>
  </si>
  <si>
    <t>Randy Brecker</t>
  </si>
  <si>
    <t>Lynne Arriale</t>
  </si>
  <si>
    <t>Nuance: The Bennett Studio Sessions</t>
  </si>
  <si>
    <t>Carry on</t>
  </si>
  <si>
    <t>2008-08-01</t>
  </si>
  <si>
    <t>Englewood, N.J.</t>
  </si>
  <si>
    <t>0:02:52.077968</t>
  </si>
  <si>
    <t>AQAKdUr0KJXQ3IHPHDuKrVuU42ET3Kk8_0.01.04.078367-0.02.09.075310</t>
  </si>
  <si>
    <t>On the sunny side of the street</t>
  </si>
  <si>
    <t>0:02:09.075310</t>
  </si>
  <si>
    <t>AQAKdUr0KJXQ3IHPHDuKrVuU42ET3Kk8_0.03.08.026739-0.03.18.039129</t>
  </si>
  <si>
    <t>0:03:08.026739</t>
  </si>
  <si>
    <t>0:03:18.039129</t>
  </si>
  <si>
    <t>AQAKdUr0KJXQ3IHPHDuKrVuU42ET3Kk8_0.03.24.057142-0.03.33.002857</t>
  </si>
  <si>
    <t>0:03:24.057142</t>
  </si>
  <si>
    <t>0:03:33.002857</t>
  </si>
  <si>
    <t>AQAKdUr0KJXQ3IHPHDuKrVuU42ET3Kk8_0.03.40.047346-0.03.47.098367</t>
  </si>
  <si>
    <t>0:03:40.047346</t>
  </si>
  <si>
    <t>0:03:47.098367</t>
  </si>
  <si>
    <t>AQAKdUr0KJXQ3IHPHDuKrVuU42ET3Kk8_0.03.54.069387-0.04.03.097206</t>
  </si>
  <si>
    <t>0:03:54.069387</t>
  </si>
  <si>
    <t>0:04:03.097206</t>
  </si>
  <si>
    <t>AQAKE49jRQqu5fiJdBSSL0mOY35GfMkV_0.02.50.084952-0.04.00.061968</t>
  </si>
  <si>
    <t>Clark Terry, Mike Steinel</t>
  </si>
  <si>
    <t>Alejo Poveda (other), Bill Sears (fl, as), Bob Bowman (b), Clark Terry (voc, flg, tp), Curt Bley (b), Edward Petersen (ts, fl), Frank Mantooth (other), Howie Smith (ss, as), Jerry DiMuzio (fl, cl, bs), Matt Harris (other), Mike Steinel (tp), Mike Young (tb), Pete Christlieb (ts), Steve Erquiaga (g), Steve Houghton (dr), Steve Wiest (tb)</t>
  </si>
  <si>
    <t>Per-se-vere</t>
  </si>
  <si>
    <t>Persevere</t>
  </si>
  <si>
    <t>1989-10-01</t>
  </si>
  <si>
    <t>0:02:50.084952</t>
  </si>
  <si>
    <t>0:04:00.061968</t>
  </si>
  <si>
    <t>AQAKeZGihlKyEM2xE82UBpEa6cGjI40T_0.00.37.002857-0.01.44.003265</t>
  </si>
  <si>
    <t>Undecided</t>
  </si>
  <si>
    <t>0:00:37.002857</t>
  </si>
  <si>
    <t>0:01:44.003265</t>
  </si>
  <si>
    <t>AQAKeZGihlKyEM2xE82UBpEa6cGjI40T_0.04.22.066122-0.05.30.018775</t>
  </si>
  <si>
    <t>0:04:22.066122</t>
  </si>
  <si>
    <t>0:05:30.018775</t>
  </si>
  <si>
    <t>AQAKG9ESSZuORPxxKcaTzcF_1CIaLVqO_0.00.43.018040-0.01.22.059918</t>
  </si>
  <si>
    <t>Maynard '64</t>
  </si>
  <si>
    <t>Great guns</t>
  </si>
  <si>
    <t>0:00:43.018040</t>
  </si>
  <si>
    <t>0:01:22.059918</t>
  </si>
  <si>
    <t>AQAKG9ESSZuORPxxKcaTzcF_1CIaLVqO_0.02.52.032979-0.03.21.048244</t>
  </si>
  <si>
    <t>0:02:52.032979</t>
  </si>
  <si>
    <t>0:03:21.048244</t>
  </si>
  <si>
    <t>AQAKGlSehgnRiEkULig7PDtyJMeTNcGV_0.00.35.089804-0.02.49.036634</t>
  </si>
  <si>
    <t>Billy Higgins (dr), Charlie Haden (b), Joshua Redman (ts), Pat Metheny (g)</t>
  </si>
  <si>
    <t>Wish</t>
  </si>
  <si>
    <t>Whittlin'</t>
  </si>
  <si>
    <t>0:02:49.036634</t>
  </si>
  <si>
    <t>AQAKgUok5VE8HDR-7KgoHo2M-_jxAxee_0.03.22.084952-0.05.37.015374</t>
  </si>
  <si>
    <t>Art Pepper (as, ts), Carl Burnett (dr), John Heard (b), Russ Freeman (p)</t>
  </si>
  <si>
    <t>Atlas Blues, Blow &amp; Ballade</t>
  </si>
  <si>
    <t>My funny Valentine</t>
  </si>
  <si>
    <t>1980-07-30</t>
  </si>
  <si>
    <t>0:03:22.084952</t>
  </si>
  <si>
    <t>0:05:37.015374</t>
  </si>
  <si>
    <t>AQAKhmMiJYqiMAquxh2uBy_6oDbx8Xi-_0.00.49.004489-0.02.06.040943</t>
  </si>
  <si>
    <t>Bill Frisell (g), Charlie Haden (b), Joe Lovano (ts), Paul Motian (dr)</t>
  </si>
  <si>
    <t>Joe Lovano</t>
  </si>
  <si>
    <t>On Broadway, Vol. 2</t>
  </si>
  <si>
    <t>You and the night and the music</t>
  </si>
  <si>
    <t>1989-09-01</t>
  </si>
  <si>
    <t>0:00:49.004489</t>
  </si>
  <si>
    <t>AQAKhmMiJYqiMAquxh2uBy_6oDbx8Xi-_0.03.20.000000-0.03.30.012244</t>
  </si>
  <si>
    <t>0:03:20.000000</t>
  </si>
  <si>
    <t>0:03:30.012244</t>
  </si>
  <si>
    <t>AQAKhmMiJYqiMAquxh2uBy_6oDbx8Xi-_0.03.37.059999-0.03.48.011428</t>
  </si>
  <si>
    <t>0:03:37.059999</t>
  </si>
  <si>
    <t>0:03:48.011428</t>
  </si>
  <si>
    <t>AQAKhmMiJYqiMAquxh2uBy_6oDbx8Xi-_0.03.56.089795-0.04.06.075918</t>
  </si>
  <si>
    <t>0:03:56.089795</t>
  </si>
  <si>
    <t>0:04:06.075918</t>
  </si>
  <si>
    <t>AQAKhmMiJYqiMAquxh2uBy_6oDbx8Xi-_0.04.15.064081-0.04.24.094693</t>
  </si>
  <si>
    <t>0:04:15.064081</t>
  </si>
  <si>
    <t>0:04:24.094693</t>
  </si>
  <si>
    <t>AQAKhmMiJYqiMAquxh2uBy_6oDbx8Xi-_0.05.12.044770-0.05.32.004535</t>
  </si>
  <si>
    <t>0:05:12.044770</t>
  </si>
  <si>
    <t>0:05:32.004535</t>
  </si>
  <si>
    <t>AQAKhVuWJJLCZRiZXEJpNGx-lD-aH-Oz_0.01.34.064453-0.02.46.071927</t>
  </si>
  <si>
    <t>Bill Lee (voc, b), Billy Higgins (dr, voc), Clifford Jordan (voc, ts), Stanley Cowell (p)</t>
  </si>
  <si>
    <t>Biskit</t>
  </si>
  <si>
    <t>AQAKiMuibVkSBn2Ob4iUa_iPK2km_A-O_0.00.46.088979-0.02.05.051836</t>
  </si>
  <si>
    <t>Joe Henderson</t>
  </si>
  <si>
    <t>Our Thing</t>
  </si>
  <si>
    <t>Our thing</t>
  </si>
  <si>
    <t>1963-09-09</t>
  </si>
  <si>
    <t>0:00:46.088979</t>
  </si>
  <si>
    <t>0:02:05.051836</t>
  </si>
  <si>
    <t>AQAKiMuibVkSBn2Ob4iUa_iPK2km_A-O_0.02.05.051836-0.03.23.062448</t>
  </si>
  <si>
    <t>0:03:23.062448</t>
  </si>
  <si>
    <t>AQAKismTJI8knEdzTFbR0_gNHmbRH8eJ_0.01.43.093251-0.02.39.066040</t>
  </si>
  <si>
    <t>Alejo Poveda (other), Arnie Roth (vln, other), Bobby Lewis (flg), Florentina Ramniceanu (vln), Jim Ryan (other, p), Paul Wertico (dr)</t>
  </si>
  <si>
    <t>Passion Flower</t>
  </si>
  <si>
    <t>Laura</t>
  </si>
  <si>
    <t>1993-06-13</t>
  </si>
  <si>
    <t>0:02:39.066040</t>
  </si>
  <si>
    <t>AQAKismTJI8knEdzTFbR0_gNHmbRH8eJ_0.02.39.066040-0.03.22.001360</t>
  </si>
  <si>
    <t>0:03:22.001360</t>
  </si>
  <si>
    <t>AQAKismTJI8knEdzTFbR0_gNHmbRH8eJ_0.05.02.075918-0.05.35.080408</t>
  </si>
  <si>
    <t>0:05:02.075918</t>
  </si>
  <si>
    <t>0:05:35.080408</t>
  </si>
  <si>
    <t>AQAKj1IWqgkj5BLEM0EV54LqJwzqo3lS_0.00.42.014421-0.05.02.004517</t>
  </si>
  <si>
    <t>Al Cohn (ts), Art Blakey (dr), George Wallington (p), Kai Winding (tb), Percy Heath (b), Zoot Sims (ts)</t>
  </si>
  <si>
    <t>Zoot Sims Sextet</t>
  </si>
  <si>
    <t>Morning Fun</t>
  </si>
  <si>
    <t>1952-09-08</t>
  </si>
  <si>
    <t>0:00:42.014421</t>
  </si>
  <si>
    <t>0:05:02.004517</t>
  </si>
  <si>
    <t>AQAKjpSiOXkCb2Ga4lmQ8-gHPRlK5EmO_0.00.32.088163-0.01.09.010258</t>
  </si>
  <si>
    <t>Barry Springer (flg, tp), Bob Bowman (b), Earlie Braggs (tb), Frank Mantooth (p), Gary Foster (cl, ts, fl, as), Gary Helm (other), Kerry Strayer (other, ss, bs), Todd Strait (dr)</t>
  </si>
  <si>
    <t>Gary Foster</t>
  </si>
  <si>
    <t>Saturday 10 AM</t>
  </si>
  <si>
    <t>0:00:32.088163</t>
  </si>
  <si>
    <t>0:01:09.010258</t>
  </si>
  <si>
    <t>AQAKjpSiOXkCb2Ga4lmQ8-gHPRlK5EmO_0.01.09.010258-0.01.47.036326</t>
  </si>
  <si>
    <t>Earlie Braggs</t>
  </si>
  <si>
    <t>0:01:47.036326</t>
  </si>
  <si>
    <t>AQAKjpSiOXkCb2Ga4lmQ8-gHPRlK5EmO_0.01.47.036326-0.02.51.016734</t>
  </si>
  <si>
    <t>0:02:51.016734</t>
  </si>
  <si>
    <t>AQAKMVIyJZKSJEPOEQm7GT-qI9KX4Dx0_0.01.34.099283-0.03.10.065904</t>
  </si>
  <si>
    <t>Conte Candoli (tp), Dolo Coker (p), Frank Butler (dr), Jerry Steinholtz (other), Ray Brown (b), Teddy Edwards (ts)</t>
  </si>
  <si>
    <t>Teddy Edwards</t>
  </si>
  <si>
    <t>The blue sombrero</t>
  </si>
  <si>
    <t>1974-03-25</t>
  </si>
  <si>
    <t>0:01:34.099283</t>
  </si>
  <si>
    <t>0:03:10.065904</t>
  </si>
  <si>
    <t>AQAKMVIyJZKSJEPOEQm7GT-qI9KX4Dx0_0.03.10.065904-0.04.13.084054</t>
  </si>
  <si>
    <t>Conte Candoli</t>
  </si>
  <si>
    <t>0:04:13.084054</t>
  </si>
  <si>
    <t>AQAKo9KSJVKiaBH-oWmmFJ5EHTeM8wh5_0.04.38.026793-0.05.34.092462</t>
  </si>
  <si>
    <t>Art Velasco (tb), Charlie Otwell (p), Gene Burkert (as, fl, ts), Poncho Sanchez (other, voc), Ramon Banda (dr, tb), Sal Cracchiolo (tp, flg), Tony Banda (b)</t>
  </si>
  <si>
    <t>Cold sweat/funky Broadway</t>
  </si>
  <si>
    <t>0:04:38.026793</t>
  </si>
  <si>
    <t>0:05:34.092462</t>
  </si>
  <si>
    <t>AQAKOVmTkAmzwE4WeviJp1Lw5ELvo_gF_0.01.25.056553-0.02.20.050394</t>
  </si>
  <si>
    <t>Harry Adorno (other), Jim Gailloreto (ts), Julio Salgado (other, voc), Mike Freeman (other, vib), Papo Pepin (other), Ruben Rodriguez (b)</t>
  </si>
  <si>
    <t>Jim Gailloreto</t>
  </si>
  <si>
    <t>Mike Freeman</t>
  </si>
  <si>
    <t>Blue Tjade</t>
  </si>
  <si>
    <t>Cascade</t>
  </si>
  <si>
    <t>2014-02-10</t>
  </si>
  <si>
    <t>0:01:25.056553</t>
  </si>
  <si>
    <t>0:02:20.050394</t>
  </si>
  <si>
    <t>AQAKOVmTkAmzwE4WeviJp1Lw5ELvo_gF_0.02.39.005668-0.03.53.049986</t>
  </si>
  <si>
    <t>0:02:39.005668</t>
  </si>
  <si>
    <t>0:03:53.049986</t>
  </si>
  <si>
    <t>AQAKP1KSck-C9ImCfjl-9Icj7biOnBc-_0.02.44.081523-0.05.27.043999</t>
  </si>
  <si>
    <t>Benjamin Hudison (vln, other), Bob Mintzer (bcl), Donald Palma (b), Herbie Hancock (other), Jack DeJohnette (dr), Joshua Gordon (other), Keith Underwood (fl, other, b), Lawrence Feldman (other), Lou Marini (other), Milton Nascimento (g, voc), Pat Metheny (g), Peter Gordon (flg), Phil Rodner (cl), Ron Carter (b), Sandra Church (fl), Wayne Shorter (ts)</t>
  </si>
  <si>
    <t>Milton Nascimento</t>
  </si>
  <si>
    <t>Angelus</t>
  </si>
  <si>
    <t>Coisas de minas</t>
  </si>
  <si>
    <t>1994-01-01</t>
  </si>
  <si>
    <t>0:02:44.081523</t>
  </si>
  <si>
    <t>0:05:27.043999</t>
  </si>
  <si>
    <t>AQAKpcmULEmSJIqMQ_DxHdiHfxCOIwcQ_0.02.39.060816-0.03.12.052244</t>
  </si>
  <si>
    <t>Bill Lee (voc, b), Billy Higgins (voc, dr), Clifford Jordan (voc, ts), Stanley Cowell (p)</t>
  </si>
  <si>
    <t>Maimoun</t>
  </si>
  <si>
    <t>0:02:39.060816</t>
  </si>
  <si>
    <t>0:03:12.052244</t>
  </si>
  <si>
    <t>AQAKpE-kTMkk_Hnw5EGTaMyESot0HNfx_0.00.29.072154-0.02.24.070675</t>
  </si>
  <si>
    <t>The deserving many</t>
  </si>
  <si>
    <t>0:00:29.072154</t>
  </si>
  <si>
    <t>AQAKpE-kTMkk_Hnw5EGTaMyESot0HNfx_0.03.19.070612-0.03.27.018367</t>
  </si>
  <si>
    <t>0:03:19.070612</t>
  </si>
  <si>
    <t>0:03:27.018367</t>
  </si>
  <si>
    <t>AQAKpE-kTMkk_Hnw5EGTaMyESot0HNfx_0.03.33.071428-0.03.41.022448</t>
  </si>
  <si>
    <t>0:03:33.071428</t>
  </si>
  <si>
    <t>0:03:41.022448</t>
  </si>
  <si>
    <t>AQAKpE-kTMkk_Hnw5EGTaMyESot0HNfx_0.03.48.017959-0.03.52.013061</t>
  </si>
  <si>
    <t>0:03:48.017959</t>
  </si>
  <si>
    <t>0:03:52.013061</t>
  </si>
  <si>
    <t>AQAKpE-kTMkk_Hnw5EGTaMyESot0HNfx_0.03.55.010204-0.03.58.095510</t>
  </si>
  <si>
    <t>0:03:55.010204</t>
  </si>
  <si>
    <t>0:03:58.095510</t>
  </si>
  <si>
    <t>AQAKpE-kTMkk_Hnw5EGTaMyESot0HNfx_0.04.02.018775-0.04.05.078321</t>
  </si>
  <si>
    <t>0:04:02.018775</t>
  </si>
  <si>
    <t>0:04:05.078321</t>
  </si>
  <si>
    <t>AQAKPYn0LEkiLdA56MxYolKOV0c69ai6_0.01.03.071555-0.02.16.039401</t>
  </si>
  <si>
    <t>Andy Watson (dr), Ed Cherry (g), Harvie Swartz (b), Virginia Mayhew (ts)</t>
  </si>
  <si>
    <t>Mary Lou Williams - The Next 100 Years</t>
  </si>
  <si>
    <t>Medi II</t>
  </si>
  <si>
    <t>2010-12-12</t>
  </si>
  <si>
    <t>0:01:03.071555</t>
  </si>
  <si>
    <t>0:02:16.039401</t>
  </si>
  <si>
    <t>AQAKPYn0LEkiLdA56MxYolKOV0c69ai6_0.02.16.039401-0.03.47.032335</t>
  </si>
  <si>
    <t>0:03:47.032335</t>
  </si>
  <si>
    <t>AQAKqUmWiOMYNMmC2oR0aAiZK7iULXiS_0.01.18.036734-0.03.44.090848</t>
  </si>
  <si>
    <t>All through the night</t>
  </si>
  <si>
    <t>0:01:18.036734</t>
  </si>
  <si>
    <t>0:03:44.090848</t>
  </si>
  <si>
    <t>AQAKqUmWiOMYNMmC2oR0aAiZK7iULXiS_0.04.49.043673-0.05.38.015510</t>
  </si>
  <si>
    <t>0:04:49.043673</t>
  </si>
  <si>
    <t>0:05:38.015510</t>
  </si>
  <si>
    <t>AQAKRFEkJckoaQmuBWW2VIOPo_LxbPgh_0.02.52.073324-0.03.28.032943</t>
  </si>
  <si>
    <t>Angelina Tallaj (p), Dave Zinno (b), Gustavo Rodriguez (other), Jose Duluc (voc, other), Juan Valdez (b), Julio Figueroa (other), Kwaku Kwaakye Obeng (other), Paul Austerlitz (voc, bcl, cl, ts), Regie Gibson (other), Renee Cologne (voc), Wellington Valenzuela (dr)</t>
  </si>
  <si>
    <t>Sisterhood is powerful</t>
  </si>
  <si>
    <t>0:02:52.073324</t>
  </si>
  <si>
    <t>0:03:28.032943</t>
  </si>
  <si>
    <t>AQAKRkqUZMuSbERzooo2RE8MxUL4zWja_0.02.14.095437-0.03.23.054612</t>
  </si>
  <si>
    <t>Avishai Cohen (voc, tp), Dan Freedman (voc, dr), Joel Frahm (ts, voc), Mehdi Chaib (voc), Omer Avital (voc, b), Yonathan Avishai (voc, p)</t>
  </si>
  <si>
    <t>Avishai Cohen</t>
  </si>
  <si>
    <t>Omer Avital</t>
  </si>
  <si>
    <t>New Song</t>
  </si>
  <si>
    <t>Bedouin roots</t>
  </si>
  <si>
    <t>2013-07-02</t>
  </si>
  <si>
    <t>Montreuil, France</t>
  </si>
  <si>
    <t>0:02:14.095437</t>
  </si>
  <si>
    <t>0:03:23.054612</t>
  </si>
  <si>
    <t>AQAKsok2JYsSLcPT4EevQ1SyFbEwPXga_0.01.23.046122-0.01.37.015229</t>
  </si>
  <si>
    <t>Lailadance</t>
  </si>
  <si>
    <t>0:01:23.046122</t>
  </si>
  <si>
    <t>0:01:37.015229</t>
  </si>
  <si>
    <t>AQAKSouYKYo0CckRPdqFJx_x7BGuM0Wf_0.00.35.029433-0.01.50.078240</t>
  </si>
  <si>
    <t>Al Foster (dr), David Williams (b), Gary Bartz (ss, as), Larry Willis (p)</t>
  </si>
  <si>
    <t>Heads Of State</t>
  </si>
  <si>
    <t>Four In One</t>
  </si>
  <si>
    <t>Moose the mooche</t>
  </si>
  <si>
    <t>2016-11-01</t>
  </si>
  <si>
    <t>0:00:35.029433</t>
  </si>
  <si>
    <t>0:01:50.078240</t>
  </si>
  <si>
    <t>AQAKSouYKYo0CckRPdqFJx_x7BGuM0Wf_0.01.50.078240-0.02.52.094222</t>
  </si>
  <si>
    <t>0:02:52.094222</t>
  </si>
  <si>
    <t>AQAKVpK4SInI4PglPOESPESPk0LoLUyQ_0.01.37.024517-0.03.21.064208</t>
  </si>
  <si>
    <t>Allan Vache (cl), Bob Haggart (b), Bob Havens (tb), Butch Miles (dr), Ed Polcer (cor), Jim Douglas (g), John Barnes (voc, bs), Johnny Varro (p)</t>
  </si>
  <si>
    <t>Bob Havens</t>
  </si>
  <si>
    <t>A Salute to Eddie Condon</t>
  </si>
  <si>
    <t>A Salute To Eddie Condon</t>
  </si>
  <si>
    <t>Wabash blues</t>
  </si>
  <si>
    <t>1993-09-25</t>
  </si>
  <si>
    <t>Live "The Musikhalle", Hamburg, Germany</t>
  </si>
  <si>
    <t>0:01:37.024517</t>
  </si>
  <si>
    <t>0:03:21.064208</t>
  </si>
  <si>
    <t>AQAKVpK4SInI4PglPOESPESPk0LoLUyQ_0.03.21.064208-0.04.11.042566</t>
  </si>
  <si>
    <t>0:04:11.042566</t>
  </si>
  <si>
    <t>AQAKW0uijFPy4Bt--ERf4h8vHDGNZJ12_0.02.45.097623-0.04.00.019591</t>
  </si>
  <si>
    <t>Alex Wintz (g), Chris Pattishall (p), Dezron Douglas (b), Jeremy Pelt (tp), Roxy Coss (ss, ts)</t>
  </si>
  <si>
    <t>Perspective</t>
  </si>
  <si>
    <t>0:02:45.097623</t>
  </si>
  <si>
    <t>0:04:00.019591</t>
  </si>
  <si>
    <t>AQAKWksSRWGSJBFhpZxw_AgfIjl-NMsL_0.02.58.080816-0.04.04.011428</t>
  </si>
  <si>
    <t>Gary Bartz (as), George Mraz (b), Jerome Richardson (ts), Kenny Burrell (g), Nat Adderley (cor), Philly Joe Jones (dr), Quentin Jackson (tb), Sir Roland Hanna (p)</t>
  </si>
  <si>
    <t>Kenny Burrell</t>
  </si>
  <si>
    <t>Ellington Is Forever, Vol. 2</t>
  </si>
  <si>
    <t>In a sentimental mood</t>
  </si>
  <si>
    <t>1976-07-01</t>
  </si>
  <si>
    <t>0:02:58.080816</t>
  </si>
  <si>
    <t>0:04:04.011428</t>
  </si>
  <si>
    <t>AQAKWlISMUmSKAR8HL_QPahPwG6Ob8aD_0.01.33.099437-0.02.09.095918</t>
  </si>
  <si>
    <t>Bob Ojeda (tp), Bobby Lewis (tp, voc, other, flg), Dick Bovell (other), Jim Ryan (p, other)</t>
  </si>
  <si>
    <t>The lamp is low</t>
  </si>
  <si>
    <t>0:02:09.095918</t>
  </si>
  <si>
    <t>AQAKWlISMUmSKAR8HL_QPahPwG6Ob8aD_0.03.18.011265-0.03.47.055555</t>
  </si>
  <si>
    <t>0:03:18.011265</t>
  </si>
  <si>
    <t>0:03:47.055555</t>
  </si>
  <si>
    <t>AQAKXlqiJWQioQn14TdK6cKfwzqSHzlu_0.03.10.049650-0.04.06.059591</t>
  </si>
  <si>
    <t>Chet Baker (tp), Philip Catherine (g)</t>
  </si>
  <si>
    <t>Chet Baker/Philip Catherine/Jean-Louis Rassinfosse</t>
  </si>
  <si>
    <t>Estate</t>
  </si>
  <si>
    <t>1983-09-01</t>
  </si>
  <si>
    <t>Brussels, Belgium</t>
  </si>
  <si>
    <t>0:03:10.049650</t>
  </si>
  <si>
    <t>0:04:06.059591</t>
  </si>
  <si>
    <t>AQAKXomSJFGSZEqyBLIOn_hwoS90H-jh_0.02.31.025478-0.02.56.047165</t>
  </si>
  <si>
    <t>Bill Watrous (tb), Harvey Mason (dr), Mike Rubin (other), Neil Stubenhaus (b), Pat Williams (other), Randy Kerber (other), Stuart Canin (other), Tim May (g)</t>
  </si>
  <si>
    <t>Bill Watrous</t>
  </si>
  <si>
    <t>Someplace Else</t>
  </si>
  <si>
    <t>La Fuerza</t>
  </si>
  <si>
    <t>1986-01-01</t>
  </si>
  <si>
    <t>0:02:31.025478</t>
  </si>
  <si>
    <t>AQAKXomSJFGSZEqyBLIOn_hwoS90H-jh_0.03.18.043773-0.03.34.066122</t>
  </si>
  <si>
    <t>0:03:18.043773</t>
  </si>
  <si>
    <t>0:03:34.066122</t>
  </si>
  <si>
    <t>AQAKXomSJFGSZEqyBLIOn_hwoS90H-jh_0.03.48.034503-0.04.15.047755</t>
  </si>
  <si>
    <t>0:03:48.034503</t>
  </si>
  <si>
    <t>0:04:15.047755</t>
  </si>
  <si>
    <t>AQAKy0wkhUvCRPBzhPJCLtCPJxpKPkJz_0.03.02.072653-0.04.05.038848</t>
  </si>
  <si>
    <t>Bob James</t>
  </si>
  <si>
    <t>Joy Ride</t>
  </si>
  <si>
    <t>Take me there</t>
  </si>
  <si>
    <t>1999-01-01</t>
  </si>
  <si>
    <t>Dobbs Ferry, NY &amp; Irvington, NY</t>
  </si>
  <si>
    <t>0:03:02.072653</t>
  </si>
  <si>
    <t>0:04:05.038848</t>
  </si>
  <si>
    <t>AQAKYSGfZMwCLT_-IA9xcrhyRehYSWgm_0.02.23.041224-0.04.22.000816</t>
  </si>
  <si>
    <t>Charlie Haden (b), Jack DeJohnette (dr), Kenny Kirkland (other), Michael Brecker (ts), Pat Metheny (g)</t>
  </si>
  <si>
    <t>Michael Brecker</t>
  </si>
  <si>
    <t>Nothing personal</t>
  </si>
  <si>
    <t>1987-01-01</t>
  </si>
  <si>
    <t>New York, late 1986/</t>
  </si>
  <si>
    <t>0:02:23.041224</t>
  </si>
  <si>
    <t>0:04:22.000816</t>
  </si>
  <si>
    <t>AQAKZdyeoT_-HI7xBbrx5ug_XMUToWFU_0.00.47.044489-0.01.25.026367</t>
  </si>
  <si>
    <t>Richard Hadlock</t>
  </si>
  <si>
    <t>My daddy rocks me (with one steady roll)</t>
  </si>
  <si>
    <t>0:00:47.044489</t>
  </si>
  <si>
    <t>0:01:25.026367</t>
  </si>
  <si>
    <t>AQAKZdyeoT_-HI7xBbrx5ug_XMUToWFU_0.01.25.026367-0.02.01.062612</t>
  </si>
  <si>
    <t>0:02:01.062612</t>
  </si>
  <si>
    <t>AQAKZdyeoT_-HI7xBbrx5ug_XMUToWFU_0.02.01.062612-0.02.40.097959</t>
  </si>
  <si>
    <t>0:02:40.097959</t>
  </si>
  <si>
    <t>AQAKzJYoSlqE6eCPPk-RXBmN6Bm-Dv_R_0.01.36.096653-0.03.00.018684</t>
  </si>
  <si>
    <t>Bernd Lhotzky (other, p), Chris Hopkins (as), Colin Dawson (cor, tp), Henning Gailing (b), Milo Francel (g, other), Oliver Mewes (dr), Pete York (other, dr, voc), Shannon Barnett (voc, tb)</t>
  </si>
  <si>
    <t>Colin Dawson</t>
  </si>
  <si>
    <t>Echoes of Swing</t>
  </si>
  <si>
    <t>Bix - A Tribute To Bix Beiderbecke</t>
  </si>
  <si>
    <t>Everything that was</t>
  </si>
  <si>
    <t>2016-08-01</t>
  </si>
  <si>
    <t>Munich, Germany</t>
  </si>
  <si>
    <t>0:03:00.018684</t>
  </si>
  <si>
    <t>AQAKzJYoSlqE6eCPPk-RXBmN6Bm-Dv_R_0.03.00.018684-0.03.49.009387</t>
  </si>
  <si>
    <t>0:03:49.009387</t>
  </si>
  <si>
    <t>AQAKZLnUhviOZ3iMKb3gZxNRjcE7KdDE_0.01.24.050612-0.02.39.015102</t>
  </si>
  <si>
    <t>Gerry Mulligan And The Concert Jazz Band On Tour</t>
  </si>
  <si>
    <t>Barbara's theme</t>
  </si>
  <si>
    <t>1960-11-14</t>
  </si>
  <si>
    <t>Concert, Milan, Italy</t>
  </si>
  <si>
    <t>0:01:24.050612</t>
  </si>
  <si>
    <t>0:02:39.015102</t>
  </si>
  <si>
    <t>AQAL_UwoKUuiZOgPH7mcHsma6IGTlkFl_0.02.06.054875-0.05.23.040752</t>
  </si>
  <si>
    <t>Cameron Brown (b), Idris Muhammad (dr), Joe Lovano (as, cl, ts)</t>
  </si>
  <si>
    <t>Flights of Fancy : Trio Fascination, Volume 2</t>
  </si>
  <si>
    <t>Flights of fancy</t>
  </si>
  <si>
    <t>2000-06-14</t>
  </si>
  <si>
    <t>0:02:06.054875</t>
  </si>
  <si>
    <t>0:05:23.040752</t>
  </si>
  <si>
    <t>AQAL-sq4WFUENskeXIpu_LBKEmdYRcgT_0.02.28.011428-0.04.09.020816</t>
  </si>
  <si>
    <t>Cameron Brown (b), Dannie Richmond (dr), Don Pullen (p), George Adams (ts)</t>
  </si>
  <si>
    <t>George Adams</t>
  </si>
  <si>
    <t>Breakthrough</t>
  </si>
  <si>
    <t>Just foolin' around</t>
  </si>
  <si>
    <t>1986-04-30</t>
  </si>
  <si>
    <t>0:02:28.011428</t>
  </si>
  <si>
    <t>0:04:09.020816</t>
  </si>
  <si>
    <t>AQAL-VtCUlG04HpwJyeaGnsTNMuQ_ImR_0.02.20.073469-0.03.26.088979</t>
  </si>
  <si>
    <t>Blues for the twentieth century, part 1</t>
  </si>
  <si>
    <t>0:02:20.073469</t>
  </si>
  <si>
    <t>0:03:26.088979</t>
  </si>
  <si>
    <t>AQAL-VtCUlG04HpwJyeaGnsTNMuQ_ImR_0.03.26.088979-0.04.33.094902</t>
  </si>
  <si>
    <t>0:04:33.094902</t>
  </si>
  <si>
    <t>AQAL-VtCUlG04HpwJyeaGnsTNMuQ_ImR_0.04.33.094902-0.05.05.024081</t>
  </si>
  <si>
    <t>0:05:05.024081</t>
  </si>
  <si>
    <t>AQAL04uydBSHX_ixKwnyiUjy4Tke5hgp_0.01.05.089387-0.02.06.036734</t>
  </si>
  <si>
    <t>Bill Frisell (g), Charlie Haden (b), Joe Lovano (ts), Lee Konitz (ss, as), Paul Motian (dr)</t>
  </si>
  <si>
    <t>On Broadway, Vol. 3</t>
  </si>
  <si>
    <t>Just one of those things</t>
  </si>
  <si>
    <t>1991-08-01</t>
  </si>
  <si>
    <t>0:01:05.089387</t>
  </si>
  <si>
    <t>0:02:06.036734</t>
  </si>
  <si>
    <t>AQAL04uydBSHX_ixKwnyiUjy4Tke5hgp_0.02.06.036734-0.03.05.048099</t>
  </si>
  <si>
    <t>0:03:05.048099</t>
  </si>
  <si>
    <t>AQAL04uydBSHX_ixKwnyiUjy4Tke5hgp_0.04.01.069795-0.04.11.049387</t>
  </si>
  <si>
    <t>0:04:01.069795</t>
  </si>
  <si>
    <t>0:04:11.049387</t>
  </si>
  <si>
    <t>AQAL04uydBSHX_ixKwnyiUjy4Tke5hgp_0.04.18.025306-0.04.26.041632</t>
  </si>
  <si>
    <t>0:04:18.025306</t>
  </si>
  <si>
    <t>0:04:26.041632</t>
  </si>
  <si>
    <t>AQAL04uydBSHX_ixKwnyiUjy4Tke5hgp_0.04.32.022857-0.04.40.068571</t>
  </si>
  <si>
    <t>0:04:32.022857</t>
  </si>
  <si>
    <t>0:04:40.068571</t>
  </si>
  <si>
    <t>AQAL04uydBSHX_ixKwnyiUjy4Tke5hgp_0.04.47.057551-0.04.55.057551</t>
  </si>
  <si>
    <t>0:04:47.057551</t>
  </si>
  <si>
    <t>0:04:55.057551</t>
  </si>
  <si>
    <t>AQAL10l2MckahHkC6jt65uCTGJMkU7CS_0.01.38.048163-0.03.01.055102</t>
  </si>
  <si>
    <t>Amina Figarova (p, other), Bart Platteau (fl), Chris Strik (dr), Kurt Van Herck (ts), Marcel Reys (tp, flg), Tom Beek (as, ss), Wiro Mahieu (b)</t>
  </si>
  <si>
    <t>Kurt Van Herck</t>
  </si>
  <si>
    <t>Amina Figarova</t>
  </si>
  <si>
    <t>Come Escape With Me</t>
  </si>
  <si>
    <t>Zealot</t>
  </si>
  <si>
    <t>2004-11-02</t>
  </si>
  <si>
    <t>Amsterdam, The Netherlands</t>
  </si>
  <si>
    <t>0:03:01.055102</t>
  </si>
  <si>
    <t>AQAL4tuiREqz4PSI0GKOZA8qLS6e7GCP_0.00.51.098367-0.03.03.077142</t>
  </si>
  <si>
    <t>Crystal bells</t>
  </si>
  <si>
    <t>0:00:51.098367</t>
  </si>
  <si>
    <t>0:03:03.077142</t>
  </si>
  <si>
    <t>AQAL9WGUKFlTQT8OMc9Qpezw50Ge4DbQ_0.01.06.060063-0.02.29.013015</t>
  </si>
  <si>
    <t>Connie Kay (dr), Gunther Schuller (other), John Lewis (p), Milt Jackson (vib), Percy Heath (b)</t>
  </si>
  <si>
    <t>Modern Jazz Quartet</t>
  </si>
  <si>
    <t>The Modern Jazz Quartet And Orchestra</t>
  </si>
  <si>
    <t>England's carol</t>
  </si>
  <si>
    <t>1960-06-03</t>
  </si>
  <si>
    <t>Stuttgart, Germany</t>
  </si>
  <si>
    <t>0:01:06.060063</t>
  </si>
  <si>
    <t>0:02:29.013015</t>
  </si>
  <si>
    <t>AQAL9WGUKFlTQT8OMc9Qpezw50Ge4DbQ_0.02.29.013015-0.03.13.019873</t>
  </si>
  <si>
    <t>0:03:13.019873</t>
  </si>
  <si>
    <t>AQALclKXSFkWYQqT8GBSccbfEM2DSRLF_0.01.06.089668-0.03.25.024117</t>
  </si>
  <si>
    <t>Tribalism</t>
  </si>
  <si>
    <t>0:01:06.089668</t>
  </si>
  <si>
    <t>0:03:25.024117</t>
  </si>
  <si>
    <t>AQAlD2cSSVSiBDCjFg_RnML0I1KOZMcX_0.00.00.000000-0.01.47.092634</t>
  </si>
  <si>
    <t>Christopher Hoffman (other), Elliot Humberto Kavee (other, dr), Henry Threadgill (as, fl), Jose Davila (other, tb), Liberty Ellman (g)</t>
  </si>
  <si>
    <t>Ceroepic (for drums and percussion)</t>
  </si>
  <si>
    <t>0:01:47.092634</t>
  </si>
  <si>
    <t>AQAlD2cSSVSiBDCjFg_RnML0I1KOZMcX_0.01.47.092634-0.04.10.021823</t>
  </si>
  <si>
    <t>0:04:10.021823</t>
  </si>
  <si>
    <t>AQAlD2cSSVSiBDCjFg_RnML0I1KOZMcX_0.06.34.036770-0.06.52.086530</t>
  </si>
  <si>
    <t>0:06:34.036770</t>
  </si>
  <si>
    <t>0:06:52.086530</t>
  </si>
  <si>
    <t>AQAlD2cSSVSiBDCjFg_RnML0I1KOZMcX_0.15.48.076734-0.17.23.033061</t>
  </si>
  <si>
    <t>0:15:48.076734</t>
  </si>
  <si>
    <t>0:17:23.033061</t>
  </si>
  <si>
    <t>AQAlD2cSSVSiBDCjFg_RnML0I1KOZMcX_0.17.23.033061-0.19.11.070975</t>
  </si>
  <si>
    <t>0:19:11.070975</t>
  </si>
  <si>
    <t>AQALdEqlhEqkJHiOfCSeCxc05kQsHdbB_0.02.18.044897-0.05.04.052244</t>
  </si>
  <si>
    <t>The backward step</t>
  </si>
  <si>
    <t>0:02:18.044897</t>
  </si>
  <si>
    <t>0:05:04.052244</t>
  </si>
  <si>
    <t>AQALDUmUJFK6JJES6EX23vAkHceLC4-b_0.01.30.032562-0.02.27.063247</t>
  </si>
  <si>
    <t>I think it was a dream</t>
  </si>
  <si>
    <t>0:01:30.032562</t>
  </si>
  <si>
    <t>0:02:27.063247</t>
  </si>
  <si>
    <t>AQALDUmUJFK6JJES6EX23vAkHceLC4-b_0.02.27.063247-0.03.22.043156</t>
  </si>
  <si>
    <t>0:03:22.043156</t>
  </si>
  <si>
    <t>AQALE3vCTRbuwW_xHfmR4AMjw2txhIde_0.00.39.041877-0.00.49.078219</t>
  </si>
  <si>
    <t>Eleven twenty-three</t>
  </si>
  <si>
    <t>0:00:39.041877</t>
  </si>
  <si>
    <t>0:00:49.078219</t>
  </si>
  <si>
    <t>AQALE3vCTRbuwW_xHfmR4AMjw2txhIde_0.01.45.091492-0.03.19.047682</t>
  </si>
  <si>
    <t>0:01:45.091492</t>
  </si>
  <si>
    <t>0:03:19.047682</t>
  </si>
  <si>
    <t>AQALE3vCTRbuwW_xHfmR4AMjw2txhIde_0.03.19.047682-0.04.33.017115</t>
  </si>
  <si>
    <t>0:04:33.017115</t>
  </si>
  <si>
    <t>AQALEosyJdkl4VSyiJhzESVTacgTJI0x_0.01.27.009804-0.02.53.031374</t>
  </si>
  <si>
    <t>Alan Dawson (dr), Dexter Gordon (ts), Larry Ridley (b), Tommy Flanagan (p)</t>
  </si>
  <si>
    <t>The Panther</t>
  </si>
  <si>
    <t>Valse Robin</t>
  </si>
  <si>
    <t>1970-07-07</t>
  </si>
  <si>
    <t>0:01:27.009804</t>
  </si>
  <si>
    <t>0:02:53.031374</t>
  </si>
  <si>
    <t>AQALEosyJdkl4VSyiJhzESVTacgTJI0x_0.04.16.085913-0.05.20.034249</t>
  </si>
  <si>
    <t>0:04:16.085913</t>
  </si>
  <si>
    <t>0:05:20.034249</t>
  </si>
  <si>
    <t>AQALfBSpTUoW_MYTDl85nB_G3fgRtjvE_0.00.00.006530-0.00.42.053895</t>
  </si>
  <si>
    <t>Charles Pillow (other, as, fl), Jeff Campbell (b), Rich Thompson (dr)</t>
  </si>
  <si>
    <t>Invitation</t>
  </si>
  <si>
    <t>0:00:00.006530</t>
  </si>
  <si>
    <t>0:00:42.053895</t>
  </si>
  <si>
    <t>AQALfBSpTUoW_MYTDl85nB_G3fgRtjvE_0.01.57.081224-0.04.09.046938</t>
  </si>
  <si>
    <t>0:01:57.081224</t>
  </si>
  <si>
    <t>0:04:09.046938</t>
  </si>
  <si>
    <t>AQALglJDSWrQHkn24JbQHSce8WAeK0hG_0.00.51.064117-0.02.10.096054</t>
  </si>
  <si>
    <t>Roll Call</t>
  </si>
  <si>
    <t>My groove, your move</t>
  </si>
  <si>
    <t>1960-11-13</t>
  </si>
  <si>
    <t>0:00:51.064117</t>
  </si>
  <si>
    <t>0:02:10.096054</t>
  </si>
  <si>
    <t>AQALglJDSWrQHkn24JbQHSce8WAeK0hG_0.02.10.096054-0.03.29.076907</t>
  </si>
  <si>
    <t>Freddie Hubbard</t>
  </si>
  <si>
    <t>0:03:29.076907</t>
  </si>
  <si>
    <t>AQALIomyKFGiKEOeHQf-4_HQMFfwJEcS_0.00.45.060399-0.01.39.010276</t>
  </si>
  <si>
    <t>Bobby Durham (dr), Bucky Pizzarelli (g), Clark Terry (tp, flg), Mark Morganelli (tp), Milt Hinton (b), Seldon Powell (ts), Sir Roland Hanna (p)</t>
  </si>
  <si>
    <t>Red bank shuffle</t>
  </si>
  <si>
    <t>0:00:45.060399</t>
  </si>
  <si>
    <t>0:01:39.010276</t>
  </si>
  <si>
    <t>AQALIomyKFGiKEOeHQf-4_HQMFfwJEcS_0.01.39.010276-0.02.30.004734</t>
  </si>
  <si>
    <t>0:02:30.004734</t>
  </si>
  <si>
    <t>AQALIomyKFGiKEOeHQf-4_HQMFfwJEcS_0.02.30.004734-0.03.19.001823</t>
  </si>
  <si>
    <t>0:03:19.001823</t>
  </si>
  <si>
    <t>AQALIVEUJkqSOBHeLJB_vA8a3kH-ofuK_0.01.14.097723-0.02.18.064634</t>
  </si>
  <si>
    <t>Leslie Pintchik (p), Michael Sarin (dr), Ron Horton (tp), Satoshi Takeishi (other), Scott Hardy (b), Steve Wilson (as)</t>
  </si>
  <si>
    <t>Ron Horton</t>
  </si>
  <si>
    <t>Leslie Pintchik</t>
  </si>
  <si>
    <t>In The Nature Of Things</t>
  </si>
  <si>
    <t>Ripe</t>
  </si>
  <si>
    <t>2013-02-01</t>
  </si>
  <si>
    <t>Stamford, CT</t>
  </si>
  <si>
    <t>0:01:14.097723</t>
  </si>
  <si>
    <t>0:02:18.064634</t>
  </si>
  <si>
    <t>AQALIVEUJkqSOBHeLJB_vA8a3kH-ofuK_0.02.18.064634-0.03.24.003374</t>
  </si>
  <si>
    <t>Steve Wilson</t>
  </si>
  <si>
    <t>0:03:24.003374</t>
  </si>
  <si>
    <t>AQALj2G20SnOH91z6MGbRI5RPcUh6viL_0.01.39.028852-0.02.43.018984</t>
  </si>
  <si>
    <t>Mr. Smoothie</t>
  </si>
  <si>
    <t>0:01:39.028852</t>
  </si>
  <si>
    <t>0:02:43.018984</t>
  </si>
  <si>
    <t>AQALJk-sRsL1oXFToxaJO0eO6XygKHpS_0.00.54.024181-0.01.56.070349</t>
  </si>
  <si>
    <t>Joe Sample (p), Monk Montgomery (b), Stix Hooper (dr), Wayne Henderson (tb), Wilton Felder (ts)</t>
  </si>
  <si>
    <t>Stretchin' Out</t>
  </si>
  <si>
    <t>Bachafillen</t>
  </si>
  <si>
    <t>1964-07-19</t>
  </si>
  <si>
    <t>0:00:54.024181</t>
  </si>
  <si>
    <t>0:01:56.070349</t>
  </si>
  <si>
    <t>AQALJk-sRsL1oXFToxaJO0eO6XygKHpS_0.01.56.070349-0.02.58.023637</t>
  </si>
  <si>
    <t>0:02:58.023637</t>
  </si>
  <si>
    <t>AQALJpEeRhID5niCHU6YHndQ5oH3FeEv_0.00.58.060716-0.02.18.078566</t>
  </si>
  <si>
    <t>Tribute to Charles</t>
  </si>
  <si>
    <t>1965-02-05</t>
  </si>
  <si>
    <t>0:00:58.060716</t>
  </si>
  <si>
    <t>0:02:18.078566</t>
  </si>
  <si>
    <t>AQALJpEeRhID5niCHU6YHndQ5oH3FeEv_0.02.18.078566-0.03.38.094095</t>
  </si>
  <si>
    <t>0:03:38.094095</t>
  </si>
  <si>
    <t>AQALkkqSRPGWSApeF_-xH-nyoJQIHTX8_0.03.50.020698-0.04.47.055591</t>
  </si>
  <si>
    <t>Edward Petersen, Pete Christlieb</t>
  </si>
  <si>
    <t>Alejo Poveda (other), Bill Sears (as, fl), Bob Bowman (b), Clark Terry (flg, tp, voc), Curt Bley (b), Edward Petersen (fl, ts), Frank Mantooth (other), Howie Smith (ss, as), Jerry DiMuzio (bs, fl, cl), Matt Harris (other), Mike Steinel (tp), Mike Young (tb), Pete Christlieb (ts), Steve Erquiaga (g), Steve Houghton (dr), Steve Wiest (tb)</t>
  </si>
  <si>
    <t>White Pontiac</t>
  </si>
  <si>
    <t>0:03:50.020698</t>
  </si>
  <si>
    <t>0:04:47.055591</t>
  </si>
  <si>
    <t>AQALL0micYmypEESMwvxXxHOD_exH83y_0.01.27.005160-0.02.44.051337</t>
  </si>
  <si>
    <t>Beale Street blues</t>
  </si>
  <si>
    <t>0:01:27.005160</t>
  </si>
  <si>
    <t>0:02:44.051337</t>
  </si>
  <si>
    <t>AQALn3SUZJMSJbge_EKy5wrC5BPexA0u_0.00.09.070594-0.02.02.099609</t>
  </si>
  <si>
    <t>Lester Young Sextet</t>
  </si>
  <si>
    <t>Lester Young Vol. 13 1956-57</t>
  </si>
  <si>
    <t>Flic</t>
  </si>
  <si>
    <t>1957-07-31</t>
  </si>
  <si>
    <t>0:00:09.070594</t>
  </si>
  <si>
    <t>0:02:02.099609</t>
  </si>
  <si>
    <t>AQALn3SUZJMSJbge_EKy5wrC5BPexA0u_0.02.02.099609-0.03.41.088988</t>
  </si>
  <si>
    <t>0:03:41.088988</t>
  </si>
  <si>
    <t>AQALn3SUZJMSJbge_EKy5wrC5BPexA0u_0.04.36.041034-0.04.40.063346</t>
  </si>
  <si>
    <t>0:04:36.041034</t>
  </si>
  <si>
    <t>0:04:40.063346</t>
  </si>
  <si>
    <t>AQALn3SUZJMSJbge_EKy5wrC5BPexA0u_0.04.40.063346-0.04.45.007428</t>
  </si>
  <si>
    <t>0:04:45.007428</t>
  </si>
  <si>
    <t>AQALn3SUZJMSJbge_EKy5wrC5BPexA0u_0.04.45.007428-0.04.49.056734</t>
  </si>
  <si>
    <t>0:04:49.056734</t>
  </si>
  <si>
    <t>AQALn3SUZJMSJbge_EKy5wrC5BPexA0u_0.04.49.056734-0.04.53.090367</t>
  </si>
  <si>
    <t>0:04:53.090367</t>
  </si>
  <si>
    <t>AQALn3SUZJMSJbge_EKy5wrC5BPexA0u_0.04.53.090367-0.04.58.063183</t>
  </si>
  <si>
    <t>0:04:58.063183</t>
  </si>
  <si>
    <t>AQALn3SUZJMSJbge_EKy5wrC5BPexA0u_0.04.58.063183-0.05.03.030775</t>
  </si>
  <si>
    <t>0:05:03.030775</t>
  </si>
  <si>
    <t>AQALn3SUZJMSJbge_EKy5wrC5BPexA0u_0.05.03.030775-0.05.07.095755</t>
  </si>
  <si>
    <t>0:05:07.095755</t>
  </si>
  <si>
    <t>AQALn3SUZJMSJbge_EKy5wrC5BPexA0u_0.05.07.095755-0.05.12.079020</t>
  </si>
  <si>
    <t>0:05:12.079020</t>
  </si>
  <si>
    <t>AQALn3SUZJMSJbge_EKy5wrC5BPexA0u_0.05.12.079020-0.05.16.063020</t>
  </si>
  <si>
    <t>0:05:16.063020</t>
  </si>
  <si>
    <t>AQALn3SUZJMSJbge_EKy5wrC5BPexA0u_0.05.16.063020-0.05.22.011591</t>
  </si>
  <si>
    <t>0:05:22.011591</t>
  </si>
  <si>
    <t>AQALn3SUZJMSJbge_EKy5wrC5BPexA0u_0.05.22.011591-0.05.26.032163</t>
  </si>
  <si>
    <t>0:05:26.032163</t>
  </si>
  <si>
    <t>AQALn3SUZJMSJbge_EKy5wrC5BPexA0u_0.05.26.032163-0.05.30.016163</t>
  </si>
  <si>
    <t>0:05:30.016163</t>
  </si>
  <si>
    <t>AQALn4ymLJHEoD9-PAhTXUjmxEwyHA-e_0.01.44.048979-0.04.23.033750</t>
  </si>
  <si>
    <t>Albert Dailey (p), Bob Brookmeyer (tb), Clark Terry (tp), Danny Bank (bs), Eric Gale (g), Grady Tate (dr), Jerome Richardson (ss, ts, fl), Jerry Dodgion (cl, as, fl), Jimmy Cleveland (tb), Oliver Nelson (other), Phil Kraus (other), Phil Woods (cl, as), Ron Carter (b), Snooky Young (flg, tp), Tony Studd (tb), Zoot Sims (ts)</t>
  </si>
  <si>
    <t>St. Louis blues</t>
  </si>
  <si>
    <t>0:04:23.033750</t>
  </si>
  <si>
    <t>AQALnAnHW3hfYTq0NEb-BI8X8PiM41wz_0.02.08.077786-0.03.54.033578</t>
  </si>
  <si>
    <t>Art Farmer (tp, flg), Clifford Jordan (ts), James Williams (p), Kenny Burrell (g), Rufus Reid (b)</t>
  </si>
  <si>
    <t>Art Farmer</t>
  </si>
  <si>
    <t>PH.D</t>
  </si>
  <si>
    <t>The summary</t>
  </si>
  <si>
    <t>1989-04-03</t>
  </si>
  <si>
    <t>0:02:08.077786</t>
  </si>
  <si>
    <t>0:03:54.033578</t>
  </si>
  <si>
    <t>AQALnAnHW3hfYTq0NEb-BI8X8PiM41wz_0.03.54.033578-0.05.06.041052</t>
  </si>
  <si>
    <t>0:05:06.041052</t>
  </si>
  <si>
    <t>AQALPqKU5BrRNDmS_ULkLEkJPgv2o8sH_0.00.51.024643-0.02.24.089251</t>
  </si>
  <si>
    <t>Allen Eager (ts), Curly Russell (b), Fats Navarro (tp), Kenny Clarke (dr), Rudy Williams (as), Tadd Dameron (p)</t>
  </si>
  <si>
    <t>Tadd Dameron Septet</t>
  </si>
  <si>
    <t>Fats Navarro Vol. 5 (1948-49)</t>
  </si>
  <si>
    <t xml:space="preserve">Eb-Pob </t>
  </si>
  <si>
    <t>1949-10-23</t>
  </si>
  <si>
    <t>0:00:51.024643</t>
  </si>
  <si>
    <t>0:02:24.089251</t>
  </si>
  <si>
    <t>AQALPqKU5BrRNDmS_ULkLEkJPgv2o8sH_0.02.24.089251-0.03.12.072562</t>
  </si>
  <si>
    <t>Rudy Williams</t>
  </si>
  <si>
    <t>0:03:12.072562</t>
  </si>
  <si>
    <t>AQALPqKU5BrRNDmS_ULkLEkJPgv2o8sH_0.03.12.072562-0.03.59.007265</t>
  </si>
  <si>
    <t>AQALPqKU5BrRNDmS_ULkLEkJPgv2o8sH_0.04.45.074476-0.05.31.060417</t>
  </si>
  <si>
    <t>0:04:45.074476</t>
  </si>
  <si>
    <t>0:05:31.060417</t>
  </si>
  <si>
    <t>AQALptMyZkoWBbfE4B_8oWSm4cW4tERP_0.01.16.016145-0.02.22.047764</t>
  </si>
  <si>
    <t>Bill Ware (other, voc, vib), Brad Jones (voc, b), Curtis Fowlkes (voc, tb), Jim Nolet (other, g, vln), Rodriguez (), Roy Nathanson (ss, other, voc, ts, as)</t>
  </si>
  <si>
    <t>Roy Nathanson</t>
  </si>
  <si>
    <t>Robbie</t>
  </si>
  <si>
    <t>0:01:16.016145</t>
  </si>
  <si>
    <t>0:02:22.047764</t>
  </si>
  <si>
    <t>AQALptMyZkoWBbfE4B_8oWSm4cW4tERP_0.02.22.047764-0.04.19.013469</t>
  </si>
  <si>
    <t>Jim Nolet</t>
  </si>
  <si>
    <t>0:04:19.013469</t>
  </si>
  <si>
    <t>AQALQ1LyOIwS9MefF08uPEweJP2Q_tjD_0.02.07.002040-0.03.01.061632</t>
  </si>
  <si>
    <t>Tristeza de nos dois</t>
  </si>
  <si>
    <t>0:02:07.002040</t>
  </si>
  <si>
    <t>0:03:01.061632</t>
  </si>
  <si>
    <t>AQALQ1LyOIwS9MefF08uPEweJP2Q_tjD_0.03.01.061632-0.03.56.066938</t>
  </si>
  <si>
    <t>AQALRkqexJlE5NCPpsoB5jRUWcFjTLvh_0.02.18.097142-0.03.27.041224</t>
  </si>
  <si>
    <t>Billy Higgins (dr), Cedar Walton (p), David Williams (b), Jesse Davis (as), Terence Blanchard (tp)</t>
  </si>
  <si>
    <t>Jesse Davis</t>
  </si>
  <si>
    <t>Cedar Walton</t>
  </si>
  <si>
    <t>As Long As There's Music</t>
  </si>
  <si>
    <t>Young and foolish</t>
  </si>
  <si>
    <t>1990-07-20</t>
  </si>
  <si>
    <t>0:03:27.041224</t>
  </si>
  <si>
    <t>AQALRkqexJlE5NCPpsoB5jRUWcFjTLvh_0.03.27.041224-0.04.33.076326</t>
  </si>
  <si>
    <t>Terence Blanchard</t>
  </si>
  <si>
    <t>0:04:33.076326</t>
  </si>
  <si>
    <t>AQALs1KWJUkiBckRfEHFaGiSyehfXLge_0.04.05.078321-0.04.59.007301</t>
  </si>
  <si>
    <t>Art Tatum (p), Ben Webster (ts), Bill Douglass (dr), Red Callender (b)</t>
  </si>
  <si>
    <t>Art Tatum - Ben Webster</t>
  </si>
  <si>
    <t>Art Tatum</t>
  </si>
  <si>
    <t xml:space="preserve">Ben Webster /Art Tatum /Barney Kessel  </t>
  </si>
  <si>
    <t>My One And Only Love</t>
  </si>
  <si>
    <t>1956-09-11</t>
  </si>
  <si>
    <t>0:04:59.007301</t>
  </si>
  <si>
    <t>AQALslOcKLqSBH2EX8cfNM-H8DqSbRSP_0.01.36.032653-0.02.14.000816</t>
  </si>
  <si>
    <t>Statement</t>
  </si>
  <si>
    <t>0:01:36.032653</t>
  </si>
  <si>
    <t>0:02:14.000816</t>
  </si>
  <si>
    <t>AQALslOcKLqSBH2EX8cfNM-H8DqSbRSP_0.03.44.000000-0.04.14.021206</t>
  </si>
  <si>
    <t>0:03:44.000000</t>
  </si>
  <si>
    <t>0:04:14.021206</t>
  </si>
  <si>
    <t>AQALslOcKLqSBH2EX8cfNM-H8DqSbRSP_0.04.14.021206-0.04.31.011619</t>
  </si>
  <si>
    <t>0:04:31.011619</t>
  </si>
  <si>
    <t>AQALsloUpaEWBSkFnTkRXjiNR6idFU-Y_0.01.29.007755-0.02.21.058367</t>
  </si>
  <si>
    <t>Art Farmer (flg, tp), Clifford Jordan (ts), James Williams (p), Kenny Burrell (g), Rufus Reid (b)</t>
  </si>
  <si>
    <t>Rise to the occasion</t>
  </si>
  <si>
    <t>0:01:29.007755</t>
  </si>
  <si>
    <t>0:02:21.058367</t>
  </si>
  <si>
    <t>AQALsloUpaEWBSkFnTkRXjiNR6idFU-Y_0.03.15.033061-0.04.07.090204</t>
  </si>
  <si>
    <t>0:03:15.033061</t>
  </si>
  <si>
    <t>0:04:07.090204</t>
  </si>
  <si>
    <t>AQALsZw2JfEU5NEDfReRb0eDLg_-A5Hm_0.04.25.026476-0.04.48.002031</t>
  </si>
  <si>
    <t>Bobby Bruce (vln), Gene Cipriano (as, ts), Ken Shroyer (tb), Larry Bunker (vib, other), Max Bennett (b), Michael Franks (bjo, other, g, voc), Ollie Mitchell (tp), Paul Humphrey (other, dr), Tom Scott (fl, ts), Tommy Tedesco (g), Wendy Waldman (other)</t>
  </si>
  <si>
    <t>Ken Shroyer</t>
  </si>
  <si>
    <t>Born with the moon in Virgo</t>
  </si>
  <si>
    <t>0:04:25.026476</t>
  </si>
  <si>
    <t>0:04:48.002031</t>
  </si>
  <si>
    <t>AQALsZw2JfEU5NEDfReRb0eDLg_-A5Hm_0.05.49.069251-0.06.12.081959</t>
  </si>
  <si>
    <t>0:05:49.069251</t>
  </si>
  <si>
    <t>0:06:12.081959</t>
  </si>
  <si>
    <t>AQALTImUKEkayXiEa_icoFciws6EXZnx_0.02.37.089569-0.03.43.086938</t>
  </si>
  <si>
    <t>Allan Morrissey (other, tb), Bruce Haag (tp), Denny Brunk (tb), Don Landis (ts), Jay Cummings (dr), Jon Ward (b), Lisa Hittle (bs), Michael Bard (fl, ss, as), Ramon Lopez (other), Robeson (), Stan Kenton (p, other)</t>
  </si>
  <si>
    <t>Michael Bard</t>
  </si>
  <si>
    <t>What are you doing the rest of your life ?</t>
  </si>
  <si>
    <t>0:02:37.089569</t>
  </si>
  <si>
    <t>0:03:43.086938</t>
  </si>
  <si>
    <t>AQALu4lEpqKSBFGcRTzGpsjp4wy06EGI_0.00.36.071074-0.03.38.054621</t>
  </si>
  <si>
    <t>Chasing The Blues</t>
  </si>
  <si>
    <t>0:00:36.071074</t>
  </si>
  <si>
    <t>0:03:38.054621</t>
  </si>
  <si>
    <t>AQALu4lEpqKSBFGcRTzGpsjp4wy06EGI_0.04.34.097070-0.04.40.089179</t>
  </si>
  <si>
    <t>0:04:34.097070</t>
  </si>
  <si>
    <t>0:04:40.089179</t>
  </si>
  <si>
    <t>AQALu4lEpqKSBFGcRTzGpsjp4wy06EGI_0.04.44.051410-0.04.49.094757</t>
  </si>
  <si>
    <t>0:04:44.051410</t>
  </si>
  <si>
    <t>0:04:49.094757</t>
  </si>
  <si>
    <t>AQALu4lEpqKSBFGcRTzGpsjp4wy06EGI_0.04.54.047546-0.04.59.018911</t>
  </si>
  <si>
    <t>0:04:54.047546</t>
  </si>
  <si>
    <t>0:04:59.018911</t>
  </si>
  <si>
    <t>AQALu4lEpqKSBFGcRTzGpsjp4wy06EGI_0.05.03.053124-0.05.08.061641</t>
  </si>
  <si>
    <t>0:05:03.053124</t>
  </si>
  <si>
    <t>0:05:08.061641</t>
  </si>
  <si>
    <t>AQALu4lEpqKSBFGcRTzGpsjp4wy06EGI_0.05.12.028517-0.05.18.018303</t>
  </si>
  <si>
    <t>0:05:12.028517</t>
  </si>
  <si>
    <t>0:05:18.018303</t>
  </si>
  <si>
    <t>AQALu4lEpqKSBFGcRTzGpsjp4wy06EGI_0.05.22.073414-0.05.27.037814</t>
  </si>
  <si>
    <t>0:05:22.073414</t>
  </si>
  <si>
    <t>0:05:27.037814</t>
  </si>
  <si>
    <t>AQALuJmeMUmSBROdpBCXmEV-4T2aV7jW_0.00.36.022603-0.04.19.071809</t>
  </si>
  <si>
    <t>Fred Hopkins (other, b), Henry Threadgill (ts, fl, as, bs), Steve McCall (dr, other)</t>
  </si>
  <si>
    <t>Open Air Suit</t>
  </si>
  <si>
    <t>Card four : Strait white royal flush...78</t>
  </si>
  <si>
    <t>1978-02-21</t>
  </si>
  <si>
    <t>0:00:36.022603</t>
  </si>
  <si>
    <t>0:04:19.071809</t>
  </si>
  <si>
    <t>AQALuWqWVJmSBMfHw0_i4VIS_OgjGqeR_0.02.17.078721-0.03.22.017614</t>
  </si>
  <si>
    <t>Blues for the twentieth century, part 2</t>
  </si>
  <si>
    <t>0:02:17.078721</t>
  </si>
  <si>
    <t>0:03:22.017614</t>
  </si>
  <si>
    <t>AQALuWqWVJmSBMfHw0_i4VIS_OgjGqeR_0.03.22.017614-0.04.26.095111</t>
  </si>
  <si>
    <t>0:04:26.095111</t>
  </si>
  <si>
    <t>AQALuWqWVJmSBMfHw0_i4VIS_OgjGqeR_0.04.26.095111-0.04.59.021523</t>
  </si>
  <si>
    <t>0:04:59.021523</t>
  </si>
  <si>
    <t>AQALuWqWVJmSBMfHw0_i4VIS_OgjGqeR_0.04.59.021523-0.05.02.064888</t>
  </si>
  <si>
    <t>0:05:02.064888</t>
  </si>
  <si>
    <t>AQALuWqWVJmSBMfHw0_i4VIS_OgjGqeR_0.05.02.064888-0.05.04.059936</t>
  </si>
  <si>
    <t>0:05:04.059936</t>
  </si>
  <si>
    <t>AQALuWqWVJmSBMfHw0_i4VIS_OgjGqeR_0.05.04.059936-0.05.07.019999</t>
  </si>
  <si>
    <t>0:05:07.019999</t>
  </si>
  <si>
    <t>AQALuWqWVJmSBMfHw0_i4VIS_OgjGqeR_0.05.07.019999-0.05.09.057714</t>
  </si>
  <si>
    <t>0:05:09.057714</t>
  </si>
  <si>
    <t>AQALuWqWVJmSBMfHw0_i4VIS_OgjGqeR_0.05.09.057714-0.05.15.026603</t>
  </si>
  <si>
    <t>0:05:15.026603</t>
  </si>
  <si>
    <t>AQALuWqWVJmSBMfHw0_i4VIS_OgjGqeR_0.05.15.026603-0.05.18.002920</t>
  </si>
  <si>
    <t>0:05:18.002920</t>
  </si>
  <si>
    <t>AQALVpnuKJmE5N9Q-fi2oA-PG82P_sOT_0.01.52.038458-0.02.44.009541</t>
  </si>
  <si>
    <t>Ben Dixon (dr), Big John Patton (org), Grant Green (g), Harold Vick (ts)</t>
  </si>
  <si>
    <t>Harold Vick</t>
  </si>
  <si>
    <t>Big John Patton</t>
  </si>
  <si>
    <t>Along Came John</t>
  </si>
  <si>
    <t>Gee gee</t>
  </si>
  <si>
    <t>1963-04-05</t>
  </si>
  <si>
    <t>0:02:44.009541</t>
  </si>
  <si>
    <t>AQALVpnuKJmE5N9Q-fi2oA-PG82P_sOT_0.03.34.048272-0.04.24.073070</t>
  </si>
  <si>
    <t>0:03:34.048272</t>
  </si>
  <si>
    <t>0:04:24.073070</t>
  </si>
  <si>
    <t>AQALVUmSjFKkKEkU_ARy_MAlIf1RPEOf_0.02.02.044897-0.02.49.053469</t>
  </si>
  <si>
    <t>John Walsh, Tanya Darby</t>
  </si>
  <si>
    <t>Barry Olsen (voc, tb, other), Bobby Sanabria (other, dr, voc), Boris Kozlov (b), Chris Washburne (voc, tb, other), Dan Levine (tb), Gene Jefferson (other, voc, as), Jay Collins (fl, ts, ss), Joe Fiedler (tb), John Walsh (voc, tp), John di Martino (p), Karolina Strassmayer (ss, voc, as), Peter Brainin (ts), Ricardo Pons (bs, other, voc), Roberto Quintero (other), Tanya Darby (tp)</t>
  </si>
  <si>
    <t>Bobby Sanabria</t>
  </si>
  <si>
    <t>Afro-Cuban Dream...Live &amp; In Clave!!!</t>
  </si>
  <si>
    <t>Adios, Mario</t>
  </si>
  <si>
    <t>1999-05-20</t>
  </si>
  <si>
    <t>Live "Birdland", New York</t>
  </si>
  <si>
    <t>0:02:02.044897</t>
  </si>
  <si>
    <t>0:02:49.053469</t>
  </si>
  <si>
    <t>AQALVUmSjFKkKEkU_ARy_MAlIf1RPEOf_0.02.49.053469-0.03.32.004462</t>
  </si>
  <si>
    <t>Gene Jefferson, Karolina Strassmayer</t>
  </si>
  <si>
    <t>0:03:32.004462</t>
  </si>
  <si>
    <t>AQALwqSUROoSBc2VB5WyJ_gXWEtznBve_0.01.27.021414-0.02.01.027782</t>
  </si>
  <si>
    <t>Andre Previn (p), Barney Kessel (g), Ben Webster (ts), Benny Carter (tp, other, as), Frank Rosolino (tb), Leroy Vinnegar (b), Shelly Manne (dr)</t>
  </si>
  <si>
    <t>Ben Webster /Buddy Rich /Benny Carter</t>
  </si>
  <si>
    <t>How Can You Lose?</t>
  </si>
  <si>
    <t>1957-10-07</t>
  </si>
  <si>
    <t>0:01:27.021414</t>
  </si>
  <si>
    <t>0:02:01.027782</t>
  </si>
  <si>
    <t>AQALwqSUROoSBc2VB5WyJ_gXWEtznBve_0.02.34.064489-0.03.42.014530</t>
  </si>
  <si>
    <t>Frank Rosolino</t>
  </si>
  <si>
    <t>0:03:42.014530</t>
  </si>
  <si>
    <t>AQALwqSUROoSBc2VB5WyJ_gXWEtznBve_0.03.42.014530-0.04.49.055283</t>
  </si>
  <si>
    <t>0:04:49.055283</t>
  </si>
  <si>
    <t>AQALxkrEJFqiKEkiXJ7RhI4xWdlxodmO_0.00.50.085460-0.02.02.094095</t>
  </si>
  <si>
    <t>Art Blakey (dr), Doug Watkins (b), Hank Mobley (ts), Horace Silver (p), Kenny Dorham (tp)</t>
  </si>
  <si>
    <t>The Jazz Messengers</t>
  </si>
  <si>
    <t>Hard Bop - Art Blakey 1955 Vol. 1</t>
  </si>
  <si>
    <t>The Theme</t>
  </si>
  <si>
    <t>1955-11-23</t>
  </si>
  <si>
    <t>0:00:50.085460</t>
  </si>
  <si>
    <t>0:02:02.094095</t>
  </si>
  <si>
    <t>AQALxkrEJFqiKEkiXJ7RhI4xWdlxodmO_0.02.02.094095-0.03.13.076761</t>
  </si>
  <si>
    <t>0:03:13.076761</t>
  </si>
  <si>
    <t>AQALxpOyJEmSRwl4WNzxHdurF8VHVFrj_0.01.35.064299-0.02.18.015873</t>
  </si>
  <si>
    <t>Alan Raph (tb), Bill Crow (b), Bob Brookmeyer (tb, other), Bob Donovan (as), Gene Allen (bs, bcl), Gene Quill (cl, as), Gerry Mulligan (bs, p), Jim Reider (ts), Johnny Mandel (other), Mel Lewis (dr), Nick Travis (tp), Willie Dennis (tb)</t>
  </si>
  <si>
    <t>Nick Travis</t>
  </si>
  <si>
    <t>Gerry Mulligan And The Concert Jazz Band At The Village Vanguard</t>
  </si>
  <si>
    <t>Lady Chatterley's mother</t>
  </si>
  <si>
    <t>1960-12-11</t>
  </si>
  <si>
    <t>0:01:35.064299</t>
  </si>
  <si>
    <t>0:02:18.015873</t>
  </si>
  <si>
    <t>AQALxpOyJEmSRwl4WNzxHdurF8VHVFrj_0.02.18.015873-0.03.05.089895</t>
  </si>
  <si>
    <t>0:03:05.089895</t>
  </si>
  <si>
    <t>AQALxpOyJEmSRwl4WNzxHdurF8VHVFrj_0.04.28.081741-0.06.15.078666</t>
  </si>
  <si>
    <t>0:04:28.081741</t>
  </si>
  <si>
    <t>0:06:15.078666</t>
  </si>
  <si>
    <t>AQALzVGlZJOmIEfPwkfNGPmtQN81tFE-_0.02.00.082503-0.03.00.004172</t>
  </si>
  <si>
    <t>Cecil McBee (b), Eric Hofbauer (g), Jared Sims (ss, as, ts), Matt Wilson (dr), Tyson Rogers (p)</t>
  </si>
  <si>
    <t>Jared Sims</t>
  </si>
  <si>
    <t>The Blueprint Project</t>
  </si>
  <si>
    <t>Dead mouse blues</t>
  </si>
  <si>
    <t>Westwood, MA</t>
  </si>
  <si>
    <t>0:02:00.082503</t>
  </si>
  <si>
    <t>0:03:00.004172</t>
  </si>
  <si>
    <t>AQAM_YkWJVSsJEGuGO_hOSxuCl-OP8Ec_0.00.14.077133-0.02.16.015616</t>
  </si>
  <si>
    <t>One for Amos</t>
  </si>
  <si>
    <t>0:00:14.077133</t>
  </si>
  <si>
    <t>0:02:16.015616</t>
  </si>
  <si>
    <t>AQAM_YkWJVSsJEGuGO_hOSxuCl-OP8Ec_0.04.29.006408-0.04.44.021598</t>
  </si>
  <si>
    <t>0:04:29.006408</t>
  </si>
  <si>
    <t>0:04:44.021598</t>
  </si>
  <si>
    <t>AQAM0NOkMFpE-Dx2Hc1y4xe-E-kXBj_E_0.01.35.085859-0.03.23.079931</t>
  </si>
  <si>
    <t>Art Pepper (as), Carl Burnett (dr), Jack Sheldon (tp), Milcho Leviev (p), Tony Dumas (b)</t>
  </si>
  <si>
    <t>Jack Sheldon</t>
  </si>
  <si>
    <t>Angel Wings</t>
  </si>
  <si>
    <t>You'd be so nice to come home to</t>
  </si>
  <si>
    <t>1980-02-21</t>
  </si>
  <si>
    <t>0:01:35.085859</t>
  </si>
  <si>
    <t>0:03:23.079931</t>
  </si>
  <si>
    <t>AQAM0NOkMFpE-Dx2Hc1y4xe-E-kXBj_E_0.05.05.082857-0.05.38.048163</t>
  </si>
  <si>
    <t>0:05:05.082857</t>
  </si>
  <si>
    <t>0:05:38.048163</t>
  </si>
  <si>
    <t>AQAM0YmkSLGyJcGXIz_6wDWe5OgtHbcU_0.01.19.021632-0.02.28.037551</t>
  </si>
  <si>
    <t>Art Farmer (flg), Bill Sears (as, fl), Curt Bley (b), Frank Mantooth (other), Howie Smith (as, ss), Jim Massoth (ts), Kelly Sill (b), Mark Bettcher (tb), Mike Steinel (tp), Mike Young (tb), Sam Lipuma (g), Scott Robinson (fl, bs), Steve Houghton (dr), Tim Kitsos (other)</t>
  </si>
  <si>
    <t>Howie Smith</t>
  </si>
  <si>
    <t>Scam and eggs</t>
  </si>
  <si>
    <t>0:01:19.021632</t>
  </si>
  <si>
    <t>AQAM2kyk5GE0NE6FK_iPJ9_R7oGfIzT0_0.02.03.024571-0.04.08.090920</t>
  </si>
  <si>
    <t>Bear tracks</t>
  </si>
  <si>
    <t>0:02:03.024571</t>
  </si>
  <si>
    <t>0:04:08.090920</t>
  </si>
  <si>
    <t>AQAM3ErWMImN7_iDMocRfsQXFvrR5_Cc_0.02.15.031428-0.03.18.040000</t>
  </si>
  <si>
    <t>Fernando Huergo (b), Florencia Gonzalez (ts), Franco Pina (dr), Jonathan Powell (flg, tp), Luis Perdomo (p), Shannon Barnett (tb)</t>
  </si>
  <si>
    <t>Florencia Gonzalez</t>
  </si>
  <si>
    <t>Between Loves</t>
  </si>
  <si>
    <t>Hurry</t>
  </si>
  <si>
    <t>0:02:15.031428</t>
  </si>
  <si>
    <t>0:03:18.040000</t>
  </si>
  <si>
    <t>AQAM3lESKpESSRPSLTSew8f043gSPXjm_0.00.53.041723-0.02.33.069727</t>
  </si>
  <si>
    <t>Cherokee</t>
  </si>
  <si>
    <t>0:00:53.041723</t>
  </si>
  <si>
    <t>0:02:33.069727</t>
  </si>
  <si>
    <t>AQAM3lESKpESSRPSLTSew8f043gSPXjm_0.04.09.044519-0.05.46.063281</t>
  </si>
  <si>
    <t>0:04:09.044519</t>
  </si>
  <si>
    <t>0:05:46.063281</t>
  </si>
  <si>
    <t>AQAM5lESZYmiiBk-6A--5mj0IN4PV22I_0.00.35.054975-0.01.45.060435</t>
  </si>
  <si>
    <t>David Liebman, Joe Lovano, Michael Brecker</t>
  </si>
  <si>
    <t>Billy Hart (dr), Cecil McBee (b), David Liebman (fl, ts, ss), Joe Lovano (cl, fl, ts), Michael Brecker (fl, ts), Phil Markowitz (p)</t>
  </si>
  <si>
    <t>Saxophone Summit</t>
  </si>
  <si>
    <t>Gathering Of Spirits</t>
  </si>
  <si>
    <t>Alexander the great</t>
  </si>
  <si>
    <t>0:00:35.054975</t>
  </si>
  <si>
    <t>0:01:45.060435</t>
  </si>
  <si>
    <t>AQAM5lESZYmiiBk-6A--5mj0IN4PV22I_0.01.45.060435-0.02.52.005986</t>
  </si>
  <si>
    <t>David Liebman</t>
  </si>
  <si>
    <t>0:02:52.005986</t>
  </si>
  <si>
    <t>AQAM5lESZYmiiBk-6A--5mj0IN4PV22I_0.02.52.005986-0.03.57.009895</t>
  </si>
  <si>
    <t>0:03:57.009895</t>
  </si>
  <si>
    <t>AQAM5lESZYmiiBk-6A--5mj0IN4PV22I_0.03.57.009895-0.04.12.086530</t>
  </si>
  <si>
    <t>0:04:12.086530</t>
  </si>
  <si>
    <t>AQAM5lESZYmiiBk-6A--5mj0IN4PV22I_0.04.12.086530-0.04.29.042113</t>
  </si>
  <si>
    <t>0:04:29.042113</t>
  </si>
  <si>
    <t>AQAM5lESZYmiiBk-6A--5mj0IN4PV22I_0.04.29.042113-0.04.45.044290</t>
  </si>
  <si>
    <t>0:04:45.044290</t>
  </si>
  <si>
    <t>AQAM5lESZYmiiBk-6A--5mj0IN4PV22I_0.04.45.044290-0.05.01.053433</t>
  </si>
  <si>
    <t>0:05:01.053433</t>
  </si>
  <si>
    <t>AQAM5lESZYmiiBk-6A--5mj0IN4PV22I_0.05.01.053433-0.05.09.059165</t>
  </si>
  <si>
    <t>0:05:09.059165</t>
  </si>
  <si>
    <t>AQAM5lESZYmiiBk-6A--5mj0IN4PV22I_0.05.09.059165-0.05.17.057931</t>
  </si>
  <si>
    <t>0:05:17.057931</t>
  </si>
  <si>
    <t>AQAM5lESZYmiiBk-6A--5mj0IN4PV22I_0.05.17.057931-0.05.25.084562</t>
  </si>
  <si>
    <t>0:05:25.084562</t>
  </si>
  <si>
    <t>AQAM5lESZYmiiBk-6A--5mj0IN4PV22I_0.05.25.084562-0.05.33.020634</t>
  </si>
  <si>
    <t>0:05:33.020634</t>
  </si>
  <si>
    <t>AQAM5lESZYmiiBk-6A--5mj0IN4PV22I_0.05.33.020634-0.05.37.038594</t>
  </si>
  <si>
    <t>0:05:37.038594</t>
  </si>
  <si>
    <t>AQAM5lESZYmiiBk-6A--5mj0IN4PV22I_0.05.37.038594-0.05.41.014757</t>
  </si>
  <si>
    <t>0:05:41.014757</t>
  </si>
  <si>
    <t>AQAM5lESZYmiiBk-6A--5mj0IN4PV22I_0.05.41.014757-0.05.45.067546</t>
  </si>
  <si>
    <t>0:05:45.067546</t>
  </si>
  <si>
    <t>AQAM5lESZYmiiBk-6A--5mj0IN4PV22I_0.05.45.067546-0.05.49.050675</t>
  </si>
  <si>
    <t>0:05:49.050675</t>
  </si>
  <si>
    <t>AQAM5lESZYmiiBk-6A--5mj0IN4PV22I_0.05.49.050675-0.05.53.029160</t>
  </si>
  <si>
    <t>0:05:53.029160</t>
  </si>
  <si>
    <t>AQAM5lESZYmiiBk-6A--5mj0IN4PV22I_0.05.53.029160-0.05.57.042476</t>
  </si>
  <si>
    <t>0:05:57.042476</t>
  </si>
  <si>
    <t>AQAM5lESZYmiiBk-6A--5mj0IN4PV22I_0.05.57.042476-0.06.01.039537</t>
  </si>
  <si>
    <t>0:06:01.039537</t>
  </si>
  <si>
    <t>AQAM5lESZYmiiBk-6A--5mj0IN4PV22I_0.06.01.039537-0.06.05.048208</t>
  </si>
  <si>
    <t>0:06:05.048208</t>
  </si>
  <si>
    <t>AQAM64mSTEmURBGDMAqlFw8epccPf2mw_0.02.08.005804-0.03.21.036344</t>
  </si>
  <si>
    <t>Mark Bettcher, Mike Young</t>
  </si>
  <si>
    <t>Art Farmer (flg), Bill Sears (as, fl), Curt Bley (b), Frank Mantooth (other), Howie Smith (ss, as), Jim Massoth (ts), Kelly Sill (b), Mark Bettcher (tb), Mike Steinel (tp), Mike Young (tb), Sam Lipuma (g), Scott Robinson (bs, fl), Steve Houghton (dr), Tim Kitsos (other)</t>
  </si>
  <si>
    <t>Squash</t>
  </si>
  <si>
    <t>0:02:08.005804</t>
  </si>
  <si>
    <t>0:03:21.036344</t>
  </si>
  <si>
    <t>AQAM6NKXhAt84ul8fMHvJEXypBfy5fBH_0.03.02.094421-0.05.15.000770</t>
  </si>
  <si>
    <t>Harry Edison (tp), Herb Ellis (g), Lester Young (cl, ts), Lou Stein (p), Mickey Sheen (dr), Ray Brown (b)</t>
  </si>
  <si>
    <t>Sunday</t>
  </si>
  <si>
    <t>1958-02-07</t>
  </si>
  <si>
    <t>0:03:02.094421</t>
  </si>
  <si>
    <t>0:05:15.000770</t>
  </si>
  <si>
    <t>AQAM9EqkRKPCREIYmhHKH70pOJ-GOM3h_0.02.09.093886-0.03.11.098258</t>
  </si>
  <si>
    <t>Bill Frisell (g), Charlie Haden (b), Joe Lovano (ts), Lee Konitz (as, ss), Paul Motian (dr)</t>
  </si>
  <si>
    <t>How deep is the ocean</t>
  </si>
  <si>
    <t>0:02:09.093886</t>
  </si>
  <si>
    <t>0:03:11.098258</t>
  </si>
  <si>
    <t>AQAM9EqkRKPCREIYmhHKH70pOJ-GOM3h_0.03.11.098258-0.04.18.076317</t>
  </si>
  <si>
    <t>0:04:18.076317</t>
  </si>
  <si>
    <t>AQAMa0miJLEWEjoTBWtIvLzw7cEzKIqe_0.03.53.094104-0.05.34.013224</t>
  </si>
  <si>
    <t>Big John Patton (org), Harold Alexander (ts, fl), Hugh Walker (dr)</t>
  </si>
  <si>
    <t>Harold Alexander</t>
  </si>
  <si>
    <t>Understanding</t>
  </si>
  <si>
    <t>Chitlins con carne</t>
  </si>
  <si>
    <t>1968-10-25</t>
  </si>
  <si>
    <t>0:03:53.094104</t>
  </si>
  <si>
    <t>0:05:34.013224</t>
  </si>
  <si>
    <t>AQAMAJmimkTyBN-O87hGB7syODp2HCez_0.00.51.078049-0.01.28.011972</t>
  </si>
  <si>
    <t>Ben Webster (ts), Billie Holiday (voc), Coleman Hawkins (ts), Danny Barker (g), Doc Cheatham (tp), Jim Atlas (b), Jo Jones (dr), Lester Young (ts), Mal Waldron (p), Vic Dickenson (tb)</t>
  </si>
  <si>
    <t>Billie Holiday With Mal Waldron All-Stars</t>
  </si>
  <si>
    <t>Billie Holiday</t>
  </si>
  <si>
    <t>Fine And Mellow</t>
  </si>
  <si>
    <t>1957-12-05</t>
  </si>
  <si>
    <t>0:00:51.078049</t>
  </si>
  <si>
    <t>0:01:28.011972</t>
  </si>
  <si>
    <t>AQAMAJmimkTyBN-O87hGB7syODp2HCez_0.01.28.011972-0.02.03.092489</t>
  </si>
  <si>
    <t>Ben Webster, Coleman Hawkins, Lester Young</t>
  </si>
  <si>
    <t>0:02:03.092489</t>
  </si>
  <si>
    <t>AQAMAJmimkTyBN-O87hGB7syODp2HCez_0.02.03.092489-0.02.39.086938</t>
  </si>
  <si>
    <t>0:02:39.086938</t>
  </si>
  <si>
    <t>AQAMAJmimkTyBN-O87hGB7syODp2HCez_0.02.39.086938-0.03.15.023337</t>
  </si>
  <si>
    <t>Doc Cheatham</t>
  </si>
  <si>
    <t>0:03:15.023337</t>
  </si>
  <si>
    <t>AQAMAJmimkTyBN-O87hGB7syODp2HCez_0.03.15.023337-0.03.51.098476</t>
  </si>
  <si>
    <t>0:03:51.098476</t>
  </si>
  <si>
    <t>AQAMAJmimkTyBN-O87hGB7syODp2HCez_0.03.51.098476-0.04.27.064190</t>
  </si>
  <si>
    <t>0:04:27.064190</t>
  </si>
  <si>
    <t>AQAMAJmimkTyBN-O87hGB7syODp2HCez_0.04.27.064190-0.05.03.038031</t>
  </si>
  <si>
    <t>Vic Dickenson</t>
  </si>
  <si>
    <t>0:05:03.038031</t>
  </si>
  <si>
    <t>AQAMAJmimkTyBN-O87hGB7syODp2HCez_0.05.03.038031-0.06.23.004000</t>
  </si>
  <si>
    <t>0:06:23.004000</t>
  </si>
  <si>
    <t>AQAMBUr0S5kScD7OHLdR5zGmxMGx63iE_0.00.46.023673-0.02.59.081532</t>
  </si>
  <si>
    <t>Dexter Gordon (ts), Junior Mance (p), Martin Rivera (b), Oliver Jackson (dr)</t>
  </si>
  <si>
    <t>Dexter Gordon With Junior Mance At Montreux</t>
  </si>
  <si>
    <t>Fried bananas</t>
  </si>
  <si>
    <t>1970-06-18</t>
  </si>
  <si>
    <t>Concert, Montreux, Switzerland</t>
  </si>
  <si>
    <t>0:00:46.023673</t>
  </si>
  <si>
    <t>0:02:59.081532</t>
  </si>
  <si>
    <t>AQAMBUr0S5kScD7OHLdR5zGmxMGx63iE_0.04.28.023691-0.04.40.079891</t>
  </si>
  <si>
    <t>0:04:28.023691</t>
  </si>
  <si>
    <t>0:04:40.079891</t>
  </si>
  <si>
    <t>AQAMBUr0S5kScD7OHLdR5zGmxMGx63iE_0.04.50.057959-0.05.02.082448</t>
  </si>
  <si>
    <t>0:04:50.057959</t>
  </si>
  <si>
    <t>0:05:02.082448</t>
  </si>
  <si>
    <t>AQAMe1EkKZmipLh69DEONfGFNkf5IHV4_0.01.53.054557-0.03.21.099038</t>
  </si>
  <si>
    <t>Freedom jazz dance</t>
  </si>
  <si>
    <t>0:03:21.099038</t>
  </si>
  <si>
    <t>AQAMEFmypImaRdA-5B_eiUGV8UPsQfuR_0.03.10.098594-0.05.36.044727</t>
  </si>
  <si>
    <t>Drucilla</t>
  </si>
  <si>
    <t>0:03:10.098594</t>
  </si>
  <si>
    <t>0:05:36.044727</t>
  </si>
  <si>
    <t>AQAMgFoUJkkToUrJ4VKG_Eh2_CiPqVmT_0.00.44.039655-0.01.52.001306</t>
  </si>
  <si>
    <t>Groovin' high</t>
  </si>
  <si>
    <t>1976-06-01</t>
  </si>
  <si>
    <t>Concert, Yonago, Japan</t>
  </si>
  <si>
    <t>0:00:44.039655</t>
  </si>
  <si>
    <t>0:01:52.001306</t>
  </si>
  <si>
    <t>AQAMgFoUJkkToUrJ4VKG_Eh2_CiPqVmT_0.02.56.068063-0.04.31.045287</t>
  </si>
  <si>
    <t>0:02:56.068063</t>
  </si>
  <si>
    <t>0:04:31.045287</t>
  </si>
  <si>
    <t>AQAMgFoUJkkToUrJ4VKG_Eh2_CiPqVmT_0.04.31.045287-0.04.39.019673</t>
  </si>
  <si>
    <t>0:04:39.019673</t>
  </si>
  <si>
    <t>AQAMgFoUJkkToUrJ4VKG_Eh2_CiPqVmT_0.04.39.019673-0.04.47.032081</t>
  </si>
  <si>
    <t>0:04:47.032081</t>
  </si>
  <si>
    <t>AQAMgFoUJkkToUrJ4VKG_Eh2_CiPqVmT_0.04.47.032081-0.05.15.027183</t>
  </si>
  <si>
    <t>0:05:15.027183</t>
  </si>
  <si>
    <t>AQAMgFoUJkkToUrJ4VKG_Eh2_CiPqVmT_0.05.15.027183-0.05.18.065469</t>
  </si>
  <si>
    <t>0:05:18.065469</t>
  </si>
  <si>
    <t>AQAMgFoUJkkToUrJ4VKG_Eh2_CiPqVmT_0.05.18.065469-0.05.22.062530</t>
  </si>
  <si>
    <t>0:05:22.062530</t>
  </si>
  <si>
    <t>AQAMgFoUJkkToUrJ4VKG_Eh2_CiPqVmT_0.05.22.062530-0.05.25.086448</t>
  </si>
  <si>
    <t>0:05:25.086448</t>
  </si>
  <si>
    <t>AQAMgFoUJkkToUrJ4VKG_Eh2_CiPqVmT_0.05.25.086448-0.05.30.031836</t>
  </si>
  <si>
    <t>0:05:30.031836</t>
  </si>
  <si>
    <t>AQAMgFoUJkkToUrJ4VKG_Eh2_CiPqVmT_0.05.30.031836-0.05.33.047918</t>
  </si>
  <si>
    <t>0:05:33.047918</t>
  </si>
  <si>
    <t>AQAMgkyoXMRRB1eGW_iZCC8bAclJBC8e_0.03.35.066984-0.06.17.017333</t>
  </si>
  <si>
    <t>Gregory Hutchinson (dr), Joshua Redman (ss, ts), Reuben Rogers (b)</t>
  </si>
  <si>
    <t>Trios Live</t>
  </si>
  <si>
    <t>Never let me go</t>
  </si>
  <si>
    <t>Live, "Blues Alley", Washington, DC</t>
  </si>
  <si>
    <t>0:03:35.066984</t>
  </si>
  <si>
    <t>0:06:17.017333</t>
  </si>
  <si>
    <t>AQAMHdEWLY2YCOoeIdzxvvjxwZdynCye_0.02.17.057823-0.04.17.039319</t>
  </si>
  <si>
    <t>Joe Temperley (bcl, bs), Mark McGowan (tp), Nancy Reed (voc), Norman Simmons (p, other), Paul Wells (dr), Shelia Early (other), Tom DiCarlo (b), Virginia Mayhew (ts, other), Wycliffe Gordon (tb)</t>
  </si>
  <si>
    <t>Joe Temperley</t>
  </si>
  <si>
    <t>Moon mist</t>
  </si>
  <si>
    <t>0:02:17.057823</t>
  </si>
  <si>
    <t>0:04:17.039319</t>
  </si>
  <si>
    <t>AQAMHdEWLY2YCOoeIdzxvvjxwZdynCye_0.04.17.039319-0.05.13.023718</t>
  </si>
  <si>
    <t>0:05:13.023718</t>
  </si>
  <si>
    <t>AQAMJ1aWNKKQODyF4PC14MfFB9-DnDm0_0.01.06.078058-0.03.12.019156</t>
  </si>
  <si>
    <t>Mal Waldron (p), Steve Lacy (ss)</t>
  </si>
  <si>
    <t>Steve Lacy</t>
  </si>
  <si>
    <t>I Remember Thelonious</t>
  </si>
  <si>
    <t>Let's call this</t>
  </si>
  <si>
    <t>1992-06-28</t>
  </si>
  <si>
    <t>Live, Jazz in' It Festival, Vignola, Italy</t>
  </si>
  <si>
    <t>0:01:06.078058</t>
  </si>
  <si>
    <t>0:03:12.019156</t>
  </si>
  <si>
    <t>AQAML3qUSJIi4ZoRWtFx89CPMOvUBN-F_0.04.00.058195-0.05.55.012598</t>
  </si>
  <si>
    <t>Dexter Gordon (ts), Kenny Drew (p), Larence Marable (dr), Leroy Vinnegar (b)</t>
  </si>
  <si>
    <t xml:space="preserve">Hard Bop - Dexter Gordon </t>
  </si>
  <si>
    <t>Autumn In New York</t>
  </si>
  <si>
    <t>1955-09-18</t>
  </si>
  <si>
    <t>0:04:00.058195</t>
  </si>
  <si>
    <t>0:05:55.012598</t>
  </si>
  <si>
    <t>AQAMlGWSKImUNdhTUD9ObD98ocqON1eG_0.01.25.096317-0.02.24.039619</t>
  </si>
  <si>
    <t>Rasul Siddik</t>
  </si>
  <si>
    <t>You Know The Number</t>
  </si>
  <si>
    <t>Theme from Thomas Cole</t>
  </si>
  <si>
    <t>1986-10-12</t>
  </si>
  <si>
    <t>0:01:25.096317</t>
  </si>
  <si>
    <t>0:02:24.039619</t>
  </si>
  <si>
    <t>AQAMlGWSKImUNdhTUD9ObD98ocqON1eG_0.03.02.036952-0.04.01.033079</t>
  </si>
  <si>
    <t>0:03:02.036952</t>
  </si>
  <si>
    <t>0:04:01.033079</t>
  </si>
  <si>
    <t>AQAMlGWSKImUNdhTUD9ObD98ocqON1eG_0.04.01.033079-0.05.38.085460</t>
  </si>
  <si>
    <t>0:05:38.085460</t>
  </si>
  <si>
    <t>AQAMMtG0Jzr0qETWFw-b4DucHOd18DLO_0.01.16.093061-0.01.45.088299</t>
  </si>
  <si>
    <t>To be announced</t>
  </si>
  <si>
    <t>0:01:16.093061</t>
  </si>
  <si>
    <t>0:01:45.088299</t>
  </si>
  <si>
    <t>AQAMnlmyVAmTGJq24J2OmCL6ZDje44O__0.00.39.082222-0.02.07.050657</t>
  </si>
  <si>
    <t>Art Blakey (dr), Bill Hardman (tp), Johnny Griffin (ts), Spanky DeBrest (b), Thelonious Monk (p)</t>
  </si>
  <si>
    <t>Bill Hardman</t>
  </si>
  <si>
    <t xml:space="preserve">Art Blakey's Jazz Messengers - Thelonious Monk </t>
  </si>
  <si>
    <t>Hard Bop - Art Blakey-Thelonious Monk</t>
  </si>
  <si>
    <t>Evidence</t>
  </si>
  <si>
    <t>1957-05-15</t>
  </si>
  <si>
    <t>0:00:39.082222</t>
  </si>
  <si>
    <t>0:02:07.050657</t>
  </si>
  <si>
    <t>AQAMnlmyVAmTGJq24J2OmCL6ZDje44O__0.03.03.064081-0.04.27.014557</t>
  </si>
  <si>
    <t>Johnny Griffin</t>
  </si>
  <si>
    <t>0:03:03.064081</t>
  </si>
  <si>
    <t>0:04:27.014557</t>
  </si>
  <si>
    <t>AQAMoBGXKVskIiqT42eEH3eOH82PXhGO_0.00.47.055446-0.02.05.001623</t>
  </si>
  <si>
    <t>Art Pepper, Lee Konitz</t>
  </si>
  <si>
    <t>Art Pepper (cl, as), Bob Magnusson (b), John Dentz (dr), Lee Konitz (as), Mike Lang (p)</t>
  </si>
  <si>
    <t>High Jingo</t>
  </si>
  <si>
    <t>'S wonderful</t>
  </si>
  <si>
    <t>1982-01-18</t>
  </si>
  <si>
    <t>0:00:47.055446</t>
  </si>
  <si>
    <t>0:02:05.001623</t>
  </si>
  <si>
    <t>AQAMoBGXKVskIiqT42eEH3eOH82PXhGO_0.02.41.033224-0.03.58.060825</t>
  </si>
  <si>
    <t>0:02:41.033224</t>
  </si>
  <si>
    <t>0:03:58.060825</t>
  </si>
  <si>
    <t>AQAMoMoobYqy4TOeoLzR1ElRRxeOXj4S_0.00.59.025732-0.02.41.082857</t>
  </si>
  <si>
    <t>Abraham Burton (ts), David Bryant (p), Dezron Douglas (b), Louis Hayes (dr), Steve Nelson (vib)</t>
  </si>
  <si>
    <t>Steve Nelson</t>
  </si>
  <si>
    <t>Louis Hayes</t>
  </si>
  <si>
    <t xml:space="preserve">Return Of The Jazz Communicators </t>
  </si>
  <si>
    <t>Without a song</t>
  </si>
  <si>
    <t>2013-11-16</t>
  </si>
  <si>
    <t>Live, "Smoke Jazz Club", New York</t>
  </si>
  <si>
    <t>0:00:59.025732</t>
  </si>
  <si>
    <t>AQAMoMoobYqy4TOeoLzR1ElRRxeOXj4S_0.02.48.001959-0.04.35.011002</t>
  </si>
  <si>
    <t>Abraham Burton</t>
  </si>
  <si>
    <t>0:04:35.011002</t>
  </si>
  <si>
    <t>AQAMpYokJYuiRCKM97gP30Ki4McPPWOR_0.03.03.064081-0.05.02.032380</t>
  </si>
  <si>
    <t>Almost my own</t>
  </si>
  <si>
    <t>0:05:02.032380</t>
  </si>
  <si>
    <t>AQAMq4oSLVE0TWjq2MH7ILquoHkvVMSf_0.01.39.052653-0.03.09.077959</t>
  </si>
  <si>
    <t>Bill Sharpe (other), Jah Wobble (b), PJ Higgins (voc), Sean Corby (flg, tp)</t>
  </si>
  <si>
    <t>Sean Corby</t>
  </si>
  <si>
    <t>Jah Wobble</t>
  </si>
  <si>
    <t>Kingdom Of Fitzrovia</t>
  </si>
  <si>
    <t>Spanish place</t>
  </si>
  <si>
    <t>2012-10-01</t>
  </si>
  <si>
    <t>London, England</t>
  </si>
  <si>
    <t>0:01:39.052653</t>
  </si>
  <si>
    <t>0:03:09.077959</t>
  </si>
  <si>
    <t>AQAMq4oSLVE0TWjq2MH7ILquoHkvVMSf_0.04.36.024489-0.06.26.061224</t>
  </si>
  <si>
    <t>0:04:36.024489</t>
  </si>
  <si>
    <t>0:06:26.061224</t>
  </si>
  <si>
    <t>AQAMQlZOJXjQ5TqSXOEROsEP5mhOIfyD_0.00.28.047346-0.05.44.009795</t>
  </si>
  <si>
    <t>Anthony Braxton (as)</t>
  </si>
  <si>
    <t>Quartet (Wilhemshaven) 1979</t>
  </si>
  <si>
    <t>Giant steps</t>
  </si>
  <si>
    <t>1979-06-21</t>
  </si>
  <si>
    <t>0:00:28.047346</t>
  </si>
  <si>
    <t>0:05:44.009795</t>
  </si>
  <si>
    <t>AQAMqomSJJISSlLw45dC-FuGG_pxwjyO_0.01.43.056099-0.02.52.099591</t>
  </si>
  <si>
    <t>Para mi esposa</t>
  </si>
  <si>
    <t>0:01:43.056099</t>
  </si>
  <si>
    <t>0:02:52.099591</t>
  </si>
  <si>
    <t>AQAMqomSJJISSlLw45dC-FuGG_pxwjyO_0.02.52.099591-0.04.00.093024</t>
  </si>
  <si>
    <t>0:04:00.093024</t>
  </si>
  <si>
    <t>AQAMrJIiZmOK6NHQ9CCPHz6h48GD7dAD_0.03.58.032961-0.05.36.096798</t>
  </si>
  <si>
    <t>Brian Blade (dr, voc, g), Christopher Thomas (b, other), Dave Easley (g), Jon Cowherd (p, other), Joni Mitchell (voc), Kurt Rosenwinkel (g), Melvin Butler (ts, ss), Myron Walden (as, bcl)</t>
  </si>
  <si>
    <t>Melvin Butler</t>
  </si>
  <si>
    <t>Brian Blade</t>
  </si>
  <si>
    <t>Perceptual</t>
  </si>
  <si>
    <t>Reconciliation</t>
  </si>
  <si>
    <t>1999-09-24</t>
  </si>
  <si>
    <t>0:03:58.032961</t>
  </si>
  <si>
    <t>0:05:36.096798</t>
  </si>
  <si>
    <t>AQAMuEqSKVEWSWFwBm8OFIqDBy9T4brw_0.00.08.091646-0.01.43.005306</t>
  </si>
  <si>
    <t>I wish I knew</t>
  </si>
  <si>
    <t>0:00:08.091646</t>
  </si>
  <si>
    <t>0:01:43.005306</t>
  </si>
  <si>
    <t>AQAMuEqSKVEWSWFwBm8OFIqDBy9T4brw_0.03.02.078748-0.06.41.098385</t>
  </si>
  <si>
    <t>0:03:02.078748</t>
  </si>
  <si>
    <t>0:06:41.098385</t>
  </si>
  <si>
    <t>AQAMv1O0WYmSCIwSXYiRPDiar-D7JHhu_0.00.57.021396-0.02.20.043428</t>
  </si>
  <si>
    <t>Charles Green (b), Dexter Gordon (ts), Dolo Coker (p), Larance Marable (dr), Martin Banks (tp), Richard Boone (tb)</t>
  </si>
  <si>
    <t>Richard Boone</t>
  </si>
  <si>
    <t>The Resurgence Of Dexter Gordon</t>
  </si>
  <si>
    <t>Field day</t>
  </si>
  <si>
    <t>1960-10-13</t>
  </si>
  <si>
    <t>0:00:57.021396</t>
  </si>
  <si>
    <t>0:02:20.043428</t>
  </si>
  <si>
    <t>AQAMv1O0WYmSCIwSXYiRPDiar-D7JHhu_0.02.20.043428-0.04.23.022140</t>
  </si>
  <si>
    <t>0:04:23.022140</t>
  </si>
  <si>
    <t>AQAMv1O0WYmSCIwSXYiRPDiar-D7JHhu_0.04.23.022140-0.05.01.058367</t>
  </si>
  <si>
    <t>Martin Banks</t>
  </si>
  <si>
    <t>0:05:01.058367</t>
  </si>
  <si>
    <t>AQAMV8qaRKsa8Hjw5cJ45AxkrepwKU-C_0.01.03.060816-0.01.23.091836</t>
  </si>
  <si>
    <t>Waiting</t>
  </si>
  <si>
    <t>0:01:03.060816</t>
  </si>
  <si>
    <t>0:01:23.091836</t>
  </si>
  <si>
    <t>AQAMV8qaRKsa8Hjw5cJ45AxkrepwKU-C_0.02.06.050231-0.03.46.016235</t>
  </si>
  <si>
    <t>0:03:46.016235</t>
  </si>
  <si>
    <t>AQAMvpIixwk-4sGsg7mEKXuQ89ATI-R9_0.01.13.092217-0.02.21.003365</t>
  </si>
  <si>
    <t>That Old Black Magic</t>
  </si>
  <si>
    <t>0:01:13.092217</t>
  </si>
  <si>
    <t>0:02:21.003365</t>
  </si>
  <si>
    <t>AQAMvpIixwk-4sGsg7mEKXuQ89ATI-R9_0.02.21.003365-0.03.25.090802</t>
  </si>
  <si>
    <t>0:03:25.090802</t>
  </si>
  <si>
    <t>AQAMvpIixwk-4sGsg7mEKXuQ89ATI-R9_0.04.31.010666-0.05.33.048825</t>
  </si>
  <si>
    <t>0:04:31.010666</t>
  </si>
  <si>
    <t>0:05:33.048825</t>
  </si>
  <si>
    <t>AQAMwUn2aVmSBNKpHBGZH54oHk-cPMOP_0.01.47.083346-0.03.28.097959</t>
  </si>
  <si>
    <t>Buster Williams (b), Joe Sample (p), Stix Hooper (other, dr), Wayne Henderson (tb), Wilton Felder (ts)</t>
  </si>
  <si>
    <t>Another blues</t>
  </si>
  <si>
    <t>0:01:47.083346</t>
  </si>
  <si>
    <t>AQAMwUn2aVmSBNKpHBGZH54oHk-cPMOP_0.03.28.097959-0.04.56.009795</t>
  </si>
  <si>
    <t>0:04:56.009795</t>
  </si>
  <si>
    <t>AQAMYcykqSruHY-xHT_qQ2qSB6fyDF-K_0.00.59.018766-0.03.46.044099</t>
  </si>
  <si>
    <t>John Coltrane (ts), Shadow Wilson (dr), Thelonious Monk (p), Wilbur Ware (b)</t>
  </si>
  <si>
    <t>Thelonious Monk Quartet</t>
  </si>
  <si>
    <t>Hard Bop - Thelonious Monk 1954-57</t>
  </si>
  <si>
    <t>Nutty</t>
  </si>
  <si>
    <t>1957-07-01</t>
  </si>
  <si>
    <t>0:00:59.018766</t>
  </si>
  <si>
    <t>0:03:46.044099</t>
  </si>
  <si>
    <t>AQAMYNuThVIShOYNyh_6hOgl4YccVXh0_0.00.00.004643-0.00.19.046122</t>
  </si>
  <si>
    <t>Good times</t>
  </si>
  <si>
    <t>0:00:00.004643</t>
  </si>
  <si>
    <t>0:00:19.046122</t>
  </si>
  <si>
    <t>AQAMYNuThVIShOYNyh_6hOgl4YccVXh0_0.02.08.045714-0.03.06.071020</t>
  </si>
  <si>
    <t>0:02:08.045714</t>
  </si>
  <si>
    <t>0:03:06.071020</t>
  </si>
  <si>
    <t>AQAMYNuThVIShOYNyh_6hOgl4YccVXh0_0.03.44.045714-0.04.42.026176</t>
  </si>
  <si>
    <t>0:03:44.045714</t>
  </si>
  <si>
    <t>0:04:42.026176</t>
  </si>
  <si>
    <t>AQAN_WqmRJO4IIyizaiWPdB5NM_RFzmP_0.00.36.017959-0.02.37.089569</t>
  </si>
  <si>
    <t>Gary Foster, Oliver Lake</t>
  </si>
  <si>
    <t>Bob Carr (bcl, bs), Cecilia Coleman (p), Charlie Morillas (tb), Dave Carpenter (b), Dave Woodley (tb), Don Shelton (ts, ss, bcl), Gary Foster (fl, as), John Mitchell (ts, other), Mark Masters (other), Oliver Lake (as), Peter Erskine (dr), Tim Hagans (tp)</t>
  </si>
  <si>
    <t>Farewell Walter Dewey Redman</t>
  </si>
  <si>
    <t>I-pimp</t>
  </si>
  <si>
    <t>2006-09-29</t>
  </si>
  <si>
    <t>Pasadena, CA</t>
  </si>
  <si>
    <t>0:00:36.017959</t>
  </si>
  <si>
    <t>AQAN_WqmRJO4IIyizaiWPdB5NM_RFzmP_0.02.37.089569-0.04.23.096734</t>
  </si>
  <si>
    <t>Tim Hagans</t>
  </si>
  <si>
    <t>0:04:23.096734</t>
  </si>
  <si>
    <t>AQAN_WqmRJO4IIyizaiWPdB5NM_RFzmP_0.04.23.096734-0.05.41.055102</t>
  </si>
  <si>
    <t>Charlie Morillas, Dave Woodley</t>
  </si>
  <si>
    <t>0:05:41.055102</t>
  </si>
  <si>
    <t>AQAN_xLHLFGSBSFJiD3xXzg-_HiOauM0_0.01.03.073877-0.01.24.050612</t>
  </si>
  <si>
    <t>Caravan</t>
  </si>
  <si>
    <t>0:01:03.073877</t>
  </si>
  <si>
    <t>AQAN_xLHLFGSBSFJiD3xXzg-_HiOauM0_0.04.29.016571-0.06.48.029968</t>
  </si>
  <si>
    <t>0:04:29.016571</t>
  </si>
  <si>
    <t>0:06:48.029968</t>
  </si>
  <si>
    <t>AQAN-RKZbNGY4MeP_yhcKti-I4saQRfW_0.03.18.057705-0.04.28.060843</t>
  </si>
  <si>
    <t>Jerry van Rooyen (other)</t>
  </si>
  <si>
    <t>Fond Memories Of...</t>
  </si>
  <si>
    <t>Violets</t>
  </si>
  <si>
    <t>1973-06-14</t>
  </si>
  <si>
    <t>Hilversum, The Netherlands</t>
  </si>
  <si>
    <t>0:03:18.057705</t>
  </si>
  <si>
    <t>0:04:28.060843</t>
  </si>
  <si>
    <t>AQAN-RKZbNGY4MeP_yhcKti-I4saQRfW_0.06.17.073061-0.07.13.089387</t>
  </si>
  <si>
    <t>0:06:17.073061</t>
  </si>
  <si>
    <t>0:07:13.089387</t>
  </si>
  <si>
    <t>AQAN8Fq6JEmiRImC9xRckURnoRL5Ir12_0.00.40.075102-0.04.44.099591</t>
  </si>
  <si>
    <t>Eddie Johnson (ts), Gerryck King (dr), Jodie Christian (p), John Whitfield (b), Norris Turney (as), Sonny Cohn (tp)</t>
  </si>
  <si>
    <t>Eddie Johnson</t>
  </si>
  <si>
    <t>Jodie Christian</t>
  </si>
  <si>
    <t>Front Line</t>
  </si>
  <si>
    <t>Willow weep for me</t>
  </si>
  <si>
    <t>1996-01-08</t>
  </si>
  <si>
    <t>0:04:44.099591</t>
  </si>
  <si>
    <t>AQANb5SSTFISSWjDBb_QRwwwXgm4eNiJ_0.01.18.057632-0.02.48.035918</t>
  </si>
  <si>
    <t>Jimmy Giuffre (ts, cl), Joe Chambers (dr), Richard Davis (b)</t>
  </si>
  <si>
    <t>Jimmy Giuffre</t>
  </si>
  <si>
    <t>New York Concerts</t>
  </si>
  <si>
    <t>Quadrangle</t>
  </si>
  <si>
    <t>1965-09-03</t>
  </si>
  <si>
    <t>Live, Judson Hall, New York</t>
  </si>
  <si>
    <t>0:01:18.057632</t>
  </si>
  <si>
    <t>0:02:48.035918</t>
  </si>
  <si>
    <t>AQANBokSLZGSmNgp4UHZ4znxPAh_NDmJ_0.01.39.093868-0.03.23.031392</t>
  </si>
  <si>
    <t>Blues at this tempo</t>
  </si>
  <si>
    <t>0:01:39.093868</t>
  </si>
  <si>
    <t>0:03:23.031392</t>
  </si>
  <si>
    <t>AQANbovEJEkkExOSTGWOHM0v44lfNFtT_0.00.45.013959-0.03.03.071628</t>
  </si>
  <si>
    <t>Mrs. Miniver</t>
  </si>
  <si>
    <t>0:00:45.013959</t>
  </si>
  <si>
    <t>0:03:03.071628</t>
  </si>
  <si>
    <t>AQANbovEJEkkExOSTGWOHM0v44lfNFtT_0.05.17.077959-0.05.29.020816</t>
  </si>
  <si>
    <t>0:05:17.077959</t>
  </si>
  <si>
    <t>0:05:29.020816</t>
  </si>
  <si>
    <t>AQANbovEJEkkExOSTGWOHM0v44lfNFtT_0.05.38.093877-0.05.50.049795</t>
  </si>
  <si>
    <t>0:05:38.093877</t>
  </si>
  <si>
    <t>0:05:50.049795</t>
  </si>
  <si>
    <t>AQANDMmjaIomIbmU6mj-YA8rPBlcKTUe_0.02.25.007827-0.03.49.035510</t>
  </si>
  <si>
    <t>Gary Bartz (as), George Mraz (b), Kenny Burrell (g), Nat Adderley (cor), Philly Joe Jones (dr), Quentin Jackson (tb), Sir Roland Hanna (p)</t>
  </si>
  <si>
    <t>I let a song go out of my heart</t>
  </si>
  <si>
    <t>0:02:25.007827</t>
  </si>
  <si>
    <t>0:03:49.035510</t>
  </si>
  <si>
    <t>AQANfFLUJKGkRELFpEh-5HmGc8dhJ8Qz_0.01.10.079183-0.01.18.020480</t>
  </si>
  <si>
    <t>Eric Alexander (ts), Joe Farnsworth (dr), John Webber (b), Michael Weiss (p)</t>
  </si>
  <si>
    <t>Eric Alexander</t>
  </si>
  <si>
    <t>Michael Weiss</t>
  </si>
  <si>
    <t>Power Station</t>
  </si>
  <si>
    <t>Some other spring</t>
  </si>
  <si>
    <t>1996-10-03</t>
  </si>
  <si>
    <t>0:01:10.079183</t>
  </si>
  <si>
    <t>0:01:18.020480</t>
  </si>
  <si>
    <t>AQANfFLUJKGkRELFpEh-5HmGc8dhJ8Qz_0.03.33.043782-0.05.48.008163</t>
  </si>
  <si>
    <t>0:03:33.043782</t>
  </si>
  <si>
    <t>0:05:48.008163</t>
  </si>
  <si>
    <t>AQANG0qmRZqiEbmE5sSFRlMIHX2INIZ5_0.03.44.002612-0.04.23.003564</t>
  </si>
  <si>
    <t>Becky Lou (other), Dinerral Shavers (voc, other, dr), Harry Cook (other, voc), Jerreau Fournett (voc, tb), Raymond Williams (voc, tp), Wendell Stewart (voc, ts)</t>
  </si>
  <si>
    <t>Wendell Stewart</t>
  </si>
  <si>
    <t>The Hot 8 Brass Band</t>
  </si>
  <si>
    <t>Rock with the Hot 8 Brass Band</t>
  </si>
  <si>
    <t>Get up</t>
  </si>
  <si>
    <t>0:03:44.002612</t>
  </si>
  <si>
    <t>0:04:23.003564</t>
  </si>
  <si>
    <t>AQANG0qmRZqiEbmE5sSFRlMIHX2INIZ5_0.04.23.003564-0.05.02.004517</t>
  </si>
  <si>
    <t>Jerreau Fournett</t>
  </si>
  <si>
    <t>AQANG0qmRZqiEbmE5sSFRlMIHX2INIZ5_0.05.02.004517-0.05.41.002857</t>
  </si>
  <si>
    <t>Raymond Williams</t>
  </si>
  <si>
    <t>0:05:41.002857</t>
  </si>
  <si>
    <t>AQANgqGSKMqsIhJ_4wefrKj9I8wO_U-I_0.01.26.059591-0.02.39.034693</t>
  </si>
  <si>
    <t>Little sunflower</t>
  </si>
  <si>
    <t>0:01:26.059591</t>
  </si>
  <si>
    <t>0:02:39.034693</t>
  </si>
  <si>
    <t>AQANgqGSKMqsIhJ_4wefrKj9I8wO_U-I_0.02.39.034693-0.03.50.066122</t>
  </si>
  <si>
    <t>0:03:50.066122</t>
  </si>
  <si>
    <t>AQANH7SShJGDOwiVC_qRLgsn4RJ2w8aZ_0.01.05.011020-0.02.08.008126</t>
  </si>
  <si>
    <t>Mike Abraham (g), Mitch Marcus (ts), Sylvain Carton (as), Tomas Fujiwara (dr, other)</t>
  </si>
  <si>
    <t>Sylvain Carton</t>
  </si>
  <si>
    <t>Mitch Marcus</t>
  </si>
  <si>
    <t>Countdown 2 Meltdown</t>
  </si>
  <si>
    <t>Jimmy's delight</t>
  </si>
  <si>
    <t>2009-04-02</t>
  </si>
  <si>
    <t>0:01:05.011020</t>
  </si>
  <si>
    <t>0:02:08.008126</t>
  </si>
  <si>
    <t>AQANIErITZIYnFGCD9yPD033oFRyBHqO_0.01.20.080544-0.03.33.006630</t>
  </si>
  <si>
    <t>April love</t>
  </si>
  <si>
    <t>0:01:20.080544</t>
  </si>
  <si>
    <t>0:03:33.006630</t>
  </si>
  <si>
    <t>AQANIErITZIYnFGCD9yPD033oFRyBHqO_0.03.33.006630-0.04.37.015337</t>
  </si>
  <si>
    <t>0:04:37.015337</t>
  </si>
  <si>
    <t>AQANj8qyRUymSLjzDFeW4pmOK0dzHq6y_0.00.23.059147-0.03.48.057723</t>
  </si>
  <si>
    <t>Every tub</t>
  </si>
  <si>
    <t>0:00:23.059147</t>
  </si>
  <si>
    <t>AQANjksiqVmUJnCPvjeeREh6xBnhXfhi_0.02.29.068163-0.04.39.051020</t>
  </si>
  <si>
    <t>Try</t>
  </si>
  <si>
    <t>0:04:39.051020</t>
  </si>
  <si>
    <t>AQANjksiqVmUJnCPvjeeREh6xBnhXfhi_0.05.44.021260-0.07.10.059083</t>
  </si>
  <si>
    <t>Curtis Fowlkes</t>
  </si>
  <si>
    <t>0:05:44.021260</t>
  </si>
  <si>
    <t>0:07:10.059083</t>
  </si>
  <si>
    <t>AQANlEokPkm2CP2N5jh3vFcm_BFODj-A_0.05.12.063346-0.05.51.064299</t>
  </si>
  <si>
    <t>David King (dr), Ethan Iverson (p), Joshua Redman (ts), Reid Anderson (b)</t>
  </si>
  <si>
    <t>The Bad Plus</t>
  </si>
  <si>
    <t>The Bad Plus/Joshua Redman</t>
  </si>
  <si>
    <t>Lack the faith but not the wine</t>
  </si>
  <si>
    <t>2012-07-01</t>
  </si>
  <si>
    <t>0:05:12.063346</t>
  </si>
  <si>
    <t>0:05:51.064299</t>
  </si>
  <si>
    <t>AQANlImSJFGSRFHwHM0TyHjwHH0NSzm-_0.00.01.004489-0.02.51.092054</t>
  </si>
  <si>
    <t>Bob Payne (tb), Carol Kaye (b), Chuck Carter (fl, bs), Dennis Noday (tp), John Von Ohlen (dr), Phil Herring (other), Quin Davis (as, fl), Ramon Lopez (other), Ray Reed (ts), Richard Torres (fl, ts), Stan Kenton (p)</t>
  </si>
  <si>
    <t>Chuck Carter</t>
  </si>
  <si>
    <t>Rhapsody In Blue</t>
  </si>
  <si>
    <t>Rhapsody in blue</t>
  </si>
  <si>
    <t>1972-01-01</t>
  </si>
  <si>
    <t>Live, Las Vegas, Nevada, prob c.</t>
  </si>
  <si>
    <t>0:00:01.004489</t>
  </si>
  <si>
    <t>0:02:51.092054</t>
  </si>
  <si>
    <t>AQANlImSJFGSRFHwHM0TyHjwHH0NSzm-_0.03.57.097551-0.05.02.078820</t>
  </si>
  <si>
    <t>0:03:57.097551</t>
  </si>
  <si>
    <t>0:05:02.078820</t>
  </si>
  <si>
    <t>AQANlImSJFGSRFHwHM0TyHjwHH0NSzm-_0.05.16.037551-0.05.32.050975</t>
  </si>
  <si>
    <t>0:05:16.037551</t>
  </si>
  <si>
    <t>0:05:32.050975</t>
  </si>
  <si>
    <t>AQANlImSJFGSRFHwHM0TyHjwHH0NSzm-_0.05.41.098349-0.06.55.047755</t>
  </si>
  <si>
    <t>0:05:41.098349</t>
  </si>
  <si>
    <t>0:06:55.047755</t>
  </si>
  <si>
    <t>AQANLlKWJEkYcXj6AjDa7cOPYF2CGgRw_0.03.24.066938-0.04.30.010612</t>
  </si>
  <si>
    <t>Weaver of dreams</t>
  </si>
  <si>
    <t>0:03:24.066938</t>
  </si>
  <si>
    <t>0:04:30.010612</t>
  </si>
  <si>
    <t>AQANMFoYRZl01CKGB-yxB3qSHJ4oBz-e_0.01.55.020000-0.03.17.009387</t>
  </si>
  <si>
    <t>Ben Wendel (other, ts), Carl Hancock Rux (voc), Dayna Stephens (bs), Gabriel Lugo (other), Gerald Clayton (p), Joe Sanders (b), Justin Brown (dr), Logan Richardson (as), Sachal Vasandani (voc)</t>
  </si>
  <si>
    <t>Ben Wendel</t>
  </si>
  <si>
    <t>Gerald Clayton</t>
  </si>
  <si>
    <t>Tributary Tales</t>
  </si>
  <si>
    <t>Are we</t>
  </si>
  <si>
    <t>2015-06-09</t>
  </si>
  <si>
    <t>Brooklyn, NY &amp; New York</t>
  </si>
  <si>
    <t>0:01:55.020000</t>
  </si>
  <si>
    <t>0:03:17.009387</t>
  </si>
  <si>
    <t>AQANncsiLZKUCX9wH_h5hE-UKUgWVRFx_0.00.37.052344-0.03.50.071346</t>
  </si>
  <si>
    <t>Anthony Braxton (fl, ss, bcl, as, cl, other), Dave Holland (b)</t>
  </si>
  <si>
    <t>Five Pieces 1975</t>
  </si>
  <si>
    <t>You stepped out of a dream</t>
  </si>
  <si>
    <t>1975-07-01</t>
  </si>
  <si>
    <t>0:00:37.052344</t>
  </si>
  <si>
    <t>0:03:50.071346</t>
  </si>
  <si>
    <t>AQANPF8SRUk0BR-aq0j2RIilK8OTJA_x_0.04.05.015918-0.05.19.034693</t>
  </si>
  <si>
    <t>Award the squadtett</t>
  </si>
  <si>
    <t>0:04:05.015918</t>
  </si>
  <si>
    <t>0:05:19.034693</t>
  </si>
  <si>
    <t>AQANqDnFRNmEPOEQSvuRLOOHfXiOH3cV_0.01.12.072489-0.02.24.061387</t>
  </si>
  <si>
    <t>Ben Webster (ts), Herb Ellis (g), Oscar Peterson (p), Ray Brown (b), Stan Levey (dr)</t>
  </si>
  <si>
    <t>Ben Webster Quintet</t>
  </si>
  <si>
    <t>Ben Webster Quintet/Red Norvo Sextet 1957</t>
  </si>
  <si>
    <t>Late Date</t>
  </si>
  <si>
    <t>1957-10-15</t>
  </si>
  <si>
    <t>0:02:24.061387</t>
  </si>
  <si>
    <t>AQANqDnFRNmEPOEQSvuRLOOHfXiOH3cV_0.04.49.020453-0.06.20.038929</t>
  </si>
  <si>
    <t>0:04:49.020453</t>
  </si>
  <si>
    <t>0:06:20.038929</t>
  </si>
  <si>
    <t>AQANqEmSJMmUKJKEZ0S4OzjR9AhP9GGx_0.03.17.061632-0.03.50.092244</t>
  </si>
  <si>
    <t>Ayman Fanous (g, other), Jason Kao Hwang (other, vln)</t>
  </si>
  <si>
    <t>Jason Kao Hwang</t>
  </si>
  <si>
    <t>Ayman Fanous</t>
  </si>
  <si>
    <t>Zilzal</t>
  </si>
  <si>
    <t>Lapwing</t>
  </si>
  <si>
    <t>2011-06-06</t>
  </si>
  <si>
    <t>0:03:17.061632</t>
  </si>
  <si>
    <t>0:03:50.092244</t>
  </si>
  <si>
    <t>AQANqInG5NIEbyrxBX-C4_QF1D1wHL6D_0.01.03.087809-0.03.07.082621</t>
  </si>
  <si>
    <t>Alvin Stoller (dr), Barney Kessel (g), Ben Webster (ts), Harry Edison (tp), Jimmy Rowles (p), Joe Mondragon (b)</t>
  </si>
  <si>
    <t>Ben Webster and Harry Edison 1956-57</t>
  </si>
  <si>
    <t>Walkin' With Sweets</t>
  </si>
  <si>
    <t>1956-09-04</t>
  </si>
  <si>
    <t>0:01:03.087809</t>
  </si>
  <si>
    <t>0:03:07.082621</t>
  </si>
  <si>
    <t>AQANqInG5NIEbyrxBX-C4_QF1D1wHL6D_0.03.07.082621-0.04.08.089469</t>
  </si>
  <si>
    <t>0:04:08.089469</t>
  </si>
  <si>
    <t>AQAnQUwyJVKnJAgTJkmO5JTQR8nR8DuO_0.00.45.048789-0.03.35.038829</t>
  </si>
  <si>
    <t>Curtis Fuller</t>
  </si>
  <si>
    <t>Jackie Mclean</t>
  </si>
  <si>
    <t>A Long Drink Of The Blues</t>
  </si>
  <si>
    <t>1957-08-30</t>
  </si>
  <si>
    <t>0:00:45.048789</t>
  </si>
  <si>
    <t>0:03:35.038829</t>
  </si>
  <si>
    <t>AQAnQUwyJVKnJAgTJkmO5JTQR8nR8DuO_0.03.35.038829-0.06.49.078575</t>
  </si>
  <si>
    <t>0:06:49.078575</t>
  </si>
  <si>
    <t>AQAnQUwyJVKnJAgTJkmO5JTQR8nR8DuO_0.06.49.078575-0.09.20.027428</t>
  </si>
  <si>
    <t>Webster Young</t>
  </si>
  <si>
    <t>0:09:20.027428</t>
  </si>
  <si>
    <t>AQAnQUwyJVKnJAgTJkmO5JTQR8nR8DuO_0.09.20.027428-0.10.32.044190</t>
  </si>
  <si>
    <t>0:10:32.044190</t>
  </si>
  <si>
    <t>AQAnQUwyJVKnJAgTJkmO5JTQR8nR8DuO_0.10.32.044190-0.12.30.067791</t>
  </si>
  <si>
    <t>0:12:30.067791</t>
  </si>
  <si>
    <t>AQANR0zCLJmYDE3SLMePH79Q-kFCckfI_0.01.45.013995-0.03.36.040997</t>
  </si>
  <si>
    <t>Dieter Matschoss (dr), Helmut Kampe (b), Volker Kriegel (g)</t>
  </si>
  <si>
    <t>Volker Kriegel</t>
  </si>
  <si>
    <t>Lost Tapes: Mainz 1963-1969</t>
  </si>
  <si>
    <t>Django</t>
  </si>
  <si>
    <t>1963-11-05</t>
  </si>
  <si>
    <t>Mainz</t>
  </si>
  <si>
    <t>0:01:45.013995</t>
  </si>
  <si>
    <t>0:03:36.040997</t>
  </si>
  <si>
    <t>AQANRn-EXPyQ7HxwGf1wYfyGBzX-wz-S_0.03.29.047780-0.03.52.024752</t>
  </si>
  <si>
    <t>Aaron Parks (voc, p), Eric Harland (dr, other), Joshua Redman (ss, ts), Matt Penman (b)</t>
  </si>
  <si>
    <t>City folk</t>
  </si>
  <si>
    <t>0:03:29.047780</t>
  </si>
  <si>
    <t>0:03:52.024752</t>
  </si>
  <si>
    <t>AQANRn-EXPyQ7HxwGf1wYfyGBzX-wz-S_0.04.14.034972-0.05.06.047510</t>
  </si>
  <si>
    <t>0:04:14.034972</t>
  </si>
  <si>
    <t>0:05:06.047510</t>
  </si>
  <si>
    <t>AQANRomSKJqmJBHxH-9xbMcPAz8-fPAJ_0.03.38.077551-0.04.32.097959</t>
  </si>
  <si>
    <t>Robin Eubanks, Steve Turre</t>
  </si>
  <si>
    <t>Avery Sharpe (b), Doug Harris (as, ss, fl), Howard Johnson (other), John Clark (flg), Louis Hayes (dr), McCoy Tyner (other, p), Ricky Ford (ts), Robin Eubanks (other, tb), Steve Thornton (other), Steve Turre (other, tb), Virgil Jones (tp)</t>
  </si>
  <si>
    <t>McCoy Tyner</t>
  </si>
  <si>
    <t>Uptown/Downtown</t>
  </si>
  <si>
    <t>Lotus flower</t>
  </si>
  <si>
    <t>1988-11-25</t>
  </si>
  <si>
    <t>0:03:38.077551</t>
  </si>
  <si>
    <t>0:04:32.097959</t>
  </si>
  <si>
    <t>AQANS0lSSRGTUNB5NA-NozKPTh3847vw_0.03.00.024489-0.03.59.015102</t>
  </si>
  <si>
    <t>Arnie Roth (vln, other), Bobby Lewis (flg), Florentina Ramniceanu (vln), Jim Ryan (p, other), John Whitfield (b), Paul Wertico (dr)</t>
  </si>
  <si>
    <t>Favela</t>
  </si>
  <si>
    <t>0:03:00.024489</t>
  </si>
  <si>
    <t>0:03:59.015102</t>
  </si>
  <si>
    <t>AQANT5q0KEoaBv3xJTx29CmaI0EeNKfB_0.00.53.049877-0.02.22.010612</t>
  </si>
  <si>
    <t>High clouds</t>
  </si>
  <si>
    <t>0:00:53.049877</t>
  </si>
  <si>
    <t>0:02:22.010612</t>
  </si>
  <si>
    <t>AQANtUySLEw4on-QOOGH_MEROtFuaNlP_0.01.48.001632-0.02.42.087346</t>
  </si>
  <si>
    <t>Walk on the wild side</t>
  </si>
  <si>
    <t>1963-09-14</t>
  </si>
  <si>
    <t>0:01:48.001632</t>
  </si>
  <si>
    <t>0:02:42.087346</t>
  </si>
  <si>
    <t>AQANtUySLEw4on-QOOGH_MEROtFuaNlP_0.02.42.087346-0.04.29.019183</t>
  </si>
  <si>
    <t>0:04:29.019183</t>
  </si>
  <si>
    <t>AQANU8oSqYqq4MTzID_Ey8j14JIiXK2C_0.01.45.088299-0.03.26.037895</t>
  </si>
  <si>
    <t>Cuong Vu (tp), Pat Metheny (g), Stomu Takeishi (b), Ted Poor (dr)</t>
  </si>
  <si>
    <t>Cuong Vu</t>
  </si>
  <si>
    <t>Cuong Vu Trio Meets Pat Metheny</t>
  </si>
  <si>
    <t>Telescope</t>
  </si>
  <si>
    <t>2016-02-04</t>
  </si>
  <si>
    <t>0:03:26.037895</t>
  </si>
  <si>
    <t>AQANWFmSKxmTREGeFdOPBznD4xukPqhp_0.02.47.044489-0.03.53.027346</t>
  </si>
  <si>
    <t>Black hands bejewelled</t>
  </si>
  <si>
    <t>0:02:47.044489</t>
  </si>
  <si>
    <t>0:03:53.027346</t>
  </si>
  <si>
    <t>AQANWFmSKxmTREGeFdOPBznD4xukPqhp_0.03.53.027346-0.04.21.074693</t>
  </si>
  <si>
    <t>0:04:21.074693</t>
  </si>
  <si>
    <t>AQANYtSZMcMlPErK4CmSSFkQKfGP58VT_0.01.07.089514-0.02.06.095510</t>
  </si>
  <si>
    <t>Art Blakey (dr), Bobby Timmons (p), Jymie Merritt (b), Lee Morgan (tp), Wayne Shorter (ts)</t>
  </si>
  <si>
    <t>Wayne Shorter</t>
  </si>
  <si>
    <t>Art Blakey</t>
  </si>
  <si>
    <t>Pisces</t>
  </si>
  <si>
    <t>Ping pong</t>
  </si>
  <si>
    <t>1961-02-12</t>
  </si>
  <si>
    <t>0:01:07.089514</t>
  </si>
  <si>
    <t>0:02:06.095510</t>
  </si>
  <si>
    <t>AQANYtSZMcMlPErK4CmSSFkQKfGP58VT_0.02.06.095510-0.03.03.015900</t>
  </si>
  <si>
    <t>Lee Morgan</t>
  </si>
  <si>
    <t>0:03:03.015900</t>
  </si>
  <si>
    <t>AQANYtSZMcMlPErK4CmSSFkQKfGP58VT_0.05.19.021632-0.05.54.061224</t>
  </si>
  <si>
    <t>0:05:19.021632</t>
  </si>
  <si>
    <t>0:05:54.061224</t>
  </si>
  <si>
    <t>AQANYtSZMcMlPErK4CmSSFkQKfGP58VT_0.05.54.061224-0.06.38.023673</t>
  </si>
  <si>
    <t>0:06:38.023673</t>
  </si>
  <si>
    <t>AQANZkmUi6oUiE-EIn2wk8TVUQq6JM_g_0.00.49.078358-0.04.29.044435</t>
  </si>
  <si>
    <t>Mysterioso</t>
  </si>
  <si>
    <t>0:00:49.078358</t>
  </si>
  <si>
    <t>0:04:29.044435</t>
  </si>
  <si>
    <t>AQAO_0q26FSDI38Ofc1T8EN4pphyCj-P_0.01.28.032870-0.01.44.002539</t>
  </si>
  <si>
    <t>Palma</t>
  </si>
  <si>
    <t>0:01:28.032870</t>
  </si>
  <si>
    <t>0:01:44.002539</t>
  </si>
  <si>
    <t>AQAO_0q26FSDI38Ofc1T8EN4pphyCj-P_0.02.42.035392-0.04.14.086222</t>
  </si>
  <si>
    <t>0:02:42.035392</t>
  </si>
  <si>
    <t>0:04:14.086222</t>
  </si>
  <si>
    <t>AQAO_0q26FSDI38Ofc1T8EN4pphyCj-P_0.05.32.040816-0.07.13.050204</t>
  </si>
  <si>
    <t>0:05:32.040816</t>
  </si>
  <si>
    <t>0:07:13.050204</t>
  </si>
  <si>
    <t>AQAO_mIURaGSbPgetNuRLE6LPNVR62g-_0.01.38.048163-0.03.48.070204</t>
  </si>
  <si>
    <t>Charnett Moffett (b), Chris Dave (dr), Kenny Garrett (ss, as), Vernell Brown (p)</t>
  </si>
  <si>
    <t>Kenny Garrett</t>
  </si>
  <si>
    <t>Standards of Language</t>
  </si>
  <si>
    <t>Gendai</t>
  </si>
  <si>
    <t>2001-09-11</t>
  </si>
  <si>
    <t>New York &amp; Los Angeles</t>
  </si>
  <si>
    <t>0:03:48.070204</t>
  </si>
  <si>
    <t>AQAO6EnXqJGQB77xLKWCh8fhI7-hM8gn_0.01.04.034249-0.03.55.049678</t>
  </si>
  <si>
    <t>Connie Kay (dr), John Lewis (p), Milt Jackson (vib), Percy Heath (b)</t>
  </si>
  <si>
    <t>Cool Jazz - Modern Jazz Quartet 1953-55</t>
  </si>
  <si>
    <t>Softly As In A Morning Sunrise</t>
  </si>
  <si>
    <t>1955-07-02</t>
  </si>
  <si>
    <t>0:01:04.034249</t>
  </si>
  <si>
    <t>0:03:55.049678</t>
  </si>
  <si>
    <t>AQAO6ImSSkk-oT9iZ8aPHv_h6jh-I__x_0.02.44.096326-0.03.48.085587</t>
  </si>
  <si>
    <t>Brian Blade (dr), Joshua Redman (as, ss, ts), Sam Yahel (org)</t>
  </si>
  <si>
    <t>Elastic</t>
  </si>
  <si>
    <t>Boogielastic</t>
  </si>
  <si>
    <t>2002-03-01</t>
  </si>
  <si>
    <t>0:02:44.096326</t>
  </si>
  <si>
    <t>0:03:48.085587</t>
  </si>
  <si>
    <t>AQAO6ImSSkk-oT9iZ8aPHv_h6jh-I__x_0.04.47.004507-0.04.55.096734</t>
  </si>
  <si>
    <t>0:04:47.004507</t>
  </si>
  <si>
    <t>0:04:55.096734</t>
  </si>
  <si>
    <t>AQAO6ImSSkk-oT9iZ8aPHv_h6jh-I__x_0.05.05.011020-0.05.09.084489</t>
  </si>
  <si>
    <t>0:05:05.011020</t>
  </si>
  <si>
    <t>0:05:09.084489</t>
  </si>
  <si>
    <t>AQAO6ImSSkk-oT9iZ8aPHv_h6jh-I__x_0.05.14.054693-0.05.19.060816</t>
  </si>
  <si>
    <t>0:05:14.054693</t>
  </si>
  <si>
    <t>0:05:19.060816</t>
  </si>
  <si>
    <t>AQAO6ImSSkk-oT9iZ8aPHv_h6jh-I__x_0.05.24.021224-0.05.26.088979</t>
  </si>
  <si>
    <t>0:05:24.021224</t>
  </si>
  <si>
    <t>0:05:26.088979</t>
  </si>
  <si>
    <t>AQAO6ImSSkk-oT9iZ8aPHv_h6jh-I__x_0.05.29.004489-0.05.31.055918</t>
  </si>
  <si>
    <t>0:05:29.004489</t>
  </si>
  <si>
    <t>0:05:31.055918</t>
  </si>
  <si>
    <t>AQAO8ZlISoskKHT4IV9BSw_6a7iOw-dR_0.00.59.007156-0.02.31.020834</t>
  </si>
  <si>
    <t>Reet's neet</t>
  </si>
  <si>
    <t>0:00:59.007156</t>
  </si>
  <si>
    <t>0:02:31.020834</t>
  </si>
  <si>
    <t>AQAO8ZlISoskKHT4IV9BSw_6a7iOw-dR_0.05.29.060000-0.05.39.019999</t>
  </si>
  <si>
    <t>0:05:29.060000</t>
  </si>
  <si>
    <t>0:05:39.019999</t>
  </si>
  <si>
    <t>AQAO8ZlISoskKHT4IV9BSw_6a7iOw-dR_0.05.42.098775-0.05.49.077959</t>
  </si>
  <si>
    <t>0:05:42.098775</t>
  </si>
  <si>
    <t>0:05:49.077959</t>
  </si>
  <si>
    <t>AQAO8ZlISoskKHT4IV9BSw_6a7iOw-dR_0.05.54.041632-0.06.00.068571</t>
  </si>
  <si>
    <t>0:05:54.041632</t>
  </si>
  <si>
    <t>0:06:00.068571</t>
  </si>
  <si>
    <t>AQAO8ZlISoskKHT4IV9BSw_6a7iOw-dR_0.06.05.032244-0.06.12.044081</t>
  </si>
  <si>
    <t>0:06:05.032244</t>
  </si>
  <si>
    <t>0:06:12.044081</t>
  </si>
  <si>
    <t>AQAO8ZlISoskKHT4IV9BSw_6a7iOw-dR_0.06.15.090204-0.06.22.056326</t>
  </si>
  <si>
    <t>0:06:15.090204</t>
  </si>
  <si>
    <t>0:06:22.056326</t>
  </si>
  <si>
    <t>AQAO8ZlISoskKHT4IV9BSw_6a7iOw-dR_0.06.27.033061-0.06.33.086122</t>
  </si>
  <si>
    <t>0:06:27.033061</t>
  </si>
  <si>
    <t>0:06:33.086122</t>
  </si>
  <si>
    <t>AQAO8ZlISoskKHT4IV9BSw_6a7iOw-dR_0.06.38.056326-0.06.44.080000</t>
  </si>
  <si>
    <t>0:06:38.056326</t>
  </si>
  <si>
    <t>0:06:44.080000</t>
  </si>
  <si>
    <t>AQAO8ZlISoskKHT4IV9BSw_6a7iOw-dR_0.06.50.022040-0.06.56.009795</t>
  </si>
  <si>
    <t>0:06:50.022040</t>
  </si>
  <si>
    <t>0:06:56.009795</t>
  </si>
  <si>
    <t>AQAO9kkiKXNSCc-C8x5-aOmD8MCZvIiZ_0.00.50.041632-0.01.29.054775</t>
  </si>
  <si>
    <t>Ben Webster (ts), Billie Holiday (voc), Coleman Hawkins (ts), Danny Barker (g), Doc Cheatham (tp), Gerry Mulligan (bs), Jo Jones (dr), Lester Young (ts), Mal Waldron (p), Milt Hinton (b), Roy Eldridge (tp), Vic Dickenson (tb)</t>
  </si>
  <si>
    <t>Billie Holiday With Mal Waldron All Stars</t>
  </si>
  <si>
    <t>0:00:50.041632</t>
  </si>
  <si>
    <t>0:01:29.054775</t>
  </si>
  <si>
    <t>AQAO9kkiKXNSCc-C8x5-aOmD8MCZvIiZ_0.01.29.054775-0.02.06.030204</t>
  </si>
  <si>
    <t>0:02:06.030204</t>
  </si>
  <si>
    <t>AQAO9kkiKXNSCc-C8x5-aOmD8MCZvIiZ_0.02.42.096925-0.03.20.013278</t>
  </si>
  <si>
    <t>0:02:42.096925</t>
  </si>
  <si>
    <t>0:03:20.013278</t>
  </si>
  <si>
    <t>AQAO9kkiKXNSCc-C8x5-aOmD8MCZvIiZ_0.03.20.013278-0.03.59.045578</t>
  </si>
  <si>
    <t>0:03:59.045578</t>
  </si>
  <si>
    <t>AQAO9kkiKXNSCc-C8x5-aOmD8MCZvIiZ_0.04.36.044517-0.05.15.087265</t>
  </si>
  <si>
    <t>0:04:36.044517</t>
  </si>
  <si>
    <t>0:05:15.087265</t>
  </si>
  <si>
    <t>AQAO9kkiKXNSCc-C8x5-aOmD8MCZvIiZ_0.05.15.087265-0.06.35.000625</t>
  </si>
  <si>
    <t>Doc Cheatham, Roy Eldridge</t>
  </si>
  <si>
    <t>0:06:35.000625</t>
  </si>
  <si>
    <t>AQAO9kkiKXNSCc-C8x5-aOmD8MCZvIiZ_0.06.35.000625-0.07.56.079999</t>
  </si>
  <si>
    <t>0:07:56.079999</t>
  </si>
  <si>
    <t>AQAOAkm2sFGcBNnxD0fDCrWmHpey46eE_0.03.08.091755-0.03.49.055102</t>
  </si>
  <si>
    <t>Cameron Brown (b), Gerald Cleaver (dr), Jason Rigby (fl, ts, ss), Mike Holober (p), Russ Johnson (tp)</t>
  </si>
  <si>
    <t>Russ Johnson</t>
  </si>
  <si>
    <t>Jason Rigby</t>
  </si>
  <si>
    <t>The Sage</t>
  </si>
  <si>
    <t>Slip</t>
  </si>
  <si>
    <t>2008-03-12</t>
  </si>
  <si>
    <t>0:03:08.091755</t>
  </si>
  <si>
    <t>0:03:49.055102</t>
  </si>
  <si>
    <t>AQAOAkm2sFGcBNnxD0fDCrWmHpey46eE_0.04.10.096126-0.05.03.090276</t>
  </si>
  <si>
    <t>0:04:10.096126</t>
  </si>
  <si>
    <t>0:05:03.090276</t>
  </si>
  <si>
    <t>AQAOAtQiScyiJPhx9DTS8kNSJlFSNMkl_0.01.24.021877-0.02.49.087718</t>
  </si>
  <si>
    <t>Horace Silver Quintet</t>
  </si>
  <si>
    <t>Horace Silver</t>
  </si>
  <si>
    <t>Hard Bop - Horace Silver Vol. 2</t>
  </si>
  <si>
    <t>Creepin' In</t>
  </si>
  <si>
    <t>1954-11-13</t>
  </si>
  <si>
    <t>0:01:24.021877</t>
  </si>
  <si>
    <t>0:02:49.087718</t>
  </si>
  <si>
    <t>AQAOAtQiScyiJPhx9DTS8kNSJlFSNMkl_0.02.49.087718-0.04.14.076934</t>
  </si>
  <si>
    <t>0:04:14.076934</t>
  </si>
  <si>
    <t>AQAOAYuYJFKSKEkS4W2CpPERKz9-CT-O_0.01.01.012653-0.02.05.051836</t>
  </si>
  <si>
    <t>Strollin'</t>
  </si>
  <si>
    <t>0:01:01.012653</t>
  </si>
  <si>
    <t>AQAOAYuYJFKSKEkS4W2CpPERKz9-CT-O_0.05.07.033061-0.06.09.024081</t>
  </si>
  <si>
    <t>0:05:07.033061</t>
  </si>
  <si>
    <t>0:06:09.024081</t>
  </si>
  <si>
    <t>AQAOBlHyJImyELmEqvjRP4F_XI_QLL_w_0.01.28.042158-0.02.33.086122</t>
  </si>
  <si>
    <t>Alan Broadbent (p), Bill Perkins (bs, fl, bcl, other, ss), Bob Cooper (fl, cl, ts), Bud Shank (as), Jack Sheldon (tp), Jeff Hamilton (dr), John Clayton (b), Rob McConnell (tb), Ron Loofbourrow (flg), Vic Lewis (other)</t>
  </si>
  <si>
    <t>Vic Lewis</t>
  </si>
  <si>
    <t>Vic Lewis West Coast All Stars Play The Compositions And Arrangements Of Bill Holman</t>
  </si>
  <si>
    <t>Yesterdays</t>
  </si>
  <si>
    <t>1989-03-21</t>
  </si>
  <si>
    <t>0:02:33.086122</t>
  </si>
  <si>
    <t>AQAOBlHyJImyELmEqvjRP4F_XI_QLL_w_0.02.33.086122-0.03.34.020408</t>
  </si>
  <si>
    <t>Rob McConnell</t>
  </si>
  <si>
    <t>0:03:34.020408</t>
  </si>
  <si>
    <t>AQAOe3KSJMykKdiTI2wuiEcW6cOPlYgp_0.04.13.077959-0.05.39.059183</t>
  </si>
  <si>
    <t>What I heard</t>
  </si>
  <si>
    <t>0:04:13.077959</t>
  </si>
  <si>
    <t>0:05:39.059183</t>
  </si>
  <si>
    <t>AQAOe3KSJMykKdiTI2wuiEcW6cOPlYgp_0.05.39.059183-0.07.01.009387</t>
  </si>
  <si>
    <t>0:07:01.009387</t>
  </si>
  <si>
    <t>AQAOGNKkZEmiJMqCp8hPaDn6C7eDzpnQ_0.00.27.068979-0.04.04.024489</t>
  </si>
  <si>
    <t>Aaron Johnson (other), Bob Edmondson (tb), Bob Huffington (other), Carol Holden (tp), Eddie Khan (b), Eric Dolphy (bcl, as, fl), Herbie Hancock (p), Larry Franklin (tp), Moses ()</t>
  </si>
  <si>
    <t>Eric Dolphy</t>
  </si>
  <si>
    <t>The Illinois Concert</t>
  </si>
  <si>
    <t>South Street exit</t>
  </si>
  <si>
    <t>1963-03-10</t>
  </si>
  <si>
    <t>Live "University of Illinois", Champaign, IL</t>
  </si>
  <si>
    <t>0:00:27.068979</t>
  </si>
  <si>
    <t>0:04:04.024489</t>
  </si>
  <si>
    <t>AQAOHtIjKTP6Gs1w5Me_BvqDbkHKWHiR_0.02.03.015863-0.04.05.001696</t>
  </si>
  <si>
    <t>Jeff Jenkins (org), Keith Oxman (ts), Todd Reid (dr)</t>
  </si>
  <si>
    <t>Keith Oxman</t>
  </si>
  <si>
    <t>East Of The Village</t>
  </si>
  <si>
    <t>Deep in a dream</t>
  </si>
  <si>
    <t>2016-04-09</t>
  </si>
  <si>
    <t>Denver, CO</t>
  </si>
  <si>
    <t>0:02:03.015863</t>
  </si>
  <si>
    <t>0:04:05.001696</t>
  </si>
  <si>
    <t>AQAOIV0VJZ7wFM1wZXmEO0XyIC-u40fD_0.04.34.073850-0.05.57.095882</t>
  </si>
  <si>
    <t>Bill Saxton (ts), Cary DeNigris (g), Donald Harrison (as), Doug Harris (ss), Errol Parker (dr), Mike Thomas (tp), Patience Higgins (bs), Reggie Washington (b), Tyrone Jefferson (tb)</t>
  </si>
  <si>
    <t>Bill Saxton</t>
  </si>
  <si>
    <t>Errol Parker</t>
  </si>
  <si>
    <t>A Night In Tunisia</t>
  </si>
  <si>
    <t>Soul concerto</t>
  </si>
  <si>
    <t>1991-04-09</t>
  </si>
  <si>
    <t>0:04:34.073850</t>
  </si>
  <si>
    <t>0:05:57.095882</t>
  </si>
  <si>
    <t>AQAOj9kUJcqYJQl-XCkReodjVshTVGeg_0.03.59.025841-0.05.29.072335</t>
  </si>
  <si>
    <t>Dave Stryker (g), Ed Howard (b), Mark Weinstein (fl), Victor Lewis (dr)</t>
  </si>
  <si>
    <t>Mark Weinstein</t>
  </si>
  <si>
    <t>Straight No Chaser</t>
  </si>
  <si>
    <t>Crianza</t>
  </si>
  <si>
    <t>2008-01-01</t>
  </si>
  <si>
    <t>0:03:59.025841</t>
  </si>
  <si>
    <t>0:05:29.072335</t>
  </si>
  <si>
    <t>AQAOktSyiGmiBHmmI3nQ56gd9MrR4M2P_0.01.19.093469-0.02.40.052244</t>
  </si>
  <si>
    <t>Horizon</t>
  </si>
  <si>
    <t>Just feelin'</t>
  </si>
  <si>
    <t>1979-04-24</t>
  </si>
  <si>
    <t>0:01:19.093469</t>
  </si>
  <si>
    <t>0:02:40.052244</t>
  </si>
  <si>
    <t>AQAOktSyiGmiBHmmI3nQ56gd9MrR4M2P_0.04.00.006530-0.05.21.056734</t>
  </si>
  <si>
    <t>0:04:00.006530</t>
  </si>
  <si>
    <t>0:05:21.056734</t>
  </si>
  <si>
    <t>AQAOktSyiGmiBHmmI3nQ56gd9MrR4M2P_0.06.39.093469-0.07.39.023265</t>
  </si>
  <si>
    <t>0:06:39.093469</t>
  </si>
  <si>
    <t>0:07:39.023265</t>
  </si>
  <si>
    <t>AQAOL43KJEqEH73xWMYTa7gtYT9K5UgX_0.01.44.022857-0.03.39.056789</t>
  </si>
  <si>
    <t>0:01:44.022857</t>
  </si>
  <si>
    <t>0:03:39.056789</t>
  </si>
  <si>
    <t>AQAOMIwkhsoSJIt-5DjRG-6WGA_54zlc_0.02.21.027020-0.03.04.027356</t>
  </si>
  <si>
    <t>Allan Morrissey (other, tb), Bruce Haag (tp), Denny Brunk (tb), Don Landis (ts), Jay Cummings (dr), Jon Ward (b), Lisa Hittle (bs), Michael Bard (fl, ss, as), Ramon Lopez (other), Robeson (), Stan Kenton (other, p)</t>
  </si>
  <si>
    <t>Stella by starlight</t>
  </si>
  <si>
    <t>0:02:21.027020</t>
  </si>
  <si>
    <t>0:03:04.027356</t>
  </si>
  <si>
    <t>AQAOMIwkhsoSJIt-5DjRG-6WGA_54zlc_0.03.04.027356-0.03.08.026739</t>
  </si>
  <si>
    <t>AQAOMIwkhsoSJIt-5DjRG-6WGA_54zlc_0.03.11.061106-0.03.14.095473</t>
  </si>
  <si>
    <t>0:03:11.061106</t>
  </si>
  <si>
    <t>0:03:14.095473</t>
  </si>
  <si>
    <t>AQAOMIwkhsoSJIt-5DjRG-6WGA_54zlc_0.03.32.017959-0.04.40.086857</t>
  </si>
  <si>
    <t>0:03:32.017959</t>
  </si>
  <si>
    <t>0:04:40.086857</t>
  </si>
  <si>
    <t>AQAOMIwkhsoSJIt-5DjRG-6WGA_54zlc_0.04.40.086857-0.05.26.075120</t>
  </si>
  <si>
    <t>0:05:26.075120</t>
  </si>
  <si>
    <t>AQAOMIwkhsoSJIt-5DjRG-6WGA_54zlc_0.05.26.075120-0.06.58.070222</t>
  </si>
  <si>
    <t>0:06:58.070222</t>
  </si>
  <si>
    <t>AQAON4kiJSsVCWEWnQlOtfBznHiOK0eZ_0.01.38.008979-0.04.00.018721</t>
  </si>
  <si>
    <t>Harry Adorno (other), Jim Gailloreto (ts), Julio Salgado (voc, other), Mike Freeman (other, vib), Papo Pepin (other), Ruben Rodriguez (b)</t>
  </si>
  <si>
    <t>Agua y piedra</t>
  </si>
  <si>
    <t>0:01:38.008979</t>
  </si>
  <si>
    <t>0:04:00.018721</t>
  </si>
  <si>
    <t>AQAON4kiJSsVCWEWnQlOtfBznHiOK0eZ_0.04.00.018721-0.05.35.048190</t>
  </si>
  <si>
    <t>0:05:35.048190</t>
  </si>
  <si>
    <t>AQAOPsoUSlGybHgoDx_qHT4z4enxCFSe_0.01.20.052680-0.02.57.037142</t>
  </si>
  <si>
    <t>Eddie Costa (vib), Gigi Gryce (as), Julian Euell (b), Mickey Roker (dr), Richard Williams (tp), Richard Wyands (p)</t>
  </si>
  <si>
    <t>Gigi Gryce</t>
  </si>
  <si>
    <t>Doin' The Gigi</t>
  </si>
  <si>
    <t>1961-08-19</t>
  </si>
  <si>
    <t>Broadcast, "Birdland", New York</t>
  </si>
  <si>
    <t>0:01:20.052680</t>
  </si>
  <si>
    <t>AQAOPsoUSlGybHgoDx_qHT4z4enxCFSe_0.04.47.073877-0.06.05.019183</t>
  </si>
  <si>
    <t>0:04:47.073877</t>
  </si>
  <si>
    <t>0:06:05.019183</t>
  </si>
  <si>
    <t>AQAOPsoUSlGybHgoDx_qHT4z4enxCFSe_0.06.29.053795-0.07.10.049795</t>
  </si>
  <si>
    <t>0:06:29.053795</t>
  </si>
  <si>
    <t>0:07:10.049795</t>
  </si>
  <si>
    <t>AQAOQEmSSEmWJ1oQ6c7xCM94PFFCVAoe_0.06.03.023265-0.06.16.029387</t>
  </si>
  <si>
    <t>Eddie Johnson (ts), Francine Griffin (voc), Jodie Christian (p), John Whitfield (b), Norris Turney (as), Sonny Cohn (tp)</t>
  </si>
  <si>
    <t>Lester left town</t>
  </si>
  <si>
    <t>0:06:03.023265</t>
  </si>
  <si>
    <t>0:06:16.029387</t>
  </si>
  <si>
    <t>AQAOQEmSSEmWJ1oQ6c7xCM94PFFCVAoe_0.06.29.074693-0.06.35.042857</t>
  </si>
  <si>
    <t>0:06:29.074693</t>
  </si>
  <si>
    <t>0:06:35.042857</t>
  </si>
  <si>
    <t>AQAOqMycaFGDJvmOHw_6EK5z9MmRk0Hy_0.00.00.006530-0.00.29.038775</t>
  </si>
  <si>
    <t>Ed Thigpen (dr), Jan Johansson (p), Ray Brown (b), Stan Getz (ts)</t>
  </si>
  <si>
    <t>Live In Dusseldorf 1960</t>
  </si>
  <si>
    <t>Pernod</t>
  </si>
  <si>
    <t>1960-03-28</t>
  </si>
  <si>
    <t>Live, Dusseldorf, Germany</t>
  </si>
  <si>
    <t>0:00:29.038775</t>
  </si>
  <si>
    <t>AQAOqMycaFGDJvmOHw_6EK5z9MmRk0Hy_0.01.02.013659-0.04.20.070204</t>
  </si>
  <si>
    <t>0:01:02.013659</t>
  </si>
  <si>
    <t>0:04:20.070204</t>
  </si>
  <si>
    <t>AQAOqMycaFGDJvmOHw_6EK5z9MmRk0Hy_0.06.03.000408-0.06.11.026530</t>
  </si>
  <si>
    <t>0:06:03.000408</t>
  </si>
  <si>
    <t>0:06:11.026530</t>
  </si>
  <si>
    <t>AQAOqMycaFGDJvmOHw_6EK5z9MmRk0Hy_0.06.18.002448-0.06.26.038004</t>
  </si>
  <si>
    <t>0:06:18.002448</t>
  </si>
  <si>
    <t>0:06:26.038004</t>
  </si>
  <si>
    <t>AQAOqMycaFGDJvmOHw_6EK5z9MmRk0Hy_0.06.34.036770-0.06.42.091265</t>
  </si>
  <si>
    <t>0:06:42.091265</t>
  </si>
  <si>
    <t>AQAOrpIeKomIP8IdTNL6IlEUxUYu50Kf_0.01.18.029768-0.03.50.015619</t>
  </si>
  <si>
    <t>Bill Harris (tb), Charlie Ventura (ts), Dave Tough (dr), Ralph Burns (p), unknown (b, voc)</t>
  </si>
  <si>
    <t>Bill Harris – Charlie Ventura</t>
  </si>
  <si>
    <t>Bebop Live Concerts Vol. 8 (1947)</t>
  </si>
  <si>
    <t>Mordido</t>
  </si>
  <si>
    <t>1947-04-01</t>
  </si>
  <si>
    <t>0:03:50.015619</t>
  </si>
  <si>
    <t>AQAOrpIeKomIP8IdTNL6IlEUxUYu50Kf_0.03.50.015619-0.06.25.075310</t>
  </si>
  <si>
    <t>Charlie Ventura</t>
  </si>
  <si>
    <t>0:06:25.075310</t>
  </si>
  <si>
    <t>AQAOrpIeKomIP8IdTNL6IlEUxUYu50Kf_0.06.25.075310-0.06.30.072217</t>
  </si>
  <si>
    <t>0:06:30.072217</t>
  </si>
  <si>
    <t>AQAOrpIeKomIP8IdTNL6IlEUxUYu50Kf_0.06.30.072217-0.06.36.050394</t>
  </si>
  <si>
    <t>0:06:36.050394</t>
  </si>
  <si>
    <t>AQAOrpIeKomIP8IdTNL6IlEUxUYu50Kf_0.06.36.050394-0.06.42.068045</t>
  </si>
  <si>
    <t>0:06:42.068045</t>
  </si>
  <si>
    <t>AQAOrpIeKomIP8IdTNL6IlEUxUYu50Kf_0.06.42.068045-0.06.49.004272</t>
  </si>
  <si>
    <t>0:06:49.004272</t>
  </si>
  <si>
    <t>AQAOrpIeKomIP8IdTNL6IlEUxUYu50Kf_0.06.49.004272-0.06.55.086938</t>
  </si>
  <si>
    <t>0:06:55.086938</t>
  </si>
  <si>
    <t>AQAOrpIeKomIP8IdTNL6IlEUxUYu50Kf_0.06.55.086938-0.07.01.092979</t>
  </si>
  <si>
    <t>0:07:01.092979</t>
  </si>
  <si>
    <t>AQAOrpIeKomIP8IdTNL6IlEUxUYu50Kf_0.07.01.092979-0.07.11.054285</t>
  </si>
  <si>
    <t>0:07:11.054285</t>
  </si>
  <si>
    <t>AQAOrpIeKomIP8IdTNL6IlEUxUYu50Kf_0.07.11.054285-0.07.15.011873</t>
  </si>
  <si>
    <t>0:07:15.011873</t>
  </si>
  <si>
    <t>AQAOSIuWZJqUEb-RQ36Q4ziKB5beITwu_0.05.38.080816-0.06.02.071020</t>
  </si>
  <si>
    <t>Alex Cline (dr, other), Jeff Gauthier (vln), Myra Melford (other, p), Peggy Lee (other), Scott Walton (b)</t>
  </si>
  <si>
    <t>Jeff Gauthier</t>
  </si>
  <si>
    <t>Alex Cline</t>
  </si>
  <si>
    <t>Continuation</t>
  </si>
  <si>
    <t>Clearing our streams</t>
  </si>
  <si>
    <t>2008-04-12</t>
  </si>
  <si>
    <t>Burbank, CA</t>
  </si>
  <si>
    <t>0:05:38.080816</t>
  </si>
  <si>
    <t>0:06:02.071020</t>
  </si>
  <si>
    <t>AQAOstLFLNEiXCfOKMfz4Dl6eKGPUMmT_0.01.20.019591-0.03.51.096734</t>
  </si>
  <si>
    <t>Brandon Ross (g), Gene Lake (dr), Henry Threadgill (as, fl), Marcus Rojas (other), Mark Taylor (flg), Masujaa (g)</t>
  </si>
  <si>
    <t>Carry The Day</t>
  </si>
  <si>
    <t>Between orchids lilies blind eyes and cricket</t>
  </si>
  <si>
    <t>0:01:20.019591</t>
  </si>
  <si>
    <t>AQAOU0kuTqEC5UeYH89CXAf-4Ud6aJuy_0.01.52.094185-0.03.25.045306</t>
  </si>
  <si>
    <t>Serenade to Sariah</t>
  </si>
  <si>
    <t>0:03:25.045306</t>
  </si>
  <si>
    <t>AQAOU0kuTqEC5UeYH89CXAf-4Ud6aJuy_0.04.52.083265-0.07.32.044081</t>
  </si>
  <si>
    <t>0:04:52.083265</t>
  </si>
  <si>
    <t>0:07:32.044081</t>
  </si>
  <si>
    <t>AQAOuwojydIS4b2IJ_xRPqHxRUIdTQ6e_0.04.18.035102-0.05.59.057551</t>
  </si>
  <si>
    <t>The cost of living</t>
  </si>
  <si>
    <t>0:04:18.035102</t>
  </si>
  <si>
    <t>0:05:59.057551</t>
  </si>
  <si>
    <t>AQAoZqK0iKyCPj_84A9-4iNeNMWYSlnw_0.00.01.004489-0.13.46.025306</t>
  </si>
  <si>
    <t>Charles Gayle (p, bcl, ts), Michael Wimberly (dr), Wilber Morris (b)</t>
  </si>
  <si>
    <t>Charles Gayle</t>
  </si>
  <si>
    <t>Testaments</t>
  </si>
  <si>
    <t>Christ's suffering</t>
  </si>
  <si>
    <t>1995-06-22</t>
  </si>
  <si>
    <t>0:13:46.025306</t>
  </si>
  <si>
    <t>AQAoZqK0iKyCPj_84A9-4iNeNMWYSlnw_0.20.33.089387-0.21.06.002448</t>
  </si>
  <si>
    <t>0:20:33.089387</t>
  </si>
  <si>
    <t>0:21:06.002448</t>
  </si>
  <si>
    <t>AQAP30omKUm2KYGrjInwa8SP7ENxPD_M_0.00.37.048571-0.02.58.041632</t>
  </si>
  <si>
    <t>Bill Goodwin (dr), Mike Melillo (p), Phil Woods (as), Steve Gilmore (b)</t>
  </si>
  <si>
    <t>I'm late</t>
  </si>
  <si>
    <t>0:00:37.048571</t>
  </si>
  <si>
    <t>0:02:58.041632</t>
  </si>
  <si>
    <t>AQAP30omKUm2KYGrjInwa8SP7ENxPD_M_0.05.07.075510-0.05.19.041224</t>
  </si>
  <si>
    <t>0:05:07.075510</t>
  </si>
  <si>
    <t>0:05:19.041224</t>
  </si>
  <si>
    <t>AQAP30omKUm2KYGrjInwa8SP7ENxPD_M_0.05.25.055102-0.05.32.080000</t>
  </si>
  <si>
    <t>0:05:25.055102</t>
  </si>
  <si>
    <t>0:05:32.080000</t>
  </si>
  <si>
    <t>AQAP30omKUm2KYGrjInwa8SP7ENxPD_M_0.05.37.092653-0.05.43.024897</t>
  </si>
  <si>
    <t>0:05:37.092653</t>
  </si>
  <si>
    <t>0:05:43.024897</t>
  </si>
  <si>
    <t>AQAP30omKUm2KYGrjInwa8SP7ENxPD_M_0.07.15.023482-0.08.22.057269</t>
  </si>
  <si>
    <t>0:07:15.023482</t>
  </si>
  <si>
    <t>0:08:22.057269</t>
  </si>
  <si>
    <t>AQAP7pEWKVKSjEH1z_g2MHNk_MZzvKEw_0.03.22.084952-0.05.21.017841</t>
  </si>
  <si>
    <t>Ray Levier</t>
  </si>
  <si>
    <t>Ray's Way</t>
  </si>
  <si>
    <t>Bait tone blues</t>
  </si>
  <si>
    <t>2007-09-25</t>
  </si>
  <si>
    <t>River Edge, NJ</t>
  </si>
  <si>
    <t>0:05:21.017841</t>
  </si>
  <si>
    <t>AQAP7pEWKVKSjEH1z_g2MHNk_MZzvKEw_0.06.57.030612-0.07.07.016734</t>
  </si>
  <si>
    <t>0:06:57.030612</t>
  </si>
  <si>
    <t>0:07:07.016734</t>
  </si>
  <si>
    <t>AQAP7pEWKVKSjEH1z_g2MHNk_MZzvKEw_0.07.36.009795-0.07.46.015510</t>
  </si>
  <si>
    <t>0:07:36.009795</t>
  </si>
  <si>
    <t>0:07:46.015510</t>
  </si>
  <si>
    <t>AQAP8EqkhZeSCL-F6kEjKSSeCNyTQIvR_0.00.55.064081-0.02.08.026122</t>
  </si>
  <si>
    <t>Allan Morrissey (other, tb), Bruce Haag (tp), Denny Brunk (tb), Don Landis (ts), Jay Cummings (dr), Jon Ward (b), Lisa Hittle (bs), Michael Bard (ss, as, fl), Ramon Lopez (other), Robeson (), Stan Kenton (p, other)</t>
  </si>
  <si>
    <t>The peanut vendor</t>
  </si>
  <si>
    <t>0:00:55.064081</t>
  </si>
  <si>
    <t>0:02:08.026122</t>
  </si>
  <si>
    <t>AQAP8EqkhZeSCL-F6kEjKSSeCNyTQIvR_0.02.45.087755-0.03.25.071428</t>
  </si>
  <si>
    <t>Allan Morrissey, Denny Brunk, Robeson</t>
  </si>
  <si>
    <t>0:02:45.087755</t>
  </si>
  <si>
    <t>0:03:25.071428</t>
  </si>
  <si>
    <t>AQAP8EqkhZeSCL-F6kEjKSSeCNyTQIvR_0.04.33.006666-0.06.05.032244</t>
  </si>
  <si>
    <t>0:04:33.006666</t>
  </si>
  <si>
    <t>AQAPBtESZUmkMEoCPch4_MfJ4XXRLKiO_0.04.11.005414-0.06.18.039238</t>
  </si>
  <si>
    <t>Bill Frisell (other, g), Eyvind Kang (other), Hank Roberts (other), Jenny Scheinman (vln)</t>
  </si>
  <si>
    <t>Jenny Scheinman</t>
  </si>
  <si>
    <t>Bill Frisell</t>
  </si>
  <si>
    <t>Richter 858</t>
  </si>
  <si>
    <t>858-1</t>
  </si>
  <si>
    <t>2002-07-20</t>
  </si>
  <si>
    <t>Seattle, WA</t>
  </si>
  <si>
    <t>0:04:11.005414</t>
  </si>
  <si>
    <t>0:06:18.039238</t>
  </si>
  <si>
    <t>AQAPeVEuTS30Bt-hWdzQPMGNhoyDWh8q_0.00.38.008072-0.03.07.016734</t>
  </si>
  <si>
    <t>Frank Rosolino (tb), Jacques Schols (b), John Engels (dr), Louis van Dijk (p)</t>
  </si>
  <si>
    <t>Autumn leaves</t>
  </si>
  <si>
    <t>1973-06-13</t>
  </si>
  <si>
    <t>0:00:38.008072</t>
  </si>
  <si>
    <t>0:03:07.016734</t>
  </si>
  <si>
    <t>AQAPeVEuTS30Bt-hWdzQPMGNhoyDWh8q_0.05.58.023746-0.06.05.099292</t>
  </si>
  <si>
    <t>0:05:58.023746</t>
  </si>
  <si>
    <t>0:06:05.099292</t>
  </si>
  <si>
    <t>AQAPeVEuTS30Bt-hWdzQPMGNhoyDWh8q_0.06.12.007655-0.06.19.087845</t>
  </si>
  <si>
    <t>0:06:12.007655</t>
  </si>
  <si>
    <t>0:06:19.087845</t>
  </si>
  <si>
    <t>AQAPeVEuTS30Bt-hWdzQPMGNhoyDWh8q_0.06.26.051936-0.06.33.081043</t>
  </si>
  <si>
    <t>0:06:26.051936</t>
  </si>
  <si>
    <t>0:06:33.081043</t>
  </si>
  <si>
    <t>AQAPeVEuTS30Bt-hWdzQPMGNhoyDWh8q_0.06.39.098693-0.06.47.074240</t>
  </si>
  <si>
    <t>0:06:39.098693</t>
  </si>
  <si>
    <t>0:06:47.074240</t>
  </si>
  <si>
    <t>AQAPeVEuTS30Bt-hWdzQPMGNhoyDWh8q_0.06.53.087247-0.07.01.067437</t>
  </si>
  <si>
    <t>0:06:53.087247</t>
  </si>
  <si>
    <t>0:07:01.067437</t>
  </si>
  <si>
    <t>AQAPeVEuTS30Bt-hWdzQPMGNhoyDWh8q_0.07.07.057224-0.07.15.000263</t>
  </si>
  <si>
    <t>0:07:07.057224</t>
  </si>
  <si>
    <t>0:07:15.000263</t>
  </si>
  <si>
    <t>AQAPf1MSVk-CJlQWfDlRpkWY7yn4ZAlx_0.00.35.039591-0.02.42.016816</t>
  </si>
  <si>
    <t>Ritta ditta blues</t>
  </si>
  <si>
    <t>0:00:35.039591</t>
  </si>
  <si>
    <t>0:02:42.016816</t>
  </si>
  <si>
    <t>AQAPf1MSVk-CJlQWfDlRpkWY7yn4ZAlx_0.02.42.016816-0.04.49.078503</t>
  </si>
  <si>
    <t>0:04:49.078503</t>
  </si>
  <si>
    <t>AQAPjIk2ZZLCQDe-PHCjGroePOKJ3MTx_0.04.51.082839-0.06.01.092653</t>
  </si>
  <si>
    <t>Aaron Keirbel (other), Daniel Fabricant (b), Darren Johnston (tp), David Phillips (g), Rob Reich (other)</t>
  </si>
  <si>
    <t>Fables of Faubus</t>
  </si>
  <si>
    <t>0:04:51.082839</t>
  </si>
  <si>
    <t>0:06:01.092653</t>
  </si>
  <si>
    <t>AQAPk5umNEq2BPsL7RkeRjm8ZF1R6Tse_0.00.53.031301-0.03.31.085306</t>
  </si>
  <si>
    <t>If I should lose you</t>
  </si>
  <si>
    <t>0:00:53.031301</t>
  </si>
  <si>
    <t>0:03:31.085306</t>
  </si>
  <si>
    <t>AQAPkBQzURZy4cnxH3InvB_Oo67gAz_a_0.04.09.084671-0.06.01.085977</t>
  </si>
  <si>
    <t>Song from the old country</t>
  </si>
  <si>
    <t>0:04:09.084671</t>
  </si>
  <si>
    <t>0:06:01.085977</t>
  </si>
  <si>
    <t>AQAPlJSUJVGUHBG7yDmkH3mO88Kx7-iW_0.02.57.050204-0.04.56.047238</t>
  </si>
  <si>
    <t>Brian Shaw (tp), Dan Pierce (tb), Dave Rivello (other), Dean Keller (bcl, cl), Eli Asher (tp, flg), Jeff Meyer (other), Jose Encarnacion (fl, ts, cl), Malcolm Kirby (b), Matt Pivec (fl, ss), Red Wierenga (p), Ted Poor (other, dr)</t>
  </si>
  <si>
    <t>Eli Asher</t>
  </si>
  <si>
    <t>Dave Rivello</t>
  </si>
  <si>
    <t>Facing the Mirror</t>
  </si>
  <si>
    <t>Sometime</t>
  </si>
  <si>
    <t>2002-08-20</t>
  </si>
  <si>
    <t>0:02:57.050204</t>
  </si>
  <si>
    <t>0:04:56.047238</t>
  </si>
  <si>
    <t>AQAPOlMkpdLR_MTz4NmD2PmRjseNv3jQ_0.00.50.024798-0.03.59.007265</t>
  </si>
  <si>
    <t>Soulville</t>
  </si>
  <si>
    <t>0:00:50.024798</t>
  </si>
  <si>
    <t>AQAPOlMkpdLR_MTz4NmD2PmRjseNv3jQ_0.06.23.066040-0.08.05.025333</t>
  </si>
  <si>
    <t>0:06:23.066040</t>
  </si>
  <si>
    <t>0:08:05.025333</t>
  </si>
  <si>
    <t>AQAPsGGkLNKURIL4I-cIH_3xN5h6WC1i_0.01.37.017551-0.02.59.019999</t>
  </si>
  <si>
    <t>Alias Buster Henry</t>
  </si>
  <si>
    <t>0:01:37.017551</t>
  </si>
  <si>
    <t>0:02:59.019999</t>
  </si>
  <si>
    <t>AQAPsGGkLNKURIL4I-cIH_3xN5h6WC1i_0.03.09.051836-0.03.34.046530</t>
  </si>
  <si>
    <t>0:03:09.051836</t>
  </si>
  <si>
    <t>0:03:34.046530</t>
  </si>
  <si>
    <t>AQAPTtGUPJODkD98MOdwEX-GyHrxLTiT_0.00.00.013061-0.01.52.026122</t>
  </si>
  <si>
    <t>Bill Frisell (g), Cuong Vu (tp), Luke Bergman (b), Ted Poor (dr)</t>
  </si>
  <si>
    <t>Ballet : The Music of Michael Gibbs</t>
  </si>
  <si>
    <t>Ballet</t>
  </si>
  <si>
    <t>2016-01-15</t>
  </si>
  <si>
    <t>Live, Meany Hall, University of Washington, Seattle, WA</t>
  </si>
  <si>
    <t>0:01:52.026122</t>
  </si>
  <si>
    <t>AQAPTtGUPJODkD98MOdwEX-GyHrxLTiT_0.03.46.087346-0.05.50.062131</t>
  </si>
  <si>
    <t>0:03:46.087346</t>
  </si>
  <si>
    <t>0:05:50.062131</t>
  </si>
  <si>
    <t>AQAPvYmSSJKUSAmDP_Bx34Cf43zw4Y9x_0.00.43.036326-0.03.40.073469</t>
  </si>
  <si>
    <t>Art Pepper (as), Billy Higgins (dr), George Cables (p), Tony Dumas (other)</t>
  </si>
  <si>
    <t>Live In Osaka 1979</t>
  </si>
  <si>
    <t>Avalon</t>
  </si>
  <si>
    <t>1979-07-16</t>
  </si>
  <si>
    <t>Live "Shiba Yubin Chokin Hall", Tokyo, Japan</t>
  </si>
  <si>
    <t>0:00:43.036326</t>
  </si>
  <si>
    <t>0:03:40.073469</t>
  </si>
  <si>
    <t>AQAPvYmSSJKUSAmDP_Bx34Cf43zw4Y9x_0.05.50.062857-0.05.58.098775</t>
  </si>
  <si>
    <t>0:05:50.062857</t>
  </si>
  <si>
    <t>0:05:58.098775</t>
  </si>
  <si>
    <t>AQAPvYmSSJKUSAmDP_Bx34Cf43zw4Y9x_0.06.06.088979-0.06.11.091836</t>
  </si>
  <si>
    <t>0:06:06.088979</t>
  </si>
  <si>
    <t>0:06:11.091836</t>
  </si>
  <si>
    <t>AQAPvYmSSJKUSAmDP_Bx34Cf43zw4Y9x_0.06.15.005306-0.06.19.003673</t>
  </si>
  <si>
    <t>0:06:15.005306</t>
  </si>
  <si>
    <t>0:06:19.003673</t>
  </si>
  <si>
    <t>AQAPvYmSSJKUSAmDP_Bx34Cf43zw4Y9x_0.06.22.043265-0.06.27.016734</t>
  </si>
  <si>
    <t>0:06:22.043265</t>
  </si>
  <si>
    <t>0:06:27.016734</t>
  </si>
  <si>
    <t>AQAPvYmSSJKUSAmDP_Bx34Cf43zw4Y9x_0.06.38.013877-0.06.42.077551</t>
  </si>
  <si>
    <t>0:06:38.013877</t>
  </si>
  <si>
    <t>0:06:42.077551</t>
  </si>
  <si>
    <t>AQAPvYmSSJKUSAmDP_Bx34Cf43zw4Y9x_0.07.26.030204-0.08.16.084897</t>
  </si>
  <si>
    <t>0:07:26.030204</t>
  </si>
  <si>
    <t>0:08:16.084897</t>
  </si>
  <si>
    <t>AQAPXIqUMEkURUJ-iDnyDm3Eo8_hZ8cr_0.03.46.044099-0.04.34.041632</t>
  </si>
  <si>
    <t>Ph.D</t>
  </si>
  <si>
    <t>0:04:34.041632</t>
  </si>
  <si>
    <t>AQAPXIqUMEkURUJ-iDnyDm3Eo8_hZ8cr_0.04.34.041632-0.05.19.073877</t>
  </si>
  <si>
    <t>0:05:19.073877</t>
  </si>
  <si>
    <t>AQAPxZKSRZQSScKVpURzorvwaTqeJMKP_0.01.42.013877-0.03.15.097641</t>
  </si>
  <si>
    <t>Art Blakey (dr), Cedar Walton (p), Curtis Fuller (tb), Freddie Hubbard (tp), Reggie Workman (b), Wayne Shorter (ts), Wellington Blakey (voc)</t>
  </si>
  <si>
    <t>Free For All</t>
  </si>
  <si>
    <t>Pensativa</t>
  </si>
  <si>
    <t>1964-02-10</t>
  </si>
  <si>
    <t>0:01:42.013877</t>
  </si>
  <si>
    <t>0:03:15.097641</t>
  </si>
  <si>
    <t>AQAPxZKSRZQSScKVpURzorvwaTqeJMKP_0.03.15.097641-0.04.46.053424</t>
  </si>
  <si>
    <t>0:04:46.053424</t>
  </si>
  <si>
    <t>AQAPY0ySLBGnRUj3aEjs_ehx4j-eLEFN_0.01.18.062857-0.03.59.080408</t>
  </si>
  <si>
    <t>Tivoli</t>
  </si>
  <si>
    <t>0:01:18.062857</t>
  </si>
  <si>
    <t>0:03:59.080408</t>
  </si>
  <si>
    <t>AQAPyFuiKNkVxDKRPMeLq8kS9MIlH42-_0.01.55.046122-0.03.22.057959</t>
  </si>
  <si>
    <t>Dana Hall (dr), Dennis Carroll (b), Joan Hickey (p), John Wojciechowski (ts), Tito Carrillo (tp)</t>
  </si>
  <si>
    <t>Joan Hickey</t>
  </si>
  <si>
    <t>Between the Lines</t>
  </si>
  <si>
    <t>The man I love</t>
  </si>
  <si>
    <t>Northbrook, IL</t>
  </si>
  <si>
    <t>0:01:55.046122</t>
  </si>
  <si>
    <t>0:03:22.057959</t>
  </si>
  <si>
    <t>AQAQ0kl0KeUCHz-ejIafEP3xvPhSKriC_0.03.33.025206-0.05.38.008253</t>
  </si>
  <si>
    <t>Brandon Ross (g), Henry Threadgill (as, fl), Lewis (), Tony Cedras (other)</t>
  </si>
  <si>
    <t>Where's Your Cup ?</t>
  </si>
  <si>
    <t>Go to far</t>
  </si>
  <si>
    <t>1996-08-01</t>
  </si>
  <si>
    <t>0:03:33.025206</t>
  </si>
  <si>
    <t>0:05:38.008253</t>
  </si>
  <si>
    <t>AQAQ1aJSJdKUBd9RKtOHE_WUB19W9CGF_0.01.52.084897-0.04.50.093877</t>
  </si>
  <si>
    <t>Hey Jude</t>
  </si>
  <si>
    <t>0:01:52.084897</t>
  </si>
  <si>
    <t>0:04:50.093877</t>
  </si>
  <si>
    <t>AQAQ1aJSJdKUBd9RKtOHE_WUB19W9CGF_0.05.12.094693-0.07.35.005306</t>
  </si>
  <si>
    <t>0:05:12.094693</t>
  </si>
  <si>
    <t>0:07:35.005306</t>
  </si>
  <si>
    <t>AQAQ1k6YJLqEZ_jTBO0pBcpe4oPlGe1j_0.00.43.072317-0.02.56.056453</t>
  </si>
  <si>
    <t>Hank Jones (p), Julian 'Cannonball' Adderley (as), Kenny Clarke (dr), Nat Adderley (cor), Paul Chambers (b)</t>
  </si>
  <si>
    <t>Cannonball Adderley</t>
  </si>
  <si>
    <t>Still Talkin' To Ya</t>
  </si>
  <si>
    <t>1955-07-14</t>
  </si>
  <si>
    <t>0:00:43.072317</t>
  </si>
  <si>
    <t>0:02:56.056453</t>
  </si>
  <si>
    <t>AQAQ1k6YJLqEZ_jTBO0pBcpe4oPlGe1j_0.02.56.056453-0.05.17.055609</t>
  </si>
  <si>
    <t>0:05:17.055609</t>
  </si>
  <si>
    <t>AQAQ8lOSKGSSRMWt4vgKqz2erUO5W8j1_0.01.33.043709-0.03.35.066693</t>
  </si>
  <si>
    <t>Holly Hofmann (other, fl), Mike Wofford (p), Richard Sellers (dr), Rob Thorsen (b), Terell Stafford (flg, tp)</t>
  </si>
  <si>
    <t>Holly Hofmann</t>
  </si>
  <si>
    <t>Mike Wofford</t>
  </si>
  <si>
    <t>Turn Signal</t>
  </si>
  <si>
    <t>The dipper (for Horace Silver)</t>
  </si>
  <si>
    <t>2010-05-23</t>
  </si>
  <si>
    <t>Rancho Bernardo, CA</t>
  </si>
  <si>
    <t>0:01:33.043709</t>
  </si>
  <si>
    <t>0:03:35.066693</t>
  </si>
  <si>
    <t>AQAQ8lOSKGSSRMWt4vgKqz2erUO5W8j1_0.03.35.066693-0.05.35.066766</t>
  </si>
  <si>
    <t>Terell Stafford</t>
  </si>
  <si>
    <t>0:05:35.066766</t>
  </si>
  <si>
    <t>AQAQA5qSJEu0COayo6vw42i2BpV5XDma_0.02.40.007836-0.04.06.098775</t>
  </si>
  <si>
    <t>Avishai Cohen (voc, tp), Dan Freedman (dr, voc), Joel Frahm (ts, voc), Mehdi Chaib (voc), Omer Avital (b, voc), Yonathan Avishai (p, voc)</t>
  </si>
  <si>
    <t>Yemen suite</t>
  </si>
  <si>
    <t>0:02:40.007836</t>
  </si>
  <si>
    <t>0:04:06.098775</t>
  </si>
  <si>
    <t>AQAQaJyySeICbQ-arDp-3JiVrfgDJkey_0.01.54.041632-0.04.50.074285</t>
  </si>
  <si>
    <t>Groovin' High</t>
  </si>
  <si>
    <t>How high the moon</t>
  </si>
  <si>
    <t>1980-07-28</t>
  </si>
  <si>
    <t>0:01:54.041632</t>
  </si>
  <si>
    <t>AQAQaJyySeICbQ-arDp-3JiVrfgDJkey_0.06.14.002702-0.06.20.066793</t>
  </si>
  <si>
    <t>0:06:14.002702</t>
  </si>
  <si>
    <t>0:06:20.066793</t>
  </si>
  <si>
    <t>AQAQaJyySeICbQ-arDp-3JiVrfgDJkey_0.06.20.066793-0.06.27.091256</t>
  </si>
  <si>
    <t>0:06:27.091256</t>
  </si>
  <si>
    <t>AQAQaJyySeICbQ-arDp-3JiVrfgDJkey_0.06.27.091256-0.06.34.050702</t>
  </si>
  <si>
    <t>0:06:34.050702</t>
  </si>
  <si>
    <t>AQAQaJyySeICbQ-arDp-3JiVrfgDJkey_0.06.34.050702-0.06.41.028725</t>
  </si>
  <si>
    <t>0:06:41.028725</t>
  </si>
  <si>
    <t>AQAQaJyySeICbQ-arDp-3JiVrfgDJkey_0.06.41.028725-0.06.44.030585</t>
  </si>
  <si>
    <t>0:06:44.030585</t>
  </si>
  <si>
    <t>AQAQaJyySeICbQ-arDp-3JiVrfgDJkey_0.06.44.030585-0.06.47.097460</t>
  </si>
  <si>
    <t>0:06:47.097460</t>
  </si>
  <si>
    <t>AQAQaJyySeICbQ-arDp-3JiVrfgDJkey_0.06.47.097460-0.06.51.031827</t>
  </si>
  <si>
    <t>0:06:51.031827</t>
  </si>
  <si>
    <t>AQAQaJyySeICbQ-arDp-3JiVrfgDJkey_0.06.51.031827-0.06.54.098702</t>
  </si>
  <si>
    <t>0:06:54.098702</t>
  </si>
  <si>
    <t>AQAQaJyySeICbQ-arDp-3JiVrfgDJkey_0.06.54.098702-0.06.58.065578</t>
  </si>
  <si>
    <t>0:06:58.065578</t>
  </si>
  <si>
    <t>AQAQaJyySeICbQ-arDp-3JiVrfgDJkey_0.06.58.065578-0.07.02.064961</t>
  </si>
  <si>
    <t>0:07:02.064961</t>
  </si>
  <si>
    <t>AQAQaJyySeICbQ-arDp-3JiVrfgDJkey_0.07.02.064961-0.07.07.071156</t>
  </si>
  <si>
    <t>0:07:07.071156</t>
  </si>
  <si>
    <t>AQAQBlGjZMoiRD--6HjQJHnR1xqeoy9y_0.00.56.074956-0.02.42.063256</t>
  </si>
  <si>
    <t>David Vrcic (other, dr), Don Gomes (tp, p), Garry Lee (other, g, vib), Murray Wilkins (b), Roger Garrood (fl, other), Victoria Newton (bcl, voc)</t>
  </si>
  <si>
    <t>Garry Lee</t>
  </si>
  <si>
    <t>I Mean You</t>
  </si>
  <si>
    <t>Rock solid</t>
  </si>
  <si>
    <t>1990-03-12</t>
  </si>
  <si>
    <t>Perth, Western Australia</t>
  </si>
  <si>
    <t>0:00:56.074956</t>
  </si>
  <si>
    <t>0:02:42.063256</t>
  </si>
  <si>
    <t>AQAQBlGjZMoiRD--6HjQJHnR1xqeoy9y_0.02.42.063256-0.04.22.029260</t>
  </si>
  <si>
    <t>0:04:22.029260</t>
  </si>
  <si>
    <t>AQAQBlGjZMoiRD--6HjQJHnR1xqeoy9y_0.07.43.009877-0.08.28.060988</t>
  </si>
  <si>
    <t>0:07:43.009877</t>
  </si>
  <si>
    <t>0:08:28.060988</t>
  </si>
  <si>
    <t>AQAQC1OkpIvyINlp5EuKJzp-EH8wJU-S_0.00.50.099102-0.02.09.056734</t>
  </si>
  <si>
    <t>Eddie Johnson (ts), Jodie Christian (p), John Whitfield (b), Norris Turney (as), Sonny Cohn (tp)</t>
  </si>
  <si>
    <t>Norris Turney</t>
  </si>
  <si>
    <t>Splanky</t>
  </si>
  <si>
    <t>0:00:50.099102</t>
  </si>
  <si>
    <t>0:02:09.056734</t>
  </si>
  <si>
    <t>AQAQC1OkpIvyINlp5EuKJzp-EH8wJU-S_0.02.09.056734-0.03.25.082167</t>
  </si>
  <si>
    <t>0:03:25.082167</t>
  </si>
  <si>
    <t>AQAQC1OkpIvyINlp5EuKJzp-EH8wJU-S_0.03.25.082167-0.04.43.003673</t>
  </si>
  <si>
    <t>Sonny Cohn</t>
  </si>
  <si>
    <t>0:04:43.003673</t>
  </si>
  <si>
    <t>AQAQeVO2LIriAP0knMd5VMdzB7uRPDnC_0.06.53.091020-0.08.42.057959</t>
  </si>
  <si>
    <t>Bryan Doherty (b), Javier Saume (other), John McLean (g), Louis Stockwell (ts), Marcin Fahmy (p), Michael Raynor (dr)</t>
  </si>
  <si>
    <t>Louis Stockwell</t>
  </si>
  <si>
    <t>Bryan Doherty</t>
  </si>
  <si>
    <t>Rigamarole</t>
  </si>
  <si>
    <t>No mode</t>
  </si>
  <si>
    <t>2007-07-09</t>
  </si>
  <si>
    <t>0:06:53.091020</t>
  </si>
  <si>
    <t>0:08:42.057959</t>
  </si>
  <si>
    <t>AQAQEYkkO2EGPMsTPCWVoMlRJsGlhDau_0.00.41.023863-0.01.30.097578</t>
  </si>
  <si>
    <t>Blue wail</t>
  </si>
  <si>
    <t>0:01:30.097578</t>
  </si>
  <si>
    <t>AQAQEYkkO2EGPMsTPCWVoMlRJsGlhDau_0.01.30.097578-0.02.20.052716</t>
  </si>
  <si>
    <t>0:02:20.052716</t>
  </si>
  <si>
    <t>AQAQF5ISJ4ymJMF3HO9E4iduKYjUiAmR_0.01.01.051836-0.03.40.012517</t>
  </si>
  <si>
    <t>Boston Bernie</t>
  </si>
  <si>
    <t>0:01:01.051836</t>
  </si>
  <si>
    <t>0:03:40.012517</t>
  </si>
  <si>
    <t>AQAQF5ISJ4ymJMF3HO9E4iduKYjUiAmR_0.05.24.028988-0.05.36.087510</t>
  </si>
  <si>
    <t>0:05:24.028988</t>
  </si>
  <si>
    <t>0:05:36.087510</t>
  </si>
  <si>
    <t>AQAQF5ISJ4ymJMF3HO9E4iduKYjUiAmR_0.05.47.064916-0.06.00.051301</t>
  </si>
  <si>
    <t>0:05:47.064916</t>
  </si>
  <si>
    <t>0:06:00.051301</t>
  </si>
  <si>
    <t>AQAQF5ISJ4ymJMF3HO9E4iduKYjUiAmR_0.06.17.069578-0.06.24.033668</t>
  </si>
  <si>
    <t>0:06:17.069578</t>
  </si>
  <si>
    <t>0:06:24.033668</t>
  </si>
  <si>
    <t>AQAQF5ISJ4ymJMF3HO9E4iduKYjUiAmR_0.06.29.053795-0.06.36.027174</t>
  </si>
  <si>
    <t>0:06:36.027174</t>
  </si>
  <si>
    <t>AQAQF5ISJ4ymJMF3HO9E4iduKYjUiAmR_0.06.41.056589-0.06.48.057832</t>
  </si>
  <si>
    <t>0:06:41.056589</t>
  </si>
  <si>
    <t>0:06:48.057832</t>
  </si>
  <si>
    <t>AQAQF5ISJ4ymJMF3HO9E4iduKYjUiAmR_0.06.53.040807-0.07.00.074557</t>
  </si>
  <si>
    <t>0:06:53.040807</t>
  </si>
  <si>
    <t>0:07:00.074557</t>
  </si>
  <si>
    <t>AQAQn0okPkqOCk2yNMd9PPmRXFSHMFQY_0.00.52.019845-0.03.53.001224</t>
  </si>
  <si>
    <t>0:03:53.001224</t>
  </si>
  <si>
    <t>AQAQn0okPkqOCk2yNMd9PPmRXFSHMFQY_0.05.55.013469-0.06.08.052244</t>
  </si>
  <si>
    <t>0:05:55.013469</t>
  </si>
  <si>
    <t>0:06:08.052244</t>
  </si>
  <si>
    <t>AQAQn0okPkqOCk2yNMd9PPmRXFSHMFQY_0.06.19.022829-0.06.32.026122</t>
  </si>
  <si>
    <t>0:06:19.022829</t>
  </si>
  <si>
    <t>0:06:32.026122</t>
  </si>
  <si>
    <t>AQAQn0okPkqOCk2yNMd9PPmRXFSHMFQY_0.06.43.036326-0.06.50.028571</t>
  </si>
  <si>
    <t>0:06:43.036326</t>
  </si>
  <si>
    <t>0:06:50.028571</t>
  </si>
  <si>
    <t>AQAQn0okPkqOCk2yNMd9PPmRXFSHMFQY_0.06.55.012634-0.07.01.081369</t>
  </si>
  <si>
    <t>0:06:55.012634</t>
  </si>
  <si>
    <t>0:07:01.081369</t>
  </si>
  <si>
    <t>AQAQn0okPkqOCk2yNMd9PPmRXFSHMFQY_0.07.07.024716-0.07.13.084163</t>
  </si>
  <si>
    <t>0:07:07.024716</t>
  </si>
  <si>
    <t>0:07:13.084163</t>
  </si>
  <si>
    <t>AQAQn0okPkqOCk2yNMd9PPmRXFSHMFQY_0.07.19.046086-0.07.25.086956</t>
  </si>
  <si>
    <t>0:07:19.046086</t>
  </si>
  <si>
    <t>0:07:25.086956</t>
  </si>
  <si>
    <t>AQAQn0okPkqOCk2yNMd9PPmRXFSHMFQY_0.07.31.011727-0.07.34.046095</t>
  </si>
  <si>
    <t>0:07:31.011727</t>
  </si>
  <si>
    <t>0:07:34.046095</t>
  </si>
  <si>
    <t>AQAQn0okPkqOCk2yNMd9PPmRXFSHMFQY_0.07.36.096870-0.07.40.017306</t>
  </si>
  <si>
    <t>0:07:36.096870</t>
  </si>
  <si>
    <t>0:07:40.017306</t>
  </si>
  <si>
    <t>AQAQn0okPkqOCk2yNMd9PPmRXFSHMFQY_0.07.42.091301-0.07.45.069941</t>
  </si>
  <si>
    <t>0:07:42.091301</t>
  </si>
  <si>
    <t>0:07:45.069941</t>
  </si>
  <si>
    <t>AQAQn0okPkqOCk2yNMd9PPmRXFSHMFQY_0.07.48.085732-0.07.52.024743</t>
  </si>
  <si>
    <t>0:07:48.085732</t>
  </si>
  <si>
    <t>0:07:52.024743</t>
  </si>
  <si>
    <t>AQAQsEkSLkqyVKgoHpePD211WCYOHnbg_0.03.28.005079-0.06.05.045306</t>
  </si>
  <si>
    <t>Brian Shaw (tp), Dan Pierce (tb), Dave Rivello (other), Dean Keller (cl, bcl), Eli Asher (tp, flg), Jeff Meyer (other), Jose Encarnacion (cl, ts, fl), Malcolm Kirby (b), Matt Pivec (fl, ss), Red Wierenga (p), Ted Poor (other, dr)</t>
  </si>
  <si>
    <t>Matt Pivec</t>
  </si>
  <si>
    <t>Beyond the fall</t>
  </si>
  <si>
    <t>0:03:28.005079</t>
  </si>
  <si>
    <t>0:06:05.045306</t>
  </si>
  <si>
    <t>AQAQSUyWJdMyuEef4ccRDw1TQbuPHB8x_0.01.37.061668-0.02.31.085850</t>
  </si>
  <si>
    <t>Ellington Is Forever, Vol. 1</t>
  </si>
  <si>
    <t>1975-02-04</t>
  </si>
  <si>
    <t>0:01:37.061668</t>
  </si>
  <si>
    <t>0:02:31.085850</t>
  </si>
  <si>
    <t>AQAQSUyWJdMyuEef4ccRDw1TQbuPHB8x_0.02.31.085850-0.03.27.067346</t>
  </si>
  <si>
    <t>0:03:27.067346</t>
  </si>
  <si>
    <t>AQAQSUyWJdMyuEef4ccRDw1TQbuPHB8x_0.03.27.067346-0.04.24.088163</t>
  </si>
  <si>
    <t>0:04:24.088163</t>
  </si>
  <si>
    <t>AQAQSUyWJdMyuEef4ccRDw1TQbuPHB8x_0.04.24.088163-0.05.18.004081</t>
  </si>
  <si>
    <t>0:05:18.004081</t>
  </si>
  <si>
    <t>AQAQUlGUJEkS7YmCjNvxLbNSTB-aSQ8e_0.00.46.062566-0.04.36.089795</t>
  </si>
  <si>
    <t>Bernie's tune</t>
  </si>
  <si>
    <t>0:00:46.062566</t>
  </si>
  <si>
    <t>0:04:36.089795</t>
  </si>
  <si>
    <t>AQAQUlGUJEkS7YmCjNvxLbNSTB-aSQ8e_0.05.50.020335-0.05.58.080816</t>
  </si>
  <si>
    <t>0:05:50.020335</t>
  </si>
  <si>
    <t>0:05:58.080816</t>
  </si>
  <si>
    <t>AQAQUlGUJEkS7YmCjNvxLbNSTB-aSQ8e_0.05.58.080816-0.06.08.037551</t>
  </si>
  <si>
    <t>0:06:08.037551</t>
  </si>
  <si>
    <t>AQAQUlGUJEkS7YmCjNvxLbNSTB-aSQ8e_0.06.08.037551-0.06.18.026938</t>
  </si>
  <si>
    <t>0:06:18.026938</t>
  </si>
  <si>
    <t>AQAQUlGUJEkS7YmCjNvxLbNSTB-aSQ8e_0.06.18.026938-0.06.27.041224</t>
  </si>
  <si>
    <t>0:06:27.041224</t>
  </si>
  <si>
    <t>AQAQUlGUJEkS7YmCjNvxLbNSTB-aSQ8e_0.06.27.041224-0.06.32.031020</t>
  </si>
  <si>
    <t>0:06:32.031020</t>
  </si>
  <si>
    <t>AQAQUlGUJEkS7YmCjNvxLbNSTB-aSQ8e_0.06.32.031020-0.06.37.012653</t>
  </si>
  <si>
    <t>0:06:37.012653</t>
  </si>
  <si>
    <t>AQAQUlGUJEkS7YmCjNvxLbNSTB-aSQ8e_0.06.37.012653-0.06.40.076734</t>
  </si>
  <si>
    <t>0:06:40.076734</t>
  </si>
  <si>
    <t>AQAQUlGUJEkS7YmCjNvxLbNSTB-aSQ8e_0.06.40.076734-0.06.46.061224</t>
  </si>
  <si>
    <t>0:06:46.061224</t>
  </si>
  <si>
    <t>AQAQUlGUJEkS7YmCjNvxLbNSTB-aSQ8e_0.06.46.061224-0.06.50.062857</t>
  </si>
  <si>
    <t>0:06:50.062857</t>
  </si>
  <si>
    <t>AQAQUlGUJEkS7YmCjNvxLbNSTB-aSQ8e_0.06.50.062857-0.06.55.041224</t>
  </si>
  <si>
    <t>0:06:55.041224</t>
  </si>
  <si>
    <t>AQAQUlGUJEkS7YmCjNvxLbNSTB-aSQ8e_0.06.55.041224-0.06.59.093469</t>
  </si>
  <si>
    <t>0:06:59.093469</t>
  </si>
  <si>
    <t>AQAQUlGUJEkS7YmCjNvxLbNSTB-aSQ8e_0.06.59.093469-0.07.04.093061</t>
  </si>
  <si>
    <t>0:07:04.093061</t>
  </si>
  <si>
    <t>AQAQUlGUJEkS7YmCjNvxLbNSTB-aSQ8e_0.07.04.093061-0.07.09.012653</t>
  </si>
  <si>
    <t>0:07:09.012653</t>
  </si>
  <si>
    <t>AQAQUlGUJEkS7YmCjNvxLbNSTB-aSQ8e_0.07.09.012653-0.07.14.039891</t>
  </si>
  <si>
    <t>0:07:14.039891</t>
  </si>
  <si>
    <t>AQAQUlGUJEkS7YmCjNvxLbNSTB-aSQ8e_0.07.14.039891-0.07.18.027664</t>
  </si>
  <si>
    <t>0:07:18.027664</t>
  </si>
  <si>
    <t>AQAQUlGUJEkS7YmCjNvxLbNSTB-aSQ8e_0.07.18.027664-0.07.23.080299</t>
  </si>
  <si>
    <t>0:07:23.080299</t>
  </si>
  <si>
    <t>AQAQUlGUJEkS7YmCjNvxLbNSTB-aSQ8e_0.07.23.080299-0.07.28.002902</t>
  </si>
  <si>
    <t>0:07:28.002902</t>
  </si>
  <si>
    <t>AQAQUlGUJEkS7YmCjNvxLbNSTB-aSQ8e_0.07.28.002902-0.07.33.013741</t>
  </si>
  <si>
    <t>0:07:33.013741</t>
  </si>
  <si>
    <t>AQAQUlGUJEkS7YmCjNvxLbNSTB-aSQ8e_0.07.33.013741-0.07.37.059564</t>
  </si>
  <si>
    <t>0:07:37.059564</t>
  </si>
  <si>
    <t>AQAQUlGUJEkS7YmCjNvxLbNSTB-aSQ8e_0.07.37.059564-0.07.42.054149</t>
  </si>
  <si>
    <t>0:07:42.054149</t>
  </si>
  <si>
    <t>AQAQwlESZUkSJkngMLqCWj3Wq_gHZ1x2_0.01.16.027755-0.03.57.021505</t>
  </si>
  <si>
    <t>Brian Blade (dr), Christopher Thomas (b), Joshua Redman (as, ss, ts), Peter Bernstein (g), Peter Martin (p)</t>
  </si>
  <si>
    <t>Freedom In The Groove</t>
  </si>
  <si>
    <t>Streams of consciousness</t>
  </si>
  <si>
    <t>1996-04-10</t>
  </si>
  <si>
    <t>0:01:16.027755</t>
  </si>
  <si>
    <t>0:03:57.021505</t>
  </si>
  <si>
    <t>AQAQz-KXKFJwhMoOR0tOmNmO__BR_cQl_0.00.00.013931-0.00.44.021224</t>
  </si>
  <si>
    <t>Directions</t>
  </si>
  <si>
    <t>0:00:00.013931</t>
  </si>
  <si>
    <t>0:00:44.021224</t>
  </si>
  <si>
    <t>AQAQz-KXKFJwhMoOR0tOmNmO__BR_cQl_0.02.47.044489-0.03.27.015102</t>
  </si>
  <si>
    <t>0:03:27.015102</t>
  </si>
  <si>
    <t>AQAQz-KXKFJwhMoOR0tOmNmO__BR_cQl_0.03.27.015102-0.06.00.037369</t>
  </si>
  <si>
    <t>0:06:00.037369</t>
  </si>
  <si>
    <t>AQAR06IUS1sS7Clx5vCyJ8Kt4sFjMKGe_0.02.25.012471-0.04.42.067972</t>
  </si>
  <si>
    <t>Gene Ramey (b), Jo Jones (dr), Lester Young (ts), Roy Eldridge (tp), Teddy Wilson (p), Vic Dickenson (tb)</t>
  </si>
  <si>
    <t>The Jazz Giants '56</t>
  </si>
  <si>
    <t>Lester Young Vol. 12 1956</t>
  </si>
  <si>
    <t>I Guess I'll Have To Change My Plan</t>
  </si>
  <si>
    <t>1956-01-12</t>
  </si>
  <si>
    <t>0:02:25.012471</t>
  </si>
  <si>
    <t>0:04:42.067972</t>
  </si>
  <si>
    <t>AQAR06IUS1sS7Clx5vCyJ8Kt4sFjMKGe_0.06.59.016662-0.09.27.054666</t>
  </si>
  <si>
    <t>0:06:59.016662</t>
  </si>
  <si>
    <t>0:09:27.054666</t>
  </si>
  <si>
    <t>AQAR3BelhIvwHE4e4omQb0LyJJgz1MKm_0.02.10.096054-0.04.40.029387</t>
  </si>
  <si>
    <t>Fred Hopkins (b), Henry Threadgill (ts), Steve McCall (dr)</t>
  </si>
  <si>
    <t>Air Lore</t>
  </si>
  <si>
    <t>Buddy Bolden's blues</t>
  </si>
  <si>
    <t>1979-05-11</t>
  </si>
  <si>
    <t>0:04:40.029387</t>
  </si>
  <si>
    <t>AQAR3WGkRI9QHIr7IM-KH80ZolaGF85X_0.01.17.083328-0.03.42.056326</t>
  </si>
  <si>
    <t>Lost</t>
  </si>
  <si>
    <t>0:01:17.083328</t>
  </si>
  <si>
    <t>0:03:42.056326</t>
  </si>
  <si>
    <t>AQAR3WGkRI9QHIr7IM-KH80ZolaGF85X_0.03.42.056326-0.05.54.005786</t>
  </si>
  <si>
    <t>0:05:54.005786</t>
  </si>
  <si>
    <t>AQAR9okiSUmSJFIiBeKDH1fgB1B_pHzQ_0.01.26.093551-0.03.25.082167</t>
  </si>
  <si>
    <t>Landscape</t>
  </si>
  <si>
    <t>0:01:26.093551</t>
  </si>
  <si>
    <t>AQAR9okiSUmSJFIiBeKDH1fgB1B_pHzQ_0.06.22.056326-0.06.33.001224</t>
  </si>
  <si>
    <t>0:06:33.001224</t>
  </si>
  <si>
    <t>AQAR9okiSUmSJFIiBeKDH1fgB1B_pHzQ_0.06.40.084897-0.06.50.051428</t>
  </si>
  <si>
    <t>0:06:40.084897</t>
  </si>
  <si>
    <t>0:06:50.051428</t>
  </si>
  <si>
    <t>AQAR9okiSUmSJFIiBeKDH1fgB1B_pHzQ_0.06.59.072244-0.07.08.073469</t>
  </si>
  <si>
    <t>0:06:59.072244</t>
  </si>
  <si>
    <t>0:07:08.073469</t>
  </si>
  <si>
    <t>AQAR9okiSUmSJFIiBeKDH1fgB1B_pHzQ_0.07.17.068163-0.07.27.054140</t>
  </si>
  <si>
    <t>0:07:17.068163</t>
  </si>
  <si>
    <t>0:07:27.054140</t>
  </si>
  <si>
    <t>AQAR9okiSUmSJFIiBeKDH1fgB1B_pHzQ_0.07.34.069315-0.07.44.016689</t>
  </si>
  <si>
    <t>0:07:34.069315</t>
  </si>
  <si>
    <t>0:07:44.016689</t>
  </si>
  <si>
    <t>AQAR9okiSUmSJFIiBeKDH1fgB1B_pHzQ_0.07.52.043319-0.08.02.018557</t>
  </si>
  <si>
    <t>0:07:52.043319</t>
  </si>
  <si>
    <t>0:08:02.018557</t>
  </si>
  <si>
    <t>AQARAUmSLAmXJGKE68N_3Mi9oh9OGVeC_0.02.55.017133-0.04.43.065496</t>
  </si>
  <si>
    <t>Bob Mintzer (bcl, ss, ts), Bob Stein (as), Dave Bargeron (other), Don Alias (other), Frank Wess (ts), Jaco Pastorius (voc, b), Kenny Faulk (tp), Othello Molineaux (other), Peter Erskine (dr), Peter Gordon (flg), Randy Emerick (bs), Wayne Andre (tb)</t>
  </si>
  <si>
    <t>Kenny Faulk</t>
  </si>
  <si>
    <t>Jaco Pastorius</t>
  </si>
  <si>
    <t>Truth, Liberty &amp; Soul - Live in NYC 1983</t>
  </si>
  <si>
    <t>Soul intro / The chicken</t>
  </si>
  <si>
    <t>1982-06-27</t>
  </si>
  <si>
    <t>Concert, "Avery Fisher Hall", New York</t>
  </si>
  <si>
    <t>0:02:55.017133</t>
  </si>
  <si>
    <t>0:04:43.065496</t>
  </si>
  <si>
    <t>AQARAUmSLAmXJGKE68N_3Mi9oh9OGVeC_0.04.43.065496-0.06.32.051011</t>
  </si>
  <si>
    <t>Bob Mintzer, Frank Wess</t>
  </si>
  <si>
    <t>0:06:32.051011</t>
  </si>
  <si>
    <t>AQARDaIiRRIf3PhRP_CD6sdLfHtwRTXq_0.00.00.000000-0.02.53.045306</t>
  </si>
  <si>
    <t>Adam Holzman (other), Bob Belden (other), Lenny White (dr), Michael Henderson (b), Pete Cosey (g), Sivamani (), Vikku Vinayakram (other), Wallace Roney (tp)</t>
  </si>
  <si>
    <t>Wallace Roney</t>
  </si>
  <si>
    <t>Miles From India</t>
  </si>
  <si>
    <t>Miles runs the voodoo down</t>
  </si>
  <si>
    <t>2007-07-01</t>
  </si>
  <si>
    <t>New York, Mumbai &amp; Chennai, India, Saylorsburg, PA, Encino, CA, &amp; Chicago, IL, November 2006-</t>
  </si>
  <si>
    <t>0:02:53.045306</t>
  </si>
  <si>
    <t>AQARHMslJUmo4PmDP4X_4wyyJs6Eh3xw_0.01.25.015918-0.03.54.024290</t>
  </si>
  <si>
    <t>Anat Cohen (ts, ss, bcl, cl), Daniel Freedman (other, dr), Gilad Hekselman (g), Jason Lindner (p), Omer Avital (b)</t>
  </si>
  <si>
    <t>Anat Cohen</t>
  </si>
  <si>
    <t>Notes From The Village</t>
  </si>
  <si>
    <t>Jitterbug waltz</t>
  </si>
  <si>
    <t>2008-05-14</t>
  </si>
  <si>
    <t>0:01:25.015918</t>
  </si>
  <si>
    <t>0:03:54.024290</t>
  </si>
  <si>
    <t>AQARmUryaFGiJIKTH0mp9Mgz44GfFYzf_0.01.07.013469-0.02.20.080000</t>
  </si>
  <si>
    <t>After you've gone</t>
  </si>
  <si>
    <t>0:01:07.013469</t>
  </si>
  <si>
    <t>0:02:20.080000</t>
  </si>
  <si>
    <t>AQARmUryaFGiJIKTH0mp9Mgz44GfFYzf_0.02.20.080000-0.03.30.037278</t>
  </si>
  <si>
    <t>0:03:30.037278</t>
  </si>
  <si>
    <t>AQARmUryaFGiJIKTH0mp9Mgz44GfFYzf_0.03.30.037278-0.04.41.051873</t>
  </si>
  <si>
    <t>0:04:41.051873</t>
  </si>
  <si>
    <t>AQARmUryaFGiJIKTH0mp9Mgz44GfFYzf_0.04.41.051873-0.05.50.080707</t>
  </si>
  <si>
    <t>0:05:50.080707</t>
  </si>
  <si>
    <t>AQARmUryaFGiJIKTH0mp9Mgz44GfFYzf_0.06.59.063102-0.08.08.042448</t>
  </si>
  <si>
    <t>0:06:59.063102</t>
  </si>
  <si>
    <t>0:08:08.042448</t>
  </si>
  <si>
    <t>AQARmUryaFGiJIKTH0mp9Mgz44GfFYzf_0.08.08.042448-0.08.12.001632</t>
  </si>
  <si>
    <t>0:08:12.001632</t>
  </si>
  <si>
    <t>AQARmUryaFGiJIKTH0mp9Mgz44GfFYzf_0.08.15.041224-0.08.18.074285</t>
  </si>
  <si>
    <t>0:08:15.041224</t>
  </si>
  <si>
    <t>0:08:18.074285</t>
  </si>
  <si>
    <t>AQARmUryaFGiJIKTH0mp9Mgz44GfFYzf_0.08.21.061632-0.08.25.053469</t>
  </si>
  <si>
    <t>0:08:21.061632</t>
  </si>
  <si>
    <t>0:08:25.053469</t>
  </si>
  <si>
    <t>AQARmUryaFGiJIKTH0mp9Mgz44GfFYzf_0.08.28.073469-0.08.31.060816</t>
  </si>
  <si>
    <t>0:08:28.073469</t>
  </si>
  <si>
    <t>0:08:31.060816</t>
  </si>
  <si>
    <t>AQARNUn2cQR_6Ji8JKiYMA_y40P-oYHm_0.02.34.018049-0.04.28.079419</t>
  </si>
  <si>
    <t>Anat Cohen (bcl, cl, ts, ss), Daniel Freedman (dr, other), Gilad Hekselman (g), Jason Lindner (p), Omer Avital (b)</t>
  </si>
  <si>
    <t>Washington Square Park</t>
  </si>
  <si>
    <t>0:02:34.018049</t>
  </si>
  <si>
    <t>0:04:28.079419</t>
  </si>
  <si>
    <t>AQARnY2iSJSk4T_-w9PD4LGO5h3uFGMK_0.06.54.082448-0.08.21.081224</t>
  </si>
  <si>
    <t>On Broadway, Vol. 1</t>
  </si>
  <si>
    <t>Someone to watch over me</t>
  </si>
  <si>
    <t>1988-11-01</t>
  </si>
  <si>
    <t>0:06:54.082448</t>
  </si>
  <si>
    <t>0:08:21.081224</t>
  </si>
  <si>
    <t>AQAS1iKVKH2wPQp-lD8aJtFwKR_4iHiu_0.03.49.059891-0.06.13.000535</t>
  </si>
  <si>
    <t>Granada</t>
  </si>
  <si>
    <t>0:03:49.059891</t>
  </si>
  <si>
    <t>0:06:13.000535</t>
  </si>
  <si>
    <t>AQAS3VxEZUknXIGf4jnyqE2RHOt8MHkY_0.03.40.031092-0.05.51.008571</t>
  </si>
  <si>
    <t>Art Pepper (as), Bob Magnusson (b), Pete Jolly (p), Roy McCurdy (dr)</t>
  </si>
  <si>
    <t>Pete Jolly</t>
  </si>
  <si>
    <t>Strike Up The Band</t>
  </si>
  <si>
    <t>Night and day</t>
  </si>
  <si>
    <t>1980-02-26</t>
  </si>
  <si>
    <t>0:03:40.031092</t>
  </si>
  <si>
    <t>0:05:51.008571</t>
  </si>
  <si>
    <t>AQAS3VxEZUknXIGf4jnyqE2RHOt8MHkY_0.06.59.067746-0.07.05.052888</t>
  </si>
  <si>
    <t>0:06:59.067746</t>
  </si>
  <si>
    <t>0:07:05.052888</t>
  </si>
  <si>
    <t>AQAS3VxEZUknXIGf4jnyqE2RHOt8MHkY_0.07.10.086947-0.07.16.058158</t>
  </si>
  <si>
    <t>0:07:10.086947</t>
  </si>
  <si>
    <t>0:07:16.058158</t>
  </si>
  <si>
    <t>AQAS3VxEZUknXIGf4jnyqE2RHOt8MHkY_0.07.21.017913-0.07.26.061260</t>
  </si>
  <si>
    <t>0:07:21.017913</t>
  </si>
  <si>
    <t>0:07:26.061260</t>
  </si>
  <si>
    <t>AQAS3VxEZUknXIGf4jnyqE2RHOt8MHkY_0.07.32.083555-0.07.37.047954</t>
  </si>
  <si>
    <t>0:07:32.083555</t>
  </si>
  <si>
    <t>0:07:37.047954</t>
  </si>
  <si>
    <t>AQAS3VxEZUknXIGf4jnyqE2RHOt8MHkY_0.07.42.086657-0.07.48.090376</t>
  </si>
  <si>
    <t>0:07:42.086657</t>
  </si>
  <si>
    <t>0:07:48.090376</t>
  </si>
  <si>
    <t>AQAS3VxEZUknXIGf4jnyqE2RHOt8MHkY_0.07.54.001215-0.07.58.014530</t>
  </si>
  <si>
    <t>0:07:54.001215</t>
  </si>
  <si>
    <t>0:07:58.014530</t>
  </si>
  <si>
    <t>AQAS3VxEZUknXIGf4jnyqE2RHOt8MHkY_0.09.02.041814-0.09.56.047419</t>
  </si>
  <si>
    <t>0:09:02.041814</t>
  </si>
  <si>
    <t>0:09:56.047419</t>
  </si>
  <si>
    <t>AQAS3Yy0qBx-HRuZTegd-OCDi_hyPJgW_0.02.14.007201-0.04.24.008054</t>
  </si>
  <si>
    <t>I Didn't Know What Time It Was</t>
  </si>
  <si>
    <t>0:04:24.008054</t>
  </si>
  <si>
    <t>AQAS3Yy0qBx-HRuZTegd-OCDi_hyPJgW_0.04.24.008054-0.06.32.030113</t>
  </si>
  <si>
    <t>0:06:32.030113</t>
  </si>
  <si>
    <t>AQAS69WUZE6UBEm5I916tFQyHdcuXBbC_0.00.33.090113-0.01.25.081224</t>
  </si>
  <si>
    <t>Ake Persson (tb), Benny Bailey (tp), Buddy Catlett (b), Eric Dixon (ts), Patti Bown (p), Phil Woods (as), Quincy Jones (other), Sahib Shihab (fl, bs), Stu Martin (dr)</t>
  </si>
  <si>
    <t>Ake Persson</t>
  </si>
  <si>
    <t>Jazz Conference Abroad</t>
  </si>
  <si>
    <t>Scrapple from the apple</t>
  </si>
  <si>
    <t>1961-03-11</t>
  </si>
  <si>
    <t>Zurich</t>
  </si>
  <si>
    <t>0:00:33.090113</t>
  </si>
  <si>
    <t>0:01:25.081224</t>
  </si>
  <si>
    <t>AQAS69WUZE6UBEm5I916tFQyHdcuXBbC_0.01.25.081224-0.02.16.085841</t>
  </si>
  <si>
    <t>0:02:16.085841</t>
  </si>
  <si>
    <t>AQAS69WUZE6UBEm5I916tFQyHdcuXBbC_0.02.16.085841-0.03.08.008163</t>
  </si>
  <si>
    <t>Benny Bailey</t>
  </si>
  <si>
    <t>0:03:08.008163</t>
  </si>
  <si>
    <t>AQAS69WUZE6UBEm5I916tFQyHdcuXBbC_0.03.08.008163-0.03.59.035129</t>
  </si>
  <si>
    <t>0:03:59.035129</t>
  </si>
  <si>
    <t>AQAS69WUZE6UBEm5I916tFQyHdcuXBbC_0.03.59.035129-0.04.50.052807</t>
  </si>
  <si>
    <t>0:04:50.052807</t>
  </si>
  <si>
    <t>AQAS69WUZE6UBEm5I916tFQyHdcuXBbC_0.04.50.052807-0.05.41.042621</t>
  </si>
  <si>
    <t>Eric Dixon</t>
  </si>
  <si>
    <t>0:05:41.042621</t>
  </si>
  <si>
    <t>AQAS69WUZE6UBEm5I916tFQyHdcuXBbC_0.05.41.042621-0.06.32.032435</t>
  </si>
  <si>
    <t>0:06:32.032435</t>
  </si>
  <si>
    <t>AQAS69WUZE6UBEm5I916tFQyHdcuXBbC_0.07.46.016380-0.07.52.094403</t>
  </si>
  <si>
    <t>0:07:46.016380</t>
  </si>
  <si>
    <t>0:07:52.094403</t>
  </si>
  <si>
    <t>AQAS69WUZE6UBEm5I916tFQyHdcuXBbC_0.07.58.084190-0.08.04.083265</t>
  </si>
  <si>
    <t>0:07:58.084190</t>
  </si>
  <si>
    <t>0:08:04.083265</t>
  </si>
  <si>
    <t>AQAS69WUZE6UBEm5I916tFQyHdcuXBbC_0.08.10.059120-0.08.16.072126</t>
  </si>
  <si>
    <t>0:08:10.059120</t>
  </si>
  <si>
    <t>0:08:16.072126</t>
  </si>
  <si>
    <t>AQAS69WUZE6UBEm5I916tFQyHdcuXBbC_0.08.22.047981-0.08.28.093496</t>
  </si>
  <si>
    <t>0:08:22.047981</t>
  </si>
  <si>
    <t>0:08:28.093496</t>
  </si>
  <si>
    <t>AQAS69WUZE6UBEm5I916tFQyHdcuXBbC_0.08.34.032199-0.08.40.073070</t>
  </si>
  <si>
    <t>0:08:34.032199</t>
  </si>
  <si>
    <t>0:08:40.073070</t>
  </si>
  <si>
    <t>AQAS69WUZE6UBEm5I916tFQyHdcuXBbC_0.08.46.039637-0.08.52.066575</t>
  </si>
  <si>
    <t>0:08:46.039637</t>
  </si>
  <si>
    <t>0:08:52.066575</t>
  </si>
  <si>
    <t>AQAS69WUZE6UBEm5I916tFQyHdcuXBbC_0.08.58.070294-0.09.05.025097</t>
  </si>
  <si>
    <t>0:08:58.070294</t>
  </si>
  <si>
    <t>0:09:05.025097</t>
  </si>
  <si>
    <t>AQASFdTyKaESFN_y4HvgKcJ9NDJLxEbC_0.01.20.043392-0.04.24.033596</t>
  </si>
  <si>
    <t>Branford Marsalis</t>
  </si>
  <si>
    <t>Four MFs Playin' Tunes</t>
  </si>
  <si>
    <t>My ideal</t>
  </si>
  <si>
    <t>2011-10-11</t>
  </si>
  <si>
    <t>Durham, NC</t>
  </si>
  <si>
    <t>0:01:20.043392</t>
  </si>
  <si>
    <t>0:04:24.033596</t>
  </si>
  <si>
    <t>AQASGMsrKdGSIGcWQ8uCSBfxB7tmnOCb_0.00.12.043428-0.03.08.089433</t>
  </si>
  <si>
    <t>Donald Byrd (tp), Gene Ramey (b), Max Roach (dr), Sonny Rollins (ts), Wynton Kelly (p)</t>
  </si>
  <si>
    <t>Sonny Rollins Quintet</t>
  </si>
  <si>
    <t>Hard Bop - Sonny Rollins Vol. 2</t>
  </si>
  <si>
    <t>Sonnysphere</t>
  </si>
  <si>
    <t>1956-12-16</t>
  </si>
  <si>
    <t>0:00:12.043428</t>
  </si>
  <si>
    <t>0:03:08.089433</t>
  </si>
  <si>
    <t>AQASGMsrKdGSIGcWQ8uCSBfxB7tmnOCb_0.03.08.089433-0.05.04.029460</t>
  </si>
  <si>
    <t>Donald Byrd</t>
  </si>
  <si>
    <t>0:05:04.029460</t>
  </si>
  <si>
    <t>AQASGMsrKdGSIGcWQ8uCSBfxB7tmnOCb_0.06.25.054412-0.06.29.064825</t>
  </si>
  <si>
    <t>0:06:25.054412</t>
  </si>
  <si>
    <t>0:06:29.064825</t>
  </si>
  <si>
    <t>AQASGMsrKdGSIGcWQ8uCSBfxB7tmnOCb_0.06.32.035047-0.06.36.073904</t>
  </si>
  <si>
    <t>0:06:32.035047</t>
  </si>
  <si>
    <t>0:06:36.073904</t>
  </si>
  <si>
    <t>AQASGMsrKdGSIGcWQ8uCSBfxB7tmnOCb_0.06.39.025841-0.06.42.075301</t>
  </si>
  <si>
    <t>0:06:39.025841</t>
  </si>
  <si>
    <t>0:06:42.075301</t>
  </si>
  <si>
    <t>AQASGMsrKdGSIGcWQ8uCSBfxB7tmnOCb_0.06.46.024761-0.06.49.029523</t>
  </si>
  <si>
    <t>0:06:46.024761</t>
  </si>
  <si>
    <t>0:06:49.029523</t>
  </si>
  <si>
    <t>AQASGMsrKdGSIGcWQ8uCSBfxB7tmnOCb_0.06.52.058666-0.06.57.015809</t>
  </si>
  <si>
    <t>0:06:52.058666</t>
  </si>
  <si>
    <t>0:06:57.015809</t>
  </si>
  <si>
    <t>AQASGMsrKdGSIGcWQ8uCSBfxB7tmnOCb_0.06.59.035238-0.07.03.041587</t>
  </si>
  <si>
    <t>0:06:59.035238</t>
  </si>
  <si>
    <t>0:07:03.041587</t>
  </si>
  <si>
    <t>AQASGMsrKdGSIGcWQ8uCSBfxB7tmnOCb_0.07.06.019936-0.07.09.083619</t>
  </si>
  <si>
    <t>0:07:06.019936</t>
  </si>
  <si>
    <t>0:07:09.083619</t>
  </si>
  <si>
    <t>AQASGMsrKdGSIGcWQ8uCSBfxB7tmnOCb_0.07.12.072126-0.07.16.054095</t>
  </si>
  <si>
    <t>0:07:12.072126</t>
  </si>
  <si>
    <t>0:07:16.054095</t>
  </si>
  <si>
    <t>AQASGMsrKdGSIGcWQ8uCSBfxB7tmnOCb_0.07.19.044634-0.07.21.019365</t>
  </si>
  <si>
    <t>0:07:19.044634</t>
  </si>
  <si>
    <t>0:07:21.019365</t>
  </si>
  <si>
    <t>AQASGMsrKdGSIGcWQ8uCSBfxB7tmnOCb_0.07.22.075809-0.07.24.070857</t>
  </si>
  <si>
    <t>0:07:22.075809</t>
  </si>
  <si>
    <t>0:07:24.070857</t>
  </si>
  <si>
    <t>AQASGMsrKdGSIGcWQ8uCSBfxB7tmnOCb_0.07.25.086666-0.07.27.057333</t>
  </si>
  <si>
    <t>0:07:25.086666</t>
  </si>
  <si>
    <t>0:07:27.057333</t>
  </si>
  <si>
    <t>AQASGMsrKdGSIGcWQ8uCSBfxB7tmnOCb_0.07.29.007682-0.07.30.053968</t>
  </si>
  <si>
    <t>0:07:29.007682</t>
  </si>
  <si>
    <t>0:07:30.053968</t>
  </si>
  <si>
    <t>AQASGMsrKdGSIGcWQ8uCSBfxB7tmnOCb_0.07.32.036825-0.07.34.013587</t>
  </si>
  <si>
    <t>0:07:32.036825</t>
  </si>
  <si>
    <t>0:07:34.013587</t>
  </si>
  <si>
    <t>AQASGMsrKdGSIGcWQ8uCSBfxB7tmnOCb_0.07.35.076126-0.07.37.063047</t>
  </si>
  <si>
    <t>0:07:35.076126</t>
  </si>
  <si>
    <t>0:07:37.063047</t>
  </si>
  <si>
    <t>AQASGMsrKdGSIGcWQ8uCSBfxB7tmnOCb_0.07.38.091047-0.07.40.096253</t>
  </si>
  <si>
    <t>0:07:38.091047</t>
  </si>
  <si>
    <t>0:07:40.096253</t>
  </si>
  <si>
    <t>AQASGMsrKdGSIGcWQ8uCSBfxB7tmnOCb_0.07.42.064888-0.07.44.013206</t>
  </si>
  <si>
    <t>0:07:42.064888</t>
  </si>
  <si>
    <t>0:07:44.013206</t>
  </si>
  <si>
    <t>AQASGMsrKdGSIGcWQ8uCSBfxB7tmnOCb_0.07.45.089968-0.07.47.064698</t>
  </si>
  <si>
    <t>0:07:45.089968</t>
  </si>
  <si>
    <t>0:07:47.064698</t>
  </si>
  <si>
    <t>AQASGMsrKdGSIGcWQ8uCSBfxB7tmnOCb_0.07.49.037396-0.07.51.006031</t>
  </si>
  <si>
    <t>0:07:49.037396</t>
  </si>
  <si>
    <t>0:07:51.006031</t>
  </si>
  <si>
    <t>AQASGMsrKdGSIGcWQ8uCSBfxB7tmnOCb_0.07.52.064507-0.07.54.043301</t>
  </si>
  <si>
    <t>0:07:52.064507</t>
  </si>
  <si>
    <t>0:07:54.043301</t>
  </si>
  <si>
    <t>AQASGMsrKdGSIGcWQ8uCSBfxB7tmnOCb_0.07.56.003809-0.07.57.062285</t>
  </si>
  <si>
    <t>0:07:56.003809</t>
  </si>
  <si>
    <t>0:07:57.062285</t>
  </si>
  <si>
    <t>AQASGMsrKdGSIGcWQ8uCSBfxB7tmnOCb_0.07.59.024825-0.08.00.085333</t>
  </si>
  <si>
    <t>0:07:59.024825</t>
  </si>
  <si>
    <t>0:08:00.085333</t>
  </si>
  <si>
    <t>AQASGMsrKdGSIGcWQ8uCSBfxB7tmnOCb_0.08.02.056000-0.08.04.024634</t>
  </si>
  <si>
    <t>0:08:02.056000</t>
  </si>
  <si>
    <t>0:08:04.024634</t>
  </si>
  <si>
    <t>AQASGMsrKdGSIGcWQ8uCSBfxB7tmnOCb_0.08.05.093269-0.08.07.063936</t>
  </si>
  <si>
    <t>0:08:05.093269</t>
  </si>
  <si>
    <t>0:08:07.063936</t>
  </si>
  <si>
    <t>AQASGMsrKdGSIGcWQ8uCSBfxB7tmnOCb_0.08.09.022412-0.08.10.068698</t>
  </si>
  <si>
    <t>0:08:09.022412</t>
  </si>
  <si>
    <t>0:08:10.068698</t>
  </si>
  <si>
    <t>AQASGMsrKdGSIGcWQ8uCSBfxB7tmnOCb_0.08.12.063746-0.08.14.034412</t>
  </si>
  <si>
    <t>0:08:12.063746</t>
  </si>
  <si>
    <t>0:08:14.034412</t>
  </si>
  <si>
    <t>AQASGMsrKdGSIGcWQ8uCSBfxB7tmnOCb_0.08.16.005079-0.08.17.057460</t>
  </si>
  <si>
    <t>0:08:16.005079</t>
  </si>
  <si>
    <t>0:08:17.057460</t>
  </si>
  <si>
    <t>AQASGMsrKdGSIGcWQ8uCSBfxB7tmnOCb_0.08.19.020580-0.08.20.073832</t>
  </si>
  <si>
    <t>0:08:19.020580</t>
  </si>
  <si>
    <t>0:08:20.073832</t>
  </si>
  <si>
    <t>AQASGMsrKdGSIGcWQ8uCSBfxB7tmnOCb_0.08.22.038693-0.08.24.005877</t>
  </si>
  <si>
    <t>0:08:22.038693</t>
  </si>
  <si>
    <t>0:08:24.005877</t>
  </si>
  <si>
    <t>AQASGMsrKdGSIGcWQ8uCSBfxB7tmnOCb_0.08.25.070739-0.08.27.040244</t>
  </si>
  <si>
    <t>0:08:25.070739</t>
  </si>
  <si>
    <t>0:08:27.040244</t>
  </si>
  <si>
    <t>AQASGMsrKdGSIGcWQ8uCSBfxB7tmnOCb_0.08.29.005106-0.08.30.076934</t>
  </si>
  <si>
    <t>0:08:29.005106</t>
  </si>
  <si>
    <t>0:08:30.076934</t>
  </si>
  <si>
    <t>AQASGMsrKdGSIGcWQ8uCSBfxB7tmnOCb_0.08.32.032507-0.08.34.013623</t>
  </si>
  <si>
    <t>0:08:32.032507</t>
  </si>
  <si>
    <t>0:08:34.013623</t>
  </si>
  <si>
    <t>AQASGMsrKdGSIGcWQ8uCSBfxB7tmnOCb_0.08.35.080807-0.08.37.026340</t>
  </si>
  <si>
    <t>0:08:35.080807</t>
  </si>
  <si>
    <t>0:08:37.026340</t>
  </si>
  <si>
    <t>AQASGMsrKdGSIGcWQ8uCSBfxB7tmnOCb_0.08.39.015174-0.08.40.077714</t>
  </si>
  <si>
    <t>0:08:39.015174</t>
  </si>
  <si>
    <t>0:08:40.077714</t>
  </si>
  <si>
    <t>AQASGMsrKdGSIGcWQ8uCSBfxB7tmnOCb_0.08.42.035609-0.08.44.005115</t>
  </si>
  <si>
    <t>0:08:42.035609</t>
  </si>
  <si>
    <t>0:08:44.005115</t>
  </si>
  <si>
    <t>AQASGMsrKdGSIGcWQ8uCSBfxB7tmnOCb_0.08.45.051401-0.08.47.002331</t>
  </si>
  <si>
    <t>0:08:45.051401</t>
  </si>
  <si>
    <t>0:08:47.002331</t>
  </si>
  <si>
    <t>AQASGMsrKdGSIGcWQ8uCSBfxB7tmnOCb_0.08.48.095056-0.08.50.055274</t>
  </si>
  <si>
    <t>0:08:48.095056</t>
  </si>
  <si>
    <t>0:08:50.055274</t>
  </si>
  <si>
    <t>AQASGMsrKdGSIGcWQ8uCSBfxB7tmnOCb_0.08.52.013170-0.08.53.087000</t>
  </si>
  <si>
    <t>0:08:52.013170</t>
  </si>
  <si>
    <t>0:08:53.087000</t>
  </si>
  <si>
    <t>AQASGMsrKdGSIGcWQ8uCSBfxB7tmnOCb_0.08.55.042893-0.08.57.021687</t>
  </si>
  <si>
    <t>0:08:55.042893</t>
  </si>
  <si>
    <t>0:08:57.021687</t>
  </si>
  <si>
    <t>AQASGMsrKdGSIGcWQ8uCSBfxB7tmnOCb_0.08.58.074938-0.09.00.042122</t>
  </si>
  <si>
    <t>0:08:58.074938</t>
  </si>
  <si>
    <t>0:09:00.042122</t>
  </si>
  <si>
    <t>AQASGMsrKdGSIGcWQ8uCSBfxB7tmnOCb_0.09.01.097696-0.09.05.032063</t>
  </si>
  <si>
    <t>0:09:01.097696</t>
  </si>
  <si>
    <t>0:09:05.032063</t>
  </si>
  <si>
    <t>AQASGNITKyNu9DTy4lEQng_GPEclK7Bz_0.01.12.009795-0.03.23.040680</t>
  </si>
  <si>
    <t>Heartvelt</t>
  </si>
  <si>
    <t>1990-03-26</t>
  </si>
  <si>
    <t>0:01:12.009795</t>
  </si>
  <si>
    <t>0:03:23.040680</t>
  </si>
  <si>
    <t>AQASGNITKyNu9DTy4lEQng_GPEclK7Bz_0.03.41.042548-0.05.31.002367</t>
  </si>
  <si>
    <t>0:03:41.042548</t>
  </si>
  <si>
    <t>0:05:31.002367</t>
  </si>
  <si>
    <t>AQASK2PUyAqRxkuQ5Nlx08Ej4ooonAmD_0.02.16.013859-0.04.03.057732</t>
  </si>
  <si>
    <t>Donald Byrd (tp), Elmo Hope (p), Hank Mobley (ts), John Coltrane (ts), Paul Chambers (b), Philly Joe Jones (dr)</t>
  </si>
  <si>
    <t>Elmo Hope All-Star Sextet</t>
  </si>
  <si>
    <t>Elmo Hope</t>
  </si>
  <si>
    <t>Hard Bop - John Coltrane 1956 Vol. 1</t>
  </si>
  <si>
    <t>1956-05-07</t>
  </si>
  <si>
    <t>0:02:16.013859</t>
  </si>
  <si>
    <t>0:04:03.057732</t>
  </si>
  <si>
    <t>AQASK2PUyAqRxkuQ5Nlx08Ej4ooonAmD_0.04.03.057732-0.05.51.059655</t>
  </si>
  <si>
    <t>0:05:51.059655</t>
  </si>
  <si>
    <t>AQASK2PUyAqRxkuQ5Nlx08Ej4ooonAmD_0.05.51.059655-0.07.39.036036</t>
  </si>
  <si>
    <t>0:07:39.036036</t>
  </si>
  <si>
    <t>AQASK4kSL2oyofmH07iP8_gV9IcfohaP_0.04.43.016734-0.06.10.067755</t>
  </si>
  <si>
    <t>Chick Corea (p), Gary Burton (vib), Jonathan Stockhammer (other), Tim Garland (other)</t>
  </si>
  <si>
    <t>Gary Burton</t>
  </si>
  <si>
    <t>Chick Corea</t>
  </si>
  <si>
    <t>The New Crystal Silence</t>
  </si>
  <si>
    <t>Brasilia</t>
  </si>
  <si>
    <t>2007-05-10</t>
  </si>
  <si>
    <t>Live, Sydney Opera House, Sydney, Australia</t>
  </si>
  <si>
    <t>0:04:43.016734</t>
  </si>
  <si>
    <t>0:06:10.067755</t>
  </si>
  <si>
    <t>AQASMkxCRUwaCRMlC1eOxweYB32O5KSE_0.00.24.052027-0.03.33.006630</t>
  </si>
  <si>
    <t>Bob DeBellis (as, ts, fl), Designer (voc), Don Byron (bcl, cl), Edsel Gomez (p), James Zollar (tp), Leo Traversa (voc, b), Milton Cardona (other, voc)</t>
  </si>
  <si>
    <t>James Zollar</t>
  </si>
  <si>
    <t>You Are #6 (More Music For Six Musicians)</t>
  </si>
  <si>
    <t>Dark room</t>
  </si>
  <si>
    <t>2002-01-01</t>
  </si>
  <si>
    <t>Shokan, NY &amp; New York City</t>
  </si>
  <si>
    <t>0:00:24.052027</t>
  </si>
  <si>
    <t>AQASMkxCRUwaCRMlC1eOxweYB32O5KSE_0.07.47.074276-0.09.29.091056</t>
  </si>
  <si>
    <t>0:07:47.074276</t>
  </si>
  <si>
    <t>0:09:29.091056</t>
  </si>
  <si>
    <t>AQASnFm6iYwSRMp5fPmQ_UhuPNHwKNvx_0.02.29.053650-0.03.27.067927</t>
  </si>
  <si>
    <t>Avery Sharpe (b), Doug Harris (as, ss, fl), Howard Johnson (other), John Clark (flg), Louis Hayes (dr), McCoy Tyner (p, other), Ricky Ford (ts), Robin Eubanks (tb, other), Steve Thornton (other), Steve Turre (other, tb), Virgil Jones (tp)</t>
  </si>
  <si>
    <t>Virgil Jones</t>
  </si>
  <si>
    <t>Blues for Basie</t>
  </si>
  <si>
    <t>0:02:29.053650</t>
  </si>
  <si>
    <t>0:03:27.067927</t>
  </si>
  <si>
    <t>AQASnFm6iYwSRMp5fPmQ_UhuPNHwKNvx_0.03.27.067927-0.05.16.008163</t>
  </si>
  <si>
    <t>0:05:16.008163</t>
  </si>
  <si>
    <t>AQASr4kyqVK0BBd66Mdzod6K5jqRv_jx_0.01.00.092916-0.04.27.067963</t>
  </si>
  <si>
    <t>Dexter Gordon (ts), Hank Jones (p), Louis Hayes (dr), Stanley Clarke (b), Thad Jones (flg, tp)</t>
  </si>
  <si>
    <t>August blues</t>
  </si>
  <si>
    <t>1972-06-28</t>
  </si>
  <si>
    <t>0:01:00.092916</t>
  </si>
  <si>
    <t>0:04:27.067963</t>
  </si>
  <si>
    <t>AQASr4kyqVK0BBd66Mdzod6K5jqRv_jx_0.04.27.067963-0.06.27.078775</t>
  </si>
  <si>
    <t>0:06:27.078775</t>
  </si>
  <si>
    <t>AQAStoqSSGpoNAf-4AeTEj_CVJkD_Qjz_0.00.51.089659-0.04.14.046748</t>
  </si>
  <si>
    <t>Art Blakey (dr), Jackie McLean (as), Jr. (p), Miles Davis (tp), Sonny Rollins (ts), Tommy Potter (b), Walter Bishop (p)</t>
  </si>
  <si>
    <t>Miles Davis Sextet</t>
  </si>
  <si>
    <t>Miles Davis Vol. 3 (1951-52)</t>
  </si>
  <si>
    <t xml:space="preserve">Bluing  </t>
  </si>
  <si>
    <t>1951-10-05</t>
  </si>
  <si>
    <t>0:00:51.089659</t>
  </si>
  <si>
    <t>0:04:14.046748</t>
  </si>
  <si>
    <t>AQAStoqSSGpoNAf-4AeTEj_CVJkD_Qjz_0.04.14.046748-0.06.18.097868</t>
  </si>
  <si>
    <t>0:06:18.097868</t>
  </si>
  <si>
    <t>AQAStoqSSGpoNAf-4AeTEj_CVJkD_Qjz_0.06.18.097868-0.08.02.004625</t>
  </si>
  <si>
    <t>0:08:02.004625</t>
  </si>
  <si>
    <t>AQAStoqSSGpoNAf-4AeTEj_CVJkD_Qjz_0.08.02.004625-0.09.25.070775</t>
  </si>
  <si>
    <t>0:09:25.070775</t>
  </si>
  <si>
    <t>AQASV4kSJUmiaKGCS8TVo9GV4zoehLfx_0.02.55.017133-0.06.24.015092</t>
  </si>
  <si>
    <t>Ray Reed, Richard Torres</t>
  </si>
  <si>
    <t>Bob Payne (tb), Carol Kaye (b), Chuck Carter (bs, fl), Dennis Noday (tp), John Von Ohlen (dr), Phil Herring (other), Quin Davis (fl, as), Ramon Lopez (other), Ray Reed (ts), Richard Torres (fl, ts), Stan Kenton (p)</t>
  </si>
  <si>
    <t>Malaga</t>
  </si>
  <si>
    <t>0:06:24.015092</t>
  </si>
  <si>
    <t>AQASV4kSJUmiaKGCS8TVo9GV4zoehLfx_0.06.33.062467-0.07.02.032453</t>
  </si>
  <si>
    <t>Dennis Noday</t>
  </si>
  <si>
    <t>0:06:33.062467</t>
  </si>
  <si>
    <t>0:07:02.032453</t>
  </si>
  <si>
    <t>AQASX5sTJlJUvAh_qGKSHAAAADgOBAeO_0.01.55.046122-0.05.27.057551</t>
  </si>
  <si>
    <t>Leaving</t>
  </si>
  <si>
    <t>0:05:27.057551</t>
  </si>
  <si>
    <t>AQASZlOojNKUBH4C5opwvDzCMGOgcTf0_0.00.00.013061-0.02.32.003265</t>
  </si>
  <si>
    <t>Syzygy</t>
  </si>
  <si>
    <t>0:02:32.003265</t>
  </si>
  <si>
    <t>AQASZlOojNKUBH4C5opwvDzCMGOgcTf0_0.08.29.053868-0.09.42.044934</t>
  </si>
  <si>
    <t>0:08:29.053868</t>
  </si>
  <si>
    <t>0:09:42.044934</t>
  </si>
  <si>
    <t>AQAT2BOTJFmSREki_Cx-I_UEncfHI9VE_0.00.29.035002-0.04.27.023265</t>
  </si>
  <si>
    <t>Blues a la Suisse</t>
  </si>
  <si>
    <t>0:00:29.035002</t>
  </si>
  <si>
    <t>0:04:27.023265</t>
  </si>
  <si>
    <t>AQATaVMSSrqUwEGP0D-0PNGDH4-UHdfR_0.00.50.052662-0.02.37.033841</t>
  </si>
  <si>
    <t>Just a mood</t>
  </si>
  <si>
    <t>1992-07-09</t>
  </si>
  <si>
    <t>Live "Ronnie Scott's Club", London, England</t>
  </si>
  <si>
    <t>0:00:50.052662</t>
  </si>
  <si>
    <t>AQATaVMSSrqUwEGP0D-0PNGDH4-UHdfR_0.02.37.033841-0.04.26.084081</t>
  </si>
  <si>
    <t>0:04:26.084081</t>
  </si>
  <si>
    <t>AQATDWkUKXFE_Pghqu2Q49lxJWge1Mrw_0.02.21.084489-0.04.47.034693</t>
  </si>
  <si>
    <t>Polka dots and moonbeams</t>
  </si>
  <si>
    <t>0:02:21.084489</t>
  </si>
  <si>
    <t>0:04:47.034693</t>
  </si>
  <si>
    <t>AQATeuISJZEXvLiYHKWewselaOijIfGR_0.01.08.054530-0.05.12.063346</t>
  </si>
  <si>
    <t>0:01:08.054530</t>
  </si>
  <si>
    <t>AQATeuISJZEXvLiYHKWewselaOijIfGR_0.07.07.080444-0.07.20.094693</t>
  </si>
  <si>
    <t>0:07:07.080444</t>
  </si>
  <si>
    <t>0:07:20.094693</t>
  </si>
  <si>
    <t>AQATeuISJZEXvLiYHKWewselaOijIfGR_0.07.32.031020-0.07.45.037142</t>
  </si>
  <si>
    <t>0:07:32.031020</t>
  </si>
  <si>
    <t>0:07:45.037142</t>
  </si>
  <si>
    <t>AQATeuISJZEXvLiYHKWewselaOijIfGR_0.07.58.060970-0.08.17.055718</t>
  </si>
  <si>
    <t>0:07:58.060970</t>
  </si>
  <si>
    <t>0:08:17.055718</t>
  </si>
  <si>
    <t>AQATeuISJZEXvLiYHKWewselaOijIfGR_0.08.29.091020-0.08.43.047065</t>
  </si>
  <si>
    <t>0:08:29.091020</t>
  </si>
  <si>
    <t>0:08:43.047065</t>
  </si>
  <si>
    <t>AQATFYqoREmYKBneHt_RyKMwusSP_IM-_0.01.05.030612-0.02.00.042448</t>
  </si>
  <si>
    <t>All blues</t>
  </si>
  <si>
    <t>0:01:05.030612</t>
  </si>
  <si>
    <t>0:02:00.042448</t>
  </si>
  <si>
    <t>AQATFYqoREmYKBneHt_RyKMwusSP_IM-_0.02.00.042448-0.02.55.067346</t>
  </si>
  <si>
    <t>0:02:55.067346</t>
  </si>
  <si>
    <t>AQATFYqoREmYKBneHt_RyKMwusSP_IM-_0.02.55.067346-0.03.50.034195</t>
  </si>
  <si>
    <t>0:03:50.034195</t>
  </si>
  <si>
    <t>AQATM0ymNkkUBU354EPOGWKeI-fxRLGC_0.00.54.093841-0.03.17.006775</t>
  </si>
  <si>
    <t>Hank Mobley, John Coltrane, Johnny Griffin</t>
  </si>
  <si>
    <t>Art Blakey (dr), Hank Mobley (ts), John Coltrane (ts), Johnny Griffin (ts), Lee Morgan (tp), Paul Chambers (b), Wynton Kelly (p)</t>
  </si>
  <si>
    <t>Hard Bop - Johnny Griffin</t>
  </si>
  <si>
    <t>All The Things You Are</t>
  </si>
  <si>
    <t>1957-04-06</t>
  </si>
  <si>
    <t>0:00:54.093841</t>
  </si>
  <si>
    <t>0:03:17.006775</t>
  </si>
  <si>
    <t>AQATM0ymNkkUBU354EPOGWKeI-fxRLGC_0.03.17.006775-0.04.48.087945</t>
  </si>
  <si>
    <t>0:04:48.087945</t>
  </si>
  <si>
    <t>AQATM0ymNkkUBU354EPOGWKeI-fxRLGC_0.04.48.087945-0.06.19.066947</t>
  </si>
  <si>
    <t>0:06:19.066947</t>
  </si>
  <si>
    <t>AQATM0ymNkkUBU354EPOGWKeI-fxRLGC_0.06.19.066947-0.07.50.038984</t>
  </si>
  <si>
    <t>0:07:50.038984</t>
  </si>
  <si>
    <t>AQATM0ymNkkUBU354EPOGWKeI-fxRLGC_0.09.15.083927-0.09.21.017986</t>
  </si>
  <si>
    <t>0:09:15.083927</t>
  </si>
  <si>
    <t>0:09:21.017986</t>
  </si>
  <si>
    <t>AQATM0ymNkkUBU354EPOGWKeI-fxRLGC_0.09.25.049877-0.09.30.072326</t>
  </si>
  <si>
    <t>0:09:25.049877</t>
  </si>
  <si>
    <t>0:09:30.072326</t>
  </si>
  <si>
    <t>AQATmImUZMySlOjR4Eqy4JN0NCOPlsdJ_0.01.32.008163-0.02.23.080408</t>
  </si>
  <si>
    <t>Brian Smith (other), Fred Hopkins (b), Joseph Jarman (bcl), Wallace Laroy McMillan (bs)</t>
  </si>
  <si>
    <t>Wallace Laroy McMillan</t>
  </si>
  <si>
    <t>X-75</t>
  </si>
  <si>
    <t>Salute to the enema bandit</t>
  </si>
  <si>
    <t>1979-01-15</t>
  </si>
  <si>
    <t>0:01:32.008163</t>
  </si>
  <si>
    <t>0:02:23.080408</t>
  </si>
  <si>
    <t>AQATmImUZMySlOjR4Eqy4JN0NCOPlsdJ_0.03.08.054603-0.03.24.024272</t>
  </si>
  <si>
    <t>0:03:08.054603</t>
  </si>
  <si>
    <t>0:03:24.024272</t>
  </si>
  <si>
    <t>AQATMkuSTcmixMF6aD8u4cqO8ofTHOvw_0.02.24.089251-0.03.39.055918</t>
  </si>
  <si>
    <t>Charles Pillow, Tim Ries</t>
  </si>
  <si>
    <t>Charles Pillow (other, cl, fl, ts), Dave Gilmore (g), Dave Pietro (ss, fl, as, other), Joe Magnarelli (flg, tp), John Riley (dr), Jon Gordon (cl, fl, as), Mike Holober (p, other), Nathan Durham (tb), Pete McGuinness (tb), Ron Carter (b), Steve Kenyon (bcl, bs), Tim Ries (ss, cl, ts)</t>
  </si>
  <si>
    <t>Mike Holober</t>
  </si>
  <si>
    <t>Thought Trains</t>
  </si>
  <si>
    <t>Big sky</t>
  </si>
  <si>
    <t>1996-11-20</t>
  </si>
  <si>
    <t>0:03:39.055918</t>
  </si>
  <si>
    <t>AQATMkuSTcmixMF6aD8u4cqO8ofTHOvw_0.03.39.055918-0.04.53.009387</t>
  </si>
  <si>
    <t>Joe Magnarelli</t>
  </si>
  <si>
    <t>0:04:53.009387</t>
  </si>
  <si>
    <t>AQATNklyRlGWZPiNJ1ta_McTKfjEo7wI_0.00.07.031428-0.05.34.036734</t>
  </si>
  <si>
    <t>Archie Shepp (ts), Ari Brown (p), Malachi Favors Maghostut (b)</t>
  </si>
  <si>
    <t>Archie Shepp</t>
  </si>
  <si>
    <t>Conversations</t>
  </si>
  <si>
    <t>Conversations 2; the dialogue</t>
  </si>
  <si>
    <t>1999-01-23</t>
  </si>
  <si>
    <t>0:00:07.031428</t>
  </si>
  <si>
    <t>0:05:34.036734</t>
  </si>
  <si>
    <t>AQATNklyRlGWZPiNJ1ta_McTKfjEo7wI_0.07.22.038367-0.10.09.084888</t>
  </si>
  <si>
    <t>0:07:22.038367</t>
  </si>
  <si>
    <t>0:10:09.084888</t>
  </si>
  <si>
    <t>AQAU9hmVZFLCJAneHGqGHmFGWngWC9fx_0.01.25.015918-0.02.52.001342</t>
  </si>
  <si>
    <t>Bill Goodwin (dr), Hal Galper (p), Phil Woods (as), Steve Gilmore (b), Tom Harrell (tp)</t>
  </si>
  <si>
    <t>Tom Harrell</t>
  </si>
  <si>
    <t>Mitch</t>
  </si>
  <si>
    <t>1984-12-29</t>
  </si>
  <si>
    <t>Bearsville, NY</t>
  </si>
  <si>
    <t>0:02:52.001342</t>
  </si>
  <si>
    <t>AQAU9hmVZFLCJAneHGqGHmFGWngWC9fx_0.05.03.002040-0.07.17.002857</t>
  </si>
  <si>
    <t>0:05:03.002040</t>
  </si>
  <si>
    <t>0:07:17.002857</t>
  </si>
  <si>
    <t>AQAUfRM1Z0wCU0d58Eo8HHmgHZES2R3i_0.00.52.075573-0.04.50.089959</t>
  </si>
  <si>
    <t>Blue Monk</t>
  </si>
  <si>
    <t>0:00:52.075573</t>
  </si>
  <si>
    <t>0:04:50.089959</t>
  </si>
  <si>
    <t>AQAUfRM1Z0wCU0d58Eo8HHmgHZES2R3i_0.09.02.082448-0.09.30.037496</t>
  </si>
  <si>
    <t>0:09:02.082448</t>
  </si>
  <si>
    <t>0:09:30.037496</t>
  </si>
  <si>
    <t>AQAUhZIadYo0PHvQxMdPOMrGonxW9LME_0.06.31.031428-0.08.59.029795</t>
  </si>
  <si>
    <t>Miroslav Vitous</t>
  </si>
  <si>
    <t>Infinite Search</t>
  </si>
  <si>
    <t>1969-10-08</t>
  </si>
  <si>
    <t>0:06:31.031428</t>
  </si>
  <si>
    <t>0:08:59.029795</t>
  </si>
  <si>
    <t>AQAUyowSMUmiKMK7HDmST4ePSjKJvsVD_0.02.24.079963-0.03.51.045650</t>
  </si>
  <si>
    <t>Art Davis (b), Dizzy Gillespie (voc, tp), Junior Mance (p), Leo Wright (fl, as), Teddy Stewart (dr)</t>
  </si>
  <si>
    <t>Have Trumpet Will Excite</t>
  </si>
  <si>
    <t>Kush</t>
  </si>
  <si>
    <t>0:02:24.079963</t>
  </si>
  <si>
    <t>0:03:51.045650</t>
  </si>
  <si>
    <t>AQAUyowSMUmiKMK7HDmST4ePSjKJvsVD_0.05.25.007936-0.07.28.005224</t>
  </si>
  <si>
    <t>Leo Wright</t>
  </si>
  <si>
    <t>0:05:25.007936</t>
  </si>
  <si>
    <t>0:07:28.005224</t>
  </si>
  <si>
    <t>AQAV7UvCZskORukU3MmDyD-SL7gc4imP_0.03.26.019319-0.07.24.021224</t>
  </si>
  <si>
    <t>Charles Pillow (other, cl, fl, ts), Dave Pietro (fl, other, ss, as), Joe Magnarelli (flg, tp), John Riley (dr), Jon Gordon (cl, fl, as), Mike Holober (p, other), Nathan Durham (tb), Pete McGuinness (tb), Ron Carter (b), Steve Kenyon (bs, bcl), Tim Ries (ss, cl, ts)</t>
  </si>
  <si>
    <t>Heart of the matter</t>
  </si>
  <si>
    <t>0:03:26.019319</t>
  </si>
  <si>
    <t>0:07:24.021224</t>
  </si>
  <si>
    <t>AQAV7UvCZskORukU3MmDyD-SL7gc4imP_0.07.24.021224-0.10.03.095102</t>
  </si>
  <si>
    <t>0:10:03.095102</t>
  </si>
  <si>
    <t>AQAVCmPCRuFw0cGvFPmIa-in1JAe5AZ7_0.01.11.031428-0.05.06.087492</t>
  </si>
  <si>
    <t>Jimmy Cobb (dr), Nat Adderley (cor), Rob Bargad (p), Vincent Herring (as), Walter Booker (b)</t>
  </si>
  <si>
    <t>Vincent Herring</t>
  </si>
  <si>
    <t>Live At The 1994 Floating Jazz Festival</t>
  </si>
  <si>
    <t>Once I had a secret love</t>
  </si>
  <si>
    <t>1994-10-25</t>
  </si>
  <si>
    <t>Live (*), S/S Norway</t>
  </si>
  <si>
    <t>0:01:11.031428</t>
  </si>
  <si>
    <t>0:05:06.087492</t>
  </si>
  <si>
    <t>AQAVCmPCRuFw0cGvFPmIa-in1JAe5AZ7_0.09.27.049569-0.10.58.054693</t>
  </si>
  <si>
    <t>0:09:27.049569</t>
  </si>
  <si>
    <t>0:10:58.054693</t>
  </si>
  <si>
    <t>AQAVfp-aRImD6nAVDo3D4sxxZVKGnNmR_0.00.46.072439-0.02.18.077986</t>
  </si>
  <si>
    <t>Dexter Gordon, Wardell Gray</t>
  </si>
  <si>
    <t>Bobby Tucker (p), Chico Hamilton (dr), Dexter Gordon (ts), Don Bagley (b), Wardell Gray (ts)</t>
  </si>
  <si>
    <t>Just Jazz All Stars</t>
  </si>
  <si>
    <t>Dexter Gordon Vol. 3 (1952-55)</t>
  </si>
  <si>
    <t>1952-02-02</t>
  </si>
  <si>
    <t>Pasadena</t>
  </si>
  <si>
    <t>0:00:46.072439</t>
  </si>
  <si>
    <t>0:02:18.077986</t>
  </si>
  <si>
    <t>AQAVfp-aRImD6nAVDo3D4sxxZVKGnNmR_0.02.18.077986-0.03.47.016081</t>
  </si>
  <si>
    <t>0:03:47.016081</t>
  </si>
  <si>
    <t>AQAVfp-aRImD6nAVDo3D4sxxZVKGnNmR_0.03.47.016081-0.04.46.049360</t>
  </si>
  <si>
    <t>0:04:46.049360</t>
  </si>
  <si>
    <t>AQAVfp-aRImD6nAVDo3D4sxxZVKGnNmR_0.04.46.049360-0.05.42.069750</t>
  </si>
  <si>
    <t>0:05:42.069750</t>
  </si>
  <si>
    <t>AQAVfp-aRImD6nAVDo3D4sxxZVKGnNmR_0.05.42.069750-0.06.11.031609</t>
  </si>
  <si>
    <t>0:06:11.031609</t>
  </si>
  <si>
    <t>AQAVfp-aRImD6nAVDo3D4sxxZVKGnNmR_0.06.11.031609-0.06.39.067346</t>
  </si>
  <si>
    <t>0:06:39.067346</t>
  </si>
  <si>
    <t>AQAVfp-aRImD6nAVDo3D4sxxZVKGnNmR_0.06.39.067346-0.06.53.083183</t>
  </si>
  <si>
    <t>0:06:53.083183</t>
  </si>
  <si>
    <t>AQAVfp-aRImD6nAVDo3D4sxxZVKGnNmR_0.06.53.083183-0.07.08.097414</t>
  </si>
  <si>
    <t>0:07:08.097414</t>
  </si>
  <si>
    <t>AQAVfp-aRImD6nAVDo3D4sxxZVKGnNmR_0.07.08.097414-0.07.12.061678</t>
  </si>
  <si>
    <t>0:07:12.061678</t>
  </si>
  <si>
    <t>AQAVfp-aRImD6nAVDo3D4sxxZVKGnNmR_0.07.12.061678-0.07.16.034648</t>
  </si>
  <si>
    <t>0:07:16.034648</t>
  </si>
  <si>
    <t>AQAVfp-aRImD6nAVDo3D4sxxZVKGnNmR_0.07.16.034648-0.07.19.066984</t>
  </si>
  <si>
    <t>0:07:19.066984</t>
  </si>
  <si>
    <t>AQAVfp-aRImD6nAVDo3D4sxxZVKGnNmR_0.07.19.066984-0.07.23.066077</t>
  </si>
  <si>
    <t>0:07:23.066077</t>
  </si>
  <si>
    <t>AQAVfp-aRImD6nAVDo3D4sxxZVKGnNmR_0.07.23.066077-0.07.26.080997</t>
  </si>
  <si>
    <t>0:07:26.080997</t>
  </si>
  <si>
    <t>AQAVfp-aRImD6nAVDo3D4sxxZVKGnNmR_0.07.26.080997-0.07.30.052517</t>
  </si>
  <si>
    <t>0:07:30.052517</t>
  </si>
  <si>
    <t>AQAVfp-aRImD6nAVDo3D4sxxZVKGnNmR_0.07.30.052517-0.07.34.050158</t>
  </si>
  <si>
    <t>0:07:34.050158</t>
  </si>
  <si>
    <t>AQAVfp-aRImD6nAVDo3D4sxxZVKGnNmR_0.07.34.050158-0.07.38.004263</t>
  </si>
  <si>
    <t>0:07:38.004263</t>
  </si>
  <si>
    <t>AQAVfp-aRImD6nAVDo3D4sxxZVKGnNmR_0.07.38.004263-0.07.45.087936</t>
  </si>
  <si>
    <t>0:07:45.087936</t>
  </si>
  <si>
    <t>AQAVfp-aRImD6nAVDo3D4sxxZVKGnNmR_0.07.45.087936-0.07.52.099047</t>
  </si>
  <si>
    <t>0:07:52.099047</t>
  </si>
  <si>
    <t>AQAVfp-aRImD6nAVDo3D4sxxZVKGnNmR_0.07.52.099047-0.07.59.034693</t>
  </si>
  <si>
    <t>0:07:59.034693</t>
  </si>
  <si>
    <t>AQAVfp-aRImD6nAVDo3D4sxxZVKGnNmR_0.07.59.034693-0.08.06.044063</t>
  </si>
  <si>
    <t>0:08:06.044063</t>
  </si>
  <si>
    <t>AQAVfp-aRImD6nAVDo3D4sxxZVKGnNmR_0.08.06.044063-0.08.09.091201</t>
  </si>
  <si>
    <t>0:08:09.091201</t>
  </si>
  <si>
    <t>AQAVfp-aRImD6nAVDo3D4sxxZVKGnNmR_0.08.09.091201-0.08.13.042403</t>
  </si>
  <si>
    <t>0:08:13.042403</t>
  </si>
  <si>
    <t>AQAVfp-aRImD6nAVDo3D4sxxZVKGnNmR_0.08.13.042403-0.08.17.008117</t>
  </si>
  <si>
    <t>0:08:17.008117</t>
  </si>
  <si>
    <t>AQAVfp-aRImD6nAVDo3D4sxxZVKGnNmR_0.08.17.008117-0.08.20.041904</t>
  </si>
  <si>
    <t>0:08:20.041904</t>
  </si>
  <si>
    <t>AQAVfp-aRImD6nAVDo3D4sxxZVKGnNmR_0.08.20.041904-0.08.24.022131</t>
  </si>
  <si>
    <t>0:08:24.022131</t>
  </si>
  <si>
    <t>AQAVfp-aRImD6nAVDo3D4sxxZVKGnNmR_0.08.24.022131-0.08.27.061723</t>
  </si>
  <si>
    <t>0:08:27.061723</t>
  </si>
  <si>
    <t>AQAVfp-aRImD6nAVDo3D4sxxZVKGnNmR_0.08.27.061723-0.08.31.022793</t>
  </si>
  <si>
    <t>0:08:31.022793</t>
  </si>
  <si>
    <t>AQAVfp-aRImD6nAVDo3D4sxxZVKGnNmR_0.08.31.022793-0.08.34.051936</t>
  </si>
  <si>
    <t>0:08:34.051936</t>
  </si>
  <si>
    <t>AQAVfp-aRImD6nAVDo3D4sxxZVKGnNmR_0.08.34.051936-0.08.38.013587</t>
  </si>
  <si>
    <t>0:08:38.013587</t>
  </si>
  <si>
    <t>AQAVfp-aRImD6nAVDo3D4sxxZVKGnNmR_0.08.38.013587-0.08.41.079301</t>
  </si>
  <si>
    <t>0:08:41.079301</t>
  </si>
  <si>
    <t>AQAVfp-aRImD6nAVDo3D4sxxZVKGnNmR_0.08.41.079301-0.08.44.035301</t>
  </si>
  <si>
    <t>0:08:44.035301</t>
  </si>
  <si>
    <t>AQAVfp-aRImD6nAVDo3D4sxxZVKGnNmR_0.08.44.035301-0.08.49.002603</t>
  </si>
  <si>
    <t>0:08:49.002603</t>
  </si>
  <si>
    <t>AQAVfp-aRImD6nAVDo3D4sxxZVKGnNmR_0.08.49.002603-0.08.52.040453</t>
  </si>
  <si>
    <t>0:08:52.040453</t>
  </si>
  <si>
    <t>AQAVfp-aRImD6nAVDo3D4sxxZVKGnNmR_0.08.52.040453-0.08.55.097460</t>
  </si>
  <si>
    <t>0:08:55.097460</t>
  </si>
  <si>
    <t>AQAVfp-aRImD6nAVDo3D4sxxZVKGnNmR_0.08.55.097460-0.08.59.025442</t>
  </si>
  <si>
    <t>0:08:59.025442</t>
  </si>
  <si>
    <t>AQAVfp-aRImD6nAVDo3D4sxxZVKGnNmR_0.08.59.025442-0.09.03.000444</t>
  </si>
  <si>
    <t>0:09:03.000444</t>
  </si>
  <si>
    <t>AQAVfp-aRImD6nAVDo3D4sxxZVKGnNmR_0.09.03.000444-0.09.05.087138</t>
  </si>
  <si>
    <t>0:09:05.087138</t>
  </si>
  <si>
    <t>AQAVfp-aRImD6nAVDo3D4sxxZVKGnNmR_0.09.05.087138-0.09.09.099365</t>
  </si>
  <si>
    <t>0:09:09.099365</t>
  </si>
  <si>
    <t>AQAVfp-aRImD6nAVDo3D4sxxZVKGnNmR_0.09.09.099365-0.09.13.091201</t>
  </si>
  <si>
    <t>0:09:13.091201</t>
  </si>
  <si>
    <t>AQAVfp-aRImD6nAVDo3D4sxxZVKGnNmR_0.09.13.091201-0.09.17.042403</t>
  </si>
  <si>
    <t>0:09:17.042403</t>
  </si>
  <si>
    <t>AQAVfp-aRImD6nAVDo3D4sxxZVKGnNmR_0.09.17.042403-0.09.20.084897</t>
  </si>
  <si>
    <t>0:09:20.084897</t>
  </si>
  <si>
    <t>AQAVfp-aRImD6nAVDo3D4sxxZVKGnNmR_0.09.20.084897-0.09.24.014331</t>
  </si>
  <si>
    <t>0:09:24.014331</t>
  </si>
  <si>
    <t>AQAVfp-aRImD6nAVDo3D4sxxZVKGnNmR_0.09.24.014331-0.09.27.075691</t>
  </si>
  <si>
    <t>0:09:27.075691</t>
  </si>
  <si>
    <t>AQAVfp-aRImD6nAVDo3D4sxxZVKGnNmR_0.09.27.075691-0.09.31.034149</t>
  </si>
  <si>
    <t>0:09:31.034149</t>
  </si>
  <si>
    <t>AQAVfp-aRImD6nAVDo3D4sxxZVKGnNmR_0.09.31.034149-0.09.35.018730</t>
  </si>
  <si>
    <t>0:09:35.018730</t>
  </si>
  <si>
    <t>AQAVfp-aRImD6nAVDo3D4sxxZVKGnNmR_0.09.35.018730-0.09.38.072834</t>
  </si>
  <si>
    <t>0:09:38.072834</t>
  </si>
  <si>
    <t>AQAVfp-aRImD6nAVDo3D4sxxZVKGnNmR_0.09.38.072834-0.09.42.017650</t>
  </si>
  <si>
    <t>0:09:42.017650</t>
  </si>
  <si>
    <t>AQAVfp-aRImD6nAVDo3D4sxxZVKGnNmR_0.09.42.017650-0.09.45.073786</t>
  </si>
  <si>
    <t>0:09:45.073786</t>
  </si>
  <si>
    <t>AQAVfp-aRImD6nAVDo3D4sxxZVKGnNmR_0.09.45.073786-0.09.49.061269</t>
  </si>
  <si>
    <t>0:09:49.061269</t>
  </si>
  <si>
    <t>AQAVfp-aRImD6nAVDo3D4sxxZVKGnNmR_0.09.49.061269-0.09.52.097959</t>
  </si>
  <si>
    <t>0:09:52.097959</t>
  </si>
  <si>
    <t>AQAVfp-aRImD6nAVDo3D4sxxZVKGnNmR_0.09.52.097959-0.09.56.064253</t>
  </si>
  <si>
    <t>0:09:56.064253</t>
  </si>
  <si>
    <t>AQAVfp-aRImD6nAVDo3D4sxxZVKGnNmR_0.09.56.064253-0.10.00.005587</t>
  </si>
  <si>
    <t>0:10:00.005587</t>
  </si>
  <si>
    <t>AQAVfp-aRImD6nAVDo3D4sxxZVKGnNmR_0.10.00.005587-0.10.03.070430</t>
  </si>
  <si>
    <t>0:10:03.070430</t>
  </si>
  <si>
    <t>AQAVfp-aRImD6nAVDo3D4sxxZVKGnNmR_0.10.03.070430-0.10.07.028888</t>
  </si>
  <si>
    <t>0:10:07.028888</t>
  </si>
  <si>
    <t>AQAVfp-aRImD6nAVDo3D4sxxZVKGnNmR_0.10.07.028888-0.10.10.085895</t>
  </si>
  <si>
    <t>0:10:10.085895</t>
  </si>
  <si>
    <t>AQAVfp-aRImD6nAVDo3D4sxxZVKGnNmR_0.10.10.085895-0.10.14.031292</t>
  </si>
  <si>
    <t>0:10:14.031292</t>
  </si>
  <si>
    <t>AQAVfp-aRImD6nAVDo3D4sxxZVKGnNmR_0.10.14.031292-0.10.17.052018</t>
  </si>
  <si>
    <t>0:10:17.052018</t>
  </si>
  <si>
    <t>AQAVfp-aRImD6nAVDo3D4sxxZVKGnNmR_0.10.17.052018-0.10.21.035147</t>
  </si>
  <si>
    <t>0:10:21.035147</t>
  </si>
  <si>
    <t>AQAVfp-aRImD6nAVDo3D4sxxZVKGnNmR_0.10.21.035147-0.10.25.017825</t>
  </si>
  <si>
    <t>0:10:25.017825</t>
  </si>
  <si>
    <t>AQAVfp-aRImD6nAVDo3D4sxxZVKGnNmR_0.10.25.017825-0.10.28.044807</t>
  </si>
  <si>
    <t>0:10:28.044807</t>
  </si>
  <si>
    <t>AQAVM1kSZVnEJYMo88iPw9dR0sST6EfN_0.00.10.090612-0.01.08.089795</t>
  </si>
  <si>
    <t>Besame mucho</t>
  </si>
  <si>
    <t>0:00:10.090612</t>
  </si>
  <si>
    <t>0:01:08.089795</t>
  </si>
  <si>
    <t>AQAVM1kSZVnEJYMo88iPw9dR0sST6EfN_0.02.50.005714-0.04.34.054693</t>
  </si>
  <si>
    <t>0:02:50.005714</t>
  </si>
  <si>
    <t>0:04:34.054693</t>
  </si>
  <si>
    <t>AQAVM1kSZVnEJYMo88iPw9dR0sST6EfN_0.07.53.099183-0.08.06.092244</t>
  </si>
  <si>
    <t>0:07:53.099183</t>
  </si>
  <si>
    <t>0:08:06.092244</t>
  </si>
  <si>
    <t>AQAVM1kSZVnEJYMo88iPw9dR0sST6EfN_0.08.13.032244-0.08.20.066866</t>
  </si>
  <si>
    <t>0:08:13.032244</t>
  </si>
  <si>
    <t>0:08:20.066866</t>
  </si>
  <si>
    <t>AQAVM1kSZVnEJYMo88iPw9dR0sST6EfN_0.08.27.086684-0.08.35.043655</t>
  </si>
  <si>
    <t>0:08:27.086684</t>
  </si>
  <si>
    <t>0:08:35.043655</t>
  </si>
  <si>
    <t>AQAVM1kSZVnEJYMo88iPw9dR0sST6EfN_0.08.41.070594-0.08.49.008988</t>
  </si>
  <si>
    <t>0:08:41.070594</t>
  </si>
  <si>
    <t>0:08:49.008988</t>
  </si>
  <si>
    <t>AQAVM1kSZVnEJYMo88iPw9dR0sST6EfN_0.09.39.029142-0.10.44.095746</t>
  </si>
  <si>
    <t>0:09:39.029142</t>
  </si>
  <si>
    <t>0:10:44.095746</t>
  </si>
  <si>
    <t>AQAVM9oiJYmiKCFy-MShC_lx_Kh6XHlw_0.05.54.075015-0.07.39.067990</t>
  </si>
  <si>
    <t>Where's your cup ?</t>
  </si>
  <si>
    <t>0:05:54.075015</t>
  </si>
  <si>
    <t>0:07:39.067990</t>
  </si>
  <si>
    <t>AQAVN1IWJZGSSFmCvsMvocngM7iUREeT_0.02.50.031836-0.05.14.061877</t>
  </si>
  <si>
    <t>Lee Morgan (tp), Marion Booker (dr), Melvin Sparks (g)</t>
  </si>
  <si>
    <t>Dr. Lonnie Smith</t>
  </si>
  <si>
    <t>Think !</t>
  </si>
  <si>
    <t>Son of ice bag</t>
  </si>
  <si>
    <t>1968-07-23</t>
  </si>
  <si>
    <t>0:02:50.031836</t>
  </si>
  <si>
    <t>0:05:14.061877</t>
  </si>
  <si>
    <t>AQAVUEmWJEkkJQmVBKkjGe8Rpls0yI0e_0.06.00.018793-0.10.10.021460</t>
  </si>
  <si>
    <t>Ed Cherry (g), Henry Threadgill (as), Marcus Rojas (other), Mark Taylor (flg), Pheeroan ak Laff (dr)</t>
  </si>
  <si>
    <t>Makin' A Move</t>
  </si>
  <si>
    <t>Like it feels</t>
  </si>
  <si>
    <t>1995-01-01</t>
  </si>
  <si>
    <t>0:06:00.018793</t>
  </si>
  <si>
    <t>0:10:10.021460</t>
  </si>
  <si>
    <t>AQAVuVGSJ5fQgyXxLWD5BeEzY3v4IbSK_0.01.35.077705-0.04.32.051485</t>
  </si>
  <si>
    <t>Jig-a-jug</t>
  </si>
  <si>
    <t>0:01:35.077705</t>
  </si>
  <si>
    <t>0:04:32.051485</t>
  </si>
  <si>
    <t>AQAVXloSLUkmxeijBzmSSscjfM9wHlMe_0.00.28.065342-0.05.04.048326</t>
  </si>
  <si>
    <t>What's wrong is right</t>
  </si>
  <si>
    <t>0:00:28.065342</t>
  </si>
  <si>
    <t>0:05:04.048326</t>
  </si>
  <si>
    <t>AQAVXloSLUkmxeijBzmSSscjfM9wHlMe_0.05.04.048326-0.08.20.084571</t>
  </si>
  <si>
    <t>0:08:20.084571</t>
  </si>
  <si>
    <t>AQAW-0mmJNNCJRF0VUFD4k64FKm2xUU1_0.00.00.000000-0.04.35.024934</t>
  </si>
  <si>
    <t>St. Thomas</t>
  </si>
  <si>
    <t>0:04:35.024934</t>
  </si>
  <si>
    <t>AQAWBgqz5JKyIJ_C44OOW1HFoT4-HVoj_0.00.39.060163-0.04.25.021832</t>
  </si>
  <si>
    <t>Jimmy Giuffre (cl, ts), Joe Chambers (dr), Richard Davis (b)</t>
  </si>
  <si>
    <t>Drive</t>
  </si>
  <si>
    <t>0:00:39.060163</t>
  </si>
  <si>
    <t>0:04:25.021832</t>
  </si>
  <si>
    <t>AQAWeFG6MUqUQTfuHUwewCfuIz3g44El_0.02.25.055428-0.04.48.039183</t>
  </si>
  <si>
    <t>Among Friends</t>
  </si>
  <si>
    <t>My foolish heart</t>
  </si>
  <si>
    <t>1982-07-01</t>
  </si>
  <si>
    <t>Live "Keystone Korner", San Francisco, CA</t>
  </si>
  <si>
    <t>0:02:25.055428</t>
  </si>
  <si>
    <t>0:04:48.039183</t>
  </si>
  <si>
    <t>AQAWeFG6MUqUQTfuHUwewCfuIz3g44El_0.06.59.090965-0.08.06.064380</t>
  </si>
  <si>
    <t>0:06:59.090965</t>
  </si>
  <si>
    <t>0:08:06.064380</t>
  </si>
  <si>
    <t>AQAWeFG6MUqUQTfuHUwewCfuIz3g44El_0.09.28.042448-0.11.44.020564</t>
  </si>
  <si>
    <t>0:09:28.042448</t>
  </si>
  <si>
    <t>0:11:44.020564</t>
  </si>
  <si>
    <t>AQAWqomWKJmUZFqgE3nRnOhD1FuOHKWP_0.04.53.030285-0.06.46.098775</t>
  </si>
  <si>
    <t>Al Foster (dr), Charles Fambrough (b), Guilherme Franco (other), Joe Ford (fl), John Blake (vln), McCoy Tyner (p)</t>
  </si>
  <si>
    <t>Joe Ford</t>
  </si>
  <si>
    <t>0:04:53.030285</t>
  </si>
  <si>
    <t>0:06:46.098775</t>
  </si>
  <si>
    <t>AQAWqomWKJmUZFqgE3nRnOhD1FuOHKWP_0.06.46.098775-0.08.38.026936</t>
  </si>
  <si>
    <t>John Blake</t>
  </si>
  <si>
    <t>0:08:38.026936</t>
  </si>
  <si>
    <t>AQAXjRGnZBElfD_iJyHY5VnQKhJHbDyu_0.00.00.000000-0.00.56.054058</t>
  </si>
  <si>
    <t>Bruce Barth (p), Dana Hall (dr), Peter Washington (b), Terell Stafford (other, tp), Tim Warfield (ts)</t>
  </si>
  <si>
    <t>Brotherlee Love: Celebrating Lee Morgan</t>
  </si>
  <si>
    <t>Favor</t>
  </si>
  <si>
    <t>2014-05-19</t>
  </si>
  <si>
    <t>0:00:56.054058</t>
  </si>
  <si>
    <t>AQAXjRGnZBElfD_iJyHY5VnQKhJHbDyu_0.02.50.049251-0.05.24.090521</t>
  </si>
  <si>
    <t>0:02:50.049251</t>
  </si>
  <si>
    <t>0:05:24.090521</t>
  </si>
  <si>
    <t>AQAXjRGnZBElfD_iJyHY5VnQKhJHbDyu_0.05.24.090521-0.07.52.035192</t>
  </si>
  <si>
    <t>Tim Warfield</t>
  </si>
  <si>
    <t>0:07:52.035192</t>
  </si>
  <si>
    <t>AQAYbGOSKEkShZGCc8OFX-jUHh6zJ7iP_0.01.49.096970-0.02.37.066873</t>
  </si>
  <si>
    <t>Bob Brookmeyer (tb), Cliff Heather (tb), Eddie Daniels (bcl, cl, ts), Hank Jones (p), Jerome Richardson (ss, fl, bcl, cl, as), Jerry Dodgion (fl, cl, as), Joe Farrell (fl, cl, ts), Mel Lewis (dr), Pepper Adams (bs), Richard Davis (b), Richard Williams (tp), Sam Herman (g), Thad Jones (flg), Tom McIntosh (tb)</t>
  </si>
  <si>
    <t>Presenting Thad Jones/Mel Lewis &amp; "The Jazz Orchestra"</t>
  </si>
  <si>
    <t>ABC blues</t>
  </si>
  <si>
    <t>1966-05-04</t>
  </si>
  <si>
    <t>0:02:37.066873</t>
  </si>
  <si>
    <t>AQAYbGOSKEkShZGCc8OFX-jUHh6zJ7iP_0.03.06.063038-0.04.36.078185</t>
  </si>
  <si>
    <t>Eddie Daniels, Joe Farrell</t>
  </si>
  <si>
    <t>0:03:06.063038</t>
  </si>
  <si>
    <t>0:04:36.078185</t>
  </si>
  <si>
    <t>AQAYbGOSKEkShZGCc8OFX-jUHh6zJ7iP_0.04.36.078185-0.06.01.007029</t>
  </si>
  <si>
    <t>Jerome Richardson, Jerry Dodgion</t>
  </si>
  <si>
    <t>0:06:01.007029</t>
  </si>
  <si>
    <t>AQAYbGOSKEkShZGCc8OFX-jUHh6zJ7iP_0.06.38.003646-0.08.17.023210</t>
  </si>
  <si>
    <t>Bob Brookmeyer, Cliff Heather, Tom McIntosh</t>
  </si>
  <si>
    <t>0:06:38.003646</t>
  </si>
  <si>
    <t>0:08:17.023210</t>
  </si>
  <si>
    <t>AQAYiYvCkKTwg2-PPjSOyVSCNzgfIR60_0.02.38.059229-0.06.37.071138</t>
  </si>
  <si>
    <t>Fred Hopkins (b), Henry Threadgill (bs, as, other, ts), Steve McCall (dr, other)</t>
  </si>
  <si>
    <t>Montreux Suisse Air</t>
  </si>
  <si>
    <t>Abra</t>
  </si>
  <si>
    <t>1978-07-22</t>
  </si>
  <si>
    <t>0:02:38.059229</t>
  </si>
  <si>
    <t>0:06:37.071138</t>
  </si>
  <si>
    <t>AQAYN1I8Jco0BXmPZH5wbkZXwumUo1ce_0.00.52.063963-0.05.25.075274</t>
  </si>
  <si>
    <t>Gingerbread boy</t>
  </si>
  <si>
    <t>0:00:52.063963</t>
  </si>
  <si>
    <t>0:05:25.075274</t>
  </si>
  <si>
    <t>AQAYN1I8Jco0BXmPZH5wbkZXwumUo1ce_0.09.40.059755-0.09.54.018122</t>
  </si>
  <si>
    <t>0:09:40.059755</t>
  </si>
  <si>
    <t>0:09:54.018122</t>
  </si>
  <si>
    <t>AQAYN1I8Jco0BXmPZH5wbkZXwumUo1ce_0.10.07.016408-0.10.21.029632</t>
  </si>
  <si>
    <t>0:10:07.016408</t>
  </si>
  <si>
    <t>0:10:21.029632</t>
  </si>
  <si>
    <t>AQAYN1I8Jco0BXmPZH5wbkZXwumUo1ce_0.10.34.014857-0.10.47.066258</t>
  </si>
  <si>
    <t>0:10:34.014857</t>
  </si>
  <si>
    <t>0:10:47.066258</t>
  </si>
  <si>
    <t>AQAYN1I8Jco0BXmPZH5wbkZXwumUo1ce_0.11.00.058448-0.11.05.094829</t>
  </si>
  <si>
    <t>0:11:00.058448</t>
  </si>
  <si>
    <t>0:11:05.094829</t>
  </si>
  <si>
    <t>AQAYN1I8Jco0BXmPZH5wbkZXwumUo1ce_0.11.14.072544-0.11.18.090503</t>
  </si>
  <si>
    <t>0:11:14.072544</t>
  </si>
  <si>
    <t>0:11:18.090503</t>
  </si>
  <si>
    <t>AQAYpouYjFF0ZFWPdtmR8AI84pmCw8dD_0.02.07.024825-0.04.43.008317</t>
  </si>
  <si>
    <t>Bob Mintzer (bcl, ss, ts), Bob Stein (as), Dave Bargeron (other), Don Alias (other), Frank Wess (ts), Jaco Pastorius (voc, b), Kenny Faulk (tp), Othello Molineaux (other), Peter Erskine (dr), Peter Gordon (flg), Randy Emerick (bs), Toots Thielemans (other), Wayne Andre (tb)</t>
  </si>
  <si>
    <t>0:02:07.024825</t>
  </si>
  <si>
    <t>0:04:43.008317</t>
  </si>
  <si>
    <t>AQAYpouYjFF0ZFWPdtmR8AI84pmCw8dD_0.05.08.086603-0.05.28.035047</t>
  </si>
  <si>
    <t>0:05:08.086603</t>
  </si>
  <si>
    <t>0:05:28.035047</t>
  </si>
  <si>
    <t>AQAYpouYjFF0ZFWPdtmR8AI84pmCw8dD_0.05.28.035047-0.08.01.052380</t>
  </si>
  <si>
    <t>0:08:01.052380</t>
  </si>
  <si>
    <t>AQAYpouYjFF0ZFWPdtmR8AI84pmCw8dD_0.08.26.094095-0.08.45.077523</t>
  </si>
  <si>
    <t>0:08:26.094095</t>
  </si>
  <si>
    <t>0:08:45.077523</t>
  </si>
  <si>
    <t>AQAZ_pISJ8vCBGdCPEoeXEJzlOGDyyme_0.00.00.000000-0.00.32.052244</t>
  </si>
  <si>
    <t>Cheek to cheek</t>
  </si>
  <si>
    <t>0:00:32.052244</t>
  </si>
  <si>
    <t>AQAZ_pISJ8vCBGdCPEoeXEJzlOGDyyme_0.02.39.019600-0.05.50.034267</t>
  </si>
  <si>
    <t>0:02:39.019600</t>
  </si>
  <si>
    <t>0:05:50.034267</t>
  </si>
  <si>
    <t>AQAZ_pISJ8vCBGdCPEoeXEJzlOGDyyme_0.11.18.092244-0.12.10.059265</t>
  </si>
  <si>
    <t>0:11:18.092244</t>
  </si>
  <si>
    <t>0:12:10.059265</t>
  </si>
  <si>
    <t>AQAZCaKUJAkTUpgv4REPjjAX_Diaog-L_0.08.44.053877-0.10.39.038467</t>
  </si>
  <si>
    <t>Bob Mintzer (ts, ss, bcl), Bob Stein (as), Dave Bargeron (other), Don Alias (other), Frank Wess (ts), Jaco Pastorius (b, voc), Kenny Faulk (tp), Othello Molineaux (other), Peter Erskine (dr), Peter Gordon (flg), Randy Emerick (bs), Wayne Andre (tb)</t>
  </si>
  <si>
    <t>Donna Lee</t>
  </si>
  <si>
    <t>0:08:44.053877</t>
  </si>
  <si>
    <t>0:10:39.038467</t>
  </si>
  <si>
    <t>AQAZdBGlSOYSnNCJZoX2HR-T5NAWH9fR_0.01.32.047346-0.05.33.058367</t>
  </si>
  <si>
    <t>Lonesome lover blues</t>
  </si>
  <si>
    <t>Live "North Park Hotel", Chicago, Evening Set</t>
  </si>
  <si>
    <t>0:01:32.047346</t>
  </si>
  <si>
    <t>0:05:33.058367</t>
  </si>
  <si>
    <t>AQAZdBGlSOYSnNCJZoX2HR-T5NAWH9fR_0.05.33.058367-0.08.32.032507</t>
  </si>
  <si>
    <t>AQAZdBGlSOYSnNCJZoX2HR-T5NAWH9fR_0.10.04.083337-0.10.59.026095</t>
  </si>
  <si>
    <t>0:10:04.083337</t>
  </si>
  <si>
    <t>0:10:59.026095</t>
  </si>
  <si>
    <t>AQAZdBGlSOYSnNCJZoX2HR-T5NAWH9fR_0.11.34.007346-0.12.37.015918</t>
  </si>
  <si>
    <t>0:11:34.007346</t>
  </si>
  <si>
    <t>0:12:37.015918</t>
  </si>
  <si>
    <t>Paul Mares</t>
  </si>
  <si>
    <t>Al Klink, Tex Beneke</t>
  </si>
  <si>
    <t>Bob Brookmeyer, Jimmy Cleveland, Tony Studd</t>
  </si>
  <si>
    <t>Albert Nicholas, Charlie Holmes</t>
  </si>
  <si>
    <t>Albert Snaer, Ovie Alston, Sylvester Lewis</t>
  </si>
  <si>
    <t>Billy James (dr), Don Patterson (org), Paul Weeden (g), Sonny Stitt (as, ts)</t>
  </si>
  <si>
    <t>Maynard Ferguson`</t>
  </si>
  <si>
    <t>Frank Wess</t>
  </si>
  <si>
    <t>Al Grey (tb), Billy Mitchell (ts), Frank Wess (as, fl), Hank Jones (p), Osie Johnson (dr), Richard Davis (b), Thad Jones (tp)</t>
  </si>
  <si>
    <t>Al Grey</t>
  </si>
  <si>
    <t>Elmer Chambers, Howard Scott</t>
  </si>
  <si>
    <t>Raqib Hassan</t>
  </si>
  <si>
    <t>Rabiq Hassan</t>
  </si>
  <si>
    <t>George Brunies</t>
  </si>
  <si>
    <t>Arvill Harris, Walter 'Foots' Thomas</t>
  </si>
  <si>
    <t>Bobby Hackett</t>
  </si>
  <si>
    <t>Slam Stewart</t>
  </si>
  <si>
    <t>Bob Mintzer (ss, ts), Jimmy Haslip (b), Marcus Baylor (dr), Russell Ferrante (other)</t>
  </si>
  <si>
    <t>Leon Oakley</t>
  </si>
  <si>
    <t>Garvin Bushell (other, cl), Leon Oakley (cor), Ray Skjelbred (p), Richard Hadlock (ss), Stu Wilson (b)</t>
  </si>
  <si>
    <t>Joel Frahm</t>
  </si>
  <si>
    <t>Dick Mitchell</t>
  </si>
  <si>
    <t>Keith Jarrett</t>
  </si>
  <si>
    <t>el-p</t>
  </si>
  <si>
    <t>Easy Mo Bee</t>
  </si>
  <si>
    <t>Oliver Nelson, Phil Woods</t>
  </si>
  <si>
    <t>Ben Goldberg</t>
  </si>
  <si>
    <t>Aaron Keirbel (other), Ben Goldberg (cl), Daniel Fabricant (b), Darren Johnston (tp), Rob Reich (other)</t>
  </si>
  <si>
    <t>Wycliffe Gordon</t>
  </si>
  <si>
    <t>Andrew Hill (p), Eddie Khan (b), Joe Henderson (ts), Kenny Dorham (tp), Pete La Roca (d)</t>
  </si>
  <si>
    <t>Andy Watson (dr), Ed Cherry (g), Harvie Swartz (b), Virginia Mayhew (ts), Wycliffe Gordon (tb)</t>
  </si>
  <si>
    <t>Quinsin Nachoff</t>
  </si>
  <si>
    <t>John Barnes</t>
  </si>
  <si>
    <t>Kim Waters</t>
  </si>
  <si>
    <t>Bob James (other, p), Chuck Loeb (g, other), Dave Mann (fl), David Charles (other), Kim Waters (ss), Will Lee (b)</t>
  </si>
  <si>
    <t>Garvin Bushell (other, cl), Leon Oakley (tp), Ray Skjelbred (p), Richard Hadlock (ss), Stu Wilson (b)</t>
  </si>
  <si>
    <t>Don Ferrara, Conte Candoli, Nick Travis</t>
  </si>
  <si>
    <t>Christopher Hoffman</t>
  </si>
  <si>
    <t>Art Blakey (d), Freddie Hubbard (tp), Hank Mobley (ts), Paul Chambers (b), Wynton Kelly (p)</t>
  </si>
  <si>
    <t>Bobby Durham (dr), Bucky Pizzarelli (g), Clark Terry (tp, flg), Harry Edison (tp), Mark Morganelli (tp), Milt Hinton (b), Seldon Powell (ts), Sir Roland Hanna (p)</t>
  </si>
  <si>
    <t>Clark Terry, Harry Edison</t>
  </si>
  <si>
    <t>Leslie Pintchik (p), Michael Sarin (dr), Ron Horton (flg, tp), Satoshi Takeishi (other), Scott Hardy (b), Steve Wilson (as)</t>
  </si>
  <si>
    <t>Gene Ramey (b), Harry Edison (tp), Jo Jones (dr), Lester Young (ts), Oscar Peterson (p)</t>
  </si>
  <si>
    <t>Bill Goodwin (dr), Mike Melillo (p), Phil Woods (as), Steve Gilmore (b), Zoot Sims (ts)</t>
  </si>
  <si>
    <t>Diedre Murray (other), Frank 'Ku-umba' Lacy (tb), Fred Hopkins (b), Henry Threadgill (fl, as, ts), Rasul Siddik (tp), Reggie Nicholson (other)</t>
  </si>
  <si>
    <t>Frank 'Ku-umba' Lacy</t>
  </si>
  <si>
    <t>Arnie Roth (other, vln), Bobby Lewis (flg), Curtis Robinson (g), Don Shelton (ss), Florentina Ramniceanu (vln), Jim Ryan (p, other), Paul Wertico (dr)</t>
  </si>
  <si>
    <t>Don Shelton</t>
  </si>
  <si>
    <t>Curtis Fuller (tb), Gil Coggins (p), Jackie McLean (as, ts), Louis Hayes (dr), Paul Chambers (b), Webster Young (tp)</t>
  </si>
  <si>
    <t>Chris White (b), Dizzy Gillespie (tp), James Moody (ts), Kenny Barron (p), Rudy Collins (d)</t>
  </si>
  <si>
    <t>Chris White (b), Dizzy Gillespie (tp), James Moody (as), Kenny Barron (p), Rudy Collins (d)</t>
  </si>
  <si>
    <t>Diedre Murray (other), Frank 'Ku-umba' Lacy (tb), Fred Hopkins (b), Henry Threadgill (ts, cl, as), Rasul Siddik (tp), Reggie Nicholson (dr)</t>
  </si>
  <si>
    <t>Al Foster (dr), Charles Fambrough (b), George Adams (ts), Guilherme Franco (other), Joe Ford (ss), John Blake (vln), McCoy Tyner (p)</t>
  </si>
  <si>
    <t>Bill Goodwin (dr), Mike Melillo (p), Phil Woods (as, ss), Steve Gilmore (b)</t>
  </si>
  <si>
    <t>David Binney (ts), Francois Moutin (b), Joe Locke (vib), Mike Stern (g), Ned Mann (b), Ray LeVier (d)</t>
  </si>
  <si>
    <t>David Binney</t>
  </si>
  <si>
    <t>Allan Morrissey (other, tb), Bruce Haag (tp), Denny Brunk (tb), Don Landis (ts), Jay Cummings (dr), Jon Ward (b), Lisa Hittle (bs), Michael Bard (ss, as, fl), Ramon Lopez (other), Robeson (), Roger Homefield (tb), Stan Kenton (p, other)</t>
  </si>
  <si>
    <t>Roger Homefield</t>
  </si>
  <si>
    <t>Art Pepper (as), Carl Burnett (dr), Chuck Domanico (b), Lou Levy (p), Sonny Stitt (as)</t>
  </si>
  <si>
    <t>Roger Garrood</t>
  </si>
  <si>
    <t>Jerome Richardson</t>
  </si>
  <si>
    <t>Joe Henderson (ts), Jerome Richardson (ss), Jimmie Smith (d), Jimmy Jones (p), Jimmy Smith (org), Jon Faddis (tp), Kenny Burrell (g), Mel Lewis (other), Richie Goldberg (other), Snooky Young (tp), Stan Gilbert (b), Thad Jones (flg, tp)</t>
  </si>
  <si>
    <t>Jon Faddis, Snooky Young, Thad Jones</t>
  </si>
  <si>
    <t>Art Pepper, Sonny Stitt</t>
  </si>
  <si>
    <t>Gary Bartz (ss, as), Jack DeJohnette (dr), John McLaughlin (g), Keith Jarrett (org, p), Mike Henderson (b), Miles Davis (tp)</t>
  </si>
  <si>
    <t>Branford Marsalis (ts), Eric Revis (b), Joey Calderazzo (p), Justin Faulkner (dr)</t>
  </si>
  <si>
    <t>David Vrcic (other, dr), Don Gomes (tp, p), Garry Lee (other, g, vib), Murray Wilkins (b), Roger Garrood (fl, ss), Victoria Newton (bcl, voc)</t>
  </si>
  <si>
    <t>Cleveland Eaton (b), Dexter Gordon (ts), John Young (p), Steve McCall (dr)</t>
  </si>
  <si>
    <t>Herbie Hancock (p), Jack DeJohnette (dr), Joe Henderson (ts), John McLaughlin (g), Miroslav Vitous (b)</t>
  </si>
  <si>
    <t>Bobby Hutcherson</t>
  </si>
  <si>
    <t>Billy Higgins (dr), Bobby Hutcherson (vib), Buster Williams (b), Cedar Walton (p)</t>
  </si>
  <si>
    <t>Dexter Gordon (ts), Gene Ammons (ts), Jodie Christian (p), Rufus Reid (b), Vi Redd (voc), Wilbur Campbell (dr)</t>
  </si>
  <si>
    <t>Dexter Gordon, Gene Ammons</t>
  </si>
  <si>
    <t>Airto Moreira (d), Gary Bartz (ss, as), Jack DeJohnette (dr), John McLaughlin (g), Keith Jarrett (org, p), Mike Henderson (b), Miles Davis (tp)</t>
  </si>
  <si>
    <t>edits</t>
  </si>
  <si>
    <t>personnel added; Davis is soloist</t>
  </si>
  <si>
    <t>personnel added; Bartz is soloist; as not ts</t>
  </si>
  <si>
    <t>personnel added</t>
  </si>
  <si>
    <t>personnel added; Miles is soloist</t>
  </si>
  <si>
    <t>personnel added; Bartz is soloist</t>
  </si>
  <si>
    <t>tp, not tb</t>
  </si>
  <si>
    <t>as, not ts</t>
  </si>
  <si>
    <t>Edgar Sampson, soloist; as, not ts</t>
  </si>
  <si>
    <t>Not Darnell Howard; tp or cor, not as</t>
  </si>
  <si>
    <t>cl, not ss; not sure who the soloist would be</t>
  </si>
  <si>
    <t>Buster Bailey, soloist</t>
  </si>
  <si>
    <t>Jimmy Heath</t>
  </si>
  <si>
    <t>Jimmy Heath, soloist; bs, not ts</t>
  </si>
  <si>
    <t>cor, not tp</t>
  </si>
  <si>
    <t>Rex Stewart, soloist; cor, not tp</t>
  </si>
  <si>
    <t>pretty sure Chu Berry is the soloist</t>
  </si>
  <si>
    <t>personnel added; Gillespie is soloist</t>
  </si>
  <si>
    <t>solo by Hodges, not Forrest; as, not ts</t>
  </si>
  <si>
    <t>Joe Sample (p), Leroy Vinnegar (b), Stix Hooper (dr), Wayne Henderson (tb), Wilton Felder (ts)</t>
  </si>
  <si>
    <t>personnel added; Wayne Henderson, soloist</t>
  </si>
  <si>
    <t>Scoops Carey</t>
  </si>
  <si>
    <t>Scoops Carey, soloist</t>
  </si>
  <si>
    <t>Charlie Green</t>
  </si>
  <si>
    <t>Charlie Green, soloist; Fletcher Henderson, leader</t>
  </si>
  <si>
    <t>Louis Armstrong, soloist; tp, not tb</t>
  </si>
  <si>
    <t>Louis Armstrong, soloist; tp, not tb. Not sure the written part is the same tp as the solo</t>
  </si>
  <si>
    <t>Woody Herman, soloist; as, not ts</t>
  </si>
  <si>
    <t>Stan Getz, soloist</t>
  </si>
  <si>
    <t>Could this be Bix?</t>
  </si>
  <si>
    <t>Jack Teagarden, soloist; tb, not tp</t>
  </si>
  <si>
    <t>Joe Venuti, soloist</t>
  </si>
  <si>
    <t>Gillespie, soloist</t>
  </si>
  <si>
    <t>Johnny Hodges, soloist</t>
  </si>
  <si>
    <t>Gerry Mulligan, soloist; bs, not ts</t>
  </si>
  <si>
    <t>Rex Stewart, soloist; cor, not tb</t>
  </si>
  <si>
    <t>Roy Eldridge, soloist; tp, not tb</t>
  </si>
  <si>
    <t>Dizzy Gillespie, soloist; tp, not tb</t>
  </si>
  <si>
    <t>Red Nichols, soloist; cor, not tb</t>
  </si>
  <si>
    <t>Bill Perkins (ts), Frank Strazzeri (p), Jim Hughart (b), Joe Pass (g), John Pisano (g)</t>
  </si>
  <si>
    <t>Bill Perkins</t>
  </si>
  <si>
    <t>Bill Perkins, soloist, added to personnel</t>
  </si>
  <si>
    <t>Coleman Hawkins, soloist; ts, not as</t>
  </si>
  <si>
    <t>Benny Morton, Jimmy Harrison</t>
  </si>
  <si>
    <t>possible soloists changed to trombonists</t>
  </si>
  <si>
    <t>Arthur Adams (g), Joe Sample (p), Stix Hooper (other, dr), Wayne Henderson (tb), Wilton Felder (ts)</t>
  </si>
  <si>
    <t>Wilton Felder, soloist; personnel added</t>
  </si>
  <si>
    <t>tp, not as</t>
  </si>
  <si>
    <t>Phil Woods, soloist; as, not ts</t>
  </si>
  <si>
    <t>Benny Goodman, soloist; as, not cl</t>
  </si>
  <si>
    <t>Bix Beiderbecke, soloist; cor, not tp</t>
  </si>
  <si>
    <t>tp, not cl</t>
  </si>
  <si>
    <t>Double Six of Paris</t>
  </si>
  <si>
    <t>vocal by Double Six of Paris</t>
  </si>
  <si>
    <t>Charlie Barnet, soloist</t>
  </si>
  <si>
    <t>Al Harris, Jimmy McPartland</t>
  </si>
  <si>
    <t>Coleman Hawkins, soloist</t>
  </si>
  <si>
    <t>Tommy Dorsey, soloist</t>
  </si>
  <si>
    <t>Louis Armstrong, soloist; cor, not tb</t>
  </si>
  <si>
    <t>Paul Mares, soloist; cor, not tb</t>
  </si>
  <si>
    <t>Min Leibrook, soloist, not Bill Rank; bs, not tb</t>
  </si>
  <si>
    <t>Jack Teagarden on tb, not Manny Klein on tp</t>
  </si>
  <si>
    <t>Henry 'Red' Allen, soloist; tp, not tb</t>
  </si>
  <si>
    <t>ts, not as</t>
  </si>
  <si>
    <t>Ray Nance, Rex Stewart</t>
  </si>
  <si>
    <t>possible soloists edited</t>
  </si>
  <si>
    <t>Two solos on this track: tp solo until 00:50; as solo follows</t>
  </si>
  <si>
    <t>Benny Carter, soloist</t>
  </si>
  <si>
    <t>Lester Young, soloist; cl, not as</t>
  </si>
  <si>
    <t>Russell Procope, soloist</t>
  </si>
  <si>
    <t>Ed Lewis, Lammar Wright</t>
  </si>
  <si>
    <t>Two solos on this track: tp/cor solo followed by cl</t>
  </si>
  <si>
    <t>tb, not tp</t>
  </si>
  <si>
    <t>as, not ss</t>
  </si>
  <si>
    <t>Bix Beiderbecke, soloist; cor, not tp; originally listed as Bubber Miley</t>
  </si>
  <si>
    <t>Two solos on this track: tenor and alto</t>
  </si>
  <si>
    <t>Maynard Ferguson, soloist</t>
  </si>
  <si>
    <t>as, not cl; maybe Trumbauer on c-melody?</t>
  </si>
  <si>
    <t xml:space="preserve">Dexter Gordon plays tenor on this track, not Gene Ammons </t>
  </si>
  <si>
    <t>Frank Wess, soloist; fl added to Wess in personnel</t>
  </si>
  <si>
    <t>Al Grey, soloist on tb; not Thad Jones on tp</t>
  </si>
  <si>
    <t>cor, not tb</t>
  </si>
  <si>
    <t>ts, not fl</t>
  </si>
  <si>
    <t>George Brunies on tb, not Dave Klein on tp</t>
  </si>
  <si>
    <t>Walter 'Foots' Thomas</t>
  </si>
  <si>
    <t>Walter 'Foots' Waller, soloist(not Arvill Harris); as, not cl</t>
  </si>
  <si>
    <t>Jack Teagarden, soloist</t>
  </si>
  <si>
    <t>Bobby Hackett, soloist; cor, not tp</t>
  </si>
  <si>
    <t>Urbie Green, soloist; tb, not tp</t>
  </si>
  <si>
    <t>Curtis Fowlkes, soloist; tb, not tp</t>
  </si>
  <si>
    <t>Bobby Hackett, soloist; cor, not ts</t>
  </si>
  <si>
    <t>Nobody plays in this clip</t>
  </si>
  <si>
    <t>Gillespie solo, not Parker; tp, not as</t>
  </si>
  <si>
    <t>sounds like it is primarily Gillespie</t>
  </si>
  <si>
    <t>Lester Young, soloist</t>
  </si>
  <si>
    <t>Illinois Jacquet</t>
  </si>
  <si>
    <t>Illinois Jacquet, soloist</t>
  </si>
  <si>
    <t>Clark Terry, Joe Newman, Snooky Young</t>
  </si>
  <si>
    <t>Clifford Jordon, soloist; ts, not as</t>
  </si>
  <si>
    <t xml:space="preserve">Slam Stewart, soloist; bass and vocal </t>
  </si>
  <si>
    <t>Bob Mintzer, soloist</t>
  </si>
  <si>
    <t>Richard Hadlock, soloist; ss, not cl</t>
  </si>
  <si>
    <t>Gigi Gryce (not Charlie Rouse); as, not ts</t>
  </si>
  <si>
    <t>Garvin Bushell, soloist; bassoon--not sure what abbreviation we use for bassoon (if any)</t>
  </si>
  <si>
    <t>Leon Oakley, soloist, added to personnel; cor, not tp</t>
  </si>
  <si>
    <t>Joel Frahm, soloist; ts, not as</t>
  </si>
  <si>
    <t>Lester Young, soloist; ts, not as</t>
  </si>
  <si>
    <t>Moody and Johnson trading fours</t>
  </si>
  <si>
    <t>Don Menza, soloist; ts, not bs</t>
  </si>
  <si>
    <t>Wayne Henderson, soloist; tb, not tp</t>
  </si>
  <si>
    <t>Dick Mitchell, soloist</t>
  </si>
  <si>
    <t>Keith Jarrett, soloist; el-p, not vib</t>
  </si>
  <si>
    <t>Easy Mo Bee, soloist</t>
  </si>
  <si>
    <t>Kerry Strayer, soloist; ss, not tp</t>
  </si>
  <si>
    <t>Ben Goldberg, soloist; added to personnel</t>
  </si>
  <si>
    <t>Wycliffe Gordon, soloist; tb, not tp</t>
  </si>
  <si>
    <t>George Adams, soloist; ts, not as</t>
  </si>
  <si>
    <t>Bobby Shew</t>
  </si>
  <si>
    <t>Bobby Shew, soloist; added to personnel</t>
  </si>
  <si>
    <t>Art Farmer (flg), Bill Sears (as, fl), Bobby Shew (tp), Curt Bley (b), Frank Mantooth (other), Howie Smith (ss, as), Jim Massoth (ts), Kelly Sill (b), Louie Bellson (dr), Mark Bettcher (tb), Mike Steinel (tp), Mike Young (tb), Sam Lipuma (g), Scott Robinson (bs, fl), Steve Houghton (dr), Tim Kitsos (other)</t>
  </si>
  <si>
    <t>Kenny Dorham, soloist; personnel added</t>
  </si>
  <si>
    <t>Joe Henderson, soloist; personnel added</t>
  </si>
  <si>
    <t>two solos by two tenor players</t>
  </si>
  <si>
    <t>Nat Adderley, soloist; cor, not tp</t>
  </si>
  <si>
    <t>Bobby Lewis, soloist; flg, not tp</t>
  </si>
  <si>
    <t>Wycliffe Gordon, soloist; added to personnel</t>
  </si>
  <si>
    <t>Quinsin Nachoff, soloist</t>
  </si>
  <si>
    <t>John Barnes, soloist; bs, not ts</t>
  </si>
  <si>
    <t>Henry Threadgill, soloist; as, not ts</t>
  </si>
  <si>
    <t>Chet Baker, soloist; tp, not flg</t>
  </si>
  <si>
    <t>Bill Watrous, soloist; tb, not flg</t>
  </si>
  <si>
    <t>Kim Waters, soloist; added to personnel</t>
  </si>
  <si>
    <t>Leon Oakley, soloist, added to personnel</t>
  </si>
  <si>
    <t>Christopher Hoffman, soloist; cello, not vln--not sure what abbreviation we use for cello</t>
  </si>
  <si>
    <t>Henry Threadgill, soloist</t>
  </si>
  <si>
    <t>Hank Mobley, soloist; all but Hubbard added to personnel</t>
  </si>
  <si>
    <t>all but Hubbard added to personnel</t>
  </si>
  <si>
    <t>Harry Edison, soloist; added to personnel</t>
  </si>
  <si>
    <t>flg, not tp</t>
  </si>
  <si>
    <t>Edison and Peterson added to personnel, Teddy Wilson removed</t>
  </si>
  <si>
    <t>Harry Edison, soloist; tp, not tb; Edison and Peterson added to personnel, Teddy Wilson removed</t>
  </si>
  <si>
    <t>Allen Eager, soloist (not Rudy Williams); ts, not as</t>
  </si>
  <si>
    <t>two solos by two tenor players; second solo starts around 1:23 of clip</t>
  </si>
  <si>
    <t>Gerry Mulligan, soloist (not Reider); bs, not ts</t>
  </si>
  <si>
    <t>Lee Konitz, soloist (not Lovano); as, not ts</t>
  </si>
  <si>
    <t>Ben Webster, soloist</t>
  </si>
  <si>
    <t>ss, not as</t>
  </si>
  <si>
    <t>Zoot Sims, soloist</t>
  </si>
  <si>
    <t>this is ts and as trading fours</t>
  </si>
  <si>
    <t>Zoot Sims, soloist; ts, not ss</t>
  </si>
  <si>
    <t>Frank 'Ku-umba' Lacy, soloist; added to personnel</t>
  </si>
  <si>
    <t>Art Pepper, soloist</t>
  </si>
  <si>
    <t>Lee Konitz, soloist</t>
  </si>
  <si>
    <t>Anthony Braxton, soloist; as, not ts</t>
  </si>
  <si>
    <t>Dexter Gordon, soloist; ts, not as</t>
  </si>
  <si>
    <t>Wilton Felder, soloist; ts, not as</t>
  </si>
  <si>
    <t>Frank 'Ku-umba' Lacy added to personnel</t>
  </si>
  <si>
    <t>Frank Rosolino, soloist</t>
  </si>
  <si>
    <t>Norris Turney, soloist (not Johnson); as, not ts</t>
  </si>
  <si>
    <t>Don Shelton, soloist; added to personnel</t>
  </si>
  <si>
    <t>James Moody, soloist; as, not ts; personnel added</t>
  </si>
  <si>
    <t>Dizzy Gillespie, soloist; personnel added</t>
  </si>
  <si>
    <t>Oliver Lake, soloist; as, not ts</t>
  </si>
  <si>
    <t>Kenny Garrett, soloist; as, not ts</t>
  </si>
  <si>
    <t>Roy Eldridge, soloist</t>
  </si>
  <si>
    <t>Joe Ford added to personnel</t>
  </si>
  <si>
    <t>Joe Ford, soloist; added to personnel</t>
  </si>
  <si>
    <t>Michael Bard, soloist; as, not ts</t>
  </si>
  <si>
    <t>Gigi Gryce, soloist; as, not ts</t>
  </si>
  <si>
    <t>Phil Woods, soloist</t>
  </si>
  <si>
    <t>David Binney, soloist; personnel added; as, not ts</t>
  </si>
  <si>
    <t>Roger Homefield, soloist; added to personnel</t>
  </si>
  <si>
    <t>Phil Woods, soloist; added to personnel; Zoot Sims removed</t>
  </si>
  <si>
    <t>Art Pepper, soloist; as, not ts</t>
  </si>
  <si>
    <t>Stan Kenton, leader</t>
  </si>
  <si>
    <t>Roger Garrood, soloist; as, not ts</t>
  </si>
  <si>
    <t>as, not ts; two soloists, both on alto. Solo change at 1:57 into the clip</t>
  </si>
  <si>
    <t>Miles Davis, soloist; personnel added</t>
  </si>
  <si>
    <t>Gary Bartz, soloist; personnel added</t>
  </si>
  <si>
    <t>Branford Marsalis, soloist; added to personnel</t>
  </si>
  <si>
    <t>Roger Garrood, soloist; personnel added</t>
  </si>
  <si>
    <t>Garry Lee, soloist; personnel added</t>
  </si>
  <si>
    <t>Hank Mobley, soloist</t>
  </si>
  <si>
    <t>John Coltrane, soloist</t>
  </si>
  <si>
    <t>Dexter Gordon, soloist (not Gene Ammons); Gordon added to personnel, Ammons removed</t>
  </si>
  <si>
    <t>Johnny Griffin, soloist</t>
  </si>
  <si>
    <t>Joe Henderson, soloist; added to personnel</t>
  </si>
  <si>
    <t>starts with sax, switches to tp at 1:00</t>
  </si>
  <si>
    <t>Bobby Hutcherson, soloist; added to personnel</t>
  </si>
  <si>
    <t>ss, not fl</t>
  </si>
  <si>
    <t>Gene Ammons added to personnel</t>
  </si>
  <si>
    <t>Don Menza (ts, ss, cl, fl), Don Rader (tp), Frank Hittner (bs), Gene Coe (tp), John Gale (tp), Kenny Rupp (tb), Lanny Morgan (as), Linc Milliman (b), Maynard Ferguson (tp), Michael Abene (p), Nat Pavone (tp), Rufus Jones (dr), Willie Maiden (ts, ss, cl, fl)</t>
  </si>
  <si>
    <t>Bob Cooper, Pete Christlieb</t>
  </si>
  <si>
    <t>Bill Green (ss, bs), Bob Cooper (ts), Bob Maize (b), Ernie Andrews (voc), Frank Capp (dr), Joe Roccisano (as), Mel Wanzo (tb), Nat Pierce (p), Pete Christlieb (ts), Ray Pohlman (g), Warren Luening (tp)</t>
  </si>
  <si>
    <t>Pete Christlieb added to personnel</t>
  </si>
  <si>
    <t>Konitz solos until 1:41, then Lovano solos for rest of clip</t>
  </si>
  <si>
    <t>two alto solos; they switch at about 1:30</t>
  </si>
  <si>
    <t>…0</t>
  </si>
  <si>
    <t>Gene Ammons added to personnel; this is Gordon and Ammons trading choruses, starting with Dexter; At 0:55, Gordon's solo starts</t>
  </si>
  <si>
    <t>Gene Ammons added to personnel; Gene Ammons, soloist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</si>
</sst>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applyFont="1"/>
    <xf numFmtId="0" fontId="0" fillId="0" borderId="0" xfId="0" applyFont="1"/>
    <xf numFmtId="0" fontId="0" fillId="2" borderId="0" xfId="0" applyFill="1"/>
    <xf numFmtId="49" fontId="0" fillId="2" borderId="0" xfId="0" applyNumberFormat="1" applyFont="1" applyFill="1"/>
    <xf numFmtId="0" fontId="0" fillId="2"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86"/>
  <sheetViews>
    <sheetView tabSelected="1" topLeftCell="K897" zoomScale="70" zoomScaleNormal="70" workbookViewId="0">
      <selection activeCell="Q945" sqref="Q945"/>
    </sheetView>
  </sheetViews>
  <sheetFormatPr baseColWidth="10" defaultColWidth="11.5546875" defaultRowHeight="13.2" x14ac:dyDescent="0.25"/>
  <cols>
    <col min="1" max="1" width="73.6640625" customWidth="1"/>
    <col min="2" max="2" width="24.88671875" customWidth="1"/>
    <col min="3" max="3" width="43.44140625" customWidth="1"/>
    <col min="4" max="4" width="154.33203125" customWidth="1"/>
    <col min="5" max="5" width="37.5546875" customWidth="1"/>
    <col min="6" max="6" width="50.109375" customWidth="1"/>
    <col min="7" max="7" width="17.33203125" customWidth="1"/>
    <col min="8" max="8" width="42.5546875" customWidth="1"/>
    <col min="9" max="9" width="24" customWidth="1"/>
    <col min="10" max="10" width="117.88671875" customWidth="1"/>
    <col min="11" max="11" width="30.6640625" customWidth="1"/>
    <col min="12" max="12" width="12.33203125" customWidth="1"/>
    <col min="13" max="13" width="14.88671875" customWidth="1"/>
    <col min="14" max="14" width="14.6640625" customWidth="1"/>
    <col min="15" max="16" width="14" customWidth="1"/>
    <col min="17" max="17" width="105.44140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7161</v>
      </c>
    </row>
    <row r="2" spans="1:17" x14ac:dyDescent="0.25">
      <c r="A2" t="s">
        <v>16</v>
      </c>
      <c r="B2" t="str">
        <f>HYPERLINK("https://staging-dtl-pattern-api.hfm-weimar.de/static/audio/solos/dtl/AQAbfMuVLEmWJXgWlZlQMsd1PIpmXKZw_0.00.57.073061-0.06.16.072054.mp3", "link")</f>
        <v>link</v>
      </c>
      <c r="D2" t="s">
        <v>17</v>
      </c>
      <c r="E2" t="s">
        <v>18</v>
      </c>
      <c r="F2" t="s">
        <v>18</v>
      </c>
      <c r="G2" t="s">
        <v>18</v>
      </c>
      <c r="J2" t="s">
        <v>19</v>
      </c>
      <c r="K2" t="s">
        <v>20</v>
      </c>
      <c r="L2" s="1" t="s">
        <v>21</v>
      </c>
      <c r="M2" t="s">
        <v>22</v>
      </c>
      <c r="N2" t="s">
        <v>23</v>
      </c>
      <c r="O2" s="1" t="s">
        <v>24</v>
      </c>
      <c r="P2" s="1" t="s">
        <v>25</v>
      </c>
    </row>
    <row r="3" spans="1:17" x14ac:dyDescent="0.25">
      <c r="A3" t="s">
        <v>26</v>
      </c>
      <c r="B3" t="str">
        <f>HYPERLINK("https://staging-dtl-pattern-api.hfm-weimar.de/static/audio/solos/dtl/AQAbfMuVLEmWJXgWlZlQMsd1PIpmXKZw_0.10.34.015510-0.10.39.093469.mp3", "link")</f>
        <v>link</v>
      </c>
      <c r="D3" t="s">
        <v>17</v>
      </c>
      <c r="E3" t="s">
        <v>18</v>
      </c>
      <c r="F3" t="s">
        <v>18</v>
      </c>
      <c r="G3" t="s">
        <v>18</v>
      </c>
      <c r="J3" t="s">
        <v>19</v>
      </c>
      <c r="K3" t="s">
        <v>20</v>
      </c>
      <c r="L3" s="1" t="s">
        <v>21</v>
      </c>
      <c r="M3" t="s">
        <v>22</v>
      </c>
      <c r="N3" t="s">
        <v>23</v>
      </c>
      <c r="O3" s="1" t="s">
        <v>27</v>
      </c>
      <c r="P3" s="1" t="s">
        <v>28</v>
      </c>
    </row>
    <row r="4" spans="1:17" x14ac:dyDescent="0.25">
      <c r="A4" t="s">
        <v>29</v>
      </c>
      <c r="B4" t="str">
        <f>HYPERLINK("https://staging-dtl-pattern-api.hfm-weimar.de/static/audio/solos/dtl/AQAbfMuVLEmWJXgWlZlQMsd1PIpmXKZw_0.10.49.037142-0.10.53.042040.mp3", "link")</f>
        <v>link</v>
      </c>
      <c r="D4" t="s">
        <v>17</v>
      </c>
      <c r="E4" t="s">
        <v>18</v>
      </c>
      <c r="F4" t="s">
        <v>18</v>
      </c>
      <c r="G4" t="s">
        <v>18</v>
      </c>
      <c r="J4" t="s">
        <v>19</v>
      </c>
      <c r="K4" t="s">
        <v>20</v>
      </c>
      <c r="L4" s="1" t="s">
        <v>21</v>
      </c>
      <c r="M4" t="s">
        <v>22</v>
      </c>
      <c r="N4" t="s">
        <v>23</v>
      </c>
      <c r="O4" s="1" t="s">
        <v>30</v>
      </c>
      <c r="P4" s="1" t="s">
        <v>31</v>
      </c>
    </row>
    <row r="5" spans="1:17" x14ac:dyDescent="0.25">
      <c r="A5" t="s">
        <v>32</v>
      </c>
      <c r="B5" t="str">
        <f>HYPERLINK("https://staging-dtl-pattern-api.hfm-weimar.de/static/audio/solos/dtl/AQAbfMuVLEmWJXgWlZlQMsd1PIpmXKZw_0.11.01.035510-0.11.06.038367.mp3", "link")</f>
        <v>link</v>
      </c>
      <c r="D5" t="s">
        <v>17</v>
      </c>
      <c r="E5" t="s">
        <v>18</v>
      </c>
      <c r="F5" t="s">
        <v>18</v>
      </c>
      <c r="G5" t="s">
        <v>18</v>
      </c>
      <c r="J5" t="s">
        <v>19</v>
      </c>
      <c r="K5" t="s">
        <v>20</v>
      </c>
      <c r="L5" s="1" t="s">
        <v>21</v>
      </c>
      <c r="M5" t="s">
        <v>22</v>
      </c>
      <c r="N5" t="s">
        <v>23</v>
      </c>
      <c r="O5" s="1" t="s">
        <v>33</v>
      </c>
      <c r="P5" s="1" t="s">
        <v>34</v>
      </c>
    </row>
    <row r="6" spans="1:17" x14ac:dyDescent="0.25">
      <c r="A6" t="s">
        <v>35</v>
      </c>
      <c r="B6" t="str">
        <f>HYPERLINK("https://staging-dtl-pattern-api.hfm-weimar.de/static/audio/solos/dtl/AQAbfMuVLEmWJXgWlZlQMsd1PIpmXKZw_0.11.14.008979-0.11.19.044489.mp3", "link")</f>
        <v>link</v>
      </c>
      <c r="D6" t="s">
        <v>17</v>
      </c>
      <c r="E6" t="s">
        <v>18</v>
      </c>
      <c r="F6" t="s">
        <v>18</v>
      </c>
      <c r="G6" t="s">
        <v>18</v>
      </c>
      <c r="J6" t="s">
        <v>19</v>
      </c>
      <c r="K6" t="s">
        <v>20</v>
      </c>
      <c r="L6" s="1" t="s">
        <v>21</v>
      </c>
      <c r="M6" t="s">
        <v>22</v>
      </c>
      <c r="N6" t="s">
        <v>23</v>
      </c>
      <c r="O6" s="1" t="s">
        <v>36</v>
      </c>
      <c r="P6" s="1" t="s">
        <v>37</v>
      </c>
    </row>
    <row r="7" spans="1:17" x14ac:dyDescent="0.25">
      <c r="A7" t="s">
        <v>38</v>
      </c>
      <c r="B7" t="str">
        <f>HYPERLINK("https://staging-dtl-pattern-api.hfm-weimar.de/static/audio/solos/dtl/AQAbfMuVLEmWJXgWlZlQMsd1PIpmXKZw_0.12.25.063918-0.14.17.046648.mp3", "link")</f>
        <v>link</v>
      </c>
      <c r="D7" t="s">
        <v>17</v>
      </c>
      <c r="E7" t="s">
        <v>18</v>
      </c>
      <c r="F7" t="s">
        <v>18</v>
      </c>
      <c r="G7" t="s">
        <v>18</v>
      </c>
      <c r="J7" t="s">
        <v>19</v>
      </c>
      <c r="K7" t="s">
        <v>20</v>
      </c>
      <c r="L7" s="1" t="s">
        <v>21</v>
      </c>
      <c r="M7" t="s">
        <v>22</v>
      </c>
      <c r="N7" t="s">
        <v>23</v>
      </c>
      <c r="O7" s="1" t="s">
        <v>39</v>
      </c>
      <c r="P7" s="1" t="s">
        <v>40</v>
      </c>
    </row>
    <row r="8" spans="1:17" x14ac:dyDescent="0.25">
      <c r="A8" t="s">
        <v>41</v>
      </c>
      <c r="B8" t="str">
        <f>HYPERLINK("https://staging-dtl-pattern-api.hfm-weimar.de/static/audio/solos/dtl/AQAbtosXZaYw5UOf43rwZ8GTaBRRHzc7_0.00.00.026122-0.04.17.064861.mp3", "link")</f>
        <v>link</v>
      </c>
      <c r="D8" t="s">
        <v>7160</v>
      </c>
      <c r="E8" t="s">
        <v>42</v>
      </c>
      <c r="F8" t="s">
        <v>42</v>
      </c>
      <c r="G8" t="s">
        <v>42</v>
      </c>
      <c r="K8" t="s">
        <v>43</v>
      </c>
      <c r="L8" s="1" t="s">
        <v>44</v>
      </c>
      <c r="M8" t="s">
        <v>45</v>
      </c>
      <c r="N8" t="s">
        <v>46</v>
      </c>
      <c r="O8" s="1" t="s">
        <v>47</v>
      </c>
      <c r="P8" s="1" t="s">
        <v>48</v>
      </c>
      <c r="Q8" s="1" t="s">
        <v>7162</v>
      </c>
    </row>
    <row r="9" spans="1:17" x14ac:dyDescent="0.25">
      <c r="A9" t="s">
        <v>49</v>
      </c>
      <c r="B9" t="str">
        <f>HYPERLINK("https://staging-dtl-pattern-api.hfm-weimar.de/static/audio/solos/dtl/AQAbtosXZaYw5UOf43rwZ8GTaBRRHzc7_0.04.17.064861-0.08.17.009278.mp3", "link")</f>
        <v>link</v>
      </c>
      <c r="D9" t="s">
        <v>7160</v>
      </c>
      <c r="E9" t="s">
        <v>2530</v>
      </c>
      <c r="F9" t="s">
        <v>42</v>
      </c>
      <c r="G9" t="s">
        <v>42</v>
      </c>
      <c r="K9" t="s">
        <v>43</v>
      </c>
      <c r="L9" s="1" t="s">
        <v>44</v>
      </c>
      <c r="M9" t="s">
        <v>45</v>
      </c>
      <c r="N9" t="s">
        <v>202</v>
      </c>
      <c r="O9" s="1" t="s">
        <v>48</v>
      </c>
      <c r="P9" s="1" t="s">
        <v>50</v>
      </c>
      <c r="Q9" s="1" t="s">
        <v>7163</v>
      </c>
    </row>
    <row r="10" spans="1:17" x14ac:dyDescent="0.25">
      <c r="A10" t="s">
        <v>51</v>
      </c>
      <c r="B10" t="str">
        <f>HYPERLINK("https://staging-dtl-pattern-api.hfm-weimar.de/static/audio/solos/dtl/AQAbyVaUbEmkBleO68GdY0piHv9hCjdu_0.01.00.021224-0.02.16.016181.mp3", "link")</f>
        <v>link</v>
      </c>
      <c r="C10" t="s">
        <v>52</v>
      </c>
      <c r="D10" t="s">
        <v>53</v>
      </c>
      <c r="F10" t="s">
        <v>54</v>
      </c>
      <c r="G10" t="s">
        <v>54</v>
      </c>
      <c r="J10" t="s">
        <v>55</v>
      </c>
      <c r="K10" t="s">
        <v>56</v>
      </c>
      <c r="L10" s="1" t="s">
        <v>57</v>
      </c>
      <c r="M10" t="s">
        <v>58</v>
      </c>
      <c r="N10" t="s">
        <v>46</v>
      </c>
      <c r="O10" s="1" t="s">
        <v>59</v>
      </c>
      <c r="P10" s="1" t="s">
        <v>60</v>
      </c>
    </row>
    <row r="11" spans="1:17" x14ac:dyDescent="0.25">
      <c r="A11" t="s">
        <v>61</v>
      </c>
      <c r="B11" t="str">
        <f>HYPERLINK("https://staging-dtl-pattern-api.hfm-weimar.de/static/audio/solos/dtl/AQAbyVaUbEmkBleO68GdY0piHv9hCjdu_0.02.16.016181-0.04.06.087455.mp3", "link")</f>
        <v>link</v>
      </c>
      <c r="C11" t="s">
        <v>52</v>
      </c>
      <c r="D11" t="s">
        <v>53</v>
      </c>
      <c r="F11" t="s">
        <v>54</v>
      </c>
      <c r="G11" t="s">
        <v>54</v>
      </c>
      <c r="J11" t="s">
        <v>55</v>
      </c>
      <c r="K11" t="s">
        <v>56</v>
      </c>
      <c r="L11" s="1" t="s">
        <v>57</v>
      </c>
      <c r="M11" t="s">
        <v>58</v>
      </c>
      <c r="N11" t="s">
        <v>46</v>
      </c>
      <c r="O11" s="1" t="s">
        <v>60</v>
      </c>
      <c r="P11" s="1" t="s">
        <v>62</v>
      </c>
    </row>
    <row r="12" spans="1:17" x14ac:dyDescent="0.25">
      <c r="A12" t="s">
        <v>63</v>
      </c>
      <c r="B12" t="str">
        <f>HYPERLINK("https://staging-dtl-pattern-api.hfm-weimar.de/static/audio/solos/dtl/AQAbyVaUbEmkBleO68GdY0piHv9hCjdu_0.04.06.087455-0.07.01.061632.mp3", "link")</f>
        <v>link</v>
      </c>
      <c r="C12" t="s">
        <v>52</v>
      </c>
      <c r="D12" t="s">
        <v>53</v>
      </c>
      <c r="F12" t="s">
        <v>54</v>
      </c>
      <c r="G12" t="s">
        <v>54</v>
      </c>
      <c r="J12" t="s">
        <v>55</v>
      </c>
      <c r="K12" t="s">
        <v>56</v>
      </c>
      <c r="L12" s="1" t="s">
        <v>57</v>
      </c>
      <c r="M12" t="s">
        <v>58</v>
      </c>
      <c r="N12" t="s">
        <v>46</v>
      </c>
      <c r="O12" s="1" t="s">
        <v>62</v>
      </c>
      <c r="P12" s="1" t="s">
        <v>64</v>
      </c>
    </row>
    <row r="13" spans="1:17" x14ac:dyDescent="0.25">
      <c r="A13" t="s">
        <v>65</v>
      </c>
      <c r="B13" t="str">
        <f>HYPERLINK("https://staging-dtl-pattern-api.hfm-weimar.de/static/audio/solos/dtl/AQAbyVaUbEmkBleO68GdY0piHv9hCjdu_0.11.42.030204-0.11.54.084081.mp3", "link")</f>
        <v>link</v>
      </c>
      <c r="C13" t="s">
        <v>52</v>
      </c>
      <c r="D13" t="s">
        <v>53</v>
      </c>
      <c r="F13" t="s">
        <v>54</v>
      </c>
      <c r="G13" t="s">
        <v>54</v>
      </c>
      <c r="J13" t="s">
        <v>55</v>
      </c>
      <c r="K13" t="s">
        <v>56</v>
      </c>
      <c r="L13" s="1" t="s">
        <v>57</v>
      </c>
      <c r="M13" t="s">
        <v>58</v>
      </c>
      <c r="N13" t="s">
        <v>46</v>
      </c>
      <c r="O13" s="1" t="s">
        <v>66</v>
      </c>
      <c r="P13" s="1" t="s">
        <v>67</v>
      </c>
    </row>
    <row r="14" spans="1:17" x14ac:dyDescent="0.25">
      <c r="A14" t="s">
        <v>68</v>
      </c>
      <c r="B14" t="str">
        <f>HYPERLINK("https://staging-dtl-pattern-api.hfm-weimar.de/static/audio/solos/dtl/AQAbyVaUbEmkBleO68GdY0piHv9hCjdu_0.11.54.084081-0.12.05.081224.mp3", "link")</f>
        <v>link</v>
      </c>
      <c r="C14" t="s">
        <v>52</v>
      </c>
      <c r="D14" t="s">
        <v>53</v>
      </c>
      <c r="F14" t="s">
        <v>54</v>
      </c>
      <c r="G14" t="s">
        <v>54</v>
      </c>
      <c r="J14" t="s">
        <v>55</v>
      </c>
      <c r="K14" t="s">
        <v>56</v>
      </c>
      <c r="L14" s="1" t="s">
        <v>57</v>
      </c>
      <c r="M14" t="s">
        <v>58</v>
      </c>
      <c r="N14" t="s">
        <v>46</v>
      </c>
      <c r="O14" s="1" t="s">
        <v>67</v>
      </c>
      <c r="P14" s="1" t="s">
        <v>69</v>
      </c>
    </row>
    <row r="15" spans="1:17" x14ac:dyDescent="0.25">
      <c r="A15" t="s">
        <v>70</v>
      </c>
      <c r="B15" t="str">
        <f>HYPERLINK("https://staging-dtl-pattern-api.hfm-weimar.de/static/audio/solos/dtl/AQAbyVaUbEmkBleO68GdY0piHv9hCjdu_0.12.05.081224-0.12.17.043673.mp3", "link")</f>
        <v>link</v>
      </c>
      <c r="C15" t="s">
        <v>52</v>
      </c>
      <c r="D15" t="s">
        <v>53</v>
      </c>
      <c r="F15" t="s">
        <v>54</v>
      </c>
      <c r="G15" t="s">
        <v>54</v>
      </c>
      <c r="J15" t="s">
        <v>55</v>
      </c>
      <c r="K15" t="s">
        <v>56</v>
      </c>
      <c r="L15" s="1" t="s">
        <v>57</v>
      </c>
      <c r="M15" t="s">
        <v>58</v>
      </c>
      <c r="N15" t="s">
        <v>46</v>
      </c>
      <c r="O15" s="1" t="s">
        <v>69</v>
      </c>
      <c r="P15" s="1" t="s">
        <v>71</v>
      </c>
    </row>
    <row r="16" spans="1:17" x14ac:dyDescent="0.25">
      <c r="A16" t="s">
        <v>72</v>
      </c>
      <c r="B16" t="str">
        <f>HYPERLINK("https://staging-dtl-pattern-api.hfm-weimar.de/static/audio/solos/dtl/AQAbyVaUbEmkBleO68GdY0piHv9hCjdu_0.12.17.043673-0.12.28.051845.mp3", "link")</f>
        <v>link</v>
      </c>
      <c r="C16" t="s">
        <v>52</v>
      </c>
      <c r="D16" t="s">
        <v>53</v>
      </c>
      <c r="F16" t="s">
        <v>54</v>
      </c>
      <c r="G16" t="s">
        <v>54</v>
      </c>
      <c r="J16" t="s">
        <v>55</v>
      </c>
      <c r="K16" t="s">
        <v>56</v>
      </c>
      <c r="L16" s="1" t="s">
        <v>57</v>
      </c>
      <c r="M16" t="s">
        <v>58</v>
      </c>
      <c r="N16" t="s">
        <v>46</v>
      </c>
      <c r="O16" s="1" t="s">
        <v>71</v>
      </c>
      <c r="P16" s="1" t="s">
        <v>73</v>
      </c>
    </row>
    <row r="17" spans="1:17" x14ac:dyDescent="0.25">
      <c r="A17" t="s">
        <v>74</v>
      </c>
      <c r="B17" t="str">
        <f>HYPERLINK("https://staging-dtl-pattern-api.hfm-weimar.de/static/audio/solos/dtl/AQAbyVaUbEmkBleO68GdY0piHv9hCjdu_0.12.28.051845-0.12.38.073523.mp3", "link")</f>
        <v>link</v>
      </c>
      <c r="C17" t="s">
        <v>52</v>
      </c>
      <c r="D17" t="s">
        <v>53</v>
      </c>
      <c r="F17" t="s">
        <v>54</v>
      </c>
      <c r="G17" t="s">
        <v>54</v>
      </c>
      <c r="J17" t="s">
        <v>55</v>
      </c>
      <c r="K17" t="s">
        <v>56</v>
      </c>
      <c r="L17" s="1" t="s">
        <v>57</v>
      </c>
      <c r="M17" t="s">
        <v>58</v>
      </c>
      <c r="N17" t="s">
        <v>46</v>
      </c>
      <c r="O17" s="1" t="s">
        <v>73</v>
      </c>
      <c r="P17" s="1" t="s">
        <v>75</v>
      </c>
    </row>
    <row r="18" spans="1:17" x14ac:dyDescent="0.25">
      <c r="A18" t="s">
        <v>76</v>
      </c>
      <c r="B18" t="str">
        <f>HYPERLINK("https://staging-dtl-pattern-api.hfm-weimar.de/static/audio/solos/dtl/AQAbyVaUbEmkBleO68GdY0piHv9hCjdu_0.12.38.073523-0.12.50.025233.mp3", "link")</f>
        <v>link</v>
      </c>
      <c r="C18" t="s">
        <v>52</v>
      </c>
      <c r="D18" t="s">
        <v>53</v>
      </c>
      <c r="F18" t="s">
        <v>54</v>
      </c>
      <c r="G18" t="s">
        <v>54</v>
      </c>
      <c r="J18" t="s">
        <v>55</v>
      </c>
      <c r="K18" t="s">
        <v>56</v>
      </c>
      <c r="L18" s="1" t="s">
        <v>57</v>
      </c>
      <c r="M18" t="s">
        <v>58</v>
      </c>
      <c r="N18" t="s">
        <v>46</v>
      </c>
      <c r="O18" s="1" t="s">
        <v>75</v>
      </c>
      <c r="P18" s="1" t="s">
        <v>77</v>
      </c>
    </row>
    <row r="19" spans="1:17" x14ac:dyDescent="0.25">
      <c r="A19" t="s">
        <v>78</v>
      </c>
      <c r="B19" t="str">
        <f>HYPERLINK("https://staging-dtl-pattern-api.hfm-weimar.de/static/audio/solos/dtl/AQAbyVaUbEmkBleO68GdY0piHv9hCjdu_0.12.50.025233-0.12.54.071056.mp3", "link")</f>
        <v>link</v>
      </c>
      <c r="C19" t="s">
        <v>52</v>
      </c>
      <c r="D19" t="s">
        <v>53</v>
      </c>
      <c r="F19" t="s">
        <v>54</v>
      </c>
      <c r="G19" t="s">
        <v>54</v>
      </c>
      <c r="J19" t="s">
        <v>55</v>
      </c>
      <c r="K19" t="s">
        <v>56</v>
      </c>
      <c r="L19" s="1" t="s">
        <v>57</v>
      </c>
      <c r="M19" t="s">
        <v>58</v>
      </c>
      <c r="N19" t="s">
        <v>46</v>
      </c>
      <c r="O19" s="1" t="s">
        <v>77</v>
      </c>
      <c r="P19" s="1" t="s">
        <v>79</v>
      </c>
    </row>
    <row r="20" spans="1:17" x14ac:dyDescent="0.25">
      <c r="A20" t="s">
        <v>80</v>
      </c>
      <c r="B20" t="str">
        <f>HYPERLINK("https://staging-dtl-pattern-api.hfm-weimar.de/static/audio/solos/dtl/AQAbyVaUbEmkBleO68GdY0piHv9hCjdu_0.12.54.071056-0.12.58.051863.mp3", "link")</f>
        <v>link</v>
      </c>
      <c r="C20" t="s">
        <v>52</v>
      </c>
      <c r="D20" t="s">
        <v>53</v>
      </c>
      <c r="F20" t="s">
        <v>54</v>
      </c>
      <c r="G20" t="s">
        <v>54</v>
      </c>
      <c r="J20" t="s">
        <v>55</v>
      </c>
      <c r="K20" t="s">
        <v>56</v>
      </c>
      <c r="L20" s="1" t="s">
        <v>57</v>
      </c>
      <c r="M20" t="s">
        <v>58</v>
      </c>
      <c r="N20" t="s">
        <v>46</v>
      </c>
      <c r="O20" s="1" t="s">
        <v>79</v>
      </c>
      <c r="P20" s="1" t="s">
        <v>81</v>
      </c>
    </row>
    <row r="21" spans="1:17" x14ac:dyDescent="0.25">
      <c r="A21" t="s">
        <v>82</v>
      </c>
      <c r="B21" t="str">
        <f>HYPERLINK("https://staging-dtl-pattern-api.hfm-weimar.de/static/audio/solos/dtl/AQAbyVaUbEmkBleO68GdY0piHv9hCjdu_0.12.58.051863-0.13.01.067655.mp3", "link")</f>
        <v>link</v>
      </c>
      <c r="C21" t="s">
        <v>52</v>
      </c>
      <c r="D21" t="s">
        <v>53</v>
      </c>
      <c r="F21" t="s">
        <v>54</v>
      </c>
      <c r="G21" t="s">
        <v>54</v>
      </c>
      <c r="J21" t="s">
        <v>55</v>
      </c>
      <c r="K21" t="s">
        <v>56</v>
      </c>
      <c r="L21" s="1" t="s">
        <v>57</v>
      </c>
      <c r="M21" t="s">
        <v>58</v>
      </c>
      <c r="N21" t="s">
        <v>46</v>
      </c>
      <c r="O21" s="1" t="s">
        <v>81</v>
      </c>
      <c r="P21" s="1" t="s">
        <v>83</v>
      </c>
    </row>
    <row r="22" spans="1:17" x14ac:dyDescent="0.25">
      <c r="A22" t="s">
        <v>84</v>
      </c>
      <c r="B22" t="str">
        <f>HYPERLINK("https://staging-dtl-pattern-api.hfm-weimar.de/static/audio/solos/dtl/AQAbyVaUbEmkBleO68GdY0piHv9hCjdu_0.13.01.067655-0.13.05.002022.mp3", "link")</f>
        <v>link</v>
      </c>
      <c r="C22" t="s">
        <v>52</v>
      </c>
      <c r="D22" t="s">
        <v>53</v>
      </c>
      <c r="F22" t="s">
        <v>54</v>
      </c>
      <c r="G22" t="s">
        <v>54</v>
      </c>
      <c r="J22" t="s">
        <v>55</v>
      </c>
      <c r="K22" t="s">
        <v>56</v>
      </c>
      <c r="L22" s="1" t="s">
        <v>57</v>
      </c>
      <c r="M22" t="s">
        <v>58</v>
      </c>
      <c r="N22" t="s">
        <v>46</v>
      </c>
      <c r="O22" s="1" t="s">
        <v>83</v>
      </c>
      <c r="P22" s="1" t="s">
        <v>85</v>
      </c>
    </row>
    <row r="23" spans="1:17" x14ac:dyDescent="0.25">
      <c r="A23" t="s">
        <v>86</v>
      </c>
      <c r="B23" t="str">
        <f>HYPERLINK("https://staging-dtl-pattern-api.hfm-weimar.de/static/audio/solos/dtl/AQAbyVaUbEmkBleO68GdY0piHv9hCjdu_0.13.05.002022-0.13.08.064253.mp3", "link")</f>
        <v>link</v>
      </c>
      <c r="C23" t="s">
        <v>52</v>
      </c>
      <c r="D23" t="s">
        <v>53</v>
      </c>
      <c r="F23" t="s">
        <v>54</v>
      </c>
      <c r="G23" t="s">
        <v>54</v>
      </c>
      <c r="J23" t="s">
        <v>55</v>
      </c>
      <c r="K23" t="s">
        <v>56</v>
      </c>
      <c r="L23" s="1" t="s">
        <v>57</v>
      </c>
      <c r="M23" t="s">
        <v>58</v>
      </c>
      <c r="N23" t="s">
        <v>46</v>
      </c>
      <c r="O23" s="1" t="s">
        <v>85</v>
      </c>
      <c r="P23" s="1" t="s">
        <v>87</v>
      </c>
    </row>
    <row r="24" spans="1:17" x14ac:dyDescent="0.25">
      <c r="A24" t="s">
        <v>88</v>
      </c>
      <c r="B24" t="str">
        <f>HYPERLINK("https://staging-dtl-pattern-api.hfm-weimar.de/static/audio/solos/dtl/AQAbyVaUbEmkBleO68GdY0piHv9hCjdu_0.13.08.064253-0.13.11.052181.mp3", "link")</f>
        <v>link</v>
      </c>
      <c r="C24" t="s">
        <v>52</v>
      </c>
      <c r="D24" t="s">
        <v>53</v>
      </c>
      <c r="F24" t="s">
        <v>54</v>
      </c>
      <c r="G24" t="s">
        <v>54</v>
      </c>
      <c r="J24" t="s">
        <v>55</v>
      </c>
      <c r="K24" t="s">
        <v>56</v>
      </c>
      <c r="L24" s="1" t="s">
        <v>57</v>
      </c>
      <c r="M24" t="s">
        <v>58</v>
      </c>
      <c r="N24" t="s">
        <v>46</v>
      </c>
      <c r="O24" s="1" t="s">
        <v>87</v>
      </c>
      <c r="P24" s="1" t="s">
        <v>89</v>
      </c>
    </row>
    <row r="25" spans="1:17" x14ac:dyDescent="0.25">
      <c r="A25" t="s">
        <v>90</v>
      </c>
      <c r="B25" t="str">
        <f>HYPERLINK("https://staging-dtl-pattern-api.hfm-weimar.de/static/audio/solos/dtl/AQAbyVaUbEmkBleO68GdY0piHv9hCjdu_0.13.11.052181-0.13.15.098004.mp3", "link")</f>
        <v>link</v>
      </c>
      <c r="C25" t="s">
        <v>52</v>
      </c>
      <c r="D25" t="s">
        <v>53</v>
      </c>
      <c r="F25" t="s">
        <v>54</v>
      </c>
      <c r="G25" t="s">
        <v>54</v>
      </c>
      <c r="J25" t="s">
        <v>55</v>
      </c>
      <c r="K25" t="s">
        <v>56</v>
      </c>
      <c r="L25" s="1" t="s">
        <v>57</v>
      </c>
      <c r="M25" t="s">
        <v>58</v>
      </c>
      <c r="N25" t="s">
        <v>46</v>
      </c>
      <c r="O25" s="1" t="s">
        <v>89</v>
      </c>
      <c r="P25" s="1" t="s">
        <v>91</v>
      </c>
    </row>
    <row r="26" spans="1:17" x14ac:dyDescent="0.25">
      <c r="A26" t="s">
        <v>92</v>
      </c>
      <c r="B26" t="str">
        <f>HYPERLINK("https://staging-dtl-pattern-api.hfm-weimar.de/static/audio/solos/dtl/AQAbyVaUbEmkBleO68GdY0piHv9hCjdu_0.13.15.098004-0.13.19.069523.mp3", "link")</f>
        <v>link</v>
      </c>
      <c r="C26" t="s">
        <v>52</v>
      </c>
      <c r="D26" t="s">
        <v>53</v>
      </c>
      <c r="F26" t="s">
        <v>54</v>
      </c>
      <c r="G26" t="s">
        <v>54</v>
      </c>
      <c r="J26" t="s">
        <v>55</v>
      </c>
      <c r="K26" t="s">
        <v>56</v>
      </c>
      <c r="L26" s="1" t="s">
        <v>57</v>
      </c>
      <c r="M26" t="s">
        <v>58</v>
      </c>
      <c r="N26" t="s">
        <v>46</v>
      </c>
      <c r="O26" s="1" t="s">
        <v>91</v>
      </c>
      <c r="P26" s="1" t="s">
        <v>93</v>
      </c>
    </row>
    <row r="27" spans="1:17" x14ac:dyDescent="0.25">
      <c r="A27" t="s">
        <v>94</v>
      </c>
      <c r="B27" t="str">
        <f>HYPERLINK("https://staging-dtl-pattern-api.hfm-weimar.de/static/audio/solos/dtl/AQAbyVaUbEmkBleO68GdY0piHv9hCjdu_0.13.19.069523-0.13.23.013179.mp3", "link")</f>
        <v>link</v>
      </c>
      <c r="C27" t="s">
        <v>52</v>
      </c>
      <c r="D27" t="s">
        <v>53</v>
      </c>
      <c r="F27" t="s">
        <v>54</v>
      </c>
      <c r="G27" t="s">
        <v>54</v>
      </c>
      <c r="J27" t="s">
        <v>55</v>
      </c>
      <c r="K27" t="s">
        <v>56</v>
      </c>
      <c r="L27" s="1" t="s">
        <v>57</v>
      </c>
      <c r="M27" t="s">
        <v>58</v>
      </c>
      <c r="N27" t="s">
        <v>46</v>
      </c>
      <c r="O27" s="1" t="s">
        <v>93</v>
      </c>
      <c r="P27" s="1" t="s">
        <v>95</v>
      </c>
    </row>
    <row r="28" spans="1:17" x14ac:dyDescent="0.25">
      <c r="A28" t="s">
        <v>96</v>
      </c>
      <c r="B28" t="str">
        <f>HYPERLINK("https://staging-dtl-pattern-api.hfm-weimar.de/static/audio/solos/dtl/AQAbyVaUbEmkBleO68GdY0piHv9hCjdu_0.13.23.013179-0.13.26.066122.mp3", "link")</f>
        <v>link</v>
      </c>
      <c r="C28" t="s">
        <v>52</v>
      </c>
      <c r="D28" t="s">
        <v>53</v>
      </c>
      <c r="F28" t="s">
        <v>54</v>
      </c>
      <c r="G28" t="s">
        <v>54</v>
      </c>
      <c r="J28" t="s">
        <v>55</v>
      </c>
      <c r="K28" t="s">
        <v>56</v>
      </c>
      <c r="L28" s="1" t="s">
        <v>57</v>
      </c>
      <c r="M28" t="s">
        <v>58</v>
      </c>
      <c r="N28" t="s">
        <v>46</v>
      </c>
      <c r="O28" s="1" t="s">
        <v>95</v>
      </c>
      <c r="P28" s="1" t="s">
        <v>97</v>
      </c>
    </row>
    <row r="29" spans="1:17" x14ac:dyDescent="0.25">
      <c r="A29" t="s">
        <v>98</v>
      </c>
      <c r="B29" t="str">
        <f>HYPERLINK("https://staging-dtl-pattern-api.hfm-weimar.de/static/audio/solos/dtl/AQAbyVaUbEmkBleO68GdY0piHv9hCjdu_0.13.26.066122-0.13.31.021233.mp3", "link")</f>
        <v>link</v>
      </c>
      <c r="C29" t="s">
        <v>52</v>
      </c>
      <c r="D29" t="s">
        <v>53</v>
      </c>
      <c r="F29" t="s">
        <v>54</v>
      </c>
      <c r="G29" t="s">
        <v>54</v>
      </c>
      <c r="J29" t="s">
        <v>55</v>
      </c>
      <c r="K29" t="s">
        <v>56</v>
      </c>
      <c r="L29" s="1" t="s">
        <v>57</v>
      </c>
      <c r="M29" t="s">
        <v>58</v>
      </c>
      <c r="N29" t="s">
        <v>46</v>
      </c>
      <c r="O29" s="1" t="s">
        <v>97</v>
      </c>
      <c r="P29" s="1" t="s">
        <v>99</v>
      </c>
    </row>
    <row r="30" spans="1:17" x14ac:dyDescent="0.25">
      <c r="A30" t="s">
        <v>100</v>
      </c>
      <c r="B30" t="str">
        <f>HYPERLINK("https://staging-dtl-pattern-api.hfm-weimar.de/static/audio/solos/dtl/AQAbyVaUbEmkBleO68GdY0piHv9hCjdu_0.13.31.021233-0.13.34.055600.mp3", "link")</f>
        <v>link</v>
      </c>
      <c r="C30" t="s">
        <v>52</v>
      </c>
      <c r="D30" t="s">
        <v>53</v>
      </c>
      <c r="F30" t="s">
        <v>54</v>
      </c>
      <c r="G30" t="s">
        <v>54</v>
      </c>
      <c r="J30" t="s">
        <v>55</v>
      </c>
      <c r="K30" t="s">
        <v>56</v>
      </c>
      <c r="L30" s="1" t="s">
        <v>57</v>
      </c>
      <c r="M30" t="s">
        <v>58</v>
      </c>
      <c r="N30" t="s">
        <v>46</v>
      </c>
      <c r="O30" s="1" t="s">
        <v>99</v>
      </c>
      <c r="P30" s="1" t="s">
        <v>101</v>
      </c>
    </row>
    <row r="31" spans="1:17" x14ac:dyDescent="0.25">
      <c r="A31" t="s">
        <v>102</v>
      </c>
      <c r="B31" t="str">
        <f>HYPERLINK("https://staging-dtl-pattern-api.hfm-weimar.de/static/audio/solos/dtl/AQAccUmoJYmqCYc_4cL3BP1h_ugv_PCL_0.10.12.004897-0.14.37.090004.mp3", "link")</f>
        <v>link</v>
      </c>
      <c r="D31" t="s">
        <v>103</v>
      </c>
      <c r="E31" t="s">
        <v>104</v>
      </c>
      <c r="F31" t="s">
        <v>104</v>
      </c>
      <c r="G31" t="s">
        <v>104</v>
      </c>
      <c r="J31" t="s">
        <v>105</v>
      </c>
      <c r="K31" t="s">
        <v>106</v>
      </c>
      <c r="L31" s="1" t="s">
        <v>107</v>
      </c>
      <c r="M31" t="s">
        <v>108</v>
      </c>
      <c r="N31" t="s">
        <v>109</v>
      </c>
      <c r="O31" s="1" t="s">
        <v>110</v>
      </c>
      <c r="P31" s="1" t="s">
        <v>111</v>
      </c>
    </row>
    <row r="32" spans="1:17" x14ac:dyDescent="0.25">
      <c r="A32" t="s">
        <v>112</v>
      </c>
      <c r="B32" t="str">
        <f>HYPERLINK("https://staging-dtl-pattern-api.hfm-weimar.de/static/audio/solos/dtl/AQAcmUqUMGlEJcITY_dxKcZ1IX2E5A-u_0.03.05.057464-0.04.45.052020.mp3", "link")</f>
        <v>link</v>
      </c>
      <c r="D32" t="s">
        <v>7160</v>
      </c>
      <c r="E32" t="s">
        <v>42</v>
      </c>
      <c r="F32" t="s">
        <v>42</v>
      </c>
      <c r="G32" t="s">
        <v>42</v>
      </c>
      <c r="J32" t="s">
        <v>113</v>
      </c>
      <c r="K32" t="s">
        <v>114</v>
      </c>
      <c r="L32" s="1" t="s">
        <v>44</v>
      </c>
      <c r="M32" t="s">
        <v>115</v>
      </c>
      <c r="N32" t="s">
        <v>46</v>
      </c>
      <c r="O32" s="1" t="s">
        <v>116</v>
      </c>
      <c r="P32" s="1" t="s">
        <v>117</v>
      </c>
      <c r="Q32" s="1" t="s">
        <v>7165</v>
      </c>
    </row>
    <row r="33" spans="1:17" x14ac:dyDescent="0.25">
      <c r="A33" t="s">
        <v>118</v>
      </c>
      <c r="B33" t="str">
        <f>HYPERLINK("https://staging-dtl-pattern-api.hfm-weimar.de/static/audio/solos/dtl/AQAcmUqUMGlEJcITY_dxKcZ1IX2E5A-u_0.04.45.052020-0.07.13.035596.mp3", "link")</f>
        <v>link</v>
      </c>
      <c r="D33" t="s">
        <v>7160</v>
      </c>
      <c r="E33" t="s">
        <v>2530</v>
      </c>
      <c r="F33" t="s">
        <v>42</v>
      </c>
      <c r="G33" t="s">
        <v>42</v>
      </c>
      <c r="J33" t="s">
        <v>113</v>
      </c>
      <c r="K33" t="s">
        <v>114</v>
      </c>
      <c r="L33" s="1" t="s">
        <v>44</v>
      </c>
      <c r="M33" t="s">
        <v>115</v>
      </c>
      <c r="N33" t="s">
        <v>119</v>
      </c>
      <c r="O33" s="1" t="s">
        <v>117</v>
      </c>
      <c r="P33" s="1" t="s">
        <v>120</v>
      </c>
      <c r="Q33" s="1" t="s">
        <v>7166</v>
      </c>
    </row>
    <row r="34" spans="1:17" x14ac:dyDescent="0.25">
      <c r="A34" t="s">
        <v>121</v>
      </c>
      <c r="B34" t="str">
        <f>HYPERLINK("https://staging-dtl-pattern-api.hfm-weimar.de/static/audio/solos/dtl/AQAD-EqXKIqegOmiDWIyCXeWCecPP0cR_0.00.46.043990-0.01.25.005469.mp3", "link")</f>
        <v>link</v>
      </c>
      <c r="D34" t="s">
        <v>122</v>
      </c>
      <c r="E34" t="s">
        <v>123</v>
      </c>
      <c r="F34" t="s">
        <v>124</v>
      </c>
      <c r="G34" t="s">
        <v>123</v>
      </c>
      <c r="H34" t="s">
        <v>125</v>
      </c>
      <c r="I34">
        <v>82</v>
      </c>
      <c r="J34" t="s">
        <v>126</v>
      </c>
      <c r="K34" t="s">
        <v>127</v>
      </c>
      <c r="L34" s="1" t="s">
        <v>128</v>
      </c>
      <c r="M34" t="s">
        <v>129</v>
      </c>
      <c r="N34" t="s">
        <v>23</v>
      </c>
      <c r="O34" s="1" t="s">
        <v>130</v>
      </c>
      <c r="P34" s="1" t="s">
        <v>131</v>
      </c>
    </row>
    <row r="35" spans="1:17" x14ac:dyDescent="0.25">
      <c r="A35" t="s">
        <v>132</v>
      </c>
      <c r="B35" t="str">
        <f>HYPERLINK("https://staging-dtl-pattern-api.hfm-weimar.de/static/audio/solos/dtl/AQAD-EqXKIqegOmiDWIyCXeWCecPP0cR_0.01.44.041142-0.02.08.050666.mp3", "link")</f>
        <v>link</v>
      </c>
      <c r="D35" t="s">
        <v>122</v>
      </c>
      <c r="E35" t="s">
        <v>123</v>
      </c>
      <c r="F35" t="s">
        <v>124</v>
      </c>
      <c r="G35" t="s">
        <v>123</v>
      </c>
      <c r="H35" t="s">
        <v>125</v>
      </c>
      <c r="I35">
        <v>82</v>
      </c>
      <c r="J35" t="s">
        <v>126</v>
      </c>
      <c r="K35" t="s">
        <v>127</v>
      </c>
      <c r="L35" s="1" t="s">
        <v>128</v>
      </c>
      <c r="M35" t="s">
        <v>129</v>
      </c>
      <c r="N35" t="s">
        <v>23</v>
      </c>
      <c r="O35" s="1" t="s">
        <v>133</v>
      </c>
      <c r="P35" s="1" t="s">
        <v>134</v>
      </c>
    </row>
    <row r="36" spans="1:17" x14ac:dyDescent="0.25">
      <c r="A36" t="s">
        <v>135</v>
      </c>
      <c r="B36" t="str">
        <f>HYPERLINK("https://staging-dtl-pattern-api.hfm-weimar.de/static/audio/solos/dtl/AQAE_1uTPhGm3CzKPcK11MiZbEiWP_AU_0.01.22.090975-0.01.40.024544.mp3", "link")</f>
        <v>link</v>
      </c>
      <c r="D36" t="s">
        <v>136</v>
      </c>
      <c r="E36" t="s">
        <v>137</v>
      </c>
      <c r="F36" t="s">
        <v>138</v>
      </c>
      <c r="G36" t="s">
        <v>139</v>
      </c>
      <c r="H36" t="s">
        <v>140</v>
      </c>
      <c r="I36">
        <v>39</v>
      </c>
      <c r="J36" t="s">
        <v>141</v>
      </c>
      <c r="K36" t="s">
        <v>142</v>
      </c>
      <c r="L36" s="1" t="s">
        <v>143</v>
      </c>
      <c r="M36" t="s">
        <v>129</v>
      </c>
      <c r="N36" t="s">
        <v>109</v>
      </c>
      <c r="O36" s="1" t="s">
        <v>144</v>
      </c>
      <c r="P36" s="1" t="s">
        <v>145</v>
      </c>
    </row>
    <row r="37" spans="1:17" x14ac:dyDescent="0.25">
      <c r="A37" t="s">
        <v>146</v>
      </c>
      <c r="B37" t="str">
        <f>HYPERLINK("https://staging-dtl-pattern-api.hfm-weimar.de/static/audio/solos/dtl/AQAE_kmWKLGkSQiP5seP-mh-zHnw6_CO_0.01.34.034557-0.02.40.093333.mp3", "link")</f>
        <v>link</v>
      </c>
      <c r="D37" t="s">
        <v>147</v>
      </c>
      <c r="E37" t="s">
        <v>148</v>
      </c>
      <c r="F37" t="s">
        <v>149</v>
      </c>
      <c r="G37" t="s">
        <v>148</v>
      </c>
      <c r="H37" t="s">
        <v>150</v>
      </c>
      <c r="I37">
        <v>78</v>
      </c>
      <c r="J37" t="s">
        <v>126</v>
      </c>
      <c r="K37" t="s">
        <v>151</v>
      </c>
      <c r="L37" s="1" t="s">
        <v>152</v>
      </c>
      <c r="M37" t="s">
        <v>129</v>
      </c>
      <c r="N37" t="s">
        <v>23</v>
      </c>
      <c r="O37" s="1" t="s">
        <v>153</v>
      </c>
      <c r="P37" s="1" t="s">
        <v>154</v>
      </c>
    </row>
    <row r="38" spans="1:17" x14ac:dyDescent="0.25">
      <c r="A38" t="s">
        <v>155</v>
      </c>
      <c r="B38" t="str">
        <f>HYPERLINK("https://staging-dtl-pattern-api.hfm-weimar.de/static/audio/solos/dtl/AQAE0WLCJIkVBU-FRijxRDnqsZjy4yh5_0.00.44.044299-0.01.00.032544.mp3", "link")</f>
        <v>link</v>
      </c>
      <c r="C38" t="s">
        <v>2031</v>
      </c>
      <c r="D38" t="s">
        <v>156</v>
      </c>
      <c r="F38" t="s">
        <v>157</v>
      </c>
      <c r="G38" t="s">
        <v>158</v>
      </c>
      <c r="H38" t="s">
        <v>159</v>
      </c>
      <c r="I38">
        <v>37</v>
      </c>
      <c r="J38" t="s">
        <v>160</v>
      </c>
      <c r="K38" t="s">
        <v>161</v>
      </c>
      <c r="L38" s="1" t="s">
        <v>162</v>
      </c>
      <c r="M38" t="s">
        <v>129</v>
      </c>
      <c r="N38" t="s">
        <v>202</v>
      </c>
      <c r="O38" s="1" t="s">
        <v>163</v>
      </c>
      <c r="P38" s="1" t="s">
        <v>164</v>
      </c>
      <c r="Q38" s="1" t="s">
        <v>7169</v>
      </c>
    </row>
    <row r="39" spans="1:17" x14ac:dyDescent="0.25">
      <c r="A39" t="s">
        <v>165</v>
      </c>
      <c r="B39" t="str">
        <f>HYPERLINK("https://staging-dtl-pattern-api.hfm-weimar.de/static/audio/solos/dtl/AQAE0WLCJIkVBU-FRijxRDnqsZjy4yh5_0.01.00.032544-0.01.07.094158.mp3", "link")</f>
        <v>link</v>
      </c>
      <c r="D39" t="s">
        <v>156</v>
      </c>
      <c r="E39" t="s">
        <v>166</v>
      </c>
      <c r="F39" t="s">
        <v>157</v>
      </c>
      <c r="G39" t="s">
        <v>158</v>
      </c>
      <c r="H39" t="s">
        <v>159</v>
      </c>
      <c r="I39">
        <v>37</v>
      </c>
      <c r="J39" t="s">
        <v>160</v>
      </c>
      <c r="K39" t="s">
        <v>161</v>
      </c>
      <c r="L39" s="1" t="s">
        <v>162</v>
      </c>
      <c r="M39" t="s">
        <v>129</v>
      </c>
      <c r="N39" t="s">
        <v>109</v>
      </c>
      <c r="O39" s="1" t="s">
        <v>164</v>
      </c>
      <c r="P39" s="1" t="s">
        <v>167</v>
      </c>
    </row>
    <row r="40" spans="1:17" x14ac:dyDescent="0.25">
      <c r="A40" t="s">
        <v>168</v>
      </c>
      <c r="B40" t="str">
        <f>HYPERLINK("https://staging-dtl-pattern-api.hfm-weimar.de/static/audio/solos/dtl/AQAE0WLCJIkVBU-FRijxRDnqsZjy4yh5_0.01.07.094158-0.01.19.008716.mp3", "link")</f>
        <v>link</v>
      </c>
      <c r="C40" t="s">
        <v>2031</v>
      </c>
      <c r="D40" t="s">
        <v>156</v>
      </c>
      <c r="F40" t="s">
        <v>157</v>
      </c>
      <c r="G40" t="s">
        <v>158</v>
      </c>
      <c r="H40" t="s">
        <v>159</v>
      </c>
      <c r="I40">
        <v>37</v>
      </c>
      <c r="J40" t="s">
        <v>160</v>
      </c>
      <c r="K40" t="s">
        <v>161</v>
      </c>
      <c r="L40" s="1" t="s">
        <v>162</v>
      </c>
      <c r="M40" t="s">
        <v>129</v>
      </c>
      <c r="N40" t="s">
        <v>202</v>
      </c>
      <c r="O40" s="1" t="s">
        <v>167</v>
      </c>
      <c r="P40" s="1" t="s">
        <v>169</v>
      </c>
      <c r="Q40" s="1" t="s">
        <v>7169</v>
      </c>
    </row>
    <row r="41" spans="1:17" x14ac:dyDescent="0.25">
      <c r="A41" t="s">
        <v>170</v>
      </c>
      <c r="B41" t="str">
        <f>HYPERLINK("https://staging-dtl-pattern-api.hfm-weimar.de/static/audio/solos/dtl/AQAE0WLCJIkVBU-FRijxRDnqsZjy4yh5_0.01.19.008716-0.01.51.064154.mp3", "link")</f>
        <v>link</v>
      </c>
      <c r="C41" t="s">
        <v>171</v>
      </c>
      <c r="D41" t="s">
        <v>156</v>
      </c>
      <c r="F41" t="s">
        <v>157</v>
      </c>
      <c r="G41" t="s">
        <v>158</v>
      </c>
      <c r="H41" t="s">
        <v>159</v>
      </c>
      <c r="I41">
        <v>37</v>
      </c>
      <c r="J41" t="s">
        <v>160</v>
      </c>
      <c r="K41" t="s">
        <v>161</v>
      </c>
      <c r="L41" s="1" t="s">
        <v>162</v>
      </c>
      <c r="M41" t="s">
        <v>129</v>
      </c>
      <c r="N41" t="s">
        <v>46</v>
      </c>
      <c r="O41" s="1" t="s">
        <v>169</v>
      </c>
      <c r="P41" s="1" t="s">
        <v>173</v>
      </c>
      <c r="Q41" s="1" t="s">
        <v>7167</v>
      </c>
    </row>
    <row r="42" spans="1:17" x14ac:dyDescent="0.25">
      <c r="A42" t="s">
        <v>174</v>
      </c>
      <c r="B42" t="str">
        <f>HYPERLINK("https://staging-dtl-pattern-api.hfm-weimar.de/static/audio/solos/dtl/AQAE4RqTcCGa0GjX49EpXE_gUi565Eby_0.01.05.097442-0.01.43.077052.mp3", "link")</f>
        <v>link</v>
      </c>
      <c r="D42" t="s">
        <v>175</v>
      </c>
      <c r="E42" t="s">
        <v>176</v>
      </c>
      <c r="F42" t="s">
        <v>177</v>
      </c>
      <c r="G42" t="s">
        <v>178</v>
      </c>
      <c r="H42" t="s">
        <v>179</v>
      </c>
      <c r="I42">
        <v>32</v>
      </c>
      <c r="J42" t="s">
        <v>160</v>
      </c>
      <c r="K42" t="s">
        <v>180</v>
      </c>
      <c r="L42" s="1" t="s">
        <v>181</v>
      </c>
      <c r="M42" t="s">
        <v>182</v>
      </c>
      <c r="N42" t="s">
        <v>23</v>
      </c>
      <c r="O42" s="1" t="s">
        <v>183</v>
      </c>
      <c r="P42" s="1" t="s">
        <v>184</v>
      </c>
    </row>
    <row r="43" spans="1:17" x14ac:dyDescent="0.25">
      <c r="A43" t="s">
        <v>185</v>
      </c>
      <c r="B43" t="str">
        <f>HYPERLINK("https://staging-dtl-pattern-api.hfm-weimar.de/static/audio/solos/dtl/AQAE4RqTcCGa0GjX49EpXE_gUi565Eby_0.01.43.077052-0.02.00.010412.mp3", "link")</f>
        <v>link</v>
      </c>
      <c r="C43" t="s">
        <v>186</v>
      </c>
      <c r="D43" t="s">
        <v>175</v>
      </c>
      <c r="F43" t="s">
        <v>177</v>
      </c>
      <c r="G43" t="s">
        <v>178</v>
      </c>
      <c r="H43" t="s">
        <v>179</v>
      </c>
      <c r="I43">
        <v>32</v>
      </c>
      <c r="J43" t="s">
        <v>160</v>
      </c>
      <c r="K43" t="s">
        <v>180</v>
      </c>
      <c r="L43" s="1" t="s">
        <v>181</v>
      </c>
      <c r="M43" t="s">
        <v>182</v>
      </c>
      <c r="N43" t="s">
        <v>109</v>
      </c>
      <c r="O43" s="1" t="s">
        <v>184</v>
      </c>
      <c r="P43" s="1" t="s">
        <v>187</v>
      </c>
    </row>
    <row r="44" spans="1:17" x14ac:dyDescent="0.25">
      <c r="A44" t="s">
        <v>188</v>
      </c>
      <c r="B44" t="str">
        <f>HYPERLINK("https://staging-dtl-pattern-api.hfm-weimar.de/static/audio/solos/dtl/AQAE4RqTcCGa0GjX49EpXE_gUi565Eby_0.02.00.010412-0.02.08.087224.mp3", "link")</f>
        <v>link</v>
      </c>
      <c r="C44" t="s">
        <v>189</v>
      </c>
      <c r="D44" t="s">
        <v>175</v>
      </c>
      <c r="F44" t="s">
        <v>177</v>
      </c>
      <c r="G44" t="s">
        <v>178</v>
      </c>
      <c r="H44" t="s">
        <v>179</v>
      </c>
      <c r="I44">
        <v>32</v>
      </c>
      <c r="J44" t="s">
        <v>160</v>
      </c>
      <c r="K44" t="s">
        <v>180</v>
      </c>
      <c r="L44" s="1" t="s">
        <v>181</v>
      </c>
      <c r="M44" t="s">
        <v>182</v>
      </c>
      <c r="N44" t="s">
        <v>46</v>
      </c>
      <c r="O44" s="1" t="s">
        <v>187</v>
      </c>
      <c r="P44" s="1" t="s">
        <v>190</v>
      </c>
      <c r="Q44" s="1" t="s">
        <v>7167</v>
      </c>
    </row>
    <row r="45" spans="1:17" x14ac:dyDescent="0.25">
      <c r="A45" t="s">
        <v>191</v>
      </c>
      <c r="B45" t="str">
        <f>HYPERLINK("https://staging-dtl-pattern-api.hfm-weimar.de/static/audio/solos/dtl/AQAE4RqTcCGa0GjX49EpXE_gUi565Eby_0.02.08.087224-0.02.13.075056.mp3", "link")</f>
        <v>link</v>
      </c>
      <c r="C45" t="s">
        <v>186</v>
      </c>
      <c r="D45" t="s">
        <v>175</v>
      </c>
      <c r="F45" t="s">
        <v>177</v>
      </c>
      <c r="G45" t="s">
        <v>178</v>
      </c>
      <c r="H45" t="s">
        <v>179</v>
      </c>
      <c r="I45">
        <v>32</v>
      </c>
      <c r="J45" t="s">
        <v>160</v>
      </c>
      <c r="K45" t="s">
        <v>180</v>
      </c>
      <c r="L45" s="1" t="s">
        <v>181</v>
      </c>
      <c r="M45" t="s">
        <v>182</v>
      </c>
      <c r="N45" t="s">
        <v>109</v>
      </c>
      <c r="O45" s="1" t="s">
        <v>190</v>
      </c>
      <c r="P45" s="1" t="s">
        <v>192</v>
      </c>
    </row>
    <row r="46" spans="1:17" x14ac:dyDescent="0.25">
      <c r="A46" t="s">
        <v>193</v>
      </c>
      <c r="B46" t="str">
        <f>HYPERLINK("https://staging-dtl-pattern-api.hfm-weimar.de/static/audio/solos/dtl/AQAE60kiZYmUpEmCJsoV1MkPXVLw8MFz_0.00.23.012707-0.00.49.011020.mp3", "link")</f>
        <v>link</v>
      </c>
      <c r="D46" t="s">
        <v>194</v>
      </c>
      <c r="F46" t="s">
        <v>196</v>
      </c>
      <c r="H46" t="s">
        <v>197</v>
      </c>
      <c r="I46">
        <v>72</v>
      </c>
      <c r="J46" t="s">
        <v>198</v>
      </c>
      <c r="K46" t="s">
        <v>199</v>
      </c>
      <c r="L46" s="1" t="s">
        <v>200</v>
      </c>
      <c r="M46" t="s">
        <v>201</v>
      </c>
      <c r="N46" t="s">
        <v>46</v>
      </c>
      <c r="O46" s="1" t="s">
        <v>203</v>
      </c>
      <c r="P46" s="1" t="s">
        <v>204</v>
      </c>
      <c r="Q46" s="1" t="s">
        <v>7170</v>
      </c>
    </row>
    <row r="47" spans="1:17" x14ac:dyDescent="0.25">
      <c r="A47" t="s">
        <v>205</v>
      </c>
      <c r="B47" t="str">
        <f>HYPERLINK("https://staging-dtl-pattern-api.hfm-weimar.de/static/audio/solos/dtl/AQAE60kiZYmUpEmCJsoV1MkPXVLw8MFz_0.00.49.011020-0.01.15.041841.mp3", "link")</f>
        <v>link</v>
      </c>
      <c r="D47" t="s">
        <v>194</v>
      </c>
      <c r="E47" t="s">
        <v>206</v>
      </c>
      <c r="F47" t="s">
        <v>196</v>
      </c>
      <c r="H47" t="s">
        <v>197</v>
      </c>
      <c r="I47">
        <v>72</v>
      </c>
      <c r="J47" t="s">
        <v>198</v>
      </c>
      <c r="K47" t="s">
        <v>199</v>
      </c>
      <c r="L47" s="1" t="s">
        <v>200</v>
      </c>
      <c r="M47" t="s">
        <v>201</v>
      </c>
      <c r="N47" t="s">
        <v>172</v>
      </c>
      <c r="O47" s="1" t="s">
        <v>204</v>
      </c>
      <c r="P47" s="1" t="s">
        <v>207</v>
      </c>
    </row>
    <row r="48" spans="1:17" x14ac:dyDescent="0.25">
      <c r="A48" t="s">
        <v>208</v>
      </c>
      <c r="B48" t="str">
        <f>HYPERLINK("https://staging-dtl-pattern-api.hfm-weimar.de/static/audio/solos/dtl/AQAE60kiZYmUpEmCJsoV1MkPXVLw8MFz_0.01.15.041841-0.01.41.003002.mp3", "link")</f>
        <v>link</v>
      </c>
      <c r="D48" t="s">
        <v>194</v>
      </c>
      <c r="E48" t="s">
        <v>195</v>
      </c>
      <c r="F48" t="s">
        <v>196</v>
      </c>
      <c r="H48" t="s">
        <v>197</v>
      </c>
      <c r="I48">
        <v>72</v>
      </c>
      <c r="J48" t="s">
        <v>198</v>
      </c>
      <c r="K48" t="s">
        <v>199</v>
      </c>
      <c r="L48" s="1" t="s">
        <v>200</v>
      </c>
      <c r="M48" t="s">
        <v>201</v>
      </c>
      <c r="N48" t="s">
        <v>202</v>
      </c>
      <c r="O48" s="1" t="s">
        <v>207</v>
      </c>
      <c r="P48" s="1" t="s">
        <v>209</v>
      </c>
    </row>
    <row r="49" spans="1:17" x14ac:dyDescent="0.25">
      <c r="A49" t="s">
        <v>210</v>
      </c>
      <c r="B49" t="str">
        <f>HYPERLINK("https://staging-dtl-pattern-api.hfm-weimar.de/static/audio/solos/dtl/AQAE60kiZYmUpEmCJsoV1MkPXVLw8MFz_0.02.07.077941-0.02.38.059999.mp3", "link")</f>
        <v>link</v>
      </c>
      <c r="D49" t="s">
        <v>194</v>
      </c>
      <c r="E49" t="s">
        <v>195</v>
      </c>
      <c r="F49" t="s">
        <v>196</v>
      </c>
      <c r="H49" t="s">
        <v>197</v>
      </c>
      <c r="I49">
        <v>72</v>
      </c>
      <c r="J49" t="s">
        <v>198</v>
      </c>
      <c r="K49" t="s">
        <v>199</v>
      </c>
      <c r="L49" s="1" t="s">
        <v>200</v>
      </c>
      <c r="M49" t="s">
        <v>201</v>
      </c>
      <c r="N49" t="s">
        <v>109</v>
      </c>
      <c r="O49" s="1" t="s">
        <v>211</v>
      </c>
      <c r="P49" s="1" t="s">
        <v>212</v>
      </c>
    </row>
    <row r="50" spans="1:17" x14ac:dyDescent="0.25">
      <c r="A50" t="s">
        <v>213</v>
      </c>
      <c r="B50" t="str">
        <f>HYPERLINK("https://staging-dtl-pattern-api.hfm-weimar.de/static/audio/solos/dtl/AQAE6VEUKRmVTBHCSMqD0gKfBc1UlMl2_0.01.08.052208-0.01.21.077777.mp3", "link")</f>
        <v>link</v>
      </c>
      <c r="C50" t="s">
        <v>214</v>
      </c>
      <c r="D50" t="s">
        <v>215</v>
      </c>
      <c r="F50" t="s">
        <v>216</v>
      </c>
      <c r="G50" t="s">
        <v>216</v>
      </c>
      <c r="H50" t="s">
        <v>217</v>
      </c>
      <c r="I50">
        <v>76</v>
      </c>
      <c r="J50" t="s">
        <v>160</v>
      </c>
      <c r="K50" t="s">
        <v>218</v>
      </c>
      <c r="L50" s="1" t="s">
        <v>219</v>
      </c>
      <c r="M50" t="s">
        <v>129</v>
      </c>
      <c r="N50" t="s">
        <v>46</v>
      </c>
      <c r="O50" s="1" t="s">
        <v>220</v>
      </c>
      <c r="P50" s="1" t="s">
        <v>221</v>
      </c>
      <c r="Q50" s="1" t="s">
        <v>7167</v>
      </c>
    </row>
    <row r="51" spans="1:17" x14ac:dyDescent="0.25">
      <c r="A51" t="s">
        <v>222</v>
      </c>
      <c r="B51" t="str">
        <f>HYPERLINK("https://staging-dtl-pattern-api.hfm-weimar.de/static/audio/solos/dtl/AQAE6VEUKRmVTBHCSMqD0gKfBc1UlMl2_0.01.21.077777-0.01.34.036589.mp3", "link")</f>
        <v>link</v>
      </c>
      <c r="D51" t="s">
        <v>215</v>
      </c>
      <c r="F51" t="s">
        <v>216</v>
      </c>
      <c r="G51" t="s">
        <v>216</v>
      </c>
      <c r="H51" t="s">
        <v>217</v>
      </c>
      <c r="I51">
        <v>76</v>
      </c>
      <c r="J51" t="s">
        <v>160</v>
      </c>
      <c r="K51" t="s">
        <v>218</v>
      </c>
      <c r="L51" s="1" t="s">
        <v>219</v>
      </c>
      <c r="M51" t="s">
        <v>129</v>
      </c>
      <c r="N51" t="s">
        <v>109</v>
      </c>
      <c r="O51" s="1" t="s">
        <v>221</v>
      </c>
      <c r="P51" s="1" t="s">
        <v>223</v>
      </c>
      <c r="Q51" s="1" t="s">
        <v>7171</v>
      </c>
    </row>
    <row r="52" spans="1:17" x14ac:dyDescent="0.25">
      <c r="A52" t="s">
        <v>224</v>
      </c>
      <c r="B52" t="str">
        <f>HYPERLINK("https://staging-dtl-pattern-api.hfm-weimar.de/static/audio/solos/dtl/AQAE7UmiZFKzFYzjYcpwHrlkdMsmIsx4_0.00.57.077124-0.01.30.077551.mp3", "link")</f>
        <v>link</v>
      </c>
      <c r="D52" t="s">
        <v>225</v>
      </c>
      <c r="E52" t="s">
        <v>226</v>
      </c>
      <c r="F52" t="s">
        <v>227</v>
      </c>
      <c r="G52" t="s">
        <v>228</v>
      </c>
      <c r="H52" t="s">
        <v>229</v>
      </c>
      <c r="I52">
        <v>88</v>
      </c>
      <c r="J52" t="s">
        <v>198</v>
      </c>
      <c r="K52" t="s">
        <v>230</v>
      </c>
      <c r="L52" s="1" t="s">
        <v>231</v>
      </c>
      <c r="M52" t="s">
        <v>129</v>
      </c>
      <c r="N52" t="s">
        <v>46</v>
      </c>
      <c r="O52" s="1" t="s">
        <v>232</v>
      </c>
      <c r="P52" s="1" t="s">
        <v>233</v>
      </c>
    </row>
    <row r="53" spans="1:17" x14ac:dyDescent="0.25">
      <c r="A53" t="s">
        <v>234</v>
      </c>
      <c r="B53" t="str">
        <f>HYPERLINK("https://staging-dtl-pattern-api.hfm-weimar.de/static/audio/solos/dtl/AQAE7UmiZFKzFYzjYcpwHrlkdMsmIsx4_0.01.30.077551-0.01.47.095102.mp3", "link")</f>
        <v>link</v>
      </c>
      <c r="D53" t="s">
        <v>225</v>
      </c>
      <c r="E53" t="s">
        <v>235</v>
      </c>
      <c r="F53" t="s">
        <v>227</v>
      </c>
      <c r="G53" t="s">
        <v>228</v>
      </c>
      <c r="H53" t="s">
        <v>229</v>
      </c>
      <c r="I53">
        <v>88</v>
      </c>
      <c r="J53" t="s">
        <v>198</v>
      </c>
      <c r="K53" t="s">
        <v>230</v>
      </c>
      <c r="L53" s="1" t="s">
        <v>231</v>
      </c>
      <c r="M53" t="s">
        <v>129</v>
      </c>
      <c r="N53" t="s">
        <v>23</v>
      </c>
      <c r="O53" s="1" t="s">
        <v>233</v>
      </c>
      <c r="P53" s="1" t="s">
        <v>236</v>
      </c>
    </row>
    <row r="54" spans="1:17" x14ac:dyDescent="0.25">
      <c r="A54" t="s">
        <v>237</v>
      </c>
      <c r="B54" t="str">
        <f>HYPERLINK("https://staging-dtl-pattern-api.hfm-weimar.de/static/audio/solos/dtl/AQAE7UmiZFKzFYzjYcpwHrlkdMsmIsx4_0.01.47.095102-0.01.56.050612.mp3", "link")</f>
        <v>link</v>
      </c>
      <c r="C54" t="s">
        <v>238</v>
      </c>
      <c r="D54" t="s">
        <v>225</v>
      </c>
      <c r="E54" t="s">
        <v>137</v>
      </c>
      <c r="F54" t="s">
        <v>227</v>
      </c>
      <c r="G54" t="s">
        <v>228</v>
      </c>
      <c r="H54" t="s">
        <v>229</v>
      </c>
      <c r="I54">
        <v>88</v>
      </c>
      <c r="J54" t="s">
        <v>198</v>
      </c>
      <c r="K54" t="s">
        <v>230</v>
      </c>
      <c r="L54" s="1" t="s">
        <v>231</v>
      </c>
      <c r="M54" t="s">
        <v>129</v>
      </c>
      <c r="N54" t="s">
        <v>109</v>
      </c>
      <c r="O54" s="1" t="s">
        <v>236</v>
      </c>
      <c r="P54" s="1" t="s">
        <v>239</v>
      </c>
      <c r="Q54" s="1" t="s">
        <v>7172</v>
      </c>
    </row>
    <row r="55" spans="1:17" x14ac:dyDescent="0.25">
      <c r="A55" t="s">
        <v>240</v>
      </c>
      <c r="B55" t="str">
        <f>HYPERLINK("https://staging-dtl-pattern-api.hfm-weimar.de/static/audio/solos/dtl/AQAE7UmiZFKzFYzjYcpwHrlkdMsmIsx4_0.01.56.050612-0.02.02.050848.mp3", "link")</f>
        <v>link</v>
      </c>
      <c r="D55" t="s">
        <v>225</v>
      </c>
      <c r="E55" t="s">
        <v>235</v>
      </c>
      <c r="F55" t="s">
        <v>227</v>
      </c>
      <c r="G55" t="s">
        <v>228</v>
      </c>
      <c r="H55" t="s">
        <v>229</v>
      </c>
      <c r="I55">
        <v>88</v>
      </c>
      <c r="J55" t="s">
        <v>198</v>
      </c>
      <c r="K55" t="s">
        <v>230</v>
      </c>
      <c r="L55" s="1" t="s">
        <v>231</v>
      </c>
      <c r="M55" t="s">
        <v>129</v>
      </c>
      <c r="N55" t="s">
        <v>23</v>
      </c>
      <c r="O55" s="1" t="s">
        <v>239</v>
      </c>
      <c r="P55" s="1" t="s">
        <v>241</v>
      </c>
    </row>
    <row r="56" spans="1:17" x14ac:dyDescent="0.25">
      <c r="A56" t="s">
        <v>242</v>
      </c>
      <c r="B56" t="str">
        <f>HYPERLINK("https://staging-dtl-pattern-api.hfm-weimar.de/static/audio/solos/dtl/AQAE8knGpNKWoEeTbG4EzlkH3UKvwY-g_0.00.57.009786-0.01.45.011673.mp3", "link")</f>
        <v>link</v>
      </c>
      <c r="D56" t="s">
        <v>243</v>
      </c>
      <c r="E56" t="s">
        <v>42</v>
      </c>
      <c r="F56" t="s">
        <v>244</v>
      </c>
      <c r="G56" t="s">
        <v>42</v>
      </c>
      <c r="H56" t="s">
        <v>245</v>
      </c>
      <c r="I56">
        <v>63</v>
      </c>
      <c r="J56" t="s">
        <v>126</v>
      </c>
      <c r="K56" t="s">
        <v>246</v>
      </c>
      <c r="L56" s="1" t="s">
        <v>247</v>
      </c>
      <c r="M56" t="s">
        <v>129</v>
      </c>
      <c r="N56" t="s">
        <v>46</v>
      </c>
      <c r="O56" s="1" t="s">
        <v>248</v>
      </c>
      <c r="P56" s="1" t="s">
        <v>249</v>
      </c>
    </row>
    <row r="57" spans="1:17" x14ac:dyDescent="0.25">
      <c r="A57" t="s">
        <v>250</v>
      </c>
      <c r="B57" t="str">
        <f>HYPERLINK("https://staging-dtl-pattern-api.hfm-weimar.de/static/audio/solos/dtl/AQAE8knGpNKWoEeTbG4EzlkH3UKvwY-g_0.02.10.007818-0.02.22.082594.mp3", "link")</f>
        <v>link</v>
      </c>
      <c r="D57" t="s">
        <v>243</v>
      </c>
      <c r="E57" t="s">
        <v>251</v>
      </c>
      <c r="F57" t="s">
        <v>244</v>
      </c>
      <c r="G57" t="s">
        <v>42</v>
      </c>
      <c r="H57" t="s">
        <v>245</v>
      </c>
      <c r="I57">
        <v>63</v>
      </c>
      <c r="J57" t="s">
        <v>126</v>
      </c>
      <c r="K57" t="s">
        <v>246</v>
      </c>
      <c r="L57" s="1" t="s">
        <v>247</v>
      </c>
      <c r="M57" t="s">
        <v>129</v>
      </c>
      <c r="N57" t="s">
        <v>23</v>
      </c>
      <c r="O57" s="1" t="s">
        <v>252</v>
      </c>
      <c r="P57" s="1" t="s">
        <v>253</v>
      </c>
    </row>
    <row r="58" spans="1:17" x14ac:dyDescent="0.25">
      <c r="A58" t="s">
        <v>254</v>
      </c>
      <c r="B58" t="str">
        <f>HYPERLINK("https://staging-dtl-pattern-api.hfm-weimar.de/static/audio/solos/dtl/AQAE9JKUSUu0Bc2Eh8PhEz1-BveRP0ie_0.01.17.013668-0.01.56.093569.mp3", "link")</f>
        <v>link</v>
      </c>
      <c r="D58" t="s">
        <v>255</v>
      </c>
      <c r="E58" t="s">
        <v>256</v>
      </c>
      <c r="F58" t="s">
        <v>257</v>
      </c>
      <c r="G58" t="s">
        <v>258</v>
      </c>
      <c r="H58" t="s">
        <v>259</v>
      </c>
      <c r="I58">
        <v>86</v>
      </c>
      <c r="J58" t="s">
        <v>141</v>
      </c>
      <c r="K58" t="s">
        <v>260</v>
      </c>
      <c r="L58" s="1" t="s">
        <v>261</v>
      </c>
      <c r="M58" t="s">
        <v>129</v>
      </c>
      <c r="N58" t="s">
        <v>23</v>
      </c>
      <c r="O58" s="1" t="s">
        <v>262</v>
      </c>
      <c r="P58" s="1" t="s">
        <v>263</v>
      </c>
    </row>
    <row r="59" spans="1:17" x14ac:dyDescent="0.25">
      <c r="A59" t="s">
        <v>264</v>
      </c>
      <c r="B59" t="str">
        <f>HYPERLINK("https://staging-dtl-pattern-api.hfm-weimar.de/static/audio/solos/dtl/AQAEb1mS6BElPOiRL4uKH4erTHinLMjD_0.00.00.000000-0.01.07.033786.mp3", "link")</f>
        <v>link</v>
      </c>
      <c r="D59" t="s">
        <v>265</v>
      </c>
      <c r="E59" t="s">
        <v>266</v>
      </c>
      <c r="F59" t="s">
        <v>267</v>
      </c>
      <c r="G59" t="s">
        <v>266</v>
      </c>
      <c r="H59" t="s">
        <v>268</v>
      </c>
      <c r="I59">
        <v>80</v>
      </c>
      <c r="J59" t="s">
        <v>141</v>
      </c>
      <c r="K59" t="s">
        <v>269</v>
      </c>
      <c r="L59" s="1" t="s">
        <v>270</v>
      </c>
      <c r="M59" t="s">
        <v>129</v>
      </c>
      <c r="N59" t="s">
        <v>23</v>
      </c>
      <c r="O59" s="1" t="s">
        <v>271</v>
      </c>
      <c r="P59" s="1" t="s">
        <v>272</v>
      </c>
    </row>
    <row r="60" spans="1:17" x14ac:dyDescent="0.25">
      <c r="A60" t="s">
        <v>273</v>
      </c>
      <c r="B60" t="str">
        <f>HYPERLINK("https://staging-dtl-pattern-api.hfm-weimar.de/static/audio/solos/dtl/AQAEb1mS6BElPOiRL4uKH4erTHinLMjD_0.01.07.033786-0.01.24.033487.mp3", "link")</f>
        <v>link</v>
      </c>
      <c r="D60" t="s">
        <v>265</v>
      </c>
      <c r="E60" t="s">
        <v>274</v>
      </c>
      <c r="F60" t="s">
        <v>267</v>
      </c>
      <c r="G60" t="s">
        <v>266</v>
      </c>
      <c r="H60" t="s">
        <v>268</v>
      </c>
      <c r="I60">
        <v>80</v>
      </c>
      <c r="J60" t="s">
        <v>141</v>
      </c>
      <c r="K60" t="s">
        <v>269</v>
      </c>
      <c r="L60" s="1" t="s">
        <v>270</v>
      </c>
      <c r="M60" t="s">
        <v>129</v>
      </c>
      <c r="N60" t="s">
        <v>172</v>
      </c>
      <c r="O60" s="1" t="s">
        <v>272</v>
      </c>
      <c r="P60" s="1" t="s">
        <v>275</v>
      </c>
    </row>
    <row r="61" spans="1:17" x14ac:dyDescent="0.25">
      <c r="A61" t="s">
        <v>276</v>
      </c>
      <c r="B61" t="str">
        <f>HYPERLINK("https://staging-dtl-pattern-api.hfm-weimar.de/static/audio/solos/dtl/AQAEb1mS6BElPOiRL4uKH4erTHinLMjD_0.01.24.033487-0.01.41.007646.mp3", "link")</f>
        <v>link</v>
      </c>
      <c r="D61" t="s">
        <v>265</v>
      </c>
      <c r="E61" t="s">
        <v>266</v>
      </c>
      <c r="F61" t="s">
        <v>267</v>
      </c>
      <c r="G61" t="s">
        <v>266</v>
      </c>
      <c r="H61" t="s">
        <v>268</v>
      </c>
      <c r="I61">
        <v>80</v>
      </c>
      <c r="J61" t="s">
        <v>141</v>
      </c>
      <c r="K61" t="s">
        <v>269</v>
      </c>
      <c r="L61" s="1" t="s">
        <v>270</v>
      </c>
      <c r="M61" t="s">
        <v>129</v>
      </c>
      <c r="N61" t="s">
        <v>23</v>
      </c>
      <c r="O61" s="1" t="s">
        <v>275</v>
      </c>
      <c r="P61" s="1" t="s">
        <v>277</v>
      </c>
    </row>
    <row r="62" spans="1:17" x14ac:dyDescent="0.25">
      <c r="A62" t="s">
        <v>278</v>
      </c>
      <c r="B62" t="str">
        <f>HYPERLINK("https://staging-dtl-pattern-api.hfm-weimar.de/static/audio/solos/dtl/AQAEBkmeRkq04L6xy8UP28eDdy8eDrWP_0.00.34.041197-0.01.20.038748.mp3", "link")</f>
        <v>link</v>
      </c>
      <c r="D62" t="s">
        <v>279</v>
      </c>
      <c r="E62" t="s">
        <v>7173</v>
      </c>
      <c r="F62" t="s">
        <v>280</v>
      </c>
      <c r="G62" t="s">
        <v>280</v>
      </c>
      <c r="H62" t="s">
        <v>281</v>
      </c>
      <c r="I62">
        <v>56</v>
      </c>
      <c r="J62" t="s">
        <v>126</v>
      </c>
      <c r="K62" t="s">
        <v>282</v>
      </c>
      <c r="L62" s="1" t="s">
        <v>283</v>
      </c>
      <c r="M62" t="s">
        <v>182</v>
      </c>
      <c r="N62" t="s">
        <v>622</v>
      </c>
      <c r="O62" s="1" t="s">
        <v>284</v>
      </c>
      <c r="P62" s="1" t="s">
        <v>285</v>
      </c>
      <c r="Q62" s="1" t="s">
        <v>7174</v>
      </c>
    </row>
    <row r="63" spans="1:17" x14ac:dyDescent="0.25">
      <c r="A63" t="s">
        <v>286</v>
      </c>
      <c r="B63" t="str">
        <f>HYPERLINK("https://staging-dtl-pattern-api.hfm-weimar.de/static/audio/solos/dtl/AQAEBkmeRkq04L6xy8UP28eDdy8eDrWP_0.01.20.038748-0.01.35.022503.mp3", "link")</f>
        <v>link</v>
      </c>
      <c r="D63" t="s">
        <v>279</v>
      </c>
      <c r="E63" t="s">
        <v>287</v>
      </c>
      <c r="F63" t="s">
        <v>280</v>
      </c>
      <c r="G63" t="s">
        <v>280</v>
      </c>
      <c r="H63" t="s">
        <v>281</v>
      </c>
      <c r="I63">
        <v>56</v>
      </c>
      <c r="J63" t="s">
        <v>126</v>
      </c>
      <c r="K63" t="s">
        <v>282</v>
      </c>
      <c r="L63" s="1" t="s">
        <v>283</v>
      </c>
      <c r="M63" t="s">
        <v>182</v>
      </c>
      <c r="N63" t="s">
        <v>288</v>
      </c>
      <c r="O63" s="1" t="s">
        <v>285</v>
      </c>
      <c r="P63" s="1" t="s">
        <v>289</v>
      </c>
    </row>
    <row r="64" spans="1:17" x14ac:dyDescent="0.25">
      <c r="A64" t="s">
        <v>290</v>
      </c>
      <c r="B64" t="str">
        <f>HYPERLINK("https://staging-dtl-pattern-api.hfm-weimar.de/static/audio/solos/dtl/AQAEBkmeRkq04L6xy8UP28eDdy8eDrWP_0.01.35.022503-0.01.50.057342.mp3", "link")</f>
        <v>link</v>
      </c>
      <c r="D64" t="s">
        <v>279</v>
      </c>
      <c r="E64" t="s">
        <v>280</v>
      </c>
      <c r="F64" t="s">
        <v>280</v>
      </c>
      <c r="G64" t="s">
        <v>280</v>
      </c>
      <c r="H64" t="s">
        <v>281</v>
      </c>
      <c r="I64">
        <v>56</v>
      </c>
      <c r="J64" t="s">
        <v>126</v>
      </c>
      <c r="K64" t="s">
        <v>282</v>
      </c>
      <c r="L64" s="1" t="s">
        <v>283</v>
      </c>
      <c r="M64" t="s">
        <v>182</v>
      </c>
      <c r="N64" t="s">
        <v>46</v>
      </c>
      <c r="O64" s="1" t="s">
        <v>289</v>
      </c>
      <c r="P64" s="1" t="s">
        <v>291</v>
      </c>
    </row>
    <row r="65" spans="1:17" x14ac:dyDescent="0.25">
      <c r="A65" t="s">
        <v>292</v>
      </c>
      <c r="B65" t="str">
        <f>HYPERLINK("https://staging-dtl-pattern-api.hfm-weimar.de/static/audio/solos/dtl/AQAEdglJUUwU5HgS5EhuKcfDMBOaJUuJ_0.01.48.048362-0.02.24.000000.mp3", "link")</f>
        <v>link</v>
      </c>
      <c r="D65" t="s">
        <v>293</v>
      </c>
      <c r="E65" t="s">
        <v>294</v>
      </c>
      <c r="F65" t="s">
        <v>295</v>
      </c>
      <c r="G65" t="s">
        <v>296</v>
      </c>
      <c r="H65" t="s">
        <v>297</v>
      </c>
      <c r="I65">
        <v>67</v>
      </c>
      <c r="J65" t="s">
        <v>126</v>
      </c>
      <c r="K65" t="s">
        <v>298</v>
      </c>
      <c r="L65" s="1" t="s">
        <v>299</v>
      </c>
      <c r="M65" t="s">
        <v>129</v>
      </c>
      <c r="N65" t="s">
        <v>109</v>
      </c>
      <c r="O65" s="1" t="s">
        <v>300</v>
      </c>
      <c r="P65" s="1" t="s">
        <v>301</v>
      </c>
    </row>
    <row r="66" spans="1:17" x14ac:dyDescent="0.25">
      <c r="A66" t="s">
        <v>302</v>
      </c>
      <c r="B66" t="str">
        <f>HYPERLINK("https://staging-dtl-pattern-api.hfm-weimar.de/static/audio/solos/dtl/AQAEdkqUKEkUcZLwHSee7qgewlVyvFeK_0.00.54.029097-0.01.47.035181.mp3", "link")</f>
        <v>link</v>
      </c>
      <c r="D66" t="s">
        <v>303</v>
      </c>
      <c r="E66" t="s">
        <v>304</v>
      </c>
      <c r="F66" t="s">
        <v>305</v>
      </c>
      <c r="J66" t="s">
        <v>306</v>
      </c>
      <c r="K66" t="s">
        <v>307</v>
      </c>
      <c r="L66" s="1" t="s">
        <v>308</v>
      </c>
      <c r="M66" t="s">
        <v>309</v>
      </c>
      <c r="N66" t="s">
        <v>23</v>
      </c>
      <c r="O66" s="1" t="s">
        <v>310</v>
      </c>
      <c r="P66" s="1" t="s">
        <v>311</v>
      </c>
    </row>
    <row r="67" spans="1:17" x14ac:dyDescent="0.25">
      <c r="A67" t="s">
        <v>312</v>
      </c>
      <c r="B67" t="str">
        <f>HYPERLINK("https://staging-dtl-pattern-api.hfm-weimar.de/static/audio/solos/dtl/AQAEf0mihWGUQTnOw2N45K3wZBcePHiW_0.00.07.008208-0.00.58.065360.mp3", "link")</f>
        <v>link</v>
      </c>
      <c r="D67" t="s">
        <v>313</v>
      </c>
      <c r="E67" t="s">
        <v>251</v>
      </c>
      <c r="F67" t="s">
        <v>314</v>
      </c>
      <c r="G67" t="s">
        <v>251</v>
      </c>
      <c r="H67" t="s">
        <v>315</v>
      </c>
      <c r="I67">
        <v>28</v>
      </c>
      <c r="J67" t="s">
        <v>126</v>
      </c>
      <c r="K67" t="s">
        <v>218</v>
      </c>
      <c r="L67" s="1" t="s">
        <v>316</v>
      </c>
      <c r="M67" t="s">
        <v>129</v>
      </c>
      <c r="N67" t="s">
        <v>202</v>
      </c>
      <c r="O67" s="1" t="s">
        <v>317</v>
      </c>
      <c r="P67" s="1" t="s">
        <v>318</v>
      </c>
    </row>
    <row r="68" spans="1:17" x14ac:dyDescent="0.25">
      <c r="A68" t="s">
        <v>319</v>
      </c>
      <c r="B68" t="str">
        <f>HYPERLINK("https://staging-dtl-pattern-api.hfm-weimar.de/static/audio/solos/dtl/AQAEf0mihWGUQTnOw2N45K3wZBcePHiW_0.00.58.065360-0.01.24.010267.mp3", "link")</f>
        <v>link</v>
      </c>
      <c r="D68" t="s">
        <v>313</v>
      </c>
      <c r="E68" t="s">
        <v>42</v>
      </c>
      <c r="F68" t="s">
        <v>314</v>
      </c>
      <c r="G68" t="s">
        <v>251</v>
      </c>
      <c r="H68" t="s">
        <v>315</v>
      </c>
      <c r="I68">
        <v>28</v>
      </c>
      <c r="J68" t="s">
        <v>126</v>
      </c>
      <c r="K68" t="s">
        <v>218</v>
      </c>
      <c r="L68" s="1" t="s">
        <v>316</v>
      </c>
      <c r="M68" t="s">
        <v>129</v>
      </c>
      <c r="N68" t="s">
        <v>46</v>
      </c>
      <c r="O68" s="1" t="s">
        <v>318</v>
      </c>
      <c r="P68" s="1" t="s">
        <v>320</v>
      </c>
    </row>
    <row r="69" spans="1:17" x14ac:dyDescent="0.25">
      <c r="A69" t="s">
        <v>321</v>
      </c>
      <c r="B69" t="str">
        <f>HYPERLINK("https://staging-dtl-pattern-api.hfm-weimar.de/static/audio/solos/dtl/AQAEf1SiJ6GIH_5x6sO1eEgrCXpihJkl_0.00.44.016435-0.01.29.042004.mp3", "link")</f>
        <v>link</v>
      </c>
      <c r="D69" t="s">
        <v>322</v>
      </c>
      <c r="E69" t="s">
        <v>323</v>
      </c>
      <c r="F69" t="s">
        <v>324</v>
      </c>
      <c r="G69" t="s">
        <v>325</v>
      </c>
      <c r="H69" t="s">
        <v>326</v>
      </c>
      <c r="I69">
        <v>47</v>
      </c>
      <c r="J69" t="s">
        <v>160</v>
      </c>
      <c r="K69" t="s">
        <v>327</v>
      </c>
      <c r="L69" s="1" t="s">
        <v>328</v>
      </c>
      <c r="M69" t="s">
        <v>129</v>
      </c>
      <c r="N69" t="s">
        <v>329</v>
      </c>
      <c r="O69" s="1" t="s">
        <v>330</v>
      </c>
      <c r="P69" s="1" t="s">
        <v>331</v>
      </c>
    </row>
    <row r="70" spans="1:17" x14ac:dyDescent="0.25">
      <c r="A70" t="s">
        <v>332</v>
      </c>
      <c r="B70" t="str">
        <f>HYPERLINK("https://staging-dtl-pattern-api.hfm-weimar.de/static/audio/solos/dtl/AQAEgmQjrYnQ_CiT49aD0EyCZE_x005F_x472C_0.00.18.015800-0.01.14.079147.mp3", "link")</f>
        <v>link</v>
      </c>
      <c r="D70" t="s">
        <v>313</v>
      </c>
      <c r="E70" t="s">
        <v>251</v>
      </c>
      <c r="F70" t="s">
        <v>314</v>
      </c>
      <c r="G70" t="s">
        <v>251</v>
      </c>
      <c r="H70" t="s">
        <v>315</v>
      </c>
      <c r="I70">
        <v>28</v>
      </c>
      <c r="J70" t="s">
        <v>126</v>
      </c>
      <c r="K70" t="s">
        <v>333</v>
      </c>
      <c r="L70" s="1" t="s">
        <v>334</v>
      </c>
      <c r="M70" t="s">
        <v>129</v>
      </c>
      <c r="N70" t="s">
        <v>202</v>
      </c>
      <c r="O70" s="1" t="s">
        <v>335</v>
      </c>
      <c r="P70" s="1" t="s">
        <v>336</v>
      </c>
    </row>
    <row r="71" spans="1:17" x14ac:dyDescent="0.25">
      <c r="A71" t="s">
        <v>337</v>
      </c>
      <c r="B71" t="str">
        <f>HYPERLINK("https://staging-dtl-pattern-api.hfm-weimar.de/static/audio/solos/dtl/AQAEgmQjrYnQ_CiT49aD0EyCZE_x005F_x472C_0.01.14.079147-0.01.37.066312.mp3", "link")</f>
        <v>link</v>
      </c>
      <c r="D71" t="s">
        <v>313</v>
      </c>
      <c r="E71" t="s">
        <v>42</v>
      </c>
      <c r="F71" t="s">
        <v>314</v>
      </c>
      <c r="G71" t="s">
        <v>251</v>
      </c>
      <c r="H71" t="s">
        <v>315</v>
      </c>
      <c r="I71">
        <v>28</v>
      </c>
      <c r="J71" t="s">
        <v>126</v>
      </c>
      <c r="K71" t="s">
        <v>333</v>
      </c>
      <c r="L71" s="1" t="s">
        <v>334</v>
      </c>
      <c r="M71" t="s">
        <v>129</v>
      </c>
      <c r="N71" t="s">
        <v>46</v>
      </c>
      <c r="O71" s="1" t="s">
        <v>336</v>
      </c>
      <c r="P71" s="1" t="s">
        <v>338</v>
      </c>
    </row>
    <row r="72" spans="1:17" x14ac:dyDescent="0.25">
      <c r="A72" t="s">
        <v>339</v>
      </c>
      <c r="B72" t="str">
        <f>HYPERLINK("https://staging-dtl-pattern-api.hfm-weimar.de/static/audio/solos/dtl/AQAEmYsaSYkzXFGOfklQNcJ7Bo8uVJdz_0.00.49.053668-0.01.09.046938.mp3", "link")</f>
        <v>link</v>
      </c>
      <c r="D72" t="s">
        <v>340</v>
      </c>
      <c r="E72" t="s">
        <v>2356</v>
      </c>
      <c r="F72" t="s">
        <v>341</v>
      </c>
      <c r="G72" t="s">
        <v>342</v>
      </c>
      <c r="H72" t="s">
        <v>343</v>
      </c>
      <c r="I72">
        <v>18</v>
      </c>
      <c r="J72" t="s">
        <v>141</v>
      </c>
      <c r="K72" t="s">
        <v>344</v>
      </c>
      <c r="L72" s="1" t="s">
        <v>345</v>
      </c>
      <c r="M72" t="s">
        <v>129</v>
      </c>
      <c r="N72" t="s">
        <v>826</v>
      </c>
      <c r="O72" s="1" t="s">
        <v>346</v>
      </c>
      <c r="P72" s="1" t="s">
        <v>347</v>
      </c>
      <c r="Q72" s="1" t="s">
        <v>7176</v>
      </c>
    </row>
    <row r="73" spans="1:17" x14ac:dyDescent="0.25">
      <c r="A73" t="s">
        <v>348</v>
      </c>
      <c r="B73" t="str">
        <f>HYPERLINK("https://staging-dtl-pattern-api.hfm-weimar.de/static/audio/solos/dtl/AQAEmYsaSYkzXFGOfklQNcJ7Bo8uVJdz_0.01.37.035365-0.01.57.008734.mp3", "link")</f>
        <v>link</v>
      </c>
      <c r="D73" t="s">
        <v>340</v>
      </c>
      <c r="E73" t="s">
        <v>342</v>
      </c>
      <c r="F73" t="s">
        <v>341</v>
      </c>
      <c r="G73" t="s">
        <v>342</v>
      </c>
      <c r="H73" t="s">
        <v>343</v>
      </c>
      <c r="I73">
        <v>18</v>
      </c>
      <c r="J73" t="s">
        <v>141</v>
      </c>
      <c r="K73" t="s">
        <v>344</v>
      </c>
      <c r="L73" s="1" t="s">
        <v>345</v>
      </c>
      <c r="M73" t="s">
        <v>129</v>
      </c>
      <c r="N73" t="s">
        <v>109</v>
      </c>
      <c r="O73" s="1" t="s">
        <v>349</v>
      </c>
      <c r="P73" s="1" t="s">
        <v>350</v>
      </c>
    </row>
    <row r="74" spans="1:17" x14ac:dyDescent="0.25">
      <c r="A74" t="s">
        <v>351</v>
      </c>
      <c r="B74" t="str">
        <f>HYPERLINK("https://staging-dtl-pattern-api.hfm-weimar.de/static/audio/solos/dtl/AQAEmZJyLVmkJGhQpxP-ID6SpaPhBr1w_0.00.27.095682-0.01.15.099891.mp3", "link")</f>
        <v>link</v>
      </c>
      <c r="D74" t="s">
        <v>352</v>
      </c>
      <c r="E74" t="s">
        <v>353</v>
      </c>
      <c r="F74" t="s">
        <v>354</v>
      </c>
      <c r="G74" t="s">
        <v>355</v>
      </c>
      <c r="H74" t="s">
        <v>356</v>
      </c>
      <c r="I74">
        <v>44</v>
      </c>
      <c r="J74" t="s">
        <v>126</v>
      </c>
      <c r="K74" t="s">
        <v>357</v>
      </c>
      <c r="L74" s="1" t="s">
        <v>358</v>
      </c>
      <c r="M74" t="s">
        <v>129</v>
      </c>
      <c r="N74" t="s">
        <v>23</v>
      </c>
      <c r="O74" s="1" t="s">
        <v>359</v>
      </c>
      <c r="P74" s="1" t="s">
        <v>360</v>
      </c>
    </row>
    <row r="75" spans="1:17" x14ac:dyDescent="0.25">
      <c r="A75" t="s">
        <v>361</v>
      </c>
      <c r="B75" t="str">
        <f>HYPERLINK("https://staging-dtl-pattern-api.hfm-weimar.de/static/audio/solos/dtl/AQAENAz5RMKLH0_xI8QJIWc-fC165_jh_0.01.05.001587-0.02.15.082666.mp3", "link")</f>
        <v>link</v>
      </c>
      <c r="C75" t="s">
        <v>362</v>
      </c>
      <c r="D75" t="s">
        <v>363</v>
      </c>
      <c r="F75" t="s">
        <v>364</v>
      </c>
      <c r="G75" t="s">
        <v>364</v>
      </c>
      <c r="J75" t="s">
        <v>365</v>
      </c>
      <c r="K75" t="s">
        <v>366</v>
      </c>
      <c r="L75" s="1" t="s">
        <v>367</v>
      </c>
      <c r="M75" t="s">
        <v>368</v>
      </c>
      <c r="N75" t="s">
        <v>23</v>
      </c>
      <c r="O75" s="1" t="s">
        <v>369</v>
      </c>
      <c r="P75" s="1" t="s">
        <v>370</v>
      </c>
    </row>
    <row r="76" spans="1:17" x14ac:dyDescent="0.25">
      <c r="A76" t="s">
        <v>371</v>
      </c>
      <c r="B76" t="str">
        <f>HYPERLINK("https://staging-dtl-pattern-api.hfm-weimar.de/static/audio/solos/dtl/AQAEoUqkJVmyNQF__EejBtVxD8_xd4MZ_0.00.38.045224-0.01.17.029922.mp3", "link")</f>
        <v>link</v>
      </c>
      <c r="D76" t="s">
        <v>372</v>
      </c>
      <c r="E76" t="s">
        <v>123</v>
      </c>
      <c r="F76" t="s">
        <v>124</v>
      </c>
      <c r="G76" t="s">
        <v>123</v>
      </c>
      <c r="H76" t="s">
        <v>373</v>
      </c>
      <c r="I76">
        <v>81</v>
      </c>
      <c r="J76" t="s">
        <v>126</v>
      </c>
      <c r="K76" t="s">
        <v>374</v>
      </c>
      <c r="L76" s="1" t="s">
        <v>375</v>
      </c>
      <c r="M76" t="s">
        <v>129</v>
      </c>
      <c r="N76" t="s">
        <v>23</v>
      </c>
      <c r="O76" s="1" t="s">
        <v>376</v>
      </c>
      <c r="P76" s="1" t="s">
        <v>377</v>
      </c>
    </row>
    <row r="77" spans="1:17" x14ac:dyDescent="0.25">
      <c r="A77" t="s">
        <v>378</v>
      </c>
      <c r="B77" t="str">
        <f>HYPERLINK("https://staging-dtl-pattern-api.hfm-weimar.de/static/audio/solos/dtl/AQAEoUqkJVmyNQF__EejBtVxD8_xd4MZ_0.01.50.038766-0.02.29.041333.mp3", "link")</f>
        <v>link</v>
      </c>
      <c r="D77" t="s">
        <v>372</v>
      </c>
      <c r="E77" t="s">
        <v>123</v>
      </c>
      <c r="F77" t="s">
        <v>124</v>
      </c>
      <c r="G77" t="s">
        <v>123</v>
      </c>
      <c r="H77" t="s">
        <v>373</v>
      </c>
      <c r="I77">
        <v>81</v>
      </c>
      <c r="J77" t="s">
        <v>126</v>
      </c>
      <c r="K77" t="s">
        <v>374</v>
      </c>
      <c r="L77" s="1" t="s">
        <v>375</v>
      </c>
      <c r="M77" t="s">
        <v>129</v>
      </c>
      <c r="N77" t="s">
        <v>23</v>
      </c>
      <c r="O77" s="1" t="s">
        <v>379</v>
      </c>
      <c r="P77" s="1" t="s">
        <v>380</v>
      </c>
    </row>
    <row r="78" spans="1:17" x14ac:dyDescent="0.25">
      <c r="A78" t="s">
        <v>381</v>
      </c>
      <c r="B78" t="str">
        <f>HYPERLINK("https://staging-dtl-pattern-api.hfm-weimar.de/static/audio/solos/dtl/AQAEoWRUKUm4YD9CiRmhJSmDHPxx9rgo_0.00.52.052353-0.01.31.048662.mp3", "link")</f>
        <v>link</v>
      </c>
      <c r="D78" t="s">
        <v>382</v>
      </c>
      <c r="E78" t="s">
        <v>383</v>
      </c>
      <c r="F78" t="s">
        <v>384</v>
      </c>
      <c r="G78" t="s">
        <v>385</v>
      </c>
      <c r="H78" t="s">
        <v>386</v>
      </c>
      <c r="I78">
        <v>29</v>
      </c>
      <c r="J78" t="s">
        <v>160</v>
      </c>
      <c r="K78" t="s">
        <v>387</v>
      </c>
      <c r="L78" s="1" t="s">
        <v>388</v>
      </c>
      <c r="M78" t="s">
        <v>129</v>
      </c>
      <c r="N78" t="s">
        <v>23</v>
      </c>
      <c r="O78" s="1" t="s">
        <v>389</v>
      </c>
      <c r="P78" s="1" t="s">
        <v>390</v>
      </c>
    </row>
    <row r="79" spans="1:17" x14ac:dyDescent="0.25">
      <c r="A79" t="s">
        <v>391</v>
      </c>
      <c r="B79" t="str">
        <f>HYPERLINK("https://staging-dtl-pattern-api.hfm-weimar.de/static/audio/solos/dtl/AQAEPEoWJVGUJBEjXPiC_rD24KeGXDv0_0.00.07.066476-0.00.23.026634.mp3", "link")</f>
        <v>link</v>
      </c>
      <c r="D79" t="s">
        <v>392</v>
      </c>
      <c r="E79" t="s">
        <v>54</v>
      </c>
      <c r="F79" t="s">
        <v>393</v>
      </c>
      <c r="G79" t="s">
        <v>394</v>
      </c>
      <c r="H79" t="s">
        <v>395</v>
      </c>
      <c r="I79">
        <v>27</v>
      </c>
      <c r="J79" t="s">
        <v>141</v>
      </c>
      <c r="K79" t="s">
        <v>396</v>
      </c>
      <c r="L79" s="1" t="s">
        <v>397</v>
      </c>
      <c r="M79" t="s">
        <v>129</v>
      </c>
      <c r="N79" t="s">
        <v>46</v>
      </c>
      <c r="O79" s="1" t="s">
        <v>398</v>
      </c>
      <c r="P79" s="1" t="s">
        <v>399</v>
      </c>
    </row>
    <row r="80" spans="1:17" x14ac:dyDescent="0.25">
      <c r="A80" t="s">
        <v>400</v>
      </c>
      <c r="B80" t="str">
        <f>HYPERLINK("https://staging-dtl-pattern-api.hfm-weimar.de/static/audio/solos/dtl/AQAEPEoWJVGUJBEjXPiC_rD24KeGXDv0_0.00.23.026634-0.00.31.075346.mp3", "link")</f>
        <v>link</v>
      </c>
      <c r="D80" t="s">
        <v>392</v>
      </c>
      <c r="E80" t="s">
        <v>401</v>
      </c>
      <c r="F80" t="s">
        <v>393</v>
      </c>
      <c r="G80" t="s">
        <v>394</v>
      </c>
      <c r="H80" t="s">
        <v>395</v>
      </c>
      <c r="I80">
        <v>27</v>
      </c>
      <c r="J80" t="s">
        <v>141</v>
      </c>
      <c r="K80" t="s">
        <v>396</v>
      </c>
      <c r="L80" s="1" t="s">
        <v>397</v>
      </c>
      <c r="M80" t="s">
        <v>129</v>
      </c>
      <c r="N80" t="s">
        <v>202</v>
      </c>
      <c r="O80" s="1" t="s">
        <v>399</v>
      </c>
      <c r="P80" s="1" t="s">
        <v>402</v>
      </c>
    </row>
    <row r="81" spans="1:17" x14ac:dyDescent="0.25">
      <c r="A81" t="s">
        <v>403</v>
      </c>
      <c r="B81" t="str">
        <f>HYPERLINK("https://staging-dtl-pattern-api.hfm-weimar.de/static/audio/solos/dtl/AQAEPEoWJVGUJBEjXPiC_rD24KeGXDv0_0.00.31.075346-0.00.39.058802.mp3", "link")</f>
        <v>link</v>
      </c>
      <c r="D81" t="s">
        <v>392</v>
      </c>
      <c r="E81" t="s">
        <v>54</v>
      </c>
      <c r="F81" t="s">
        <v>393</v>
      </c>
      <c r="G81" t="s">
        <v>394</v>
      </c>
      <c r="H81" t="s">
        <v>395</v>
      </c>
      <c r="I81">
        <v>27</v>
      </c>
      <c r="J81" t="s">
        <v>141</v>
      </c>
      <c r="K81" t="s">
        <v>396</v>
      </c>
      <c r="L81" s="1" t="s">
        <v>397</v>
      </c>
      <c r="M81" t="s">
        <v>129</v>
      </c>
      <c r="N81" t="s">
        <v>46</v>
      </c>
      <c r="O81" s="1" t="s">
        <v>402</v>
      </c>
      <c r="P81" s="1" t="s">
        <v>404</v>
      </c>
    </row>
    <row r="82" spans="1:17" x14ac:dyDescent="0.25">
      <c r="A82" t="s">
        <v>405</v>
      </c>
      <c r="B82" t="str">
        <f>HYPERLINK("https://staging-dtl-pattern-api.hfm-weimar.de/static/audio/solos/dtl/AQAEPEoWJVGUJBEjXPiC_rD24KeGXDv0_0.00.39.058802-0.01.11.005596.mp3", "link")</f>
        <v>link</v>
      </c>
      <c r="C82" t="s">
        <v>406</v>
      </c>
      <c r="D82" t="s">
        <v>392</v>
      </c>
      <c r="E82" t="s">
        <v>256</v>
      </c>
      <c r="F82" t="s">
        <v>393</v>
      </c>
      <c r="G82" t="s">
        <v>394</v>
      </c>
      <c r="H82" t="s">
        <v>395</v>
      </c>
      <c r="I82">
        <v>27</v>
      </c>
      <c r="J82" t="s">
        <v>141</v>
      </c>
      <c r="K82" t="s">
        <v>396</v>
      </c>
      <c r="L82" s="1" t="s">
        <v>397</v>
      </c>
      <c r="M82" t="s">
        <v>129</v>
      </c>
      <c r="N82" t="s">
        <v>23</v>
      </c>
      <c r="O82" s="1" t="s">
        <v>404</v>
      </c>
      <c r="P82" s="1" t="s">
        <v>407</v>
      </c>
      <c r="Q82" s="1" t="s">
        <v>7177</v>
      </c>
    </row>
    <row r="83" spans="1:17" x14ac:dyDescent="0.25">
      <c r="A83" t="s">
        <v>408</v>
      </c>
      <c r="B83" t="str">
        <f>HYPERLINK("https://staging-dtl-pattern-api.hfm-weimar.de/static/audio/solos/dtl/AQAEPEoWJVGUJBEjXPiC_rD24KeGXDv0_0.01.11.005596-0.01.42.024036.mp3", "link")</f>
        <v>link</v>
      </c>
      <c r="D83" t="s">
        <v>392</v>
      </c>
      <c r="E83" t="s">
        <v>394</v>
      </c>
      <c r="F83" t="s">
        <v>393</v>
      </c>
      <c r="G83" t="s">
        <v>394</v>
      </c>
      <c r="H83" t="s">
        <v>395</v>
      </c>
      <c r="I83">
        <v>27</v>
      </c>
      <c r="J83" t="s">
        <v>141</v>
      </c>
      <c r="K83" t="s">
        <v>396</v>
      </c>
      <c r="L83" s="1" t="s">
        <v>397</v>
      </c>
      <c r="M83" t="s">
        <v>129</v>
      </c>
      <c r="N83" t="s">
        <v>288</v>
      </c>
      <c r="O83" s="1" t="s">
        <v>407</v>
      </c>
      <c r="P83" s="1" t="s">
        <v>409</v>
      </c>
    </row>
    <row r="84" spans="1:17" x14ac:dyDescent="0.25">
      <c r="A84" t="s">
        <v>410</v>
      </c>
      <c r="B84" t="str">
        <f>HYPERLINK("https://staging-dtl-pattern-api.hfm-weimar.de/static/audio/solos/dtl/AQAEPEoWJVGUJBEjXPiC_rD24KeGXDv0_0.01.42.024036-0.01.57.055102.mp3", "link")</f>
        <v>link</v>
      </c>
      <c r="D84" t="s">
        <v>392</v>
      </c>
      <c r="E84" t="s">
        <v>394</v>
      </c>
      <c r="F84" t="s">
        <v>393</v>
      </c>
      <c r="G84" t="s">
        <v>394</v>
      </c>
      <c r="H84" t="s">
        <v>395</v>
      </c>
      <c r="I84">
        <v>27</v>
      </c>
      <c r="J84" t="s">
        <v>141</v>
      </c>
      <c r="K84" t="s">
        <v>396</v>
      </c>
      <c r="L84" s="1" t="s">
        <v>397</v>
      </c>
      <c r="M84" t="s">
        <v>129</v>
      </c>
      <c r="N84" t="s">
        <v>288</v>
      </c>
      <c r="O84" s="1" t="s">
        <v>409</v>
      </c>
      <c r="P84" s="1" t="s">
        <v>411</v>
      </c>
    </row>
    <row r="85" spans="1:17" x14ac:dyDescent="0.25">
      <c r="A85" t="s">
        <v>412</v>
      </c>
      <c r="B85" t="str">
        <f>HYPERLINK("https://staging-dtl-pattern-api.hfm-weimar.de/static/audio/solos/dtl/AQAEPEoWJVGUJBEjXPiC_rD24KeGXDv0_0.01.57.055102-0.02.05.039587.mp3", "link")</f>
        <v>link</v>
      </c>
      <c r="D85" t="s">
        <v>392</v>
      </c>
      <c r="E85" t="s">
        <v>394</v>
      </c>
      <c r="F85" t="s">
        <v>393</v>
      </c>
      <c r="G85" t="s">
        <v>394</v>
      </c>
      <c r="H85" t="s">
        <v>395</v>
      </c>
      <c r="I85">
        <v>27</v>
      </c>
      <c r="J85" t="s">
        <v>141</v>
      </c>
      <c r="K85" t="s">
        <v>396</v>
      </c>
      <c r="L85" s="1" t="s">
        <v>397</v>
      </c>
      <c r="M85" t="s">
        <v>129</v>
      </c>
      <c r="N85" t="s">
        <v>288</v>
      </c>
      <c r="O85" s="1" t="s">
        <v>411</v>
      </c>
      <c r="P85" s="1" t="s">
        <v>413</v>
      </c>
    </row>
    <row r="86" spans="1:17" x14ac:dyDescent="0.25">
      <c r="A86" t="s">
        <v>414</v>
      </c>
      <c r="B86" t="str">
        <f>HYPERLINK("https://staging-dtl-pattern-api.hfm-weimar.de/static/audio/solos/dtl/AQAEPEoWJVGUJBEjXPiC_rD24KeGXDv0_0.02.05.039587-0.02.16.087999.mp3", "link")</f>
        <v>link</v>
      </c>
      <c r="D86" t="s">
        <v>392</v>
      </c>
      <c r="E86" t="s">
        <v>394</v>
      </c>
      <c r="F86" t="s">
        <v>393</v>
      </c>
      <c r="G86" t="s">
        <v>394</v>
      </c>
      <c r="H86" t="s">
        <v>395</v>
      </c>
      <c r="I86">
        <v>27</v>
      </c>
      <c r="J86" t="s">
        <v>141</v>
      </c>
      <c r="K86" t="s">
        <v>396</v>
      </c>
      <c r="L86" s="1" t="s">
        <v>397</v>
      </c>
      <c r="M86" t="s">
        <v>129</v>
      </c>
      <c r="N86" t="s">
        <v>288</v>
      </c>
      <c r="O86" s="1" t="s">
        <v>413</v>
      </c>
      <c r="P86" s="1" t="s">
        <v>415</v>
      </c>
    </row>
    <row r="87" spans="1:17" x14ac:dyDescent="0.25">
      <c r="A87" t="s">
        <v>416</v>
      </c>
      <c r="B87" t="str">
        <f>HYPERLINK("https://staging-dtl-pattern-api.hfm-weimar.de/static/audio/solos/dtl/AQAEpZS0NEocPD8Op8mD_xjzg3oexD4S_0.00.35.015510-0.01.06.021678.mp3", "link")</f>
        <v>link</v>
      </c>
      <c r="D87" t="s">
        <v>417</v>
      </c>
      <c r="E87" t="s">
        <v>418</v>
      </c>
      <c r="F87" t="s">
        <v>419</v>
      </c>
      <c r="H87" t="s">
        <v>420</v>
      </c>
      <c r="I87">
        <v>41</v>
      </c>
      <c r="J87" t="s">
        <v>141</v>
      </c>
      <c r="K87" t="s">
        <v>421</v>
      </c>
      <c r="L87" s="1" t="s">
        <v>422</v>
      </c>
      <c r="M87" t="s">
        <v>129</v>
      </c>
      <c r="N87" t="s">
        <v>172</v>
      </c>
      <c r="O87" s="1" t="s">
        <v>423</v>
      </c>
      <c r="P87" s="1" t="s">
        <v>424</v>
      </c>
    </row>
    <row r="88" spans="1:17" x14ac:dyDescent="0.25">
      <c r="A88" t="s">
        <v>425</v>
      </c>
      <c r="B88" t="str">
        <f>HYPERLINK("https://staging-dtl-pattern-api.hfm-weimar.de/static/audio/solos/dtl/AQAEpZS0NEocPD8Op8mD_xjzg3oexD4S_0.01.06.021678-0.01.38.017387.mp3", "link")</f>
        <v>link</v>
      </c>
      <c r="C88" t="s">
        <v>426</v>
      </c>
      <c r="D88" t="s">
        <v>417</v>
      </c>
      <c r="F88" t="s">
        <v>419</v>
      </c>
      <c r="H88" t="s">
        <v>420</v>
      </c>
      <c r="I88">
        <v>41</v>
      </c>
      <c r="J88" t="s">
        <v>141</v>
      </c>
      <c r="K88" t="s">
        <v>421</v>
      </c>
      <c r="L88" s="1" t="s">
        <v>422</v>
      </c>
      <c r="M88" t="s">
        <v>129</v>
      </c>
      <c r="N88" t="s">
        <v>46</v>
      </c>
      <c r="O88" s="1" t="s">
        <v>424</v>
      </c>
      <c r="P88" s="1" t="s">
        <v>427</v>
      </c>
      <c r="Q88" s="1" t="s">
        <v>7167</v>
      </c>
    </row>
    <row r="89" spans="1:17" x14ac:dyDescent="0.25">
      <c r="A89" t="s">
        <v>428</v>
      </c>
      <c r="B89" t="str">
        <f>HYPERLINK("https://staging-dtl-pattern-api.hfm-weimar.de/static/audio/solos/dtl/AQAEpZS0NEocPD8Op8mD_xjzg3oexD4S_0.01.38.017387-0.02.09.012734.mp3", "link")</f>
        <v>link</v>
      </c>
      <c r="D89" t="s">
        <v>417</v>
      </c>
      <c r="E89" t="s">
        <v>235</v>
      </c>
      <c r="F89" t="s">
        <v>419</v>
      </c>
      <c r="H89" t="s">
        <v>420</v>
      </c>
      <c r="I89">
        <v>41</v>
      </c>
      <c r="J89" t="s">
        <v>141</v>
      </c>
      <c r="K89" t="s">
        <v>421</v>
      </c>
      <c r="L89" s="1" t="s">
        <v>422</v>
      </c>
      <c r="M89" t="s">
        <v>129</v>
      </c>
      <c r="N89" t="s">
        <v>23</v>
      </c>
      <c r="O89" s="1" t="s">
        <v>427</v>
      </c>
      <c r="P89" s="1" t="s">
        <v>429</v>
      </c>
    </row>
    <row r="90" spans="1:17" x14ac:dyDescent="0.25">
      <c r="A90" t="s">
        <v>430</v>
      </c>
      <c r="B90" t="str">
        <f>HYPERLINK("https://staging-dtl-pattern-api.hfm-weimar.de/static/audio/solos/dtl/AQAErNJGJVJyfC_KKEQznSl-9LCOiouS_0.01.20.063129-0.01.42.019102.mp3", "link")</f>
        <v>link</v>
      </c>
      <c r="C90" t="s">
        <v>431</v>
      </c>
      <c r="D90" t="s">
        <v>432</v>
      </c>
      <c r="F90" t="s">
        <v>433</v>
      </c>
      <c r="G90" t="s">
        <v>434</v>
      </c>
      <c r="H90" t="s">
        <v>435</v>
      </c>
      <c r="I90">
        <v>10</v>
      </c>
      <c r="J90" t="s">
        <v>198</v>
      </c>
      <c r="K90" t="s">
        <v>436</v>
      </c>
      <c r="L90" s="1" t="s">
        <v>437</v>
      </c>
      <c r="M90" t="s">
        <v>438</v>
      </c>
      <c r="N90" t="s">
        <v>46</v>
      </c>
      <c r="O90" s="1" t="s">
        <v>439</v>
      </c>
      <c r="P90" s="1" t="s">
        <v>440</v>
      </c>
      <c r="Q90" s="1" t="s">
        <v>7167</v>
      </c>
    </row>
    <row r="91" spans="1:17" x14ac:dyDescent="0.25">
      <c r="A91" t="s">
        <v>441</v>
      </c>
      <c r="B91" t="str">
        <f>HYPERLINK("https://staging-dtl-pattern-api.hfm-weimar.de/static/audio/solos/dtl/AQAEU0uyhZoqXLC-4yL6bFKKTzTi59AV_0.00.46.062095-0.01.26.002031.mp3", "link")</f>
        <v>link</v>
      </c>
      <c r="D91" t="s">
        <v>442</v>
      </c>
      <c r="E91" t="s">
        <v>443</v>
      </c>
      <c r="F91" t="s">
        <v>444</v>
      </c>
      <c r="H91" t="s">
        <v>445</v>
      </c>
      <c r="I91">
        <v>47</v>
      </c>
      <c r="J91" t="s">
        <v>141</v>
      </c>
      <c r="K91" t="s">
        <v>446</v>
      </c>
      <c r="L91" s="1" t="s">
        <v>447</v>
      </c>
      <c r="M91" t="s">
        <v>448</v>
      </c>
      <c r="N91" t="s">
        <v>449</v>
      </c>
      <c r="O91" s="1" t="s">
        <v>450</v>
      </c>
      <c r="P91" s="1" t="s">
        <v>451</v>
      </c>
    </row>
    <row r="92" spans="1:17" x14ac:dyDescent="0.25">
      <c r="A92" t="s">
        <v>452</v>
      </c>
      <c r="B92" t="str">
        <f>HYPERLINK("https://staging-dtl-pattern-api.hfm-weimar.de/static/audio/solos/dtl/AQAEvomSPIoiwW9Q-Tj2HJdsMN8B8_hw_0.01.12.050430-0.01.59.078594.mp3", "link")</f>
        <v>link</v>
      </c>
      <c r="D92" t="s">
        <v>7136</v>
      </c>
      <c r="E92" t="s">
        <v>54</v>
      </c>
      <c r="F92" t="s">
        <v>54</v>
      </c>
      <c r="G92" t="s">
        <v>54</v>
      </c>
      <c r="J92" t="s">
        <v>453</v>
      </c>
      <c r="K92" t="s">
        <v>454</v>
      </c>
      <c r="L92" s="1" t="s">
        <v>455</v>
      </c>
      <c r="M92" t="s">
        <v>129</v>
      </c>
      <c r="N92" t="s">
        <v>46</v>
      </c>
      <c r="O92" s="1" t="s">
        <v>456</v>
      </c>
      <c r="P92" s="1" t="s">
        <v>457</v>
      </c>
      <c r="Q92" s="1" t="s">
        <v>7178</v>
      </c>
    </row>
    <row r="93" spans="1:17" x14ac:dyDescent="0.25">
      <c r="A93" t="s">
        <v>458</v>
      </c>
      <c r="B93" t="str">
        <f>HYPERLINK("https://staging-dtl-pattern-api.hfm-weimar.de/static/audio/solos/dtl/AQAEX4kYJVEiBb2WGA2n4y-uk3iOH24C_0.00.00.000000-0.02.21.026666.mp3", "link")</f>
        <v>link</v>
      </c>
      <c r="D93" t="s">
        <v>459</v>
      </c>
      <c r="E93" t="s">
        <v>460</v>
      </c>
      <c r="F93" t="s">
        <v>460</v>
      </c>
      <c r="G93" t="s">
        <v>460</v>
      </c>
      <c r="J93" t="s">
        <v>461</v>
      </c>
      <c r="K93" t="s">
        <v>462</v>
      </c>
      <c r="L93" s="1" t="s">
        <v>463</v>
      </c>
      <c r="M93" t="s">
        <v>309</v>
      </c>
      <c r="N93" t="s">
        <v>202</v>
      </c>
      <c r="O93" s="1" t="s">
        <v>271</v>
      </c>
      <c r="P93" s="1" t="s">
        <v>464</v>
      </c>
      <c r="Q93" s="1" t="s">
        <v>7179</v>
      </c>
    </row>
    <row r="94" spans="1:17" x14ac:dyDescent="0.25">
      <c r="A94" t="s">
        <v>465</v>
      </c>
      <c r="B94" t="str">
        <f>HYPERLINK("https://staging-dtl-pattern-api.hfm-weimar.de/static/audio/solos/dtl/AQAEyguVRFGiJJlwHX-OOejRnMfJ4akw_0.00.17.008988-0.00.30.011628.mp3", "link")</f>
        <v>link</v>
      </c>
      <c r="D94" t="s">
        <v>466</v>
      </c>
      <c r="E94" t="s">
        <v>467</v>
      </c>
      <c r="F94" t="s">
        <v>468</v>
      </c>
      <c r="H94" t="s">
        <v>469</v>
      </c>
      <c r="I94">
        <v>15</v>
      </c>
      <c r="J94" t="s">
        <v>198</v>
      </c>
      <c r="K94" t="s">
        <v>470</v>
      </c>
      <c r="L94" s="1" t="s">
        <v>471</v>
      </c>
      <c r="M94" t="s">
        <v>201</v>
      </c>
      <c r="N94" t="s">
        <v>109</v>
      </c>
      <c r="O94" s="1" t="s">
        <v>472</v>
      </c>
      <c r="P94" s="1" t="s">
        <v>473</v>
      </c>
    </row>
    <row r="95" spans="1:17" x14ac:dyDescent="0.25">
      <c r="A95" t="s">
        <v>474</v>
      </c>
      <c r="B95" t="str">
        <f>HYPERLINK("https://staging-dtl-pattern-api.hfm-weimar.de/static/audio/solos/dtl/AQAEyguVRFGiJJlwHX-OOejRnMfJ4akw_0.00.30.011628-0.00.43.046775.mp3", "link")</f>
        <v>link</v>
      </c>
      <c r="D95" t="s">
        <v>466</v>
      </c>
      <c r="E95" t="s">
        <v>475</v>
      </c>
      <c r="F95" t="s">
        <v>468</v>
      </c>
      <c r="H95" t="s">
        <v>469</v>
      </c>
      <c r="I95">
        <v>15</v>
      </c>
      <c r="J95" t="s">
        <v>198</v>
      </c>
      <c r="K95" t="s">
        <v>470</v>
      </c>
      <c r="L95" s="1" t="s">
        <v>471</v>
      </c>
      <c r="M95" t="s">
        <v>201</v>
      </c>
      <c r="N95" t="s">
        <v>23</v>
      </c>
      <c r="O95" s="1" t="s">
        <v>473</v>
      </c>
      <c r="P95" s="1" t="s">
        <v>476</v>
      </c>
    </row>
    <row r="96" spans="1:17" x14ac:dyDescent="0.25">
      <c r="A96" t="s">
        <v>477</v>
      </c>
      <c r="B96" t="str">
        <f>HYPERLINK("https://staging-dtl-pattern-api.hfm-weimar.de/static/audio/solos/dtl/AQAEyomSSGKShrg61HpwC6Geo1Gq4KGJ_0.00.38.093986-0.01.25.025206.mp3", "link")</f>
        <v>link</v>
      </c>
      <c r="D96" t="s">
        <v>7180</v>
      </c>
      <c r="E96" t="s">
        <v>2885</v>
      </c>
      <c r="F96" t="s">
        <v>305</v>
      </c>
      <c r="J96" t="s">
        <v>478</v>
      </c>
      <c r="K96" t="s">
        <v>479</v>
      </c>
      <c r="L96" s="1" t="s">
        <v>480</v>
      </c>
      <c r="M96" t="s">
        <v>309</v>
      </c>
      <c r="N96" t="s">
        <v>172</v>
      </c>
      <c r="O96" s="1" t="s">
        <v>481</v>
      </c>
      <c r="P96" s="1" t="s">
        <v>482</v>
      </c>
      <c r="Q96" s="1" t="s">
        <v>7181</v>
      </c>
    </row>
    <row r="97" spans="1:17" x14ac:dyDescent="0.25">
      <c r="A97" t="s">
        <v>483</v>
      </c>
      <c r="B97" t="str">
        <f>HYPERLINK("https://staging-dtl-pattern-api.hfm-weimar.de/static/audio/solos/dtl/AQAEywqTJcuUZElwXMmRDw8D8VJzsMwV_0.00.29.074648-0.00.44.037188.mp3", "link")</f>
        <v>link</v>
      </c>
      <c r="D97" t="s">
        <v>484</v>
      </c>
      <c r="E97" t="s">
        <v>7182</v>
      </c>
      <c r="F97" t="s">
        <v>485</v>
      </c>
      <c r="G97" t="s">
        <v>486</v>
      </c>
      <c r="H97" t="s">
        <v>487</v>
      </c>
      <c r="I97">
        <v>9</v>
      </c>
      <c r="J97" t="s">
        <v>141</v>
      </c>
      <c r="K97" t="s">
        <v>488</v>
      </c>
      <c r="L97" s="1" t="s">
        <v>489</v>
      </c>
      <c r="M97" t="s">
        <v>182</v>
      </c>
      <c r="N97" t="s">
        <v>202</v>
      </c>
      <c r="O97" s="1" t="s">
        <v>490</v>
      </c>
      <c r="P97" s="1" t="s">
        <v>491</v>
      </c>
      <c r="Q97" s="1" t="s">
        <v>7183</v>
      </c>
    </row>
    <row r="98" spans="1:17" x14ac:dyDescent="0.25">
      <c r="A98" t="s">
        <v>492</v>
      </c>
      <c r="B98" t="str">
        <f>HYPERLINK("https://staging-dtl-pattern-api.hfm-weimar.de/static/audio/solos/dtl/AQAEywqTJcuUZElwXMmRDw8D8VJzsMwV_0.00.51.032040-0.00.58.059918.mp3", "link")</f>
        <v>link</v>
      </c>
      <c r="D98" t="s">
        <v>484</v>
      </c>
      <c r="E98" t="s">
        <v>7182</v>
      </c>
      <c r="F98" t="s">
        <v>485</v>
      </c>
      <c r="G98" t="s">
        <v>486</v>
      </c>
      <c r="H98" t="s">
        <v>487</v>
      </c>
      <c r="I98">
        <v>9</v>
      </c>
      <c r="J98" t="s">
        <v>141</v>
      </c>
      <c r="K98" t="s">
        <v>488</v>
      </c>
      <c r="L98" s="1" t="s">
        <v>489</v>
      </c>
      <c r="M98" t="s">
        <v>182</v>
      </c>
      <c r="N98" t="s">
        <v>202</v>
      </c>
      <c r="O98" s="1" t="s">
        <v>493</v>
      </c>
      <c r="P98" s="1" t="s">
        <v>494</v>
      </c>
      <c r="Q98" s="1" t="s">
        <v>7183</v>
      </c>
    </row>
    <row r="99" spans="1:17" x14ac:dyDescent="0.25">
      <c r="A99" t="s">
        <v>495</v>
      </c>
      <c r="B99" t="str">
        <f>HYPERLINK("https://staging-dtl-pattern-api.hfm-weimar.de/static/audio/solos/dtl/AQAEywqTJcuUZElwXMmRDw8D8VJzsMwV_0.00.58.059918-0.01.28.049523.mp3", "link")</f>
        <v>link</v>
      </c>
      <c r="D99" t="s">
        <v>484</v>
      </c>
      <c r="E99" t="s">
        <v>486</v>
      </c>
      <c r="F99" t="s">
        <v>485</v>
      </c>
      <c r="G99" t="s">
        <v>486</v>
      </c>
      <c r="H99" t="s">
        <v>487</v>
      </c>
      <c r="I99">
        <v>9</v>
      </c>
      <c r="J99" t="s">
        <v>141</v>
      </c>
      <c r="K99" t="s">
        <v>488</v>
      </c>
      <c r="L99" s="1" t="s">
        <v>489</v>
      </c>
      <c r="M99" t="s">
        <v>182</v>
      </c>
      <c r="N99" t="s">
        <v>46</v>
      </c>
      <c r="O99" s="1" t="s">
        <v>494</v>
      </c>
      <c r="P99" s="1" t="s">
        <v>496</v>
      </c>
    </row>
    <row r="100" spans="1:17" x14ac:dyDescent="0.25">
      <c r="A100" t="s">
        <v>497</v>
      </c>
      <c r="B100" t="str">
        <f>HYPERLINK("https://staging-dtl-pattern-api.hfm-weimar.de/static/audio/solos/dtl/AQAEywqTJcuUZElwXMmRDw8D8VJzsMwV_0.01.28.049523-0.01.57.059999.mp3", "link")</f>
        <v>link</v>
      </c>
      <c r="D100" t="s">
        <v>484</v>
      </c>
      <c r="E100" t="s">
        <v>486</v>
      </c>
      <c r="F100" t="s">
        <v>485</v>
      </c>
      <c r="G100" t="s">
        <v>486</v>
      </c>
      <c r="H100" t="s">
        <v>487</v>
      </c>
      <c r="I100">
        <v>9</v>
      </c>
      <c r="J100" t="s">
        <v>141</v>
      </c>
      <c r="K100" t="s">
        <v>488</v>
      </c>
      <c r="L100" s="1" t="s">
        <v>489</v>
      </c>
      <c r="M100" t="s">
        <v>182</v>
      </c>
      <c r="N100" t="s">
        <v>46</v>
      </c>
      <c r="O100" s="1" t="s">
        <v>496</v>
      </c>
      <c r="P100" s="1" t="s">
        <v>498</v>
      </c>
    </row>
    <row r="101" spans="1:17" x14ac:dyDescent="0.25">
      <c r="A101" t="s">
        <v>499</v>
      </c>
      <c r="B101" t="str">
        <f>HYPERLINK("https://staging-dtl-pattern-api.hfm-weimar.de/static/audio/solos/dtl/AQAEywqTJcuUZElwXMmRDw8D8VJzsMwV_0.01.57.059999-0.02.11.081387.mp3", "link")</f>
        <v>link</v>
      </c>
      <c r="D101" t="s">
        <v>484</v>
      </c>
      <c r="E101" t="s">
        <v>500</v>
      </c>
      <c r="F101" t="s">
        <v>485</v>
      </c>
      <c r="G101" t="s">
        <v>486</v>
      </c>
      <c r="H101" t="s">
        <v>487</v>
      </c>
      <c r="I101">
        <v>9</v>
      </c>
      <c r="J101" t="s">
        <v>141</v>
      </c>
      <c r="K101" t="s">
        <v>488</v>
      </c>
      <c r="L101" s="1" t="s">
        <v>489</v>
      </c>
      <c r="M101" t="s">
        <v>182</v>
      </c>
      <c r="N101" t="s">
        <v>23</v>
      </c>
      <c r="O101" s="1" t="s">
        <v>498</v>
      </c>
      <c r="P101" s="1" t="s">
        <v>501</v>
      </c>
    </row>
    <row r="102" spans="1:17" x14ac:dyDescent="0.25">
      <c r="A102" t="s">
        <v>502</v>
      </c>
      <c r="B102" t="str">
        <f>HYPERLINK("https://staging-dtl-pattern-api.hfm-weimar.de/static/audio/solos/dtl/AQAEywqTJcuUZElwXMmRDw8D8VJzsMwV_0.02.25.087265-0.02.34.053333.mp3", "link")</f>
        <v>link</v>
      </c>
      <c r="D102" t="s">
        <v>484</v>
      </c>
      <c r="E102" t="s">
        <v>486</v>
      </c>
      <c r="F102" t="s">
        <v>485</v>
      </c>
      <c r="G102" t="s">
        <v>486</v>
      </c>
      <c r="H102" t="s">
        <v>487</v>
      </c>
      <c r="I102">
        <v>9</v>
      </c>
      <c r="J102" t="s">
        <v>141</v>
      </c>
      <c r="K102" t="s">
        <v>488</v>
      </c>
      <c r="L102" s="1" t="s">
        <v>489</v>
      </c>
      <c r="M102" t="s">
        <v>182</v>
      </c>
      <c r="N102" t="s">
        <v>46</v>
      </c>
      <c r="O102" s="1" t="s">
        <v>503</v>
      </c>
      <c r="P102" s="1" t="s">
        <v>504</v>
      </c>
    </row>
    <row r="103" spans="1:17" x14ac:dyDescent="0.25">
      <c r="A103" t="s">
        <v>505</v>
      </c>
      <c r="B103" t="str">
        <f>HYPERLINK("https://staging-dtl-pattern-api.hfm-weimar.de/static/audio/solos/dtl/AQAEz1MzZUkSJUOPB821I7R4qC_yfniD_0.01.01.043999-0.02.35.005333.mp3", "link")</f>
        <v>link</v>
      </c>
      <c r="D103" t="s">
        <v>506</v>
      </c>
      <c r="E103" t="s">
        <v>507</v>
      </c>
      <c r="F103" t="s">
        <v>508</v>
      </c>
      <c r="G103" t="s">
        <v>507</v>
      </c>
      <c r="H103" t="s">
        <v>509</v>
      </c>
      <c r="I103">
        <v>73</v>
      </c>
      <c r="J103" t="s">
        <v>126</v>
      </c>
      <c r="K103" t="s">
        <v>510</v>
      </c>
      <c r="L103" s="1" t="s">
        <v>511</v>
      </c>
      <c r="M103" t="s">
        <v>129</v>
      </c>
      <c r="N103" t="s">
        <v>23</v>
      </c>
      <c r="O103" s="1" t="s">
        <v>512</v>
      </c>
      <c r="P103" s="1" t="s">
        <v>513</v>
      </c>
    </row>
    <row r="104" spans="1:17" x14ac:dyDescent="0.25">
      <c r="A104" t="s">
        <v>514</v>
      </c>
      <c r="B104" t="str">
        <f>HYPERLINK("https://staging-dtl-pattern-api.hfm-weimar.de/static/audio/solos/dtl/AQAF_0mkLEkiKdISNPlx7cEVNGqOX3gw_0.01.09.093850-0.01.38.035972.mp3", "link")</f>
        <v>link</v>
      </c>
      <c r="D104" t="s">
        <v>515</v>
      </c>
      <c r="E104" t="s">
        <v>7184</v>
      </c>
      <c r="F104" t="s">
        <v>516</v>
      </c>
      <c r="G104" t="s">
        <v>228</v>
      </c>
      <c r="H104" t="s">
        <v>517</v>
      </c>
      <c r="I104">
        <v>86</v>
      </c>
      <c r="J104" t="s">
        <v>198</v>
      </c>
      <c r="K104" t="s">
        <v>518</v>
      </c>
      <c r="L104" s="1" t="s">
        <v>519</v>
      </c>
      <c r="M104" t="s">
        <v>129</v>
      </c>
      <c r="N104" t="s">
        <v>172</v>
      </c>
      <c r="O104" s="1" t="s">
        <v>520</v>
      </c>
      <c r="P104" s="1" t="s">
        <v>521</v>
      </c>
      <c r="Q104" s="1" t="s">
        <v>7185</v>
      </c>
    </row>
    <row r="105" spans="1:17" x14ac:dyDescent="0.25">
      <c r="A105" t="s">
        <v>522</v>
      </c>
      <c r="B105" t="str">
        <f>HYPERLINK("https://staging-dtl-pattern-api.hfm-weimar.de/static/audio/solos/dtl/AQAF_8uSKEkkZZnQo6mDXQpqfXiCa8dR_0.01.02.092607-0.01.23.010421.mp3", "link")</f>
        <v>link</v>
      </c>
      <c r="D105" t="s">
        <v>432</v>
      </c>
      <c r="E105" t="s">
        <v>523</v>
      </c>
      <c r="F105" t="s">
        <v>433</v>
      </c>
      <c r="G105" t="s">
        <v>434</v>
      </c>
      <c r="H105" t="s">
        <v>435</v>
      </c>
      <c r="I105">
        <v>10</v>
      </c>
      <c r="J105" t="s">
        <v>198</v>
      </c>
      <c r="K105" t="s">
        <v>524</v>
      </c>
      <c r="L105" s="1" t="s">
        <v>525</v>
      </c>
      <c r="M105" t="s">
        <v>438</v>
      </c>
      <c r="N105" t="s">
        <v>172</v>
      </c>
      <c r="O105" s="1" t="s">
        <v>526</v>
      </c>
      <c r="P105" s="1" t="s">
        <v>527</v>
      </c>
    </row>
    <row r="106" spans="1:17" x14ac:dyDescent="0.25">
      <c r="A106" t="s">
        <v>528</v>
      </c>
      <c r="B106" t="str">
        <f>HYPERLINK("https://staging-dtl-pattern-api.hfm-weimar.de/static/audio/solos/dtl/AQAF_8uSKEkkZZnQo6mDXQpqfXiCa8dR_0.02.25.003183-0.02.45.047700.mp3", "link")</f>
        <v>link</v>
      </c>
      <c r="C106" t="s">
        <v>431</v>
      </c>
      <c r="D106" t="s">
        <v>432</v>
      </c>
      <c r="F106" t="s">
        <v>433</v>
      </c>
      <c r="G106" t="s">
        <v>434</v>
      </c>
      <c r="H106" t="s">
        <v>435</v>
      </c>
      <c r="I106">
        <v>10</v>
      </c>
      <c r="J106" t="s">
        <v>198</v>
      </c>
      <c r="K106" t="s">
        <v>524</v>
      </c>
      <c r="L106" s="1" t="s">
        <v>525</v>
      </c>
      <c r="M106" t="s">
        <v>438</v>
      </c>
      <c r="N106" t="s">
        <v>46</v>
      </c>
      <c r="O106" s="1" t="s">
        <v>529</v>
      </c>
      <c r="P106" s="1" t="s">
        <v>530</v>
      </c>
      <c r="Q106" s="1" t="s">
        <v>7167</v>
      </c>
    </row>
    <row r="107" spans="1:17" x14ac:dyDescent="0.25">
      <c r="A107" t="s">
        <v>531</v>
      </c>
      <c r="B107" t="str">
        <f>HYPERLINK("https://staging-dtl-pattern-api.hfm-weimar.de/static/audio/solos/dtl/AQAF_Eq6xMoolJ_wGcn_Ibye4bhx8Qhz_0.02.11.047138-0.02.57.002893.mp3", "link")</f>
        <v>link</v>
      </c>
      <c r="D107" t="s">
        <v>532</v>
      </c>
      <c r="E107" t="s">
        <v>251</v>
      </c>
      <c r="F107" t="s">
        <v>533</v>
      </c>
      <c r="G107" t="s">
        <v>251</v>
      </c>
      <c r="H107" t="s">
        <v>534</v>
      </c>
      <c r="I107">
        <v>29</v>
      </c>
      <c r="J107" t="s">
        <v>126</v>
      </c>
      <c r="K107" t="s">
        <v>535</v>
      </c>
      <c r="L107" s="1" t="s">
        <v>536</v>
      </c>
      <c r="M107" t="s">
        <v>129</v>
      </c>
      <c r="N107" t="s">
        <v>202</v>
      </c>
      <c r="O107" s="1" t="s">
        <v>537</v>
      </c>
      <c r="P107" s="1" t="s">
        <v>538</v>
      </c>
    </row>
    <row r="108" spans="1:17" x14ac:dyDescent="0.25">
      <c r="A108" t="s">
        <v>539</v>
      </c>
      <c r="B108" t="str">
        <f>HYPERLINK("https://staging-dtl-pattern-api.hfm-weimar.de/static/audio/solos/dtl/AQAF_GOULUmaJAnCL1IFLcmDrMzxzMVQ_0.01.02.025269-0.01.49.073170.mp3", "link")</f>
        <v>link</v>
      </c>
      <c r="D108" t="s">
        <v>540</v>
      </c>
      <c r="E108" t="s">
        <v>541</v>
      </c>
      <c r="F108" t="s">
        <v>542</v>
      </c>
      <c r="G108" t="s">
        <v>543</v>
      </c>
      <c r="H108" t="s">
        <v>544</v>
      </c>
      <c r="I108">
        <v>34</v>
      </c>
      <c r="J108" t="s">
        <v>126</v>
      </c>
      <c r="K108" t="s">
        <v>545</v>
      </c>
      <c r="L108" s="1" t="s">
        <v>546</v>
      </c>
      <c r="M108" t="s">
        <v>129</v>
      </c>
      <c r="N108" t="s">
        <v>23</v>
      </c>
      <c r="O108" s="1" t="s">
        <v>547</v>
      </c>
      <c r="P108" s="1" t="s">
        <v>548</v>
      </c>
    </row>
    <row r="109" spans="1:17" x14ac:dyDescent="0.25">
      <c r="A109" t="s">
        <v>549</v>
      </c>
      <c r="B109" t="str">
        <f>HYPERLINK("https://staging-dtl-pattern-api.hfm-weimar.de/static/audio/solos/dtl/AQAF_GOULUmaJAnCL1IFLcmDrMzxzMVQ_0.01.49.073170-0.02.38.089705.mp3", "link")</f>
        <v>link</v>
      </c>
      <c r="D109" t="s">
        <v>540</v>
      </c>
      <c r="E109" t="s">
        <v>550</v>
      </c>
      <c r="F109" t="s">
        <v>542</v>
      </c>
      <c r="G109" t="s">
        <v>543</v>
      </c>
      <c r="H109" t="s">
        <v>544</v>
      </c>
      <c r="I109">
        <v>34</v>
      </c>
      <c r="J109" t="s">
        <v>126</v>
      </c>
      <c r="K109" t="s">
        <v>545</v>
      </c>
      <c r="L109" s="1" t="s">
        <v>546</v>
      </c>
      <c r="M109" t="s">
        <v>129</v>
      </c>
      <c r="N109" t="s">
        <v>46</v>
      </c>
      <c r="O109" s="1" t="s">
        <v>548</v>
      </c>
      <c r="P109" s="1" t="s">
        <v>551</v>
      </c>
    </row>
    <row r="110" spans="1:17" x14ac:dyDescent="0.25">
      <c r="A110" t="s">
        <v>552</v>
      </c>
      <c r="B110" t="str">
        <f>HYPERLINK("https://staging-dtl-pattern-api.hfm-weimar.de/static/audio/solos/dtl/AQAF_OSURVKSJfhxHT_C5SmhUkeO8_B2_0.02.04.025578-0.03.12.033333.mp3", "link")</f>
        <v>link</v>
      </c>
      <c r="D110" t="s">
        <v>553</v>
      </c>
      <c r="E110" t="s">
        <v>235</v>
      </c>
      <c r="F110" t="s">
        <v>554</v>
      </c>
      <c r="G110" t="s">
        <v>235</v>
      </c>
      <c r="H110" t="s">
        <v>555</v>
      </c>
      <c r="I110">
        <v>35</v>
      </c>
      <c r="J110" t="s">
        <v>126</v>
      </c>
      <c r="K110" t="s">
        <v>556</v>
      </c>
      <c r="L110" s="1" t="s">
        <v>557</v>
      </c>
      <c r="M110" t="s">
        <v>129</v>
      </c>
      <c r="N110" t="s">
        <v>23</v>
      </c>
      <c r="O110" s="1" t="s">
        <v>558</v>
      </c>
      <c r="P110" s="1" t="s">
        <v>559</v>
      </c>
    </row>
    <row r="111" spans="1:17" x14ac:dyDescent="0.25">
      <c r="A111" t="s">
        <v>560</v>
      </c>
      <c r="B111" t="str">
        <f>HYPERLINK("https://staging-dtl-pattern-api.hfm-weimar.de/static/audio/solos/dtl/AQAF-bKypEvxZPjUB912bDn66GCV47GH_0.00.05.024081-0.01.03.034650.mp3", "link")</f>
        <v>link</v>
      </c>
      <c r="D111" t="s">
        <v>562</v>
      </c>
      <c r="E111" t="s">
        <v>564</v>
      </c>
      <c r="F111" t="s">
        <v>563</v>
      </c>
      <c r="G111" t="s">
        <v>564</v>
      </c>
      <c r="H111" t="s">
        <v>565</v>
      </c>
      <c r="I111">
        <v>53</v>
      </c>
      <c r="J111" t="s">
        <v>160</v>
      </c>
      <c r="K111" t="s">
        <v>566</v>
      </c>
      <c r="L111" s="1" t="s">
        <v>567</v>
      </c>
      <c r="M111" t="s">
        <v>182</v>
      </c>
      <c r="N111" t="s">
        <v>46</v>
      </c>
      <c r="O111" s="1" t="s">
        <v>568</v>
      </c>
      <c r="P111" s="1" t="s">
        <v>569</v>
      </c>
      <c r="Q111" s="1" t="s">
        <v>7186</v>
      </c>
    </row>
    <row r="112" spans="1:17" x14ac:dyDescent="0.25">
      <c r="A112" t="s">
        <v>570</v>
      </c>
      <c r="B112" t="str">
        <f>HYPERLINK("https://staging-dtl-pattern-api.hfm-weimar.de/static/audio/solos/dtl/AQAF-bKypEvxZPjUB912bDn66GCV47GH_0.01.32.001891-0.01.44.045124.mp3", "link")</f>
        <v>link</v>
      </c>
      <c r="D112" t="s">
        <v>562</v>
      </c>
      <c r="E112" t="s">
        <v>564</v>
      </c>
      <c r="F112" t="s">
        <v>563</v>
      </c>
      <c r="G112" t="s">
        <v>564</v>
      </c>
      <c r="H112" t="s">
        <v>565</v>
      </c>
      <c r="I112">
        <v>53</v>
      </c>
      <c r="J112" t="s">
        <v>160</v>
      </c>
      <c r="K112" t="s">
        <v>566</v>
      </c>
      <c r="L112" s="1" t="s">
        <v>567</v>
      </c>
      <c r="M112" t="s">
        <v>182</v>
      </c>
      <c r="N112" t="s">
        <v>329</v>
      </c>
      <c r="O112" s="1" t="s">
        <v>571</v>
      </c>
      <c r="P112" s="1" t="s">
        <v>572</v>
      </c>
    </row>
    <row r="113" spans="1:17" x14ac:dyDescent="0.25">
      <c r="A113" t="s">
        <v>573</v>
      </c>
      <c r="B113" t="str">
        <f>HYPERLINK("https://staging-dtl-pattern-api.hfm-weimar.de/static/audio/solos/dtl/AQAF-bKypEvxZPjUB912bDn66GCV47GH_0.01.54.048489-0.03.03.095047.mp3", "link")</f>
        <v>link</v>
      </c>
      <c r="D113" t="s">
        <v>562</v>
      </c>
      <c r="E113" t="s">
        <v>564</v>
      </c>
      <c r="F113" t="s">
        <v>563</v>
      </c>
      <c r="G113" t="s">
        <v>564</v>
      </c>
      <c r="H113" t="s">
        <v>565</v>
      </c>
      <c r="I113">
        <v>53</v>
      </c>
      <c r="J113" t="s">
        <v>160</v>
      </c>
      <c r="K113" t="s">
        <v>566</v>
      </c>
      <c r="L113" s="1" t="s">
        <v>567</v>
      </c>
      <c r="M113" t="s">
        <v>182</v>
      </c>
      <c r="N113" t="s">
        <v>46</v>
      </c>
      <c r="O113" s="1" t="s">
        <v>574</v>
      </c>
      <c r="P113" s="1" t="s">
        <v>575</v>
      </c>
      <c r="Q113" s="1" t="s">
        <v>7187</v>
      </c>
    </row>
    <row r="114" spans="1:17" x14ac:dyDescent="0.25">
      <c r="A114" t="s">
        <v>576</v>
      </c>
      <c r="B114" t="str">
        <f>HYPERLINK("https://staging-dtl-pattern-api.hfm-weimar.de/static/audio/solos/dtl/AQAF-kolJcpUgU9W9EmGRs2J53hyHKfw_0.00.57.039972-0.01.27.056244.mp3", "link")</f>
        <v>link</v>
      </c>
      <c r="D114" t="s">
        <v>578</v>
      </c>
      <c r="E114" t="s">
        <v>580</v>
      </c>
      <c r="F114" t="s">
        <v>579</v>
      </c>
      <c r="G114" t="s">
        <v>580</v>
      </c>
      <c r="H114" t="s">
        <v>581</v>
      </c>
      <c r="I114">
        <v>86</v>
      </c>
      <c r="J114" t="s">
        <v>160</v>
      </c>
      <c r="K114" t="s">
        <v>582</v>
      </c>
      <c r="L114" s="1" t="s">
        <v>583</v>
      </c>
      <c r="M114" t="s">
        <v>309</v>
      </c>
      <c r="N114" t="s">
        <v>202</v>
      </c>
      <c r="O114" s="1" t="s">
        <v>584</v>
      </c>
      <c r="P114" s="1" t="s">
        <v>585</v>
      </c>
      <c r="Q114" s="1" t="s">
        <v>7188</v>
      </c>
    </row>
    <row r="115" spans="1:17" x14ac:dyDescent="0.25">
      <c r="A115" t="s">
        <v>586</v>
      </c>
      <c r="B115" t="str">
        <f>HYPERLINK("https://staging-dtl-pattern-api.hfm-weimar.de/static/audio/solos/dtl/AQAF-kolJcpUgU9W9EmGRs2J53hyHKfw_0.01.27.056244-0.01.55.005777.mp3", "link")</f>
        <v>link</v>
      </c>
      <c r="D115" t="s">
        <v>578</v>
      </c>
      <c r="E115" t="s">
        <v>587</v>
      </c>
      <c r="F115" t="s">
        <v>579</v>
      </c>
      <c r="G115" t="s">
        <v>580</v>
      </c>
      <c r="H115" t="s">
        <v>581</v>
      </c>
      <c r="I115">
        <v>86</v>
      </c>
      <c r="J115" t="s">
        <v>160</v>
      </c>
      <c r="K115" t="s">
        <v>582</v>
      </c>
      <c r="L115" s="1" t="s">
        <v>583</v>
      </c>
      <c r="M115" t="s">
        <v>309</v>
      </c>
      <c r="N115" t="s">
        <v>288</v>
      </c>
      <c r="O115" s="1" t="s">
        <v>585</v>
      </c>
      <c r="P115" s="1" t="s">
        <v>588</v>
      </c>
    </row>
    <row r="116" spans="1:17" x14ac:dyDescent="0.25">
      <c r="A116" t="s">
        <v>589</v>
      </c>
      <c r="B116" t="str">
        <f>HYPERLINK("https://staging-dtl-pattern-api.hfm-weimar.de/static/audio/solos/dtl/AQAF-kolJcpUgU9W9EmGRs2J53hyHKfw_0.02.13.046539-0.03.12.010666.mp3", "link")</f>
        <v>link</v>
      </c>
      <c r="C116" t="s">
        <v>577</v>
      </c>
      <c r="D116" t="s">
        <v>578</v>
      </c>
      <c r="E116" t="s">
        <v>123</v>
      </c>
      <c r="F116" t="s">
        <v>579</v>
      </c>
      <c r="G116" t="s">
        <v>580</v>
      </c>
      <c r="H116" t="s">
        <v>581</v>
      </c>
      <c r="I116">
        <v>86</v>
      </c>
      <c r="J116" t="s">
        <v>160</v>
      </c>
      <c r="K116" t="s">
        <v>582</v>
      </c>
      <c r="L116" s="1" t="s">
        <v>583</v>
      </c>
      <c r="M116" t="s">
        <v>309</v>
      </c>
      <c r="N116" t="s">
        <v>23</v>
      </c>
      <c r="O116" s="1" t="s">
        <v>590</v>
      </c>
      <c r="P116" s="1" t="s">
        <v>591</v>
      </c>
      <c r="Q116" s="1" t="s">
        <v>7189</v>
      </c>
    </row>
    <row r="117" spans="1:17" x14ac:dyDescent="0.25">
      <c r="A117" t="s">
        <v>592</v>
      </c>
      <c r="B117" t="str">
        <f>HYPERLINK("https://staging-dtl-pattern-api.hfm-weimar.de/static/audio/solos/dtl/AQAF-MmWKGGU5MGzo06yDOcyvHtQ3YN-_0.00.54.045623-0.01.36.088653.mp3", "link")</f>
        <v>link</v>
      </c>
      <c r="D117" t="s">
        <v>593</v>
      </c>
      <c r="E117" t="s">
        <v>594</v>
      </c>
      <c r="F117" t="s">
        <v>595</v>
      </c>
      <c r="G117" t="s">
        <v>594</v>
      </c>
      <c r="H117" t="s">
        <v>596</v>
      </c>
      <c r="I117">
        <v>64</v>
      </c>
      <c r="J117" t="s">
        <v>198</v>
      </c>
      <c r="K117" t="s">
        <v>597</v>
      </c>
      <c r="L117" s="1" t="s">
        <v>437</v>
      </c>
      <c r="M117" t="s">
        <v>129</v>
      </c>
      <c r="N117" t="s">
        <v>172</v>
      </c>
      <c r="O117" s="1" t="s">
        <v>598</v>
      </c>
      <c r="P117" s="1" t="s">
        <v>599</v>
      </c>
    </row>
    <row r="118" spans="1:17" x14ac:dyDescent="0.25">
      <c r="A118" t="s">
        <v>600</v>
      </c>
      <c r="B118" t="str">
        <f>HYPERLINK("https://staging-dtl-pattern-api.hfm-weimar.de/static/audio/solos/dtl/AQAF-MmWKGGU5MGzo06yDOcyvHtQ3YN-_0.02.01.007319-0.02.23.028653.mp3", "link")</f>
        <v>link</v>
      </c>
      <c r="C118" t="s">
        <v>601</v>
      </c>
      <c r="D118" t="s">
        <v>593</v>
      </c>
      <c r="F118" t="s">
        <v>595</v>
      </c>
      <c r="G118" t="s">
        <v>594</v>
      </c>
      <c r="H118" t="s">
        <v>596</v>
      </c>
      <c r="I118">
        <v>64</v>
      </c>
      <c r="J118" t="s">
        <v>198</v>
      </c>
      <c r="K118" t="s">
        <v>597</v>
      </c>
      <c r="L118" s="1" t="s">
        <v>437</v>
      </c>
      <c r="M118" t="s">
        <v>129</v>
      </c>
      <c r="N118" t="s">
        <v>46</v>
      </c>
      <c r="O118" s="1" t="s">
        <v>602</v>
      </c>
      <c r="P118" s="1" t="s">
        <v>603</v>
      </c>
      <c r="Q118" s="1" t="s">
        <v>7167</v>
      </c>
    </row>
    <row r="119" spans="1:17" x14ac:dyDescent="0.25">
      <c r="A119" t="s">
        <v>604</v>
      </c>
      <c r="B119" t="str">
        <f>HYPERLINK("https://staging-dtl-pattern-api.hfm-weimar.de/static/audio/solos/dtl/AQAF-MmWKGGU5MGzo06yDOcyvHtQ3YN-_0.02.23.028653-0.02.34.084408.mp3", "link")</f>
        <v>link</v>
      </c>
      <c r="D119" t="s">
        <v>593</v>
      </c>
      <c r="E119" t="s">
        <v>605</v>
      </c>
      <c r="F119" t="s">
        <v>595</v>
      </c>
      <c r="G119" t="s">
        <v>594</v>
      </c>
      <c r="H119" t="s">
        <v>596</v>
      </c>
      <c r="I119">
        <v>64</v>
      </c>
      <c r="J119" t="s">
        <v>198</v>
      </c>
      <c r="K119" t="s">
        <v>597</v>
      </c>
      <c r="L119" s="1" t="s">
        <v>437</v>
      </c>
      <c r="M119" t="s">
        <v>129</v>
      </c>
      <c r="N119" t="s">
        <v>109</v>
      </c>
      <c r="O119" s="1" t="s">
        <v>603</v>
      </c>
      <c r="P119" s="1" t="s">
        <v>606</v>
      </c>
    </row>
    <row r="120" spans="1:17" x14ac:dyDescent="0.25">
      <c r="A120" t="s">
        <v>607</v>
      </c>
      <c r="B120" t="str">
        <f>HYPERLINK("https://staging-dtl-pattern-api.hfm-weimar.de/static/audio/solos/dtl/AQAF-MmWKGGU5MGzo06yDOcyvHtQ3YN-_0.02.46.053315-0.02.57.037959.mp3", "link")</f>
        <v>link</v>
      </c>
      <c r="D120" t="s">
        <v>593</v>
      </c>
      <c r="E120" t="s">
        <v>605</v>
      </c>
      <c r="F120" t="s">
        <v>595</v>
      </c>
      <c r="G120" t="s">
        <v>594</v>
      </c>
      <c r="H120" t="s">
        <v>596</v>
      </c>
      <c r="I120">
        <v>64</v>
      </c>
      <c r="J120" t="s">
        <v>198</v>
      </c>
      <c r="K120" t="s">
        <v>597</v>
      </c>
      <c r="L120" s="1" t="s">
        <v>437</v>
      </c>
      <c r="M120" t="s">
        <v>129</v>
      </c>
      <c r="N120" t="s">
        <v>109</v>
      </c>
      <c r="O120" s="1" t="s">
        <v>608</v>
      </c>
      <c r="P120" s="1" t="s">
        <v>609</v>
      </c>
    </row>
    <row r="121" spans="1:17" x14ac:dyDescent="0.25">
      <c r="A121" t="s">
        <v>610</v>
      </c>
      <c r="B121" t="str">
        <f>HYPERLINK("https://staging-dtl-pattern-api.hfm-weimar.de/static/audio/solos/dtl/AQAF-ZWWJImUCcBfPPjQo0dzPEcp0TgO_0.01.09.090367-0.01.28.024163.mp3", "link")</f>
        <v>link</v>
      </c>
      <c r="D121" t="s">
        <v>611</v>
      </c>
      <c r="E121" t="s">
        <v>612</v>
      </c>
      <c r="F121" t="s">
        <v>613</v>
      </c>
      <c r="G121" t="s">
        <v>614</v>
      </c>
      <c r="H121" t="s">
        <v>615</v>
      </c>
      <c r="I121">
        <v>22</v>
      </c>
      <c r="J121" t="s">
        <v>616</v>
      </c>
      <c r="K121" t="s">
        <v>617</v>
      </c>
      <c r="L121" s="1" t="s">
        <v>618</v>
      </c>
      <c r="M121" t="s">
        <v>309</v>
      </c>
      <c r="N121" t="s">
        <v>46</v>
      </c>
      <c r="O121" s="1" t="s">
        <v>619</v>
      </c>
      <c r="P121" s="1" t="s">
        <v>620</v>
      </c>
    </row>
    <row r="122" spans="1:17" x14ac:dyDescent="0.25">
      <c r="A122" t="s">
        <v>621</v>
      </c>
      <c r="B122" t="str">
        <f>HYPERLINK("https://staging-dtl-pattern-api.hfm-weimar.de/static/audio/solos/dtl/AQAF-ZWWJImUCcBfPPjQo0dzPEcp0TgO_0.01.45.061306-0.02.03.048081.mp3", "link")</f>
        <v>link</v>
      </c>
      <c r="D122" t="s">
        <v>611</v>
      </c>
      <c r="E122" t="s">
        <v>614</v>
      </c>
      <c r="F122" t="s">
        <v>613</v>
      </c>
      <c r="G122" t="s">
        <v>614</v>
      </c>
      <c r="H122" t="s">
        <v>615</v>
      </c>
      <c r="I122">
        <v>22</v>
      </c>
      <c r="J122" t="s">
        <v>616</v>
      </c>
      <c r="K122" t="s">
        <v>617</v>
      </c>
      <c r="L122" s="1" t="s">
        <v>618</v>
      </c>
      <c r="M122" t="s">
        <v>309</v>
      </c>
      <c r="N122" t="s">
        <v>622</v>
      </c>
      <c r="O122" s="1" t="s">
        <v>623</v>
      </c>
      <c r="P122" s="1" t="s">
        <v>624</v>
      </c>
    </row>
    <row r="123" spans="1:17" x14ac:dyDescent="0.25">
      <c r="A123" t="s">
        <v>625</v>
      </c>
      <c r="B123" t="str">
        <f>HYPERLINK("https://staging-dtl-pattern-api.hfm-weimar.de/static/audio/solos/dtl/AQAF08quLTnmI7yRLGeOx8eN5vhxahfC_0.00.53.060507-0.01.14.017306.mp3", "link")</f>
        <v>link</v>
      </c>
      <c r="D123" t="s">
        <v>484</v>
      </c>
      <c r="E123" t="s">
        <v>7182</v>
      </c>
      <c r="F123" t="s">
        <v>485</v>
      </c>
      <c r="G123" t="s">
        <v>486</v>
      </c>
      <c r="H123" t="s">
        <v>487</v>
      </c>
      <c r="I123">
        <v>9</v>
      </c>
      <c r="J123" t="s">
        <v>141</v>
      </c>
      <c r="K123" t="s">
        <v>626</v>
      </c>
      <c r="L123" s="1" t="s">
        <v>489</v>
      </c>
      <c r="M123" t="s">
        <v>182</v>
      </c>
      <c r="N123" t="s">
        <v>202</v>
      </c>
      <c r="O123" s="1" t="s">
        <v>627</v>
      </c>
      <c r="P123" s="1" t="s">
        <v>628</v>
      </c>
      <c r="Q123" s="1" t="s">
        <v>7183</v>
      </c>
    </row>
    <row r="124" spans="1:17" x14ac:dyDescent="0.25">
      <c r="A124" t="s">
        <v>629</v>
      </c>
      <c r="B124" t="str">
        <f>HYPERLINK("https://staging-dtl-pattern-api.hfm-weimar.de/static/audio/solos/dtl/AQAF08quLTnmI7yRLGeOx8eN5vhxahfC_0.01.23.037850-0.01.34.026793.mp3", "link")</f>
        <v>link</v>
      </c>
      <c r="D124" t="s">
        <v>484</v>
      </c>
      <c r="E124" t="s">
        <v>7182</v>
      </c>
      <c r="F124" t="s">
        <v>485</v>
      </c>
      <c r="G124" t="s">
        <v>486</v>
      </c>
      <c r="H124" t="s">
        <v>487</v>
      </c>
      <c r="I124">
        <v>9</v>
      </c>
      <c r="J124" t="s">
        <v>141</v>
      </c>
      <c r="K124" t="s">
        <v>626</v>
      </c>
      <c r="L124" s="1" t="s">
        <v>489</v>
      </c>
      <c r="M124" t="s">
        <v>182</v>
      </c>
      <c r="N124" t="s">
        <v>202</v>
      </c>
      <c r="O124" s="1" t="s">
        <v>630</v>
      </c>
      <c r="P124" s="1" t="s">
        <v>631</v>
      </c>
      <c r="Q124" s="1" t="s">
        <v>7183</v>
      </c>
    </row>
    <row r="125" spans="1:17" x14ac:dyDescent="0.25">
      <c r="A125" t="s">
        <v>632</v>
      </c>
      <c r="B125" t="str">
        <f>HYPERLINK("https://staging-dtl-pattern-api.hfm-weimar.de/static/audio/solos/dtl/AQAF08quLTnmI7yRLGeOx8eN5vhxahfC_0.01.34.026793-0.02.35.012380.mp3", "link")</f>
        <v>link</v>
      </c>
      <c r="D125" t="s">
        <v>484</v>
      </c>
      <c r="E125" t="s">
        <v>486</v>
      </c>
      <c r="F125" t="s">
        <v>485</v>
      </c>
      <c r="G125" t="s">
        <v>486</v>
      </c>
      <c r="H125" t="s">
        <v>487</v>
      </c>
      <c r="I125">
        <v>9</v>
      </c>
      <c r="J125" t="s">
        <v>141</v>
      </c>
      <c r="K125" t="s">
        <v>626</v>
      </c>
      <c r="L125" s="1" t="s">
        <v>489</v>
      </c>
      <c r="M125" t="s">
        <v>182</v>
      </c>
      <c r="N125" t="s">
        <v>46</v>
      </c>
      <c r="O125" s="1" t="s">
        <v>631</v>
      </c>
      <c r="P125" s="1" t="s">
        <v>633</v>
      </c>
    </row>
    <row r="126" spans="1:17" x14ac:dyDescent="0.25">
      <c r="A126" t="s">
        <v>634</v>
      </c>
      <c r="B126" t="str">
        <f>HYPERLINK("https://staging-dtl-pattern-api.hfm-weimar.de/static/audio/solos/dtl/AQAF08quLTnmI7yRLGeOx8eN5vhxahfC_0.02.35.012380-0.02.44.076154.mp3", "link")</f>
        <v>link</v>
      </c>
      <c r="D126" t="s">
        <v>484</v>
      </c>
      <c r="E126" t="s">
        <v>500</v>
      </c>
      <c r="F126" t="s">
        <v>485</v>
      </c>
      <c r="G126" t="s">
        <v>486</v>
      </c>
      <c r="H126" t="s">
        <v>487</v>
      </c>
      <c r="I126">
        <v>9</v>
      </c>
      <c r="J126" t="s">
        <v>141</v>
      </c>
      <c r="K126" t="s">
        <v>626</v>
      </c>
      <c r="L126" s="1" t="s">
        <v>489</v>
      </c>
      <c r="M126" t="s">
        <v>182</v>
      </c>
      <c r="N126" t="s">
        <v>23</v>
      </c>
      <c r="O126" s="1" t="s">
        <v>633</v>
      </c>
      <c r="P126" s="1" t="s">
        <v>635</v>
      </c>
    </row>
    <row r="127" spans="1:17" x14ac:dyDescent="0.25">
      <c r="A127" t="s">
        <v>636</v>
      </c>
      <c r="B127" t="str">
        <f>HYPERLINK("https://staging-dtl-pattern-api.hfm-weimar.de/static/audio/solos/dtl/AQAF08quLTnmI7yRLGeOx8eN5vhxahfC_0.02.44.076154-0.03.03.013632.mp3", "link")</f>
        <v>link</v>
      </c>
      <c r="D127" t="s">
        <v>484</v>
      </c>
      <c r="E127" t="s">
        <v>486</v>
      </c>
      <c r="F127" t="s">
        <v>485</v>
      </c>
      <c r="G127" t="s">
        <v>486</v>
      </c>
      <c r="H127" t="s">
        <v>487</v>
      </c>
      <c r="I127">
        <v>9</v>
      </c>
      <c r="J127" t="s">
        <v>141</v>
      </c>
      <c r="K127" t="s">
        <v>626</v>
      </c>
      <c r="L127" s="1" t="s">
        <v>489</v>
      </c>
      <c r="M127" t="s">
        <v>182</v>
      </c>
      <c r="N127" t="s">
        <v>46</v>
      </c>
      <c r="O127" s="1" t="s">
        <v>635</v>
      </c>
      <c r="P127" s="1" t="s">
        <v>637</v>
      </c>
    </row>
    <row r="128" spans="1:17" x14ac:dyDescent="0.25">
      <c r="A128" t="s">
        <v>638</v>
      </c>
      <c r="B128" t="str">
        <f>HYPERLINK("https://staging-dtl-pattern-api.hfm-weimar.de/static/audio/solos/dtl/AQAF14qUJEnyRmi44C96MUfz4zxyJSK0_0.00.33.078503-0.01.24.084571.mp3", "link")</f>
        <v>link</v>
      </c>
      <c r="D128" t="s">
        <v>639</v>
      </c>
      <c r="E128" t="s">
        <v>148</v>
      </c>
      <c r="F128" t="s">
        <v>640</v>
      </c>
      <c r="G128" t="s">
        <v>543</v>
      </c>
      <c r="H128" t="s">
        <v>555</v>
      </c>
      <c r="I128">
        <v>35</v>
      </c>
      <c r="J128" t="s">
        <v>126</v>
      </c>
      <c r="K128" t="s">
        <v>641</v>
      </c>
      <c r="L128" s="1" t="s">
        <v>642</v>
      </c>
      <c r="M128" t="s">
        <v>129</v>
      </c>
      <c r="N128" t="s">
        <v>23</v>
      </c>
      <c r="O128" s="1" t="s">
        <v>643</v>
      </c>
      <c r="P128" s="1" t="s">
        <v>644</v>
      </c>
    </row>
    <row r="129" spans="1:17" x14ac:dyDescent="0.25">
      <c r="A129" t="s">
        <v>645</v>
      </c>
      <c r="B129" t="str">
        <f>HYPERLINK("https://staging-dtl-pattern-api.hfm-weimar.de/static/audio/solos/dtl/AQAF14qUJEnyRmi44C96MUfz4zxyJSK0_0.01.24.084571-0.02.14.015619.mp3", "link")</f>
        <v>link</v>
      </c>
      <c r="D129" t="s">
        <v>639</v>
      </c>
      <c r="E129" t="s">
        <v>550</v>
      </c>
      <c r="F129" t="s">
        <v>640</v>
      </c>
      <c r="G129" t="s">
        <v>543</v>
      </c>
      <c r="H129" t="s">
        <v>555</v>
      </c>
      <c r="I129">
        <v>35</v>
      </c>
      <c r="J129" t="s">
        <v>126</v>
      </c>
      <c r="K129" t="s">
        <v>641</v>
      </c>
      <c r="L129" s="1" t="s">
        <v>642</v>
      </c>
      <c r="M129" t="s">
        <v>129</v>
      </c>
      <c r="N129" t="s">
        <v>46</v>
      </c>
      <c r="O129" s="1" t="s">
        <v>644</v>
      </c>
      <c r="P129" s="1" t="s">
        <v>646</v>
      </c>
    </row>
    <row r="130" spans="1:17" x14ac:dyDescent="0.25">
      <c r="A130" t="s">
        <v>647</v>
      </c>
      <c r="B130" t="str">
        <f>HYPERLINK("https://staging-dtl-pattern-api.hfm-weimar.de/static/audio/solos/dtl/AQAF1eGULVISLUF8WMmPSi96NE5P_MbD_0.01.26.056399-0.01.50.034122.mp3", "link")</f>
        <v>link</v>
      </c>
      <c r="D130" t="s">
        <v>648</v>
      </c>
      <c r="E130" t="s">
        <v>394</v>
      </c>
      <c r="F130" t="s">
        <v>393</v>
      </c>
      <c r="G130" t="s">
        <v>394</v>
      </c>
      <c r="H130" t="s">
        <v>649</v>
      </c>
      <c r="I130">
        <v>61</v>
      </c>
      <c r="J130" t="s">
        <v>160</v>
      </c>
      <c r="K130" t="s">
        <v>650</v>
      </c>
      <c r="L130" s="1" t="s">
        <v>651</v>
      </c>
      <c r="M130" t="s">
        <v>129</v>
      </c>
      <c r="N130" t="s">
        <v>288</v>
      </c>
      <c r="O130" s="1" t="s">
        <v>652</v>
      </c>
      <c r="P130" s="1" t="s">
        <v>653</v>
      </c>
    </row>
    <row r="131" spans="1:17" x14ac:dyDescent="0.25">
      <c r="A131" t="s">
        <v>654</v>
      </c>
      <c r="B131" t="str">
        <f>HYPERLINK("https://staging-dtl-pattern-api.hfm-weimar.de/static/audio/solos/dtl/AQAF1ErCSEySJFEE1zqeo5lFvDpR5Tua_0.00.52.056997-0.01.37.026839.mp3", "link")</f>
        <v>link</v>
      </c>
      <c r="D131" t="s">
        <v>655</v>
      </c>
      <c r="E131" t="s">
        <v>251</v>
      </c>
      <c r="F131" t="s">
        <v>656</v>
      </c>
      <c r="G131" t="s">
        <v>251</v>
      </c>
      <c r="H131" t="s">
        <v>657</v>
      </c>
      <c r="I131">
        <v>86</v>
      </c>
      <c r="J131" t="s">
        <v>126</v>
      </c>
      <c r="K131" t="s">
        <v>658</v>
      </c>
      <c r="L131" s="1" t="s">
        <v>659</v>
      </c>
      <c r="M131" t="s">
        <v>129</v>
      </c>
      <c r="N131" t="s">
        <v>202</v>
      </c>
      <c r="O131" s="1" t="s">
        <v>660</v>
      </c>
      <c r="P131" s="1" t="s">
        <v>661</v>
      </c>
    </row>
    <row r="132" spans="1:17" x14ac:dyDescent="0.25">
      <c r="A132" t="s">
        <v>662</v>
      </c>
      <c r="B132" t="str">
        <f>HYPERLINK("https://staging-dtl-pattern-api.hfm-weimar.de/static/audio/solos/dtl/AQAF1ErCSEySJFEE1zqeo5lFvDpR5Tua_0.01.37.026839-0.02.19.071446.mp3", "link")</f>
        <v>link</v>
      </c>
      <c r="D132" t="s">
        <v>655</v>
      </c>
      <c r="E132" t="s">
        <v>663</v>
      </c>
      <c r="F132" t="s">
        <v>656</v>
      </c>
      <c r="G132" t="s">
        <v>251</v>
      </c>
      <c r="H132" t="s">
        <v>657</v>
      </c>
      <c r="I132">
        <v>86</v>
      </c>
      <c r="J132" t="s">
        <v>126</v>
      </c>
      <c r="K132" t="s">
        <v>658</v>
      </c>
      <c r="L132" s="1" t="s">
        <v>659</v>
      </c>
      <c r="M132" t="s">
        <v>129</v>
      </c>
      <c r="N132" t="s">
        <v>46</v>
      </c>
      <c r="O132" s="1" t="s">
        <v>661</v>
      </c>
      <c r="P132" s="1" t="s">
        <v>664</v>
      </c>
    </row>
    <row r="133" spans="1:17" x14ac:dyDescent="0.25">
      <c r="A133" t="s">
        <v>665</v>
      </c>
      <c r="B133" t="str">
        <f>HYPERLINK("https://staging-dtl-pattern-api.hfm-weimar.de/static/audio/solos/dtl/AQAF1ErCSEySJFEE1zqeo5lFvDpR5Tua_0.02.41.086630-0.03.07.033333.mp3", "link")</f>
        <v>link</v>
      </c>
      <c r="D133" t="s">
        <v>655</v>
      </c>
      <c r="E133" t="s">
        <v>251</v>
      </c>
      <c r="F133" t="s">
        <v>656</v>
      </c>
      <c r="G133" t="s">
        <v>251</v>
      </c>
      <c r="H133" t="s">
        <v>657</v>
      </c>
      <c r="I133">
        <v>86</v>
      </c>
      <c r="J133" t="s">
        <v>126</v>
      </c>
      <c r="K133" t="s">
        <v>658</v>
      </c>
      <c r="L133" s="1" t="s">
        <v>659</v>
      </c>
      <c r="M133" t="s">
        <v>129</v>
      </c>
      <c r="N133" t="s">
        <v>202</v>
      </c>
      <c r="O133" s="1" t="s">
        <v>666</v>
      </c>
      <c r="P133" s="1" t="s">
        <v>667</v>
      </c>
    </row>
    <row r="134" spans="1:17" x14ac:dyDescent="0.25">
      <c r="A134" t="s">
        <v>668</v>
      </c>
      <c r="B134" t="str">
        <f>HYPERLINK("https://staging-dtl-pattern-api.hfm-weimar.de/static/audio/solos/dtl/AQAF1VqSJUmYMEqCJx_qX7iqB9-DkNOR_0.01.12.022857-0.02.28.024489.mp3", "link")</f>
        <v>link</v>
      </c>
      <c r="D134" t="s">
        <v>669</v>
      </c>
      <c r="E134" t="s">
        <v>670</v>
      </c>
      <c r="F134" t="s">
        <v>671</v>
      </c>
      <c r="H134" t="s">
        <v>672</v>
      </c>
      <c r="I134">
        <v>83</v>
      </c>
      <c r="J134" t="s">
        <v>198</v>
      </c>
      <c r="K134" t="s">
        <v>673</v>
      </c>
      <c r="L134" s="1" t="s">
        <v>674</v>
      </c>
      <c r="M134" t="s">
        <v>129</v>
      </c>
      <c r="N134" t="s">
        <v>172</v>
      </c>
      <c r="O134" s="1" t="s">
        <v>675</v>
      </c>
      <c r="P134" s="1" t="s">
        <v>676</v>
      </c>
    </row>
    <row r="135" spans="1:17" x14ac:dyDescent="0.25">
      <c r="A135" t="s">
        <v>677</v>
      </c>
      <c r="B135" t="str">
        <f>HYPERLINK("https://staging-dtl-pattern-api.hfm-weimar.de/static/audio/solos/dtl/AQAF2gqrxQt2EWeCM0dp-Ee4Kcuh9fCP_0.01.11.083673-0.01.28.068571.mp3", "link")</f>
        <v>link</v>
      </c>
      <c r="D135" t="s">
        <v>678</v>
      </c>
      <c r="E135" t="s">
        <v>679</v>
      </c>
      <c r="F135" t="s">
        <v>680</v>
      </c>
      <c r="H135" t="s">
        <v>681</v>
      </c>
      <c r="I135">
        <v>100</v>
      </c>
      <c r="J135" t="s">
        <v>198</v>
      </c>
      <c r="K135" t="s">
        <v>682</v>
      </c>
      <c r="L135" s="1" t="s">
        <v>683</v>
      </c>
      <c r="M135" t="s">
        <v>129</v>
      </c>
      <c r="N135" t="s">
        <v>46</v>
      </c>
      <c r="O135" s="1" t="s">
        <v>684</v>
      </c>
      <c r="P135" s="1" t="s">
        <v>685</v>
      </c>
      <c r="Q135" s="1" t="s">
        <v>7190</v>
      </c>
    </row>
    <row r="136" spans="1:17" x14ac:dyDescent="0.25">
      <c r="A136" t="s">
        <v>686</v>
      </c>
      <c r="B136" t="str">
        <f>HYPERLINK("https://staging-dtl-pattern-api.hfm-weimar.de/static/audio/solos/dtl/AQAF2gqrxQt2EWeCM0dp-Ee4Kcuh9fCP_0.01.28.068571-0.01.34.030204.mp3", "link")</f>
        <v>link</v>
      </c>
      <c r="D136" t="s">
        <v>678</v>
      </c>
      <c r="E136" t="s">
        <v>687</v>
      </c>
      <c r="F136" t="s">
        <v>680</v>
      </c>
      <c r="H136" t="s">
        <v>681</v>
      </c>
      <c r="I136">
        <v>100</v>
      </c>
      <c r="J136" t="s">
        <v>198</v>
      </c>
      <c r="K136" t="s">
        <v>682</v>
      </c>
      <c r="L136" s="1" t="s">
        <v>683</v>
      </c>
      <c r="M136" t="s">
        <v>129</v>
      </c>
      <c r="N136" t="s">
        <v>622</v>
      </c>
      <c r="O136" s="1" t="s">
        <v>685</v>
      </c>
      <c r="P136" s="1" t="s">
        <v>688</v>
      </c>
    </row>
    <row r="137" spans="1:17" x14ac:dyDescent="0.25">
      <c r="A137" t="s">
        <v>689</v>
      </c>
      <c r="B137" t="str">
        <f>HYPERLINK("https://staging-dtl-pattern-api.hfm-weimar.de/static/audio/solos/dtl/AQAF2gqrxQt2EWeCM0dp-Ee4Kcuh9fCP_0.01.34.030204-0.01.39.078775.mp3", "link")</f>
        <v>link</v>
      </c>
      <c r="D137" t="s">
        <v>678</v>
      </c>
      <c r="E137" t="s">
        <v>679</v>
      </c>
      <c r="F137" t="s">
        <v>680</v>
      </c>
      <c r="H137" t="s">
        <v>681</v>
      </c>
      <c r="I137">
        <v>100</v>
      </c>
      <c r="J137" t="s">
        <v>198</v>
      </c>
      <c r="K137" t="s">
        <v>682</v>
      </c>
      <c r="L137" s="1" t="s">
        <v>683</v>
      </c>
      <c r="M137" t="s">
        <v>129</v>
      </c>
      <c r="N137" t="s">
        <v>46</v>
      </c>
      <c r="O137" s="1" t="s">
        <v>688</v>
      </c>
      <c r="P137" s="1" t="s">
        <v>690</v>
      </c>
      <c r="Q137" s="1" t="s">
        <v>7190</v>
      </c>
    </row>
    <row r="138" spans="1:17" x14ac:dyDescent="0.25">
      <c r="A138" t="s">
        <v>691</v>
      </c>
      <c r="B138" t="str">
        <f>HYPERLINK("https://staging-dtl-pattern-api.hfm-weimar.de/static/audio/solos/dtl/AQAF2gqrxQt2EWeCM0dp-Ee4Kcuh9fCP_0.01.39.078775-0.02.07.041224.mp3", "link")</f>
        <v>link</v>
      </c>
      <c r="D138" t="s">
        <v>678</v>
      </c>
      <c r="E138" t="s">
        <v>692</v>
      </c>
      <c r="F138" t="s">
        <v>680</v>
      </c>
      <c r="H138" t="s">
        <v>681</v>
      </c>
      <c r="I138">
        <v>100</v>
      </c>
      <c r="J138" t="s">
        <v>198</v>
      </c>
      <c r="K138" t="s">
        <v>682</v>
      </c>
      <c r="L138" s="1" t="s">
        <v>683</v>
      </c>
      <c r="M138" t="s">
        <v>129</v>
      </c>
      <c r="N138" t="s">
        <v>109</v>
      </c>
      <c r="O138" s="1" t="s">
        <v>690</v>
      </c>
      <c r="P138" s="1" t="s">
        <v>693</v>
      </c>
    </row>
    <row r="139" spans="1:17" x14ac:dyDescent="0.25">
      <c r="A139" t="s">
        <v>694</v>
      </c>
      <c r="B139" t="str">
        <f>HYPERLINK("https://staging-dtl-pattern-api.hfm-weimar.de/static/audio/solos/dtl/AQAF2gqrxQt2EWeCM0dp-Ee4Kcuh9fCP_0.02.07.041224-0.02.25.037142.mp3", "link")</f>
        <v>link</v>
      </c>
      <c r="D139" t="s">
        <v>678</v>
      </c>
      <c r="E139" t="s">
        <v>670</v>
      </c>
      <c r="F139" t="s">
        <v>680</v>
      </c>
      <c r="H139" t="s">
        <v>681</v>
      </c>
      <c r="I139">
        <v>100</v>
      </c>
      <c r="J139" t="s">
        <v>198</v>
      </c>
      <c r="K139" t="s">
        <v>682</v>
      </c>
      <c r="L139" s="1" t="s">
        <v>683</v>
      </c>
      <c r="M139" t="s">
        <v>129</v>
      </c>
      <c r="N139" t="s">
        <v>172</v>
      </c>
      <c r="O139" s="1" t="s">
        <v>693</v>
      </c>
      <c r="P139" s="1" t="s">
        <v>695</v>
      </c>
      <c r="Q139" s="1" t="s">
        <v>7191</v>
      </c>
    </row>
    <row r="140" spans="1:17" x14ac:dyDescent="0.25">
      <c r="A140" t="s">
        <v>696</v>
      </c>
      <c r="B140" t="str">
        <f>HYPERLINK("https://staging-dtl-pattern-api.hfm-weimar.de/static/audio/solos/dtl/AQAF2gqrxQt2EWeCM0dp-Ee4Kcuh9fCP_0.02.25.037142-0.02.30.059591.mp3", "link")</f>
        <v>link</v>
      </c>
      <c r="C140" t="s">
        <v>697</v>
      </c>
      <c r="D140" t="s">
        <v>678</v>
      </c>
      <c r="E140" t="s">
        <v>1131</v>
      </c>
      <c r="F140" t="s">
        <v>680</v>
      </c>
      <c r="H140" t="s">
        <v>681</v>
      </c>
      <c r="I140">
        <v>100</v>
      </c>
      <c r="J140" t="s">
        <v>198</v>
      </c>
      <c r="K140" t="s">
        <v>682</v>
      </c>
      <c r="L140" s="1" t="s">
        <v>683</v>
      </c>
      <c r="M140" t="s">
        <v>129</v>
      </c>
      <c r="N140" t="s">
        <v>449</v>
      </c>
      <c r="O140" s="1" t="s">
        <v>695</v>
      </c>
      <c r="P140" s="1" t="s">
        <v>698</v>
      </c>
      <c r="Q140" s="1" t="s">
        <v>7192</v>
      </c>
    </row>
    <row r="141" spans="1:17" x14ac:dyDescent="0.25">
      <c r="A141" t="s">
        <v>699</v>
      </c>
      <c r="B141" t="str">
        <f>HYPERLINK("https://staging-dtl-pattern-api.hfm-weimar.de/static/audio/solos/dtl/AQAF2gqrxQt2EWeCM0dp-Ee4Kcuh9fCP_0.02.30.059591-0.02.35.055918.mp3", "link")</f>
        <v>link</v>
      </c>
      <c r="D141" t="s">
        <v>678</v>
      </c>
      <c r="E141" t="s">
        <v>670</v>
      </c>
      <c r="F141" t="s">
        <v>680</v>
      </c>
      <c r="H141" t="s">
        <v>681</v>
      </c>
      <c r="I141">
        <v>100</v>
      </c>
      <c r="J141" t="s">
        <v>198</v>
      </c>
      <c r="K141" t="s">
        <v>682</v>
      </c>
      <c r="L141" s="1" t="s">
        <v>683</v>
      </c>
      <c r="M141" t="s">
        <v>129</v>
      </c>
      <c r="N141" t="s">
        <v>172</v>
      </c>
      <c r="O141" s="1" t="s">
        <v>698</v>
      </c>
      <c r="P141" s="1" t="s">
        <v>700</v>
      </c>
    </row>
    <row r="142" spans="1:17" x14ac:dyDescent="0.25">
      <c r="A142" t="s">
        <v>701</v>
      </c>
      <c r="B142" t="str">
        <f>HYPERLINK("https://staging-dtl-pattern-api.hfm-weimar.de/static/audio/solos/dtl/AQAF3HwWF9fRJ0yQLGuEHM-F50ng9fiP_0.01.05.029451-0.01.47.022975.mp3", "link")</f>
        <v>link</v>
      </c>
      <c r="E142" t="s">
        <v>54</v>
      </c>
      <c r="F142" t="s">
        <v>54</v>
      </c>
      <c r="G142" t="s">
        <v>54</v>
      </c>
      <c r="J142" t="s">
        <v>702</v>
      </c>
      <c r="K142" t="s">
        <v>703</v>
      </c>
      <c r="L142" s="1" t="s">
        <v>704</v>
      </c>
      <c r="M142" t="s">
        <v>705</v>
      </c>
      <c r="N142" t="s">
        <v>46</v>
      </c>
      <c r="O142" s="1" t="s">
        <v>706</v>
      </c>
      <c r="P142" s="1" t="s">
        <v>707</v>
      </c>
      <c r="Q142" s="1" t="s">
        <v>7193</v>
      </c>
    </row>
    <row r="143" spans="1:17" x14ac:dyDescent="0.25">
      <c r="A143" t="s">
        <v>708</v>
      </c>
      <c r="B143" t="str">
        <f>HYPERLINK("https://staging-dtl-pattern-api.hfm-weimar.de/static/audio/solos/dtl/AQAF3pSUMFMq7DJ-MAmH80jDH9qJHBf4_0.01.01.092761-0.03.08.068000.mp3", "link")</f>
        <v>link</v>
      </c>
      <c r="D143" t="s">
        <v>709</v>
      </c>
      <c r="E143" t="s">
        <v>266</v>
      </c>
      <c r="F143" t="s">
        <v>710</v>
      </c>
      <c r="G143" t="s">
        <v>266</v>
      </c>
      <c r="H143" t="s">
        <v>268</v>
      </c>
      <c r="I143">
        <v>80</v>
      </c>
      <c r="J143" t="s">
        <v>141</v>
      </c>
      <c r="K143" t="s">
        <v>711</v>
      </c>
      <c r="L143" s="1" t="s">
        <v>583</v>
      </c>
      <c r="M143" t="s">
        <v>129</v>
      </c>
      <c r="N143" t="s">
        <v>23</v>
      </c>
      <c r="O143" s="1" t="s">
        <v>712</v>
      </c>
      <c r="P143" s="1" t="s">
        <v>713</v>
      </c>
    </row>
    <row r="144" spans="1:17" x14ac:dyDescent="0.25">
      <c r="A144" t="s">
        <v>714</v>
      </c>
      <c r="B144" t="str">
        <f>HYPERLINK("https://staging-dtl-pattern-api.hfm-weimar.de/static/audio/solos/dtl/AQAF3Yq0JJk0JQlC80jsBOc14_eIUn7Q_0.02.42.022040-0.03.07.082040.mp3", "link")</f>
        <v>link</v>
      </c>
      <c r="C144" t="s">
        <v>561</v>
      </c>
      <c r="D144" t="s">
        <v>715</v>
      </c>
      <c r="E144" t="s">
        <v>564</v>
      </c>
      <c r="F144" t="s">
        <v>563</v>
      </c>
      <c r="G144" t="s">
        <v>564</v>
      </c>
      <c r="H144" t="s">
        <v>716</v>
      </c>
      <c r="I144">
        <v>98</v>
      </c>
      <c r="J144" t="s">
        <v>198</v>
      </c>
      <c r="K144" t="s">
        <v>717</v>
      </c>
      <c r="L144" s="1" t="s">
        <v>718</v>
      </c>
      <c r="M144" t="s">
        <v>182</v>
      </c>
      <c r="N144" t="s">
        <v>46</v>
      </c>
      <c r="O144" s="1" t="s">
        <v>719</v>
      </c>
      <c r="P144" s="1" t="s">
        <v>720</v>
      </c>
      <c r="Q144" s="1" t="s">
        <v>7186</v>
      </c>
    </row>
    <row r="145" spans="1:17" x14ac:dyDescent="0.25">
      <c r="A145" t="s">
        <v>721</v>
      </c>
      <c r="B145" t="str">
        <f>HYPERLINK("https://staging-dtl-pattern-api.hfm-weimar.de/static/audio/solos/dtl/AQAF45qSiFyULChDGsd59EL3HPuIfkTy_0.01.08.033632-0.01.30.020952.mp3", "link")</f>
        <v>link</v>
      </c>
      <c r="D145" t="s">
        <v>722</v>
      </c>
      <c r="E145" t="s">
        <v>723</v>
      </c>
      <c r="F145" t="s">
        <v>724</v>
      </c>
      <c r="H145" t="s">
        <v>725</v>
      </c>
      <c r="I145">
        <v>29</v>
      </c>
      <c r="J145" t="s">
        <v>198</v>
      </c>
      <c r="K145" t="s">
        <v>726</v>
      </c>
      <c r="L145" s="1" t="s">
        <v>727</v>
      </c>
      <c r="M145" t="s">
        <v>182</v>
      </c>
      <c r="N145" t="s">
        <v>109</v>
      </c>
      <c r="O145" s="1" t="s">
        <v>728</v>
      </c>
      <c r="P145" s="1" t="s">
        <v>729</v>
      </c>
    </row>
    <row r="146" spans="1:17" x14ac:dyDescent="0.25">
      <c r="A146" t="s">
        <v>730</v>
      </c>
      <c r="B146" t="str">
        <f>HYPERLINK("https://staging-dtl-pattern-api.hfm-weimar.de/static/audio/solos/dtl/AQAF45qSiFyULChDGsd59EL3HPuIfkTy_0.02.13.090947-0.02.36.045605.mp3", "link")</f>
        <v>link</v>
      </c>
      <c r="D146" t="s">
        <v>722</v>
      </c>
      <c r="E146" t="s">
        <v>731</v>
      </c>
      <c r="F146" t="s">
        <v>724</v>
      </c>
      <c r="H146" t="s">
        <v>725</v>
      </c>
      <c r="I146">
        <v>29</v>
      </c>
      <c r="J146" t="s">
        <v>198</v>
      </c>
      <c r="K146" t="s">
        <v>726</v>
      </c>
      <c r="L146" s="1" t="s">
        <v>727</v>
      </c>
      <c r="M146" t="s">
        <v>182</v>
      </c>
      <c r="N146" t="s">
        <v>172</v>
      </c>
      <c r="O146" s="1" t="s">
        <v>732</v>
      </c>
      <c r="P146" s="1" t="s">
        <v>733</v>
      </c>
    </row>
    <row r="147" spans="1:17" x14ac:dyDescent="0.25">
      <c r="A147" t="s">
        <v>734</v>
      </c>
      <c r="B147" t="str">
        <f>HYPERLINK("https://staging-dtl-pattern-api.hfm-weimar.de/static/audio/solos/dtl/AQAF49JOaYmQH32h5zfOB9-xnYeOCz9y_0.02.03.094811-0.02.27.046993.mp3", "link")</f>
        <v>link</v>
      </c>
      <c r="C147" t="s">
        <v>735</v>
      </c>
      <c r="D147" t="s">
        <v>736</v>
      </c>
      <c r="E147" t="s">
        <v>460</v>
      </c>
      <c r="F147" t="s">
        <v>737</v>
      </c>
      <c r="G147" t="s">
        <v>738</v>
      </c>
      <c r="H147" t="s">
        <v>739</v>
      </c>
      <c r="I147">
        <v>52</v>
      </c>
      <c r="J147" t="s">
        <v>198</v>
      </c>
      <c r="K147" t="s">
        <v>740</v>
      </c>
      <c r="L147" s="1" t="s">
        <v>741</v>
      </c>
      <c r="M147" t="s">
        <v>129</v>
      </c>
      <c r="N147" t="s">
        <v>202</v>
      </c>
      <c r="O147" s="1" t="s">
        <v>742</v>
      </c>
      <c r="P147" s="1" t="s">
        <v>743</v>
      </c>
      <c r="Q147" s="1" t="s">
        <v>7194</v>
      </c>
    </row>
    <row r="148" spans="1:17" x14ac:dyDescent="0.25">
      <c r="A148" t="s">
        <v>744</v>
      </c>
      <c r="B148" t="str">
        <f>HYPERLINK("https://staging-dtl-pattern-api.hfm-weimar.de/static/audio/solos/dtl/AQAF4krkRFIyJvgjPLpgJzzyKEey7IQv_0.00.09.079882-0.00.34.089959.mp3", "link")</f>
        <v>link</v>
      </c>
      <c r="D148" t="s">
        <v>745</v>
      </c>
      <c r="E148" t="s">
        <v>746</v>
      </c>
      <c r="F148" t="s">
        <v>747</v>
      </c>
      <c r="H148" t="s">
        <v>197</v>
      </c>
      <c r="I148">
        <v>72</v>
      </c>
      <c r="J148" t="s">
        <v>198</v>
      </c>
      <c r="K148" t="s">
        <v>748</v>
      </c>
      <c r="L148" s="1" t="s">
        <v>749</v>
      </c>
      <c r="M148" t="s">
        <v>182</v>
      </c>
      <c r="N148" t="s">
        <v>23</v>
      </c>
      <c r="O148" s="1" t="s">
        <v>750</v>
      </c>
      <c r="P148" s="1" t="s">
        <v>751</v>
      </c>
    </row>
    <row r="149" spans="1:17" x14ac:dyDescent="0.25">
      <c r="A149" t="s">
        <v>752</v>
      </c>
      <c r="B149" t="str">
        <f>HYPERLINK("https://staging-dtl-pattern-api.hfm-weimar.de/static/audio/solos/dtl/AQAF4krkRFIyJvgjPLpgJzzyKEey7IQv_0.00.34.089959-0.00.59.097714.mp3", "link")</f>
        <v>link</v>
      </c>
      <c r="D149" t="s">
        <v>745</v>
      </c>
      <c r="E149" t="s">
        <v>746</v>
      </c>
      <c r="F149" t="s">
        <v>747</v>
      </c>
      <c r="H149" t="s">
        <v>197</v>
      </c>
      <c r="I149">
        <v>72</v>
      </c>
      <c r="J149" t="s">
        <v>198</v>
      </c>
      <c r="K149" t="s">
        <v>748</v>
      </c>
      <c r="L149" s="1" t="s">
        <v>749</v>
      </c>
      <c r="M149" t="s">
        <v>182</v>
      </c>
      <c r="N149" t="s">
        <v>23</v>
      </c>
      <c r="O149" s="1" t="s">
        <v>751</v>
      </c>
      <c r="P149" s="1" t="s">
        <v>753</v>
      </c>
    </row>
    <row r="150" spans="1:17" x14ac:dyDescent="0.25">
      <c r="A150" t="s">
        <v>754</v>
      </c>
      <c r="B150" t="str">
        <f>HYPERLINK("https://staging-dtl-pattern-api.hfm-weimar.de/static/audio/solos/dtl/AQAF4krkRFIyJvgjPLpgJzzyKEey7IQv_0.02.15.034911-0.02.41.003038.mp3", "link")</f>
        <v>link</v>
      </c>
      <c r="D150" t="s">
        <v>745</v>
      </c>
      <c r="E150" t="s">
        <v>746</v>
      </c>
      <c r="F150" t="s">
        <v>747</v>
      </c>
      <c r="H150" t="s">
        <v>197</v>
      </c>
      <c r="I150">
        <v>72</v>
      </c>
      <c r="J150" t="s">
        <v>198</v>
      </c>
      <c r="K150" t="s">
        <v>748</v>
      </c>
      <c r="L150" s="1" t="s">
        <v>749</v>
      </c>
      <c r="M150" t="s">
        <v>182</v>
      </c>
      <c r="N150" t="s">
        <v>109</v>
      </c>
      <c r="O150" s="1" t="s">
        <v>755</v>
      </c>
      <c r="P150" s="1" t="s">
        <v>756</v>
      </c>
    </row>
    <row r="151" spans="1:17" x14ac:dyDescent="0.25">
      <c r="A151" t="s">
        <v>757</v>
      </c>
      <c r="B151" t="str">
        <f>HYPERLINK("https://staging-dtl-pattern-api.hfm-weimar.de/static/audio/solos/dtl/AQAF4krkRFIyJvgjPLpgJzzyKEey7IQv_0.02.41.003038-0.03.09.009333.mp3", "link")</f>
        <v>link</v>
      </c>
      <c r="D151" t="s">
        <v>745</v>
      </c>
      <c r="E151" t="s">
        <v>746</v>
      </c>
      <c r="F151" t="s">
        <v>747</v>
      </c>
      <c r="H151" t="s">
        <v>197</v>
      </c>
      <c r="I151">
        <v>72</v>
      </c>
      <c r="J151" t="s">
        <v>198</v>
      </c>
      <c r="K151" t="s">
        <v>748</v>
      </c>
      <c r="L151" s="1" t="s">
        <v>749</v>
      </c>
      <c r="M151" t="s">
        <v>182</v>
      </c>
      <c r="N151" t="s">
        <v>23</v>
      </c>
      <c r="O151" s="1" t="s">
        <v>756</v>
      </c>
      <c r="P151" s="1" t="s">
        <v>758</v>
      </c>
    </row>
    <row r="152" spans="1:17" x14ac:dyDescent="0.25">
      <c r="A152" t="s">
        <v>759</v>
      </c>
      <c r="B152" t="str">
        <f>HYPERLINK("https://staging-dtl-pattern-api.hfm-weimar.de/static/audio/solos/dtl/AQAF4UnaJVGSJAp-gUtTkfh-TM-RRmzw_0.02.19.072897-0.02.23.028163.mp3", "link")</f>
        <v>link</v>
      </c>
      <c r="D152" t="s">
        <v>760</v>
      </c>
      <c r="E152" t="s">
        <v>266</v>
      </c>
      <c r="F152" t="s">
        <v>761</v>
      </c>
      <c r="G152" t="s">
        <v>266</v>
      </c>
      <c r="H152" t="s">
        <v>762</v>
      </c>
      <c r="I152">
        <v>75</v>
      </c>
      <c r="J152" t="s">
        <v>141</v>
      </c>
      <c r="K152" t="s">
        <v>763</v>
      </c>
      <c r="L152" s="1" t="s">
        <v>764</v>
      </c>
      <c r="M152" t="s">
        <v>129</v>
      </c>
      <c r="N152" t="s">
        <v>23</v>
      </c>
      <c r="O152" s="1" t="s">
        <v>765</v>
      </c>
      <c r="P152" s="1" t="s">
        <v>766</v>
      </c>
    </row>
    <row r="153" spans="1:17" x14ac:dyDescent="0.25">
      <c r="A153" t="s">
        <v>767</v>
      </c>
      <c r="B153" t="str">
        <f>HYPERLINK("https://staging-dtl-pattern-api.hfm-weimar.de/static/audio/solos/dtl/AQAF4UnaJVGSJAp-gUtTkfh-TM-RRmzw_0.02.27.040897-0.02.31.045795.mp3", "link")</f>
        <v>link</v>
      </c>
      <c r="D153" t="s">
        <v>760</v>
      </c>
      <c r="E153" t="s">
        <v>266</v>
      </c>
      <c r="F153" t="s">
        <v>761</v>
      </c>
      <c r="G153" t="s">
        <v>266</v>
      </c>
      <c r="H153" t="s">
        <v>762</v>
      </c>
      <c r="I153">
        <v>75</v>
      </c>
      <c r="J153" t="s">
        <v>141</v>
      </c>
      <c r="K153" t="s">
        <v>763</v>
      </c>
      <c r="L153" s="1" t="s">
        <v>764</v>
      </c>
      <c r="M153" t="s">
        <v>129</v>
      </c>
      <c r="N153" t="s">
        <v>23</v>
      </c>
      <c r="O153" s="1" t="s">
        <v>768</v>
      </c>
      <c r="P153" s="1" t="s">
        <v>769</v>
      </c>
    </row>
    <row r="154" spans="1:17" x14ac:dyDescent="0.25">
      <c r="A154" t="s">
        <v>770</v>
      </c>
      <c r="B154" t="str">
        <f>HYPERLINK("https://staging-dtl-pattern-api.hfm-weimar.de/static/audio/solos/dtl/AQAF4UnaJVGSJAp-gUtTkfh-TM-RRmzw_0.02.35.011510-0.02.39.003346.mp3", "link")</f>
        <v>link</v>
      </c>
      <c r="D154" t="s">
        <v>760</v>
      </c>
      <c r="E154" t="s">
        <v>266</v>
      </c>
      <c r="F154" t="s">
        <v>761</v>
      </c>
      <c r="G154" t="s">
        <v>266</v>
      </c>
      <c r="H154" t="s">
        <v>762</v>
      </c>
      <c r="I154">
        <v>75</v>
      </c>
      <c r="J154" t="s">
        <v>141</v>
      </c>
      <c r="K154" t="s">
        <v>763</v>
      </c>
      <c r="L154" s="1" t="s">
        <v>764</v>
      </c>
      <c r="M154" t="s">
        <v>129</v>
      </c>
      <c r="N154" t="s">
        <v>23</v>
      </c>
      <c r="O154" s="1" t="s">
        <v>771</v>
      </c>
      <c r="P154" s="1" t="s">
        <v>772</v>
      </c>
    </row>
    <row r="155" spans="1:17" x14ac:dyDescent="0.25">
      <c r="A155" t="s">
        <v>773</v>
      </c>
      <c r="B155" t="str">
        <f>HYPERLINK("https://staging-dtl-pattern-api.hfm-weimar.de/static/audio/solos/dtl/AQAF5cmkJMo1wZMWo0_xHt1hpsIbHQ_h_0.01.11.081333-0.02.33.087863.mp3", "link")</f>
        <v>link</v>
      </c>
      <c r="D155" t="s">
        <v>774</v>
      </c>
      <c r="E155" t="s">
        <v>486</v>
      </c>
      <c r="F155" t="s">
        <v>775</v>
      </c>
      <c r="G155" t="s">
        <v>486</v>
      </c>
      <c r="H155" t="s">
        <v>776</v>
      </c>
      <c r="I155">
        <v>14</v>
      </c>
      <c r="J155" t="s">
        <v>141</v>
      </c>
      <c r="K155" t="s">
        <v>777</v>
      </c>
      <c r="L155" s="1" t="s">
        <v>778</v>
      </c>
      <c r="M155" t="s">
        <v>129</v>
      </c>
      <c r="N155" t="s">
        <v>46</v>
      </c>
      <c r="O155" s="1" t="s">
        <v>779</v>
      </c>
      <c r="P155" s="1" t="s">
        <v>780</v>
      </c>
    </row>
    <row r="156" spans="1:17" x14ac:dyDescent="0.25">
      <c r="A156" t="s">
        <v>781</v>
      </c>
      <c r="B156" t="str">
        <f>HYPERLINK("https://staging-dtl-pattern-api.hfm-weimar.de/static/audio/solos/dtl/AQAF5Ym0J0lCCVdyHQ-TD7rgQ8-Kv0TO_0.01.16.025433-0.01.37.033804.mp3", "link")</f>
        <v>link</v>
      </c>
      <c r="D156" t="s">
        <v>782</v>
      </c>
      <c r="E156" t="s">
        <v>692</v>
      </c>
      <c r="F156" t="s">
        <v>783</v>
      </c>
      <c r="G156" t="s">
        <v>692</v>
      </c>
      <c r="H156" t="s">
        <v>784</v>
      </c>
      <c r="I156">
        <v>65</v>
      </c>
      <c r="J156" t="s">
        <v>160</v>
      </c>
      <c r="K156" t="s">
        <v>785</v>
      </c>
      <c r="L156" s="1" t="s">
        <v>786</v>
      </c>
      <c r="M156" t="s">
        <v>129</v>
      </c>
      <c r="N156" t="s">
        <v>109</v>
      </c>
      <c r="O156" s="1" t="s">
        <v>787</v>
      </c>
      <c r="P156" s="1" t="s">
        <v>788</v>
      </c>
    </row>
    <row r="157" spans="1:17" x14ac:dyDescent="0.25">
      <c r="A157" t="s">
        <v>789</v>
      </c>
      <c r="B157" t="str">
        <f>HYPERLINK("https://staging-dtl-pattern-api.hfm-weimar.de/static/audio/solos/dtl/AQAF6XkSRUoU43sRU1eKxwvCHDqOXjve_0.01.44.018793-0.02.19.078412.mp3", "link")</f>
        <v>link</v>
      </c>
      <c r="C157" t="s">
        <v>790</v>
      </c>
      <c r="D157" t="s">
        <v>791</v>
      </c>
      <c r="F157" t="s">
        <v>792</v>
      </c>
      <c r="G157" t="s">
        <v>793</v>
      </c>
      <c r="H157" t="s">
        <v>794</v>
      </c>
      <c r="I157">
        <v>75</v>
      </c>
      <c r="J157" t="s">
        <v>198</v>
      </c>
      <c r="K157" t="s">
        <v>795</v>
      </c>
      <c r="L157" s="1" t="s">
        <v>796</v>
      </c>
      <c r="M157" t="s">
        <v>129</v>
      </c>
      <c r="N157" t="s">
        <v>46</v>
      </c>
      <c r="O157" s="1" t="s">
        <v>797</v>
      </c>
      <c r="P157" s="1" t="s">
        <v>798</v>
      </c>
      <c r="Q157" s="1" t="s">
        <v>7167</v>
      </c>
    </row>
    <row r="158" spans="1:17" x14ac:dyDescent="0.25">
      <c r="A158" t="s">
        <v>799</v>
      </c>
      <c r="B158" t="str">
        <f>HYPERLINK("https://staging-dtl-pattern-api.hfm-weimar.de/static/audio/solos/dtl/AQAF7EkVKUsW6MKVDz1lPHwErxL6b0hO_0.01.30.039528-0.03.10.037333.mp3", "link")</f>
        <v>link</v>
      </c>
      <c r="D158" t="s">
        <v>800</v>
      </c>
      <c r="E158" t="s">
        <v>251</v>
      </c>
      <c r="F158" t="s">
        <v>533</v>
      </c>
      <c r="G158" t="s">
        <v>251</v>
      </c>
      <c r="H158" t="s">
        <v>534</v>
      </c>
      <c r="I158">
        <v>29</v>
      </c>
      <c r="J158" t="s">
        <v>126</v>
      </c>
      <c r="K158" t="s">
        <v>801</v>
      </c>
      <c r="L158" s="1" t="s">
        <v>802</v>
      </c>
      <c r="M158" t="s">
        <v>129</v>
      </c>
      <c r="N158" t="s">
        <v>202</v>
      </c>
      <c r="O158" s="1" t="s">
        <v>803</v>
      </c>
      <c r="P158" s="1" t="s">
        <v>804</v>
      </c>
    </row>
    <row r="159" spans="1:17" x14ac:dyDescent="0.25">
      <c r="A159" t="s">
        <v>805</v>
      </c>
      <c r="B159" t="str">
        <f>HYPERLINK("https://staging-dtl-pattern-api.hfm-weimar.de/static/audio/solos/dtl/AQAF7fvzBFy2ockDpouP78N-BvlyJDsa_0.02.16.021623-0.02.20.093641.mp3", "link")</f>
        <v>link</v>
      </c>
      <c r="D159" t="s">
        <v>806</v>
      </c>
      <c r="E159" t="s">
        <v>807</v>
      </c>
      <c r="F159" t="s">
        <v>808</v>
      </c>
      <c r="G159" t="s">
        <v>564</v>
      </c>
      <c r="H159" t="s">
        <v>808</v>
      </c>
      <c r="I159">
        <v>55</v>
      </c>
      <c r="J159" t="s">
        <v>160</v>
      </c>
      <c r="K159" t="s">
        <v>809</v>
      </c>
      <c r="L159" s="1" t="s">
        <v>810</v>
      </c>
      <c r="M159" t="s">
        <v>129</v>
      </c>
      <c r="N159" t="s">
        <v>109</v>
      </c>
      <c r="O159" s="1" t="s">
        <v>811</v>
      </c>
      <c r="P159" s="1" t="s">
        <v>812</v>
      </c>
    </row>
    <row r="160" spans="1:17" x14ac:dyDescent="0.25">
      <c r="A160" t="s">
        <v>813</v>
      </c>
      <c r="B160" t="str">
        <f>HYPERLINK("https://staging-dtl-pattern-api.hfm-weimar.de/static/audio/solos/dtl/AQAF7fvzBFy2ockDpouP78N-BvlyJDsa_0.02.20.093641-0.03.10.043999.mp3", "link")</f>
        <v>link</v>
      </c>
      <c r="D160" t="s">
        <v>806</v>
      </c>
      <c r="E160" t="s">
        <v>564</v>
      </c>
      <c r="F160" t="s">
        <v>808</v>
      </c>
      <c r="G160" t="s">
        <v>564</v>
      </c>
      <c r="H160" t="s">
        <v>808</v>
      </c>
      <c r="I160">
        <v>55</v>
      </c>
      <c r="J160" t="s">
        <v>160</v>
      </c>
      <c r="K160" t="s">
        <v>809</v>
      </c>
      <c r="L160" s="1" t="s">
        <v>810</v>
      </c>
      <c r="M160" t="s">
        <v>129</v>
      </c>
      <c r="N160" t="s">
        <v>46</v>
      </c>
      <c r="O160" s="1" t="s">
        <v>812</v>
      </c>
      <c r="P160" s="1" t="s">
        <v>814</v>
      </c>
      <c r="Q160" s="1" t="s">
        <v>7186</v>
      </c>
    </row>
    <row r="161" spans="1:17" x14ac:dyDescent="0.25">
      <c r="A161" t="s">
        <v>815</v>
      </c>
      <c r="B161" t="str">
        <f>HYPERLINK("https://staging-dtl-pattern-api.hfm-weimar.de/static/audio/solos/dtl/AQAF7kqiREkSKUkTVLmFJI-OnDiO70Ff_0.01.17.057786-0.01.32.081015.mp3", "link")</f>
        <v>link</v>
      </c>
      <c r="D161" t="s">
        <v>816</v>
      </c>
      <c r="E161" t="s">
        <v>817</v>
      </c>
      <c r="F161" t="s">
        <v>818</v>
      </c>
      <c r="G161" t="s">
        <v>434</v>
      </c>
      <c r="H161" t="s">
        <v>819</v>
      </c>
      <c r="I161">
        <v>8</v>
      </c>
      <c r="J161" t="s">
        <v>198</v>
      </c>
      <c r="K161" t="s">
        <v>820</v>
      </c>
      <c r="L161" s="1" t="s">
        <v>821</v>
      </c>
      <c r="M161" t="s">
        <v>182</v>
      </c>
      <c r="N161" t="s">
        <v>109</v>
      </c>
      <c r="O161" s="1" t="s">
        <v>822</v>
      </c>
      <c r="P161" s="1" t="s">
        <v>823</v>
      </c>
    </row>
    <row r="162" spans="1:17" x14ac:dyDescent="0.25">
      <c r="A162" t="s">
        <v>824</v>
      </c>
      <c r="B162" t="str">
        <f>HYPERLINK("https://staging-dtl-pattern-api.hfm-weimar.de/static/audio/solos/dtl/AQAF7kqiREkSKUkTVLmFJI-OnDiO70Ff_0.01.32.081015-0.01.44.079165.mp3", "link")</f>
        <v>link</v>
      </c>
      <c r="D162" t="s">
        <v>816</v>
      </c>
      <c r="E162" t="s">
        <v>825</v>
      </c>
      <c r="F162" t="s">
        <v>818</v>
      </c>
      <c r="G162" t="s">
        <v>434</v>
      </c>
      <c r="H162" t="s">
        <v>819</v>
      </c>
      <c r="I162">
        <v>8</v>
      </c>
      <c r="J162" t="s">
        <v>198</v>
      </c>
      <c r="K162" t="s">
        <v>820</v>
      </c>
      <c r="L162" s="1" t="s">
        <v>821</v>
      </c>
      <c r="M162" t="s">
        <v>182</v>
      </c>
      <c r="N162" t="s">
        <v>826</v>
      </c>
      <c r="O162" s="1" t="s">
        <v>823</v>
      </c>
      <c r="P162" s="1" t="s">
        <v>827</v>
      </c>
    </row>
    <row r="163" spans="1:17" x14ac:dyDescent="0.25">
      <c r="A163" t="s">
        <v>828</v>
      </c>
      <c r="B163" t="str">
        <f>HYPERLINK("https://staging-dtl-pattern-api.hfm-weimar.de/static/audio/solos/dtl/AQAF7kqiREkSKUkTVLmFJI-OnDiO70Ff_0.01.54.003319-0.02.06.098993.mp3", "link")</f>
        <v>link</v>
      </c>
      <c r="D163" t="s">
        <v>816</v>
      </c>
      <c r="E163" t="s">
        <v>817</v>
      </c>
      <c r="F163" t="s">
        <v>818</v>
      </c>
      <c r="G163" t="s">
        <v>434</v>
      </c>
      <c r="H163" t="s">
        <v>819</v>
      </c>
      <c r="I163">
        <v>8</v>
      </c>
      <c r="J163" t="s">
        <v>198</v>
      </c>
      <c r="K163" t="s">
        <v>820</v>
      </c>
      <c r="L163" s="1" t="s">
        <v>821</v>
      </c>
      <c r="M163" t="s">
        <v>182</v>
      </c>
      <c r="N163" t="s">
        <v>109</v>
      </c>
      <c r="O163" s="1" t="s">
        <v>829</v>
      </c>
      <c r="P163" s="1" t="s">
        <v>830</v>
      </c>
    </row>
    <row r="164" spans="1:17" x14ac:dyDescent="0.25">
      <c r="A164" t="s">
        <v>831</v>
      </c>
      <c r="B164" t="str">
        <f>HYPERLINK("https://staging-dtl-pattern-api.hfm-weimar.de/static/audio/solos/dtl/AQAF7kqiREkSKUkTVLmFJI-OnDiO70Ff_0.02.06.098993-0.02.19.022684.mp3", "link")</f>
        <v>link</v>
      </c>
      <c r="D164" t="s">
        <v>816</v>
      </c>
      <c r="E164" t="s">
        <v>825</v>
      </c>
      <c r="F164" t="s">
        <v>818</v>
      </c>
      <c r="G164" t="s">
        <v>434</v>
      </c>
      <c r="H164" t="s">
        <v>819</v>
      </c>
      <c r="I164">
        <v>8</v>
      </c>
      <c r="J164" t="s">
        <v>198</v>
      </c>
      <c r="K164" t="s">
        <v>820</v>
      </c>
      <c r="L164" s="1" t="s">
        <v>821</v>
      </c>
      <c r="M164" t="s">
        <v>182</v>
      </c>
      <c r="N164" t="s">
        <v>826</v>
      </c>
      <c r="O164" s="1" t="s">
        <v>830</v>
      </c>
      <c r="P164" s="1" t="s">
        <v>832</v>
      </c>
    </row>
    <row r="165" spans="1:17" x14ac:dyDescent="0.25">
      <c r="A165" t="s">
        <v>833</v>
      </c>
      <c r="B165" t="str">
        <f>HYPERLINK("https://staging-dtl-pattern-api.hfm-weimar.de/static/audio/solos/dtl/AQAF7kqiREkSKUkTVLmFJI-OnDiO70Ff_0.02.19.022684-0.02.30.037242.mp3", "link")</f>
        <v>link</v>
      </c>
      <c r="D165" t="s">
        <v>816</v>
      </c>
      <c r="E165" t="s">
        <v>731</v>
      </c>
      <c r="F165" t="s">
        <v>818</v>
      </c>
      <c r="G165" t="s">
        <v>434</v>
      </c>
      <c r="H165" t="s">
        <v>819</v>
      </c>
      <c r="I165">
        <v>8</v>
      </c>
      <c r="J165" t="s">
        <v>198</v>
      </c>
      <c r="K165" t="s">
        <v>820</v>
      </c>
      <c r="L165" s="1" t="s">
        <v>821</v>
      </c>
      <c r="M165" t="s">
        <v>182</v>
      </c>
      <c r="N165" t="s">
        <v>172</v>
      </c>
      <c r="O165" s="1" t="s">
        <v>832</v>
      </c>
      <c r="P165" s="1" t="s">
        <v>834</v>
      </c>
    </row>
    <row r="166" spans="1:17" x14ac:dyDescent="0.25">
      <c r="A166" t="s">
        <v>835</v>
      </c>
      <c r="B166" t="str">
        <f>HYPERLINK("https://staging-dtl-pattern-api.hfm-weimar.de/static/audio/solos/dtl/AQAF7tq6pFHw7HC1w96KfSOoHKGSLOOR_0.00.40.028662-0.00.59.037342.mp3", "link")</f>
        <v>link</v>
      </c>
      <c r="C166" t="s">
        <v>836</v>
      </c>
      <c r="D166" t="s">
        <v>837</v>
      </c>
      <c r="F166" t="s">
        <v>838</v>
      </c>
      <c r="G166" t="s">
        <v>123</v>
      </c>
      <c r="H166" t="s">
        <v>839</v>
      </c>
      <c r="I166">
        <v>79</v>
      </c>
      <c r="J166" t="s">
        <v>126</v>
      </c>
      <c r="K166" t="s">
        <v>840</v>
      </c>
      <c r="L166" s="1" t="s">
        <v>841</v>
      </c>
      <c r="M166" t="s">
        <v>129</v>
      </c>
      <c r="N166" t="s">
        <v>23</v>
      </c>
      <c r="O166" s="1" t="s">
        <v>842</v>
      </c>
      <c r="P166" s="1" t="s">
        <v>843</v>
      </c>
    </row>
    <row r="167" spans="1:17" x14ac:dyDescent="0.25">
      <c r="A167" t="s">
        <v>844</v>
      </c>
      <c r="B167" t="str">
        <f>HYPERLINK("https://staging-dtl-pattern-api.hfm-weimar.de/static/audio/solos/dtl/AQAF7tq6pFHw7HC1w96KfSOoHKGSLOOR_0.00.59.037342-0.01.08.028988.mp3", "link")</f>
        <v>link</v>
      </c>
      <c r="C167" t="s">
        <v>836</v>
      </c>
      <c r="D167" t="s">
        <v>837</v>
      </c>
      <c r="F167" t="s">
        <v>838</v>
      </c>
      <c r="G167" t="s">
        <v>123</v>
      </c>
      <c r="H167" t="s">
        <v>839</v>
      </c>
      <c r="I167">
        <v>79</v>
      </c>
      <c r="J167" t="s">
        <v>126</v>
      </c>
      <c r="K167" t="s">
        <v>840</v>
      </c>
      <c r="L167" s="1" t="s">
        <v>841</v>
      </c>
      <c r="M167" t="s">
        <v>129</v>
      </c>
      <c r="N167" t="s">
        <v>23</v>
      </c>
      <c r="O167" s="1" t="s">
        <v>843</v>
      </c>
      <c r="P167" s="1" t="s">
        <v>845</v>
      </c>
    </row>
    <row r="168" spans="1:17" x14ac:dyDescent="0.25">
      <c r="A168" t="s">
        <v>846</v>
      </c>
      <c r="B168" t="str">
        <f>HYPERLINK("https://staging-dtl-pattern-api.hfm-weimar.de/static/audio/solos/dtl/AQAF7tq6pFHw7HC1w96KfSOoHKGSLOOR_0.01.08.028988-0.01.16.057941.mp3", "link")</f>
        <v>link</v>
      </c>
      <c r="C168" t="s">
        <v>836</v>
      </c>
      <c r="D168" t="s">
        <v>837</v>
      </c>
      <c r="F168" t="s">
        <v>838</v>
      </c>
      <c r="G168" t="s">
        <v>123</v>
      </c>
      <c r="H168" t="s">
        <v>839</v>
      </c>
      <c r="I168">
        <v>79</v>
      </c>
      <c r="J168" t="s">
        <v>126</v>
      </c>
      <c r="K168" t="s">
        <v>840</v>
      </c>
      <c r="L168" s="1" t="s">
        <v>841</v>
      </c>
      <c r="M168" t="s">
        <v>129</v>
      </c>
      <c r="N168" t="s">
        <v>23</v>
      </c>
      <c r="O168" s="1" t="s">
        <v>845</v>
      </c>
      <c r="P168" s="1" t="s">
        <v>847</v>
      </c>
    </row>
    <row r="169" spans="1:17" x14ac:dyDescent="0.25">
      <c r="A169" t="s">
        <v>848</v>
      </c>
      <c r="B169" t="str">
        <f>HYPERLINK("https://staging-dtl-pattern-api.hfm-weimar.de/static/audio/solos/dtl/AQAF7tq6pFHw7HC1w96KfSOoHKGSLOOR_0.01.16.057941-0.01.23.096335.mp3", "link")</f>
        <v>link</v>
      </c>
      <c r="C169" t="s">
        <v>836</v>
      </c>
      <c r="D169" t="s">
        <v>837</v>
      </c>
      <c r="F169" t="s">
        <v>838</v>
      </c>
      <c r="G169" t="s">
        <v>123</v>
      </c>
      <c r="H169" t="s">
        <v>839</v>
      </c>
      <c r="I169">
        <v>79</v>
      </c>
      <c r="J169" t="s">
        <v>126</v>
      </c>
      <c r="K169" t="s">
        <v>840</v>
      </c>
      <c r="L169" s="1" t="s">
        <v>841</v>
      </c>
      <c r="M169" t="s">
        <v>129</v>
      </c>
      <c r="N169" t="s">
        <v>23</v>
      </c>
      <c r="O169" s="1" t="s">
        <v>847</v>
      </c>
      <c r="P169" s="1" t="s">
        <v>849</v>
      </c>
    </row>
    <row r="170" spans="1:17" x14ac:dyDescent="0.25">
      <c r="A170" t="s">
        <v>850</v>
      </c>
      <c r="B170" t="str">
        <f>HYPERLINK("https://staging-dtl-pattern-api.hfm-weimar.de/static/audio/solos/dtl/AQAF7tq6pFHw7HC1w96KfSOoHKGSLOOR_0.01.23.096335-0.01.34.064453.mp3", "link")</f>
        <v>link</v>
      </c>
      <c r="C170" t="s">
        <v>836</v>
      </c>
      <c r="D170" t="s">
        <v>837</v>
      </c>
      <c r="F170" t="s">
        <v>838</v>
      </c>
      <c r="G170" t="s">
        <v>123</v>
      </c>
      <c r="H170" t="s">
        <v>839</v>
      </c>
      <c r="I170">
        <v>79</v>
      </c>
      <c r="J170" t="s">
        <v>126</v>
      </c>
      <c r="K170" t="s">
        <v>840</v>
      </c>
      <c r="L170" s="1" t="s">
        <v>841</v>
      </c>
      <c r="M170" t="s">
        <v>129</v>
      </c>
      <c r="N170" t="s">
        <v>23</v>
      </c>
      <c r="O170" s="1" t="s">
        <v>849</v>
      </c>
      <c r="P170" s="1" t="s">
        <v>851</v>
      </c>
    </row>
    <row r="171" spans="1:17" x14ac:dyDescent="0.25">
      <c r="A171" t="s">
        <v>852</v>
      </c>
      <c r="B171" t="str">
        <f>HYPERLINK("https://staging-dtl-pattern-api.hfm-weimar.de/static/audio/solos/dtl/AQAF7tq6pFHw7HC1w96KfSOoHKGSLOOR_0.01.34.064453-0.01.52.070965.mp3", "link")</f>
        <v>link</v>
      </c>
      <c r="C171" t="s">
        <v>836</v>
      </c>
      <c r="D171" t="s">
        <v>837</v>
      </c>
      <c r="F171" t="s">
        <v>838</v>
      </c>
      <c r="G171" t="s">
        <v>123</v>
      </c>
      <c r="H171" t="s">
        <v>839</v>
      </c>
      <c r="I171">
        <v>79</v>
      </c>
      <c r="J171" t="s">
        <v>126</v>
      </c>
      <c r="K171" t="s">
        <v>840</v>
      </c>
      <c r="L171" s="1" t="s">
        <v>841</v>
      </c>
      <c r="M171" t="s">
        <v>129</v>
      </c>
      <c r="N171" t="s">
        <v>23</v>
      </c>
      <c r="O171" s="1" t="s">
        <v>851</v>
      </c>
      <c r="P171" s="1" t="s">
        <v>853</v>
      </c>
    </row>
    <row r="172" spans="1:17" x14ac:dyDescent="0.25">
      <c r="A172" t="s">
        <v>854</v>
      </c>
      <c r="B172" t="str">
        <f>HYPERLINK("https://staging-dtl-pattern-api.hfm-weimar.de/static/audio/solos/dtl/AQAF7tq6pFHw7HC1w96KfSOoHKGSLOOR_0.01.52.070965-0.02.01.039392.mp3", "link")</f>
        <v>link</v>
      </c>
      <c r="C172" t="s">
        <v>836</v>
      </c>
      <c r="D172" t="s">
        <v>837</v>
      </c>
      <c r="F172" t="s">
        <v>838</v>
      </c>
      <c r="G172" t="s">
        <v>123</v>
      </c>
      <c r="H172" t="s">
        <v>839</v>
      </c>
      <c r="I172">
        <v>79</v>
      </c>
      <c r="J172" t="s">
        <v>126</v>
      </c>
      <c r="K172" t="s">
        <v>840</v>
      </c>
      <c r="L172" s="1" t="s">
        <v>841</v>
      </c>
      <c r="M172" t="s">
        <v>129</v>
      </c>
      <c r="N172" t="s">
        <v>23</v>
      </c>
      <c r="O172" s="1" t="s">
        <v>853</v>
      </c>
      <c r="P172" s="1" t="s">
        <v>855</v>
      </c>
    </row>
    <row r="173" spans="1:17" x14ac:dyDescent="0.25">
      <c r="A173" t="s">
        <v>856</v>
      </c>
      <c r="B173" t="str">
        <f>HYPERLINK("https://staging-dtl-pattern-api.hfm-weimar.de/static/audio/solos/dtl/AQAF7tq6pFHw7HC1w96KfSOoHKGSLOOR_0.02.01.039392-0.02.10.031038.mp3", "link")</f>
        <v>link</v>
      </c>
      <c r="C173" t="s">
        <v>836</v>
      </c>
      <c r="D173" t="s">
        <v>837</v>
      </c>
      <c r="F173" t="s">
        <v>838</v>
      </c>
      <c r="G173" t="s">
        <v>123</v>
      </c>
      <c r="H173" t="s">
        <v>839</v>
      </c>
      <c r="I173">
        <v>79</v>
      </c>
      <c r="J173" t="s">
        <v>126</v>
      </c>
      <c r="K173" t="s">
        <v>840</v>
      </c>
      <c r="L173" s="1" t="s">
        <v>841</v>
      </c>
      <c r="M173" t="s">
        <v>129</v>
      </c>
      <c r="N173" t="s">
        <v>23</v>
      </c>
      <c r="O173" s="1" t="s">
        <v>855</v>
      </c>
      <c r="P173" s="1" t="s">
        <v>857</v>
      </c>
    </row>
    <row r="174" spans="1:17" x14ac:dyDescent="0.25">
      <c r="A174" t="s">
        <v>858</v>
      </c>
      <c r="B174" t="str">
        <f>HYPERLINK("https://staging-dtl-pattern-api.hfm-weimar.de/static/audio/solos/dtl/AQAF7VKUSYmuBM2eI3nyJMhzWE92jA-a_0.00.43.099020-0.01.27.066693.mp3", "link")</f>
        <v>link</v>
      </c>
      <c r="D174" t="s">
        <v>859</v>
      </c>
      <c r="E174" t="s">
        <v>42</v>
      </c>
      <c r="F174" t="s">
        <v>860</v>
      </c>
      <c r="G174" t="s">
        <v>42</v>
      </c>
      <c r="H174" t="s">
        <v>861</v>
      </c>
      <c r="I174">
        <v>64</v>
      </c>
      <c r="J174" t="s">
        <v>126</v>
      </c>
      <c r="K174" t="s">
        <v>862</v>
      </c>
      <c r="L174" s="1" t="s">
        <v>863</v>
      </c>
      <c r="M174" t="s">
        <v>129</v>
      </c>
      <c r="N174" t="s">
        <v>46</v>
      </c>
      <c r="O174" s="1" t="s">
        <v>864</v>
      </c>
      <c r="P174" s="1" t="s">
        <v>865</v>
      </c>
    </row>
    <row r="175" spans="1:17" x14ac:dyDescent="0.25">
      <c r="A175" t="s">
        <v>866</v>
      </c>
      <c r="B175" t="str">
        <f>HYPERLINK("https://staging-dtl-pattern-api.hfm-weimar.de/static/audio/solos/dtl/AQAF7VKUSYmuBM2eI3nyJMhzWE92jA-a_0.01.35.050367-0.02.00.054639.mp3", "link")</f>
        <v>link</v>
      </c>
      <c r="D175" t="s">
        <v>859</v>
      </c>
      <c r="E175" t="s">
        <v>614</v>
      </c>
      <c r="F175" t="s">
        <v>860</v>
      </c>
      <c r="G175" t="s">
        <v>42</v>
      </c>
      <c r="H175" t="s">
        <v>861</v>
      </c>
      <c r="I175">
        <v>64</v>
      </c>
      <c r="J175" t="s">
        <v>126</v>
      </c>
      <c r="K175" t="s">
        <v>862</v>
      </c>
      <c r="L175" s="1" t="s">
        <v>863</v>
      </c>
      <c r="M175" t="s">
        <v>129</v>
      </c>
      <c r="N175" t="s">
        <v>622</v>
      </c>
      <c r="O175" s="1" t="s">
        <v>867</v>
      </c>
      <c r="P175" s="1" t="s">
        <v>868</v>
      </c>
      <c r="Q175" s="1" t="s">
        <v>7195</v>
      </c>
    </row>
    <row r="176" spans="1:17" x14ac:dyDescent="0.25">
      <c r="A176" t="s">
        <v>869</v>
      </c>
      <c r="B176" t="str">
        <f>HYPERLINK("https://staging-dtl-pattern-api.hfm-weimar.de/static/audio/solos/dtl/AQAF7VKUSYmuBM2eI3nyJMhzWE92jA-a_0.02.34.085387-0.02.45.079047.mp3", "link")</f>
        <v>link</v>
      </c>
      <c r="D176" t="s">
        <v>859</v>
      </c>
      <c r="E176" t="s">
        <v>870</v>
      </c>
      <c r="F176" t="s">
        <v>860</v>
      </c>
      <c r="G176" t="s">
        <v>42</v>
      </c>
      <c r="H176" t="s">
        <v>861</v>
      </c>
      <c r="I176">
        <v>64</v>
      </c>
      <c r="J176" t="s">
        <v>126</v>
      </c>
      <c r="K176" t="s">
        <v>862</v>
      </c>
      <c r="L176" s="1" t="s">
        <v>863</v>
      </c>
      <c r="M176" t="s">
        <v>129</v>
      </c>
      <c r="N176" t="s">
        <v>172</v>
      </c>
      <c r="O176" s="1" t="s">
        <v>871</v>
      </c>
      <c r="P176" s="1" t="s">
        <v>872</v>
      </c>
    </row>
    <row r="177" spans="1:17" x14ac:dyDescent="0.25">
      <c r="A177" t="s">
        <v>873</v>
      </c>
      <c r="B177" t="str">
        <f>HYPERLINK("https://staging-dtl-pattern-api.hfm-weimar.de/static/audio/solos/dtl/AQAF7xM1ZemCP0F_nHLA62iKWsyC6CLU_0.00.40.019954-0.01.10.015328.mp3", "link")</f>
        <v>link</v>
      </c>
      <c r="D177" t="s">
        <v>874</v>
      </c>
      <c r="F177" t="s">
        <v>875</v>
      </c>
      <c r="G177" t="s">
        <v>2356</v>
      </c>
      <c r="H177" t="s">
        <v>876</v>
      </c>
      <c r="I177">
        <v>11</v>
      </c>
      <c r="J177" t="s">
        <v>160</v>
      </c>
      <c r="K177" t="s">
        <v>877</v>
      </c>
      <c r="L177" s="1" t="s">
        <v>878</v>
      </c>
      <c r="M177" t="s">
        <v>129</v>
      </c>
      <c r="N177" t="s">
        <v>826</v>
      </c>
      <c r="O177" s="1" t="s">
        <v>879</v>
      </c>
      <c r="P177" s="1" t="s">
        <v>880</v>
      </c>
      <c r="Q177" s="1" t="s">
        <v>7196</v>
      </c>
    </row>
    <row r="178" spans="1:17" x14ac:dyDescent="0.25">
      <c r="A178" t="s">
        <v>881</v>
      </c>
      <c r="B178" t="str">
        <f>HYPERLINK("https://staging-dtl-pattern-api.hfm-weimar.de/static/audio/solos/dtl/AQAF7xM1ZemCP0F_nHLA62iKWsyC6CLU_0.02.13.036380-0.02.52.025142.mp3", "link")</f>
        <v>link</v>
      </c>
      <c r="D178" t="s">
        <v>874</v>
      </c>
      <c r="F178" t="s">
        <v>875</v>
      </c>
      <c r="G178" t="s">
        <v>2356</v>
      </c>
      <c r="H178" t="s">
        <v>876</v>
      </c>
      <c r="I178">
        <v>11</v>
      </c>
      <c r="J178" t="s">
        <v>160</v>
      </c>
      <c r="K178" t="s">
        <v>877</v>
      </c>
      <c r="L178" s="1" t="s">
        <v>878</v>
      </c>
      <c r="M178" t="s">
        <v>129</v>
      </c>
      <c r="N178" t="s">
        <v>826</v>
      </c>
      <c r="O178" s="1" t="s">
        <v>882</v>
      </c>
      <c r="P178" s="1" t="s">
        <v>883</v>
      </c>
      <c r="Q178" s="1" t="s">
        <v>7196</v>
      </c>
    </row>
    <row r="179" spans="1:17" x14ac:dyDescent="0.25">
      <c r="A179" t="s">
        <v>884</v>
      </c>
      <c r="B179" t="str">
        <f>HYPERLINK("https://staging-dtl-pattern-api.hfm-weimar.de/static/audio/solos/dtl/AQAF8kmi6HuCMHvQXTr2XMEZuEpWPFmK_0.00.26.019210-0.01.08.026666.mp3", "link")</f>
        <v>link</v>
      </c>
      <c r="D179" t="s">
        <v>885</v>
      </c>
      <c r="E179" t="s">
        <v>886</v>
      </c>
      <c r="F179" t="s">
        <v>887</v>
      </c>
      <c r="J179" t="s">
        <v>888</v>
      </c>
      <c r="K179" t="s">
        <v>889</v>
      </c>
      <c r="L179" s="1" t="s">
        <v>890</v>
      </c>
      <c r="M179" t="s">
        <v>129</v>
      </c>
      <c r="N179" t="s">
        <v>891</v>
      </c>
      <c r="O179" s="1" t="s">
        <v>892</v>
      </c>
      <c r="P179" s="1" t="s">
        <v>893</v>
      </c>
    </row>
    <row r="180" spans="1:17" x14ac:dyDescent="0.25">
      <c r="A180" t="s">
        <v>894</v>
      </c>
      <c r="B180" t="str">
        <f>HYPERLINK("https://staging-dtl-pattern-api.hfm-weimar.de/static/audio/solos/dtl/AQAF8kmi6HuCMHvQXTr2XMEZuEpWPFmK_0.01.08.026666-0.01.47.072897.mp3", "link")</f>
        <v>link</v>
      </c>
      <c r="D180" t="s">
        <v>885</v>
      </c>
      <c r="E180" t="s">
        <v>895</v>
      </c>
      <c r="F180" t="s">
        <v>887</v>
      </c>
      <c r="J180" t="s">
        <v>888</v>
      </c>
      <c r="K180" t="s">
        <v>889</v>
      </c>
      <c r="L180" s="1" t="s">
        <v>890</v>
      </c>
      <c r="M180" t="s">
        <v>129</v>
      </c>
      <c r="N180" t="s">
        <v>46</v>
      </c>
      <c r="O180" s="1" t="s">
        <v>893</v>
      </c>
      <c r="P180" s="1" t="s">
        <v>896</v>
      </c>
    </row>
    <row r="181" spans="1:17" x14ac:dyDescent="0.25">
      <c r="A181" t="s">
        <v>897</v>
      </c>
      <c r="B181" t="str">
        <f>HYPERLINK("https://staging-dtl-pattern-api.hfm-weimar.de/static/audio/solos/dtl/AQAF8kmi6HuCMHvQXTr2XMEZuEpWPFmK_0.01.47.072897-0.02.41.082857.mp3", "link")</f>
        <v>link</v>
      </c>
      <c r="D181" t="s">
        <v>885</v>
      </c>
      <c r="E181" t="s">
        <v>898</v>
      </c>
      <c r="F181" t="s">
        <v>887</v>
      </c>
      <c r="J181" t="s">
        <v>888</v>
      </c>
      <c r="K181" t="s">
        <v>889</v>
      </c>
      <c r="L181" s="1" t="s">
        <v>890</v>
      </c>
      <c r="M181" t="s">
        <v>129</v>
      </c>
      <c r="N181" t="s">
        <v>288</v>
      </c>
      <c r="O181" s="1" t="s">
        <v>896</v>
      </c>
      <c r="P181" s="1" t="s">
        <v>899</v>
      </c>
    </row>
    <row r="182" spans="1:17" x14ac:dyDescent="0.25">
      <c r="A182" t="s">
        <v>900</v>
      </c>
      <c r="B182" t="str">
        <f>HYPERLINK("https://staging-dtl-pattern-api.hfm-weimar.de/static/audio/solos/dtl/AQAF8kySSJGkC2GWjPjRqMmhPQyHHMcz_0.01.03.010022-0.01.30.084807.mp3", "link")</f>
        <v>link</v>
      </c>
      <c r="D182" t="s">
        <v>901</v>
      </c>
      <c r="E182" t="s">
        <v>902</v>
      </c>
      <c r="F182" t="s">
        <v>903</v>
      </c>
      <c r="H182" t="s">
        <v>904</v>
      </c>
      <c r="I182">
        <v>19</v>
      </c>
      <c r="J182" t="s">
        <v>160</v>
      </c>
      <c r="K182" t="s">
        <v>905</v>
      </c>
      <c r="L182" s="1" t="s">
        <v>906</v>
      </c>
      <c r="M182" t="s">
        <v>129</v>
      </c>
      <c r="N182" t="s">
        <v>23</v>
      </c>
      <c r="O182" s="1" t="s">
        <v>907</v>
      </c>
      <c r="P182" s="1" t="s">
        <v>908</v>
      </c>
    </row>
    <row r="183" spans="1:17" x14ac:dyDescent="0.25">
      <c r="A183" t="s">
        <v>909</v>
      </c>
      <c r="B183" t="str">
        <f>HYPERLINK("https://staging-dtl-pattern-api.hfm-weimar.de/static/audio/solos/dtl/AQAF8VWkLIqewPkO7TquHM9xoTOco1fx_0.00.00.000000-0.01.38.028426.mp3", "link")</f>
        <v>link</v>
      </c>
      <c r="D183" t="s">
        <v>910</v>
      </c>
      <c r="E183" t="s">
        <v>394</v>
      </c>
      <c r="F183" t="s">
        <v>393</v>
      </c>
      <c r="G183" t="s">
        <v>394</v>
      </c>
      <c r="H183" t="s">
        <v>911</v>
      </c>
      <c r="I183">
        <v>28</v>
      </c>
      <c r="J183" t="s">
        <v>141</v>
      </c>
      <c r="K183" t="s">
        <v>912</v>
      </c>
      <c r="L183" s="1" t="s">
        <v>913</v>
      </c>
      <c r="M183" t="s">
        <v>129</v>
      </c>
      <c r="N183" t="s">
        <v>288</v>
      </c>
      <c r="O183" s="1" t="s">
        <v>271</v>
      </c>
      <c r="P183" s="1" t="s">
        <v>914</v>
      </c>
    </row>
    <row r="184" spans="1:17" x14ac:dyDescent="0.25">
      <c r="A184" t="s">
        <v>915</v>
      </c>
      <c r="B184" t="str">
        <f>HYPERLINK("https://staging-dtl-pattern-api.hfm-weimar.de/static/audio/solos/dtl/AQAF8VWkLIqewPkO7TquHM9xoTOco1fx_0.02.22.075047-0.03.11.000000.mp3", "link")</f>
        <v>link</v>
      </c>
      <c r="D184" t="s">
        <v>910</v>
      </c>
      <c r="E184" t="s">
        <v>394</v>
      </c>
      <c r="F184" t="s">
        <v>393</v>
      </c>
      <c r="G184" t="s">
        <v>394</v>
      </c>
      <c r="H184" t="s">
        <v>911</v>
      </c>
      <c r="I184">
        <v>28</v>
      </c>
      <c r="J184" t="s">
        <v>141</v>
      </c>
      <c r="K184" t="s">
        <v>912</v>
      </c>
      <c r="L184" s="1" t="s">
        <v>913</v>
      </c>
      <c r="M184" t="s">
        <v>129</v>
      </c>
      <c r="N184" t="s">
        <v>288</v>
      </c>
      <c r="O184" s="1" t="s">
        <v>916</v>
      </c>
      <c r="P184" s="1" t="s">
        <v>917</v>
      </c>
    </row>
    <row r="185" spans="1:17" x14ac:dyDescent="0.25">
      <c r="A185" t="s">
        <v>918</v>
      </c>
      <c r="B185" t="str">
        <f>HYPERLINK("https://staging-dtl-pattern-api.hfm-weimar.de/static/audio/solos/dtl/AQAF98qYJI0ksMS1o0mmaKj-YD_OB5dR_0.01.17.035147-0.02.53.042403.mp3", "link")</f>
        <v>link</v>
      </c>
      <c r="D185" t="s">
        <v>919</v>
      </c>
      <c r="E185" t="s">
        <v>920</v>
      </c>
      <c r="F185" t="s">
        <v>920</v>
      </c>
      <c r="G185" t="s">
        <v>920</v>
      </c>
      <c r="J185" t="s">
        <v>921</v>
      </c>
      <c r="K185" t="s">
        <v>922</v>
      </c>
      <c r="L185" s="1" t="s">
        <v>923</v>
      </c>
      <c r="M185" t="s">
        <v>924</v>
      </c>
      <c r="N185" t="s">
        <v>449</v>
      </c>
      <c r="O185" s="1" t="s">
        <v>925</v>
      </c>
      <c r="P185" s="1" t="s">
        <v>926</v>
      </c>
    </row>
    <row r="186" spans="1:17" x14ac:dyDescent="0.25">
      <c r="A186" t="s">
        <v>927</v>
      </c>
      <c r="B186" t="str">
        <f>HYPERLINK("https://staging-dtl-pattern-api.hfm-weimar.de/static/audio/solos/dtl/AQAF9NKVSFIU4bjw4HiOKqMsCU2e6DiL_0.00.49.041206-0.01.27.012126.mp3", "link")</f>
        <v>link</v>
      </c>
      <c r="C186" t="s">
        <v>928</v>
      </c>
      <c r="D186" t="s">
        <v>929</v>
      </c>
      <c r="F186" t="s">
        <v>384</v>
      </c>
      <c r="G186" t="s">
        <v>385</v>
      </c>
      <c r="H186" t="s">
        <v>386</v>
      </c>
      <c r="I186">
        <v>29</v>
      </c>
      <c r="J186" t="s">
        <v>160</v>
      </c>
      <c r="K186" t="s">
        <v>930</v>
      </c>
      <c r="L186" s="1" t="s">
        <v>931</v>
      </c>
      <c r="M186" t="s">
        <v>129</v>
      </c>
      <c r="N186" t="s">
        <v>46</v>
      </c>
      <c r="O186" s="1" t="s">
        <v>932</v>
      </c>
      <c r="P186" s="1" t="s">
        <v>933</v>
      </c>
      <c r="Q186" s="1" t="s">
        <v>7167</v>
      </c>
    </row>
    <row r="187" spans="1:17" x14ac:dyDescent="0.25">
      <c r="A187" t="s">
        <v>934</v>
      </c>
      <c r="B187" t="str">
        <f>HYPERLINK("https://staging-dtl-pattern-api.hfm-weimar.de/static/audio/solos/dtl/AQAF9NKVSFIU4bjw4HiOKqMsCU2e6DiL_0.01.39.047428-0.02.11.023918.mp3", "link")</f>
        <v>link</v>
      </c>
      <c r="D187" t="s">
        <v>929</v>
      </c>
      <c r="E187" t="s">
        <v>383</v>
      </c>
      <c r="F187" t="s">
        <v>384</v>
      </c>
      <c r="G187" t="s">
        <v>385</v>
      </c>
      <c r="H187" t="s">
        <v>386</v>
      </c>
      <c r="I187">
        <v>29</v>
      </c>
      <c r="J187" t="s">
        <v>160</v>
      </c>
      <c r="K187" t="s">
        <v>930</v>
      </c>
      <c r="L187" s="1" t="s">
        <v>931</v>
      </c>
      <c r="M187" t="s">
        <v>129</v>
      </c>
      <c r="N187" t="s">
        <v>23</v>
      </c>
      <c r="O187" s="1" t="s">
        <v>935</v>
      </c>
      <c r="P187" s="1" t="s">
        <v>936</v>
      </c>
    </row>
    <row r="188" spans="1:17" x14ac:dyDescent="0.25">
      <c r="A188" t="s">
        <v>937</v>
      </c>
      <c r="B188" t="str">
        <f>HYPERLINK("https://staging-dtl-pattern-api.hfm-weimar.de/static/audio/solos/dtl/AQAFA2GiZg0ROzl-IT888dAZSvCRjjWO_0.01.29.058081-0.01.50.013952.mp3", "link")</f>
        <v>link</v>
      </c>
      <c r="D188" t="s">
        <v>938</v>
      </c>
      <c r="E188" t="s">
        <v>486</v>
      </c>
      <c r="F188" t="s">
        <v>939</v>
      </c>
      <c r="G188" t="s">
        <v>486</v>
      </c>
      <c r="H188" t="s">
        <v>940</v>
      </c>
      <c r="I188">
        <v>13</v>
      </c>
      <c r="J188" t="s">
        <v>141</v>
      </c>
      <c r="K188" t="s">
        <v>941</v>
      </c>
      <c r="L188" s="1" t="s">
        <v>942</v>
      </c>
      <c r="M188" t="s">
        <v>129</v>
      </c>
      <c r="N188" t="s">
        <v>46</v>
      </c>
      <c r="O188" s="1" t="s">
        <v>943</v>
      </c>
      <c r="P188" s="1" t="s">
        <v>944</v>
      </c>
    </row>
    <row r="189" spans="1:17" x14ac:dyDescent="0.25">
      <c r="A189" t="s">
        <v>945</v>
      </c>
      <c r="B189" t="str">
        <f>HYPERLINK("https://staging-dtl-pattern-api.hfm-weimar.de/static/audio/solos/dtl/AQAFAEmUJFISKUkSJcKXB2_xxsQzvIev_0.00.52.024489-0.01.24.091537.mp3", "link")</f>
        <v>link</v>
      </c>
      <c r="D189" t="s">
        <v>946</v>
      </c>
      <c r="E189" t="s">
        <v>148</v>
      </c>
      <c r="F189" t="s">
        <v>947</v>
      </c>
      <c r="H189" t="s">
        <v>948</v>
      </c>
      <c r="I189">
        <v>77</v>
      </c>
      <c r="J189" t="s">
        <v>126</v>
      </c>
      <c r="K189" t="s">
        <v>949</v>
      </c>
      <c r="L189" s="1" t="s">
        <v>950</v>
      </c>
      <c r="M189" t="s">
        <v>129</v>
      </c>
      <c r="N189" t="s">
        <v>23</v>
      </c>
      <c r="O189" s="1" t="s">
        <v>951</v>
      </c>
      <c r="P189" s="1" t="s">
        <v>952</v>
      </c>
    </row>
    <row r="190" spans="1:17" x14ac:dyDescent="0.25">
      <c r="A190" t="s">
        <v>953</v>
      </c>
      <c r="B190" t="str">
        <f>HYPERLINK("https://staging-dtl-pattern-api.hfm-weimar.de/static/audio/solos/dtl/AQAFAEmUJFISKUkSJcKXB2_xxsQzvIev_0.01.24.091537-0.01.58.049142.mp3", "link")</f>
        <v>link</v>
      </c>
      <c r="D190" t="s">
        <v>946</v>
      </c>
      <c r="E190" t="s">
        <v>870</v>
      </c>
      <c r="F190" t="s">
        <v>947</v>
      </c>
      <c r="H190" t="s">
        <v>948</v>
      </c>
      <c r="I190">
        <v>77</v>
      </c>
      <c r="J190" t="s">
        <v>126</v>
      </c>
      <c r="K190" t="s">
        <v>949</v>
      </c>
      <c r="L190" s="1" t="s">
        <v>950</v>
      </c>
      <c r="M190" t="s">
        <v>129</v>
      </c>
      <c r="N190" t="s">
        <v>172</v>
      </c>
      <c r="O190" s="1" t="s">
        <v>952</v>
      </c>
      <c r="P190" s="1" t="s">
        <v>954</v>
      </c>
    </row>
    <row r="191" spans="1:17" x14ac:dyDescent="0.25">
      <c r="A191" t="s">
        <v>955</v>
      </c>
      <c r="B191" t="str">
        <f>HYPERLINK("https://staging-dtl-pattern-api.hfm-weimar.de/static/audio/solos/dtl/AQAFamum7EmQB8mD63h-VD_-ojYlvO8Q_0.01.20.033523-0.01.52.038458.mp3", "link")</f>
        <v>link</v>
      </c>
      <c r="D191" t="s">
        <v>7200</v>
      </c>
      <c r="E191" t="s">
        <v>7201</v>
      </c>
      <c r="F191" t="s">
        <v>956</v>
      </c>
      <c r="J191" t="s">
        <v>957</v>
      </c>
      <c r="K191" t="s">
        <v>958</v>
      </c>
      <c r="L191" s="1" t="s">
        <v>959</v>
      </c>
      <c r="M191" t="s">
        <v>309</v>
      </c>
      <c r="N191" t="s">
        <v>23</v>
      </c>
      <c r="O191" s="1" t="s">
        <v>960</v>
      </c>
      <c r="P191" s="1" t="s">
        <v>961</v>
      </c>
      <c r="Q191" s="1" t="s">
        <v>7202</v>
      </c>
    </row>
    <row r="192" spans="1:17" x14ac:dyDescent="0.25">
      <c r="A192" t="s">
        <v>962</v>
      </c>
      <c r="B192" t="str">
        <f>HYPERLINK("https://staging-dtl-pattern-api.hfm-weimar.de/static/audio/solos/dtl/AQAFAO2YRHrwRCn-4FKOejMRPUiU_OiD_0.00.04.077868-0.00.11.074349.mp3", "link")</f>
        <v>link</v>
      </c>
      <c r="D192" t="s">
        <v>963</v>
      </c>
      <c r="E192" t="s">
        <v>394</v>
      </c>
      <c r="F192" t="s">
        <v>393</v>
      </c>
      <c r="G192" t="s">
        <v>394</v>
      </c>
      <c r="H192" t="s">
        <v>395</v>
      </c>
      <c r="I192">
        <v>27</v>
      </c>
      <c r="J192" t="s">
        <v>141</v>
      </c>
      <c r="K192" t="s">
        <v>964</v>
      </c>
      <c r="L192" s="1" t="s">
        <v>965</v>
      </c>
      <c r="M192" t="s">
        <v>129</v>
      </c>
      <c r="N192" t="s">
        <v>288</v>
      </c>
      <c r="O192" s="1" t="s">
        <v>966</v>
      </c>
      <c r="P192" s="1" t="s">
        <v>967</v>
      </c>
    </row>
    <row r="193" spans="1:17" x14ac:dyDescent="0.25">
      <c r="A193" t="s">
        <v>968</v>
      </c>
      <c r="B193" t="str">
        <f>HYPERLINK("https://staging-dtl-pattern-api.hfm-weimar.de/static/audio/solos/dtl/AQAFAO2YRHrwRCn-4FKOejMRPUiU_OiD_0.00.11.074349-0.00.18.017224.mp3", "link")</f>
        <v>link</v>
      </c>
      <c r="D193" t="s">
        <v>963</v>
      </c>
      <c r="E193" t="s">
        <v>969</v>
      </c>
      <c r="F193" t="s">
        <v>393</v>
      </c>
      <c r="G193" t="s">
        <v>394</v>
      </c>
      <c r="H193" t="s">
        <v>395</v>
      </c>
      <c r="I193">
        <v>27</v>
      </c>
      <c r="J193" t="s">
        <v>141</v>
      </c>
      <c r="K193" t="s">
        <v>964</v>
      </c>
      <c r="L193" s="1" t="s">
        <v>965</v>
      </c>
      <c r="M193" t="s">
        <v>129</v>
      </c>
      <c r="N193" t="s">
        <v>46</v>
      </c>
      <c r="O193" s="1" t="s">
        <v>967</v>
      </c>
      <c r="P193" s="1" t="s">
        <v>970</v>
      </c>
    </row>
    <row r="194" spans="1:17" x14ac:dyDescent="0.25">
      <c r="A194" t="s">
        <v>971</v>
      </c>
      <c r="B194" t="str">
        <f>HYPERLINK("https://staging-dtl-pattern-api.hfm-weimar.de/static/audio/solos/dtl/AQAFAO2YRHrwRCn-4FKOejMRPUiU_OiD_0.01.13.033442-0.01.37.012435.mp3", "link")</f>
        <v>link</v>
      </c>
      <c r="D194" t="s">
        <v>963</v>
      </c>
      <c r="E194" t="s">
        <v>972</v>
      </c>
      <c r="F194" t="s">
        <v>393</v>
      </c>
      <c r="G194" t="s">
        <v>394</v>
      </c>
      <c r="H194" t="s">
        <v>395</v>
      </c>
      <c r="I194">
        <v>27</v>
      </c>
      <c r="J194" t="s">
        <v>141</v>
      </c>
      <c r="K194" t="s">
        <v>964</v>
      </c>
      <c r="L194" s="1" t="s">
        <v>965</v>
      </c>
      <c r="M194" t="s">
        <v>129</v>
      </c>
      <c r="N194" t="s">
        <v>172</v>
      </c>
      <c r="O194" s="1" t="s">
        <v>973</v>
      </c>
      <c r="P194" s="1" t="s">
        <v>974</v>
      </c>
    </row>
    <row r="195" spans="1:17" x14ac:dyDescent="0.25">
      <c r="A195" t="s">
        <v>975</v>
      </c>
      <c r="B195" t="str">
        <f>HYPERLINK("https://staging-dtl-pattern-api.hfm-weimar.de/static/audio/solos/dtl/AQAFAO2YRHrwRCn-4FKOejMRPUiU_OiD_0.01.37.012435-0.01.42.000163.mp3", "link")</f>
        <v>link</v>
      </c>
      <c r="C195" t="s">
        <v>976</v>
      </c>
      <c r="D195" t="s">
        <v>963</v>
      </c>
      <c r="F195" t="s">
        <v>393</v>
      </c>
      <c r="G195" t="s">
        <v>394</v>
      </c>
      <c r="H195" t="s">
        <v>395</v>
      </c>
      <c r="I195">
        <v>27</v>
      </c>
      <c r="J195" t="s">
        <v>141</v>
      </c>
      <c r="K195" t="s">
        <v>964</v>
      </c>
      <c r="L195" s="1" t="s">
        <v>965</v>
      </c>
      <c r="M195" t="s">
        <v>129</v>
      </c>
      <c r="N195" t="s">
        <v>329</v>
      </c>
      <c r="O195" s="1" t="s">
        <v>974</v>
      </c>
      <c r="P195" s="1" t="s">
        <v>977</v>
      </c>
    </row>
    <row r="196" spans="1:17" x14ac:dyDescent="0.25">
      <c r="A196" t="s">
        <v>978</v>
      </c>
      <c r="B196" t="str">
        <f>HYPERLINK("https://staging-dtl-pattern-api.hfm-weimar.de/static/audio/solos/dtl/AQAFAO2YRHrwRCn-4FKOejMRPUiU_OiD_0.02.09.099836-0.02.41.015999.mp3", "link")</f>
        <v>link</v>
      </c>
      <c r="D196" t="s">
        <v>963</v>
      </c>
      <c r="E196" t="s">
        <v>394</v>
      </c>
      <c r="F196" t="s">
        <v>393</v>
      </c>
      <c r="G196" t="s">
        <v>394</v>
      </c>
      <c r="H196" t="s">
        <v>395</v>
      </c>
      <c r="I196">
        <v>27</v>
      </c>
      <c r="J196" t="s">
        <v>141</v>
      </c>
      <c r="K196" t="s">
        <v>964</v>
      </c>
      <c r="L196" s="1" t="s">
        <v>965</v>
      </c>
      <c r="M196" t="s">
        <v>129</v>
      </c>
      <c r="N196" t="s">
        <v>288</v>
      </c>
      <c r="O196" s="1" t="s">
        <v>979</v>
      </c>
      <c r="P196" s="1" t="s">
        <v>980</v>
      </c>
    </row>
    <row r="197" spans="1:17" x14ac:dyDescent="0.25">
      <c r="A197" t="s">
        <v>981</v>
      </c>
      <c r="B197" t="str">
        <f>HYPERLINK("https://staging-dtl-pattern-api.hfm-weimar.de/static/audio/solos/dtl/AQAFB8mSKFkViRB_VEdIHeeO9Kh0oSf8_0.00.24.035773-0.00.40.075102.mp3", "link")</f>
        <v>link</v>
      </c>
      <c r="C197" t="s">
        <v>982</v>
      </c>
      <c r="D197" t="s">
        <v>983</v>
      </c>
      <c r="E197" t="s">
        <v>486</v>
      </c>
      <c r="F197" t="s">
        <v>227</v>
      </c>
      <c r="G197" t="s">
        <v>228</v>
      </c>
      <c r="H197" t="s">
        <v>984</v>
      </c>
      <c r="I197">
        <v>4</v>
      </c>
      <c r="J197" t="s">
        <v>160</v>
      </c>
      <c r="K197" t="s">
        <v>985</v>
      </c>
      <c r="L197" s="1" t="s">
        <v>986</v>
      </c>
      <c r="M197" t="s">
        <v>182</v>
      </c>
      <c r="N197" t="s">
        <v>46</v>
      </c>
      <c r="O197" s="1" t="s">
        <v>987</v>
      </c>
      <c r="P197" s="1" t="s">
        <v>988</v>
      </c>
      <c r="Q197" s="1" t="s">
        <v>7197</v>
      </c>
    </row>
    <row r="198" spans="1:17" x14ac:dyDescent="0.25">
      <c r="A198" t="s">
        <v>989</v>
      </c>
      <c r="B198" t="str">
        <f>HYPERLINK("https://staging-dtl-pattern-api.hfm-weimar.de/static/audio/solos/dtl/AQAFbk8WSVmi4PBz_EYe5dCPKYSqR0iT_0.01.09.093850-0.01.18.039056.mp3", "link")</f>
        <v>link</v>
      </c>
      <c r="C198" t="s">
        <v>990</v>
      </c>
      <c r="D198" t="s">
        <v>991</v>
      </c>
      <c r="E198" t="s">
        <v>235</v>
      </c>
      <c r="F198" t="s">
        <v>227</v>
      </c>
      <c r="G198" t="s">
        <v>228</v>
      </c>
      <c r="H198" t="s">
        <v>992</v>
      </c>
      <c r="I198">
        <v>87</v>
      </c>
      <c r="J198" t="s">
        <v>198</v>
      </c>
      <c r="K198" t="s">
        <v>993</v>
      </c>
      <c r="L198" s="1" t="s">
        <v>994</v>
      </c>
      <c r="M198" t="s">
        <v>129</v>
      </c>
      <c r="N198" t="s">
        <v>23</v>
      </c>
      <c r="O198" s="1" t="s">
        <v>520</v>
      </c>
      <c r="P198" s="1" t="s">
        <v>995</v>
      </c>
      <c r="Q198" s="1" t="s">
        <v>7203</v>
      </c>
    </row>
    <row r="199" spans="1:17" x14ac:dyDescent="0.25">
      <c r="A199" t="s">
        <v>996</v>
      </c>
      <c r="B199" t="str">
        <f>HYPERLINK("https://staging-dtl-pattern-api.hfm-weimar.de/static/audio/solos/dtl/AQAFbk8WSVmi4PBz_EYe5dCPKYSqR0iT_0.01.22.061224-0.01.38.048163.mp3", "link")</f>
        <v>link</v>
      </c>
      <c r="C199" t="s">
        <v>7204</v>
      </c>
      <c r="D199" t="s">
        <v>991</v>
      </c>
      <c r="F199" t="s">
        <v>227</v>
      </c>
      <c r="G199" t="s">
        <v>228</v>
      </c>
      <c r="H199" t="s">
        <v>992</v>
      </c>
      <c r="I199">
        <v>87</v>
      </c>
      <c r="J199" t="s">
        <v>198</v>
      </c>
      <c r="K199" t="s">
        <v>993</v>
      </c>
      <c r="L199" s="1" t="s">
        <v>994</v>
      </c>
      <c r="M199" t="s">
        <v>129</v>
      </c>
      <c r="N199" t="s">
        <v>172</v>
      </c>
      <c r="O199" s="1" t="s">
        <v>998</v>
      </c>
      <c r="P199" s="1" t="s">
        <v>999</v>
      </c>
      <c r="Q199" s="1" t="s">
        <v>7205</v>
      </c>
    </row>
    <row r="200" spans="1:17" x14ac:dyDescent="0.25">
      <c r="A200" t="s">
        <v>1000</v>
      </c>
      <c r="B200" t="str">
        <f>HYPERLINK("https://staging-dtl-pattern-api.hfm-weimar.de/static/audio/solos/dtl/AQAFbk8WSVmi4PBz_EYe5dCPKYSqR0iT_0.01.38.048163-0.01.54.093877.mp3", "link")</f>
        <v>link</v>
      </c>
      <c r="C200" t="s">
        <v>1001</v>
      </c>
      <c r="D200" t="s">
        <v>991</v>
      </c>
      <c r="E200" t="s">
        <v>137</v>
      </c>
      <c r="F200" t="s">
        <v>227</v>
      </c>
      <c r="G200" t="s">
        <v>228</v>
      </c>
      <c r="H200" t="s">
        <v>992</v>
      </c>
      <c r="I200">
        <v>87</v>
      </c>
      <c r="J200" t="s">
        <v>198</v>
      </c>
      <c r="K200" t="s">
        <v>993</v>
      </c>
      <c r="L200" s="1" t="s">
        <v>994</v>
      </c>
      <c r="M200" t="s">
        <v>129</v>
      </c>
      <c r="N200" t="s">
        <v>109</v>
      </c>
      <c r="O200" s="1" t="s">
        <v>999</v>
      </c>
      <c r="P200" s="1" t="s">
        <v>1002</v>
      </c>
      <c r="Q200" s="1" t="s">
        <v>7172</v>
      </c>
    </row>
    <row r="201" spans="1:17" x14ac:dyDescent="0.25">
      <c r="A201" t="s">
        <v>1003</v>
      </c>
      <c r="B201" t="str">
        <f>HYPERLINK("https://staging-dtl-pattern-api.hfm-weimar.de/static/audio/solos/dtl/AQAFbk8WSVmi4PBz_EYe5dCPKYSqR0iT_0.01.54.093877-0.02.11.042494.mp3", "link")</f>
        <v>link</v>
      </c>
      <c r="C201" t="s">
        <v>997</v>
      </c>
      <c r="D201" t="s">
        <v>991</v>
      </c>
      <c r="F201" t="s">
        <v>227</v>
      </c>
      <c r="G201" t="s">
        <v>228</v>
      </c>
      <c r="H201" t="s">
        <v>992</v>
      </c>
      <c r="I201">
        <v>87</v>
      </c>
      <c r="J201" t="s">
        <v>198</v>
      </c>
      <c r="K201" t="s">
        <v>993</v>
      </c>
      <c r="L201" s="1" t="s">
        <v>994</v>
      </c>
      <c r="M201" t="s">
        <v>129</v>
      </c>
      <c r="N201" t="s">
        <v>46</v>
      </c>
      <c r="O201" s="1" t="s">
        <v>1002</v>
      </c>
      <c r="P201" s="1" t="s">
        <v>1004</v>
      </c>
      <c r="Q201" s="1" t="s">
        <v>7167</v>
      </c>
    </row>
    <row r="202" spans="1:17" x14ac:dyDescent="0.25">
      <c r="A202" t="s">
        <v>1005</v>
      </c>
      <c r="B202" t="str">
        <f>HYPERLINK("https://staging-dtl-pattern-api.hfm-weimar.de/static/audio/solos/dtl/AQAFBkmiiFnCSThpdPDRP9h34spx9ILh_0.00.58.048816-0.01.24.003591.mp3", "link")</f>
        <v>link</v>
      </c>
      <c r="D202" t="s">
        <v>7206</v>
      </c>
      <c r="E202" t="s">
        <v>304</v>
      </c>
      <c r="F202" t="s">
        <v>305</v>
      </c>
      <c r="J202" t="s">
        <v>1006</v>
      </c>
      <c r="K202" t="s">
        <v>1007</v>
      </c>
      <c r="L202" s="1" t="s">
        <v>1008</v>
      </c>
      <c r="M202" t="s">
        <v>309</v>
      </c>
      <c r="N202" t="s">
        <v>23</v>
      </c>
      <c r="O202" s="1" t="s">
        <v>1009</v>
      </c>
      <c r="P202" s="1" t="s">
        <v>1010</v>
      </c>
      <c r="Q202" s="1" t="s">
        <v>7207</v>
      </c>
    </row>
    <row r="203" spans="1:17" x14ac:dyDescent="0.25">
      <c r="A203" t="s">
        <v>1011</v>
      </c>
      <c r="B203" t="str">
        <f>HYPERLINK("https://staging-dtl-pattern-api.hfm-weimar.de/static/audio/solos/dtl/AQAFcJqVKEkiLUL4QPlx5shLJ8HFRBYI_0.01.26.054077-0.01.47.060126.mp3", "link")</f>
        <v>link</v>
      </c>
      <c r="D203" t="s">
        <v>1012</v>
      </c>
      <c r="E203" t="s">
        <v>1013</v>
      </c>
      <c r="F203" t="s">
        <v>1014</v>
      </c>
      <c r="G203" t="s">
        <v>1014</v>
      </c>
      <c r="H203" t="s">
        <v>1015</v>
      </c>
      <c r="I203">
        <v>48</v>
      </c>
      <c r="J203" t="s">
        <v>126</v>
      </c>
      <c r="K203" t="s">
        <v>1016</v>
      </c>
      <c r="L203" s="1" t="s">
        <v>1017</v>
      </c>
      <c r="M203" t="s">
        <v>129</v>
      </c>
      <c r="N203" t="s">
        <v>46</v>
      </c>
      <c r="O203" s="1" t="s">
        <v>1018</v>
      </c>
      <c r="P203" s="1" t="s">
        <v>1019</v>
      </c>
    </row>
    <row r="204" spans="1:17" x14ac:dyDescent="0.25">
      <c r="A204" t="s">
        <v>1020</v>
      </c>
      <c r="B204" t="str">
        <f>HYPERLINK("https://staging-dtl-pattern-api.hfm-weimar.de/static/audio/solos/dtl/AQAFcJqVKEkiLUL4QPlx5shLJ8HFRBYI_0.01.47.060126-0.02.08.070820.mp3", "link")</f>
        <v>link</v>
      </c>
      <c r="D204" t="s">
        <v>1012</v>
      </c>
      <c r="E204" t="s">
        <v>1021</v>
      </c>
      <c r="F204" t="s">
        <v>1014</v>
      </c>
      <c r="G204" t="s">
        <v>1014</v>
      </c>
      <c r="H204" t="s">
        <v>1015</v>
      </c>
      <c r="I204">
        <v>48</v>
      </c>
      <c r="J204" t="s">
        <v>126</v>
      </c>
      <c r="K204" t="s">
        <v>1016</v>
      </c>
      <c r="L204" s="1" t="s">
        <v>1017</v>
      </c>
      <c r="M204" t="s">
        <v>129</v>
      </c>
      <c r="N204" t="s">
        <v>202</v>
      </c>
      <c r="O204" s="1" t="s">
        <v>1019</v>
      </c>
      <c r="P204" s="1" t="s">
        <v>1022</v>
      </c>
    </row>
    <row r="205" spans="1:17" x14ac:dyDescent="0.25">
      <c r="A205" t="s">
        <v>1023</v>
      </c>
      <c r="B205" t="str">
        <f>HYPERLINK("https://staging-dtl-pattern-api.hfm-weimar.de/static/audio/solos/dtl/AQAFcom0ZNESKkIuLYHz4Mef6SgzonmR_0.00.34.001723-0.00.51.036253.mp3", "link")</f>
        <v>link</v>
      </c>
      <c r="C205" t="s">
        <v>1024</v>
      </c>
      <c r="D205" t="s">
        <v>1025</v>
      </c>
      <c r="F205" t="s">
        <v>903</v>
      </c>
      <c r="H205" t="s">
        <v>904</v>
      </c>
      <c r="I205">
        <v>19</v>
      </c>
      <c r="J205" t="s">
        <v>160</v>
      </c>
      <c r="K205" t="s">
        <v>1026</v>
      </c>
      <c r="L205" s="1" t="s">
        <v>906</v>
      </c>
      <c r="M205" t="s">
        <v>129</v>
      </c>
      <c r="N205" t="s">
        <v>202</v>
      </c>
      <c r="O205" s="1" t="s">
        <v>1027</v>
      </c>
      <c r="P205" s="1" t="s">
        <v>1028</v>
      </c>
    </row>
    <row r="206" spans="1:17" x14ac:dyDescent="0.25">
      <c r="A206" t="s">
        <v>1029</v>
      </c>
      <c r="B206" t="str">
        <f>HYPERLINK("https://staging-dtl-pattern-api.hfm-weimar.de/static/audio/solos/dtl/AQAFcom0ZNESKkIuLYHz4Mef6SgzonmR_0.00.51.036253-0.01.09.059020.mp3", "link")</f>
        <v>link</v>
      </c>
      <c r="C206" t="s">
        <v>1030</v>
      </c>
      <c r="D206" t="s">
        <v>1025</v>
      </c>
      <c r="F206" t="s">
        <v>903</v>
      </c>
      <c r="H206" t="s">
        <v>904</v>
      </c>
      <c r="I206">
        <v>19</v>
      </c>
      <c r="J206" t="s">
        <v>160</v>
      </c>
      <c r="K206" t="s">
        <v>1026</v>
      </c>
      <c r="L206" s="1" t="s">
        <v>906</v>
      </c>
      <c r="M206" t="s">
        <v>129</v>
      </c>
      <c r="N206" t="s">
        <v>46</v>
      </c>
      <c r="O206" s="1" t="s">
        <v>1028</v>
      </c>
      <c r="P206" s="1" t="s">
        <v>1031</v>
      </c>
      <c r="Q206" s="1" t="s">
        <v>7167</v>
      </c>
    </row>
    <row r="207" spans="1:17" x14ac:dyDescent="0.25">
      <c r="A207" t="s">
        <v>1032</v>
      </c>
      <c r="B207" t="str">
        <f>HYPERLINK("https://staging-dtl-pattern-api.hfm-weimar.de/static/audio/solos/dtl/AQAFcom0ZNESKkIuLYHz4Mef6SgzonmR_0.01.43.093251-0.02.01.030104.mp3", "link")</f>
        <v>link</v>
      </c>
      <c r="C207" t="s">
        <v>1033</v>
      </c>
      <c r="D207" t="s">
        <v>1025</v>
      </c>
      <c r="F207" t="s">
        <v>903</v>
      </c>
      <c r="H207" t="s">
        <v>904</v>
      </c>
      <c r="I207">
        <v>19</v>
      </c>
      <c r="J207" t="s">
        <v>160</v>
      </c>
      <c r="K207" t="s">
        <v>1026</v>
      </c>
      <c r="L207" s="1" t="s">
        <v>906</v>
      </c>
      <c r="M207" t="s">
        <v>129</v>
      </c>
      <c r="N207" t="s">
        <v>172</v>
      </c>
      <c r="O207" s="1" t="s">
        <v>1034</v>
      </c>
      <c r="P207" s="1" t="s">
        <v>1035</v>
      </c>
    </row>
    <row r="208" spans="1:17" x14ac:dyDescent="0.25">
      <c r="A208" t="s">
        <v>1036</v>
      </c>
      <c r="B208" t="str">
        <f>HYPERLINK("https://staging-dtl-pattern-api.hfm-weimar.de/static/audio/solos/dtl/AQAFcom0ZNESKkIuLYHz4Mef6SgzonmR_0.02.01.030104-0.02.18.048380.mp3", "link")</f>
        <v>link</v>
      </c>
      <c r="C208" t="s">
        <v>1030</v>
      </c>
      <c r="D208" t="s">
        <v>1025</v>
      </c>
      <c r="F208" t="s">
        <v>903</v>
      </c>
      <c r="H208" t="s">
        <v>904</v>
      </c>
      <c r="I208">
        <v>19</v>
      </c>
      <c r="J208" t="s">
        <v>160</v>
      </c>
      <c r="K208" t="s">
        <v>1026</v>
      </c>
      <c r="L208" s="1" t="s">
        <v>906</v>
      </c>
      <c r="M208" t="s">
        <v>129</v>
      </c>
      <c r="N208" t="s">
        <v>46</v>
      </c>
      <c r="O208" s="1" t="s">
        <v>1035</v>
      </c>
      <c r="P208" s="1" t="s">
        <v>1037</v>
      </c>
      <c r="Q208" s="1" t="s">
        <v>7208</v>
      </c>
    </row>
    <row r="209" spans="1:17" x14ac:dyDescent="0.25">
      <c r="A209" t="s">
        <v>1038</v>
      </c>
      <c r="B209" t="str">
        <f>HYPERLINK("https://staging-dtl-pattern-api.hfm-weimar.de/static/audio/solos/dtl/AQAFCVGyLIkiZWidAznOo5GkBT7y44dY_0.02.06.078095-0.02.42.022666.mp3", "link")</f>
        <v>link</v>
      </c>
      <c r="F209" t="s">
        <v>54</v>
      </c>
      <c r="G209" t="s">
        <v>54</v>
      </c>
      <c r="J209" t="s">
        <v>453</v>
      </c>
      <c r="K209" t="s">
        <v>1039</v>
      </c>
      <c r="L209" s="1" t="s">
        <v>1040</v>
      </c>
      <c r="M209" t="s">
        <v>129</v>
      </c>
      <c r="N209" t="s">
        <v>46</v>
      </c>
      <c r="O209" s="1" t="s">
        <v>1041</v>
      </c>
      <c r="P209" s="1" t="s">
        <v>1042</v>
      </c>
    </row>
    <row r="210" spans="1:17" x14ac:dyDescent="0.25">
      <c r="A210" t="s">
        <v>1043</v>
      </c>
      <c r="B210" t="str">
        <f>HYPERLINK("https://staging-dtl-pattern-api.hfm-weimar.de/static/audio/solos/dtl/AQAFd1yWhFk4jNVEoxSYLFxSJA-iPzg-_0.02.20.013242-0.02.33.034458.mp3", "link")</f>
        <v>link</v>
      </c>
      <c r="C210" t="s">
        <v>1044</v>
      </c>
      <c r="D210" t="s">
        <v>1045</v>
      </c>
      <c r="F210" t="s">
        <v>1046</v>
      </c>
      <c r="G210" t="s">
        <v>1047</v>
      </c>
      <c r="H210" t="s">
        <v>1048</v>
      </c>
      <c r="I210">
        <v>72</v>
      </c>
      <c r="J210" t="s">
        <v>141</v>
      </c>
      <c r="K210" t="s">
        <v>1049</v>
      </c>
      <c r="L210" s="1" t="s">
        <v>1050</v>
      </c>
      <c r="M210" t="s">
        <v>129</v>
      </c>
      <c r="N210" t="s">
        <v>109</v>
      </c>
      <c r="O210" s="1" t="s">
        <v>1051</v>
      </c>
      <c r="P210" s="1" t="s">
        <v>1052</v>
      </c>
    </row>
    <row r="211" spans="1:17" x14ac:dyDescent="0.25">
      <c r="A211" t="s">
        <v>1053</v>
      </c>
      <c r="B211" t="str">
        <f>HYPERLINK("https://staging-dtl-pattern-api.hfm-weimar.de/static/audio/solos/dtl/AQAfd2IvLsih9kKuPAnWB9R3PMet4MyO_0.01.58.059591-0.04.32.019591.mp3", "link")</f>
        <v>link</v>
      </c>
      <c r="D211" t="s">
        <v>1054</v>
      </c>
      <c r="E211" t="s">
        <v>1055</v>
      </c>
      <c r="F211" t="s">
        <v>1055</v>
      </c>
      <c r="G211" t="s">
        <v>1055</v>
      </c>
      <c r="J211" t="s">
        <v>1056</v>
      </c>
      <c r="K211" t="s">
        <v>1057</v>
      </c>
      <c r="L211" s="1" t="s">
        <v>1058</v>
      </c>
      <c r="M211" t="s">
        <v>1059</v>
      </c>
      <c r="N211" t="s">
        <v>23</v>
      </c>
      <c r="O211" s="1" t="s">
        <v>1060</v>
      </c>
      <c r="P211" s="1" t="s">
        <v>1061</v>
      </c>
      <c r="Q211" s="1" t="s">
        <v>7209</v>
      </c>
    </row>
    <row r="212" spans="1:17" x14ac:dyDescent="0.25">
      <c r="A212" t="s">
        <v>1062</v>
      </c>
      <c r="B212" t="str">
        <f>HYPERLINK("https://staging-dtl-pattern-api.hfm-weimar.de/static/audio/solos/dtl/AQAfd2IvLsih9kKuPAnWB9R3PMet4MyO_0.12.51.083129-0.13.35.085632.mp3", "link")</f>
        <v>link</v>
      </c>
      <c r="D212" t="s">
        <v>1054</v>
      </c>
      <c r="E212" t="s">
        <v>1055</v>
      </c>
      <c r="F212" t="s">
        <v>1055</v>
      </c>
      <c r="G212" t="s">
        <v>1055</v>
      </c>
      <c r="J212" t="s">
        <v>1056</v>
      </c>
      <c r="K212" t="s">
        <v>1057</v>
      </c>
      <c r="L212" s="1" t="s">
        <v>1058</v>
      </c>
      <c r="M212" t="s">
        <v>1059</v>
      </c>
      <c r="N212" t="s">
        <v>23</v>
      </c>
      <c r="O212" s="1" t="s">
        <v>1063</v>
      </c>
      <c r="P212" s="1" t="s">
        <v>1064</v>
      </c>
      <c r="Q212" s="1" t="s">
        <v>7209</v>
      </c>
    </row>
    <row r="213" spans="1:17" x14ac:dyDescent="0.25">
      <c r="A213" t="s">
        <v>1065</v>
      </c>
      <c r="B213" t="str">
        <f>HYPERLINK("https://staging-dtl-pattern-api.hfm-weimar.de/static/audio/solos/dtl/AQAfd2IvLsih9kKuPAnWB9R3PMet4MyO_0.13.40.003591-0.13.45.033006.mp3", "link")</f>
        <v>link</v>
      </c>
      <c r="D213" t="s">
        <v>1054</v>
      </c>
      <c r="E213" t="s">
        <v>1055</v>
      </c>
      <c r="F213" t="s">
        <v>1055</v>
      </c>
      <c r="G213" t="s">
        <v>1055</v>
      </c>
      <c r="J213" t="s">
        <v>1056</v>
      </c>
      <c r="K213" t="s">
        <v>1057</v>
      </c>
      <c r="L213" s="1" t="s">
        <v>1058</v>
      </c>
      <c r="M213" t="s">
        <v>1059</v>
      </c>
      <c r="N213" t="s">
        <v>23</v>
      </c>
      <c r="O213" s="1" t="s">
        <v>1066</v>
      </c>
      <c r="P213" s="1" t="s">
        <v>1067</v>
      </c>
      <c r="Q213" s="1" t="s">
        <v>7209</v>
      </c>
    </row>
    <row r="214" spans="1:17" x14ac:dyDescent="0.25">
      <c r="A214" t="s">
        <v>1068</v>
      </c>
      <c r="B214" t="str">
        <f>HYPERLINK("https://staging-dtl-pattern-api.hfm-weimar.de/static/audio/solos/dtl/AQAfd2IvLsih9kKuPAnWB9R3PMet4MyO_0.13.49.027746-0.13.54.010721.mp3", "link")</f>
        <v>link</v>
      </c>
      <c r="D214" t="s">
        <v>1054</v>
      </c>
      <c r="E214" t="s">
        <v>1055</v>
      </c>
      <c r="F214" t="s">
        <v>1055</v>
      </c>
      <c r="G214" t="s">
        <v>1055</v>
      </c>
      <c r="J214" t="s">
        <v>1056</v>
      </c>
      <c r="K214" t="s">
        <v>1057</v>
      </c>
      <c r="L214" s="1" t="s">
        <v>1058</v>
      </c>
      <c r="M214" t="s">
        <v>1059</v>
      </c>
      <c r="N214" t="s">
        <v>23</v>
      </c>
      <c r="O214" s="1" t="s">
        <v>1069</v>
      </c>
      <c r="P214" s="1" t="s">
        <v>1070</v>
      </c>
      <c r="Q214" s="1" t="s">
        <v>7209</v>
      </c>
    </row>
    <row r="215" spans="1:17" x14ac:dyDescent="0.25">
      <c r="A215" t="s">
        <v>1071</v>
      </c>
      <c r="B215" t="str">
        <f>HYPERLINK("https://staging-dtl-pattern-api.hfm-weimar.de/static/audio/solos/dtl/AQAfd2IvLsih9kKuPAnWB9R3PMet4MyO_0.13.58.056544-0.14.03.058095.mp3", "link")</f>
        <v>link</v>
      </c>
      <c r="D215" t="s">
        <v>1054</v>
      </c>
      <c r="E215" t="s">
        <v>1055</v>
      </c>
      <c r="F215" t="s">
        <v>1055</v>
      </c>
      <c r="G215" t="s">
        <v>1055</v>
      </c>
      <c r="J215" t="s">
        <v>1056</v>
      </c>
      <c r="K215" t="s">
        <v>1057</v>
      </c>
      <c r="L215" s="1" t="s">
        <v>1058</v>
      </c>
      <c r="M215" t="s">
        <v>1059</v>
      </c>
      <c r="N215" t="s">
        <v>23</v>
      </c>
      <c r="O215" s="1" t="s">
        <v>1072</v>
      </c>
      <c r="P215" s="1" t="s">
        <v>1073</v>
      </c>
      <c r="Q215" s="1" t="s">
        <v>7209</v>
      </c>
    </row>
    <row r="216" spans="1:17" x14ac:dyDescent="0.25">
      <c r="A216" t="s">
        <v>1074</v>
      </c>
      <c r="B216" t="str">
        <f>HYPERLINK("https://staging-dtl-pattern-api.hfm-weimar.de/static/audio/solos/dtl/AQAfd2IvLsih9kKuPAnWB9R3PMet4MyO_0.14.07.034258-0.14.13.024045.mp3", "link")</f>
        <v>link</v>
      </c>
      <c r="D216" t="s">
        <v>1054</v>
      </c>
      <c r="E216" t="s">
        <v>1055</v>
      </c>
      <c r="F216" t="s">
        <v>1055</v>
      </c>
      <c r="G216" t="s">
        <v>1055</v>
      </c>
      <c r="J216" t="s">
        <v>1056</v>
      </c>
      <c r="K216" t="s">
        <v>1057</v>
      </c>
      <c r="L216" s="1" t="s">
        <v>1058</v>
      </c>
      <c r="M216" t="s">
        <v>1059</v>
      </c>
      <c r="N216" t="s">
        <v>23</v>
      </c>
      <c r="O216" s="1" t="s">
        <v>1075</v>
      </c>
      <c r="P216" s="1" t="s">
        <v>1076</v>
      </c>
      <c r="Q216" s="1" t="s">
        <v>7209</v>
      </c>
    </row>
    <row r="217" spans="1:17" x14ac:dyDescent="0.25">
      <c r="A217" t="s">
        <v>1077</v>
      </c>
      <c r="B217" t="str">
        <f>HYPERLINK("https://staging-dtl-pattern-api.hfm-weimar.de/static/audio/solos/dtl/AQAfd2IvLsih9kKuPAnWB9R3PMet4MyO_0.14.16.067700-0.14.22.052843.mp3", "link")</f>
        <v>link</v>
      </c>
      <c r="D217" t="s">
        <v>1054</v>
      </c>
      <c r="E217" t="s">
        <v>1055</v>
      </c>
      <c r="F217" t="s">
        <v>1055</v>
      </c>
      <c r="G217" t="s">
        <v>1055</v>
      </c>
      <c r="J217" t="s">
        <v>1056</v>
      </c>
      <c r="K217" t="s">
        <v>1057</v>
      </c>
      <c r="L217" s="1" t="s">
        <v>1058</v>
      </c>
      <c r="M217" t="s">
        <v>1059</v>
      </c>
      <c r="N217" t="s">
        <v>23</v>
      </c>
      <c r="O217" s="1" t="s">
        <v>1078</v>
      </c>
      <c r="P217" s="1" t="s">
        <v>1079</v>
      </c>
      <c r="Q217" s="1" t="s">
        <v>7209</v>
      </c>
    </row>
    <row r="218" spans="1:17" x14ac:dyDescent="0.25">
      <c r="A218" t="s">
        <v>1080</v>
      </c>
      <c r="B218" t="str">
        <f>HYPERLINK("https://staging-dtl-pattern-api.hfm-weimar.de/static/audio/solos/dtl/AQAfd2IvLsih9kKuPAnWB9R3PMet4MyO_0.14.26.047582-0.14.32.000217.mp3", "link")</f>
        <v>link</v>
      </c>
      <c r="D218" t="s">
        <v>1054</v>
      </c>
      <c r="E218" t="s">
        <v>1055</v>
      </c>
      <c r="F218" t="s">
        <v>1055</v>
      </c>
      <c r="G218" t="s">
        <v>1055</v>
      </c>
      <c r="J218" t="s">
        <v>1056</v>
      </c>
      <c r="K218" t="s">
        <v>1057</v>
      </c>
      <c r="L218" s="1" t="s">
        <v>1058</v>
      </c>
      <c r="M218" t="s">
        <v>1059</v>
      </c>
      <c r="N218" t="s">
        <v>23</v>
      </c>
      <c r="O218" s="1" t="s">
        <v>1081</v>
      </c>
      <c r="P218" s="1" t="s">
        <v>1082</v>
      </c>
      <c r="Q218" s="1" t="s">
        <v>7209</v>
      </c>
    </row>
    <row r="219" spans="1:17" x14ac:dyDescent="0.25">
      <c r="A219" t="s">
        <v>1083</v>
      </c>
      <c r="B219" t="str">
        <f>HYPERLINK("https://staging-dtl-pattern-api.hfm-weimar.de/static/audio/solos/dtl/AQAfd2IvLsih9kKuPAnWB9R3PMet4MyO_0.14.35.081024-0.14.41.056879.mp3", "link")</f>
        <v>link</v>
      </c>
      <c r="D219" t="s">
        <v>1054</v>
      </c>
      <c r="E219" t="s">
        <v>1055</v>
      </c>
      <c r="F219" t="s">
        <v>1055</v>
      </c>
      <c r="G219" t="s">
        <v>1055</v>
      </c>
      <c r="J219" t="s">
        <v>1056</v>
      </c>
      <c r="K219" t="s">
        <v>1057</v>
      </c>
      <c r="L219" s="1" t="s">
        <v>1058</v>
      </c>
      <c r="M219" t="s">
        <v>1059</v>
      </c>
      <c r="N219" t="s">
        <v>23</v>
      </c>
      <c r="O219" s="1" t="s">
        <v>1084</v>
      </c>
      <c r="P219" s="1" t="s">
        <v>1085</v>
      </c>
      <c r="Q219" s="1" t="s">
        <v>7209</v>
      </c>
    </row>
    <row r="220" spans="1:17" x14ac:dyDescent="0.25">
      <c r="A220" t="s">
        <v>1086</v>
      </c>
      <c r="B220" t="str">
        <f>HYPERLINK("https://staging-dtl-pattern-api.hfm-weimar.de/static/audio/solos/dtl/AQAfd2IvLsih9kKuPAnWB9R3PMet4MyO_0.14.44.091247-0.14.47.079174.mp3", "link")</f>
        <v>link</v>
      </c>
      <c r="D220" t="s">
        <v>1054</v>
      </c>
      <c r="E220" t="s">
        <v>1055</v>
      </c>
      <c r="F220" t="s">
        <v>1055</v>
      </c>
      <c r="G220" t="s">
        <v>1055</v>
      </c>
      <c r="J220" t="s">
        <v>1056</v>
      </c>
      <c r="K220" t="s">
        <v>1057</v>
      </c>
      <c r="L220" s="1" t="s">
        <v>1058</v>
      </c>
      <c r="M220" t="s">
        <v>1059</v>
      </c>
      <c r="N220" t="s">
        <v>23</v>
      </c>
      <c r="O220" s="1" t="s">
        <v>1087</v>
      </c>
      <c r="P220" s="1" t="s">
        <v>1088</v>
      </c>
      <c r="Q220" s="1" t="s">
        <v>7209</v>
      </c>
    </row>
    <row r="221" spans="1:17" x14ac:dyDescent="0.25">
      <c r="A221" t="s">
        <v>1089</v>
      </c>
      <c r="B221" t="str">
        <f>HYPERLINK("https://staging-dtl-pattern-api.hfm-weimar.de/static/audio/solos/dtl/AQAfd2IvLsih9kKuPAnWB9R3PMet4MyO_0.14.49.023138-0.14.52.015709.mp3", "link")</f>
        <v>link</v>
      </c>
      <c r="D221" t="s">
        <v>1054</v>
      </c>
      <c r="E221" t="s">
        <v>1055</v>
      </c>
      <c r="F221" t="s">
        <v>1055</v>
      </c>
      <c r="G221" t="s">
        <v>1055</v>
      </c>
      <c r="J221" t="s">
        <v>1056</v>
      </c>
      <c r="K221" t="s">
        <v>1057</v>
      </c>
      <c r="L221" s="1" t="s">
        <v>1058</v>
      </c>
      <c r="M221" t="s">
        <v>1059</v>
      </c>
      <c r="N221" t="s">
        <v>23</v>
      </c>
      <c r="O221" s="1" t="s">
        <v>1090</v>
      </c>
      <c r="P221" s="1" t="s">
        <v>1091</v>
      </c>
      <c r="Q221" s="1" t="s">
        <v>7209</v>
      </c>
    </row>
    <row r="222" spans="1:17" x14ac:dyDescent="0.25">
      <c r="A222" t="s">
        <v>1092</v>
      </c>
      <c r="B222" t="str">
        <f>HYPERLINK("https://staging-dtl-pattern-api.hfm-weimar.de/static/audio/solos/dtl/AQAfd2IvLsih9kKuPAnWB9R3PMet4MyO_0.14.53.050385-0.14.56.066176.mp3", "link")</f>
        <v>link</v>
      </c>
      <c r="D222" t="s">
        <v>1054</v>
      </c>
      <c r="E222" t="s">
        <v>1055</v>
      </c>
      <c r="F222" t="s">
        <v>1055</v>
      </c>
      <c r="G222" t="s">
        <v>1055</v>
      </c>
      <c r="J222" t="s">
        <v>1056</v>
      </c>
      <c r="K222" t="s">
        <v>1057</v>
      </c>
      <c r="L222" s="1" t="s">
        <v>1058</v>
      </c>
      <c r="M222" t="s">
        <v>1059</v>
      </c>
      <c r="N222" t="s">
        <v>23</v>
      </c>
      <c r="O222" s="1" t="s">
        <v>1093</v>
      </c>
      <c r="P222" s="1" t="s">
        <v>1094</v>
      </c>
      <c r="Q222" s="1" t="s">
        <v>7209</v>
      </c>
    </row>
    <row r="223" spans="1:17" x14ac:dyDescent="0.25">
      <c r="A223" t="s">
        <v>1095</v>
      </c>
      <c r="B223" t="str">
        <f>HYPERLINK("https://staging-dtl-pattern-api.hfm-weimar.de/static/audio/solos/dtl/AQAfd2IvLsih9kKuPAnWB9R3PMet4MyO_0.14.58.024072-0.15.00.088780.mp3", "link")</f>
        <v>link</v>
      </c>
      <c r="D223" t="s">
        <v>1054</v>
      </c>
      <c r="E223" t="s">
        <v>1055</v>
      </c>
      <c r="F223" t="s">
        <v>1055</v>
      </c>
      <c r="G223" t="s">
        <v>1055</v>
      </c>
      <c r="J223" t="s">
        <v>1056</v>
      </c>
      <c r="K223" t="s">
        <v>1057</v>
      </c>
      <c r="L223" s="1" t="s">
        <v>1058</v>
      </c>
      <c r="M223" t="s">
        <v>1059</v>
      </c>
      <c r="N223" t="s">
        <v>23</v>
      </c>
      <c r="O223" s="1" t="s">
        <v>1096</v>
      </c>
      <c r="P223" s="1" t="s">
        <v>1097</v>
      </c>
      <c r="Q223" s="1" t="s">
        <v>7209</v>
      </c>
    </row>
    <row r="224" spans="1:17" x14ac:dyDescent="0.25">
      <c r="A224" t="s">
        <v>1098</v>
      </c>
      <c r="B224" t="str">
        <f>HYPERLINK("https://staging-dtl-pattern-api.hfm-weimar.de/static/audio/solos/dtl/AQAfd2IvLsih9kKuPAnWB9R3PMet4MyO_0.15.02.088471-0.15.05.090331.mp3", "link")</f>
        <v>link</v>
      </c>
      <c r="D224" t="s">
        <v>1054</v>
      </c>
      <c r="E224" t="s">
        <v>1055</v>
      </c>
      <c r="F224" t="s">
        <v>1055</v>
      </c>
      <c r="G224" t="s">
        <v>1055</v>
      </c>
      <c r="J224" t="s">
        <v>1056</v>
      </c>
      <c r="K224" t="s">
        <v>1057</v>
      </c>
      <c r="L224" s="1" t="s">
        <v>1058</v>
      </c>
      <c r="M224" t="s">
        <v>1059</v>
      </c>
      <c r="N224" t="s">
        <v>23</v>
      </c>
      <c r="O224" s="1" t="s">
        <v>1099</v>
      </c>
      <c r="P224" s="1" t="s">
        <v>1100</v>
      </c>
      <c r="Q224" s="1" t="s">
        <v>7209</v>
      </c>
    </row>
    <row r="225" spans="1:17" x14ac:dyDescent="0.25">
      <c r="A225" t="s">
        <v>1101</v>
      </c>
      <c r="B225" t="str">
        <f>HYPERLINK("https://staging-dtl-pattern-api.hfm-weimar.de/static/audio/solos/dtl/AQAfd2IvLsih9kKuPAnWB9R3PMet4MyO_0.15.07.048226-0.15.10.003646.mp3", "link")</f>
        <v>link</v>
      </c>
      <c r="D225" t="s">
        <v>1054</v>
      </c>
      <c r="E225" t="s">
        <v>1055</v>
      </c>
      <c r="F225" t="s">
        <v>1055</v>
      </c>
      <c r="G225" t="s">
        <v>1055</v>
      </c>
      <c r="J225" t="s">
        <v>1056</v>
      </c>
      <c r="K225" t="s">
        <v>1057</v>
      </c>
      <c r="L225" s="1" t="s">
        <v>1058</v>
      </c>
      <c r="M225" t="s">
        <v>1059</v>
      </c>
      <c r="N225" t="s">
        <v>23</v>
      </c>
      <c r="O225" s="1" t="s">
        <v>1102</v>
      </c>
      <c r="P225" s="1" t="s">
        <v>1103</v>
      </c>
      <c r="Q225" s="1" t="s">
        <v>7209</v>
      </c>
    </row>
    <row r="226" spans="1:17" x14ac:dyDescent="0.25">
      <c r="A226" t="s">
        <v>1104</v>
      </c>
      <c r="B226" t="str">
        <f>HYPERLINK("https://staging-dtl-pattern-api.hfm-weimar.de/static/audio/solos/dtl/AQAFdEmUJEuUSDluCNEHeB5-vMelKIV3_0.01.51.060816-0.02.57.037142.mp3", "link")</f>
        <v>link</v>
      </c>
      <c r="C226" t="s">
        <v>1105</v>
      </c>
      <c r="D226" t="s">
        <v>1106</v>
      </c>
      <c r="E226" t="s">
        <v>692</v>
      </c>
      <c r="F226" t="s">
        <v>1107</v>
      </c>
      <c r="G226" t="s">
        <v>692</v>
      </c>
      <c r="H226" t="s">
        <v>1108</v>
      </c>
      <c r="I226">
        <v>81</v>
      </c>
      <c r="J226" t="s">
        <v>198</v>
      </c>
      <c r="K226" t="s">
        <v>1109</v>
      </c>
      <c r="L226" s="1" t="s">
        <v>1110</v>
      </c>
      <c r="M226" t="s">
        <v>129</v>
      </c>
      <c r="N226" t="s">
        <v>202</v>
      </c>
      <c r="O226" s="1" t="s">
        <v>1111</v>
      </c>
      <c r="P226" s="1" t="s">
        <v>1112</v>
      </c>
      <c r="Q226" s="1" t="s">
        <v>7210</v>
      </c>
    </row>
    <row r="227" spans="1:17" x14ac:dyDescent="0.25">
      <c r="A227" t="s">
        <v>1113</v>
      </c>
      <c r="B227" t="str">
        <f>HYPERLINK("https://staging-dtl-pattern-api.hfm-weimar.de/static/audio/solos/dtl/AQAFDImiRqFi5IG1LchpzDyOMlwG0nuQ_0.01.50.041814-0.02.27.050965.mp3", "link")</f>
        <v>link</v>
      </c>
      <c r="D227" t="s">
        <v>1114</v>
      </c>
      <c r="E227" t="s">
        <v>394</v>
      </c>
      <c r="F227" t="s">
        <v>393</v>
      </c>
      <c r="G227" t="s">
        <v>394</v>
      </c>
      <c r="H227" t="s">
        <v>1115</v>
      </c>
      <c r="I227">
        <v>25</v>
      </c>
      <c r="J227" t="s">
        <v>141</v>
      </c>
      <c r="K227" t="s">
        <v>1116</v>
      </c>
      <c r="L227" s="1" t="s">
        <v>1117</v>
      </c>
      <c r="M227" t="s">
        <v>129</v>
      </c>
      <c r="N227" t="s">
        <v>288</v>
      </c>
      <c r="O227" s="1" t="s">
        <v>1118</v>
      </c>
      <c r="P227" s="1" t="s">
        <v>1119</v>
      </c>
    </row>
    <row r="228" spans="1:17" x14ac:dyDescent="0.25">
      <c r="A228" t="s">
        <v>1120</v>
      </c>
      <c r="B228" t="str">
        <f>HYPERLINK("https://staging-dtl-pattern-api.hfm-weimar.de/static/audio/solos/dtl/AQAFDkqWSIqSpImC99hfop9iwbGPfsR__0.01.07.022176-0.01.38.052226.mp3", "link")</f>
        <v>link</v>
      </c>
      <c r="D228" t="s">
        <v>1121</v>
      </c>
      <c r="E228" t="s">
        <v>137</v>
      </c>
      <c r="F228" t="s">
        <v>1046</v>
      </c>
      <c r="G228" t="s">
        <v>1047</v>
      </c>
      <c r="H228" t="s">
        <v>1122</v>
      </c>
      <c r="I228">
        <v>70</v>
      </c>
      <c r="J228" t="s">
        <v>141</v>
      </c>
      <c r="K228" t="s">
        <v>1123</v>
      </c>
      <c r="L228" s="1" t="s">
        <v>1124</v>
      </c>
      <c r="M228" t="s">
        <v>129</v>
      </c>
      <c r="N228" t="s">
        <v>109</v>
      </c>
      <c r="O228" s="1" t="s">
        <v>1125</v>
      </c>
      <c r="P228" s="1" t="s">
        <v>1126</v>
      </c>
    </row>
    <row r="229" spans="1:17" x14ac:dyDescent="0.25">
      <c r="A229" t="s">
        <v>1127</v>
      </c>
      <c r="B229" t="str">
        <f>HYPERLINK("https://staging-dtl-pattern-api.hfm-weimar.de/static/audio/solos/dtl/AQAFDkqWSIqSpImC99hfop9iwbGPfsR__0.01.38.052226-0.02.08.056888.mp3", "link")</f>
        <v>link</v>
      </c>
      <c r="D229" t="s">
        <v>1121</v>
      </c>
      <c r="E229" t="s">
        <v>460</v>
      </c>
      <c r="F229" t="s">
        <v>1046</v>
      </c>
      <c r="G229" t="s">
        <v>1047</v>
      </c>
      <c r="H229" t="s">
        <v>1122</v>
      </c>
      <c r="I229">
        <v>70</v>
      </c>
      <c r="J229" t="s">
        <v>141</v>
      </c>
      <c r="K229" t="s">
        <v>1123</v>
      </c>
      <c r="L229" s="1" t="s">
        <v>1124</v>
      </c>
      <c r="M229" t="s">
        <v>129</v>
      </c>
      <c r="N229" t="s">
        <v>202</v>
      </c>
      <c r="O229" s="1" t="s">
        <v>1126</v>
      </c>
      <c r="P229" s="1" t="s">
        <v>1128</v>
      </c>
    </row>
    <row r="230" spans="1:17" x14ac:dyDescent="0.25">
      <c r="A230" t="s">
        <v>1129</v>
      </c>
      <c r="B230" t="str">
        <f>HYPERLINK("https://staging-dtl-pattern-api.hfm-weimar.de/static/audio/solos/dtl/AQAFdUoULV-kBOeOnDyaNMyhPcc55FeM_0.01.44.055510-0.02.07.060816.mp3", "link")</f>
        <v>link</v>
      </c>
      <c r="D230" t="s">
        <v>1130</v>
      </c>
      <c r="E230" t="s">
        <v>1131</v>
      </c>
      <c r="F230" t="s">
        <v>1132</v>
      </c>
      <c r="G230" t="s">
        <v>1133</v>
      </c>
      <c r="H230" t="s">
        <v>681</v>
      </c>
      <c r="I230">
        <v>100</v>
      </c>
      <c r="J230" t="s">
        <v>198</v>
      </c>
      <c r="K230" t="s">
        <v>1134</v>
      </c>
      <c r="L230" s="1" t="s">
        <v>1135</v>
      </c>
      <c r="M230" t="s">
        <v>129</v>
      </c>
      <c r="N230" t="s">
        <v>449</v>
      </c>
      <c r="O230" s="1" t="s">
        <v>1136</v>
      </c>
      <c r="P230" s="1" t="s">
        <v>1137</v>
      </c>
    </row>
    <row r="231" spans="1:17" x14ac:dyDescent="0.25">
      <c r="A231" t="s">
        <v>1138</v>
      </c>
      <c r="B231" t="str">
        <f>HYPERLINK("https://staging-dtl-pattern-api.hfm-weimar.de/static/audio/solos/dtl/AQAFdUoULV-kBOeOnDyaNMyhPcc55FeM_0.02.18.097142-0.02.30.023310.mp3", "link")</f>
        <v>link</v>
      </c>
      <c r="D231" t="s">
        <v>1130</v>
      </c>
      <c r="E231" t="s">
        <v>1131</v>
      </c>
      <c r="F231" t="s">
        <v>1132</v>
      </c>
      <c r="G231" t="s">
        <v>1133</v>
      </c>
      <c r="H231" t="s">
        <v>681</v>
      </c>
      <c r="I231">
        <v>100</v>
      </c>
      <c r="J231" t="s">
        <v>198</v>
      </c>
      <c r="K231" t="s">
        <v>1134</v>
      </c>
      <c r="L231" s="1" t="s">
        <v>1135</v>
      </c>
      <c r="M231" t="s">
        <v>129</v>
      </c>
      <c r="N231" t="s">
        <v>449</v>
      </c>
      <c r="O231" s="1" t="s">
        <v>1139</v>
      </c>
      <c r="P231" s="1" t="s">
        <v>1140</v>
      </c>
    </row>
    <row r="232" spans="1:17" x14ac:dyDescent="0.25">
      <c r="A232" t="s">
        <v>1141</v>
      </c>
      <c r="B232" t="str">
        <f>HYPERLINK("https://staging-dtl-pattern-api.hfm-weimar.de/static/audio/solos/dtl/AQAFdUoULV-kBOeOnDyaNMyhPcc55FeM_0.02.30.023310-0.02.38.049941.mp3", "link")</f>
        <v>link</v>
      </c>
      <c r="D232" t="s">
        <v>1130</v>
      </c>
      <c r="E232" t="s">
        <v>1133</v>
      </c>
      <c r="F232" t="s">
        <v>1132</v>
      </c>
      <c r="G232" t="s">
        <v>1133</v>
      </c>
      <c r="H232" t="s">
        <v>681</v>
      </c>
      <c r="I232">
        <v>100</v>
      </c>
      <c r="J232" t="s">
        <v>198</v>
      </c>
      <c r="K232" t="s">
        <v>1134</v>
      </c>
      <c r="L232" s="1" t="s">
        <v>1135</v>
      </c>
      <c r="M232" t="s">
        <v>129</v>
      </c>
      <c r="N232" t="s">
        <v>826</v>
      </c>
      <c r="O232" s="1" t="s">
        <v>1140</v>
      </c>
      <c r="P232" s="1" t="s">
        <v>1142</v>
      </c>
      <c r="Q232" s="1" t="s">
        <v>7211</v>
      </c>
    </row>
    <row r="233" spans="1:17" x14ac:dyDescent="0.25">
      <c r="A233" t="s">
        <v>1143</v>
      </c>
      <c r="B233" t="str">
        <f>HYPERLINK("https://staging-dtl-pattern-api.hfm-weimar.de/static/audio/solos/dtl/AQAFe0qk6EosTDQdONTRJYxwurgteNFx_0.01.15.063099-0.02.56.040000.mp3", "link")</f>
        <v>link</v>
      </c>
      <c r="D233" t="s">
        <v>7352</v>
      </c>
      <c r="F233" t="s">
        <v>1144</v>
      </c>
      <c r="G233" t="s">
        <v>1144</v>
      </c>
      <c r="J233" t="s">
        <v>1145</v>
      </c>
      <c r="K233" t="s">
        <v>1146</v>
      </c>
      <c r="L233" s="1" t="s">
        <v>1147</v>
      </c>
      <c r="M233" t="s">
        <v>1148</v>
      </c>
      <c r="N233" t="s">
        <v>23</v>
      </c>
      <c r="O233" s="1" t="s">
        <v>1149</v>
      </c>
      <c r="P233" s="1" t="s">
        <v>1150</v>
      </c>
      <c r="Q233" s="1" t="s">
        <v>7164</v>
      </c>
    </row>
    <row r="234" spans="1:17" x14ac:dyDescent="0.25">
      <c r="A234" t="s">
        <v>1151</v>
      </c>
      <c r="B234" t="str">
        <f>HYPERLINK("https://staging-dtl-pattern-api.hfm-weimar.de/static/audio/solos/dtl/AQAFe9m6KFGYKMgv4_GObxOeo_xh1TiV_0.00.37.010548-0.01.08.056852.mp3", "link")</f>
        <v>link</v>
      </c>
      <c r="D234" t="s">
        <v>611</v>
      </c>
      <c r="E234" t="s">
        <v>614</v>
      </c>
      <c r="F234" t="s">
        <v>613</v>
      </c>
      <c r="G234" t="s">
        <v>614</v>
      </c>
      <c r="H234" t="s">
        <v>615</v>
      </c>
      <c r="I234">
        <v>22</v>
      </c>
      <c r="J234" t="s">
        <v>616</v>
      </c>
      <c r="K234" t="s">
        <v>1152</v>
      </c>
      <c r="L234" s="1" t="s">
        <v>618</v>
      </c>
      <c r="M234" t="s">
        <v>309</v>
      </c>
      <c r="N234" t="s">
        <v>622</v>
      </c>
      <c r="O234" s="1" t="s">
        <v>1153</v>
      </c>
      <c r="P234" s="1" t="s">
        <v>1154</v>
      </c>
    </row>
    <row r="235" spans="1:17" x14ac:dyDescent="0.25">
      <c r="A235" t="s">
        <v>1155</v>
      </c>
      <c r="B235" t="str">
        <f>HYPERLINK("https://staging-dtl-pattern-api.hfm-weimar.de/static/audio/solos/dtl/AQAFe9m6KFGYKMgv4_GObxOeo_xh1TiV_0.01.08.056852-0.01.37.070956.mp3", "link")</f>
        <v>link</v>
      </c>
      <c r="D235" t="s">
        <v>611</v>
      </c>
      <c r="E235" t="s">
        <v>612</v>
      </c>
      <c r="F235" t="s">
        <v>613</v>
      </c>
      <c r="G235" t="s">
        <v>614</v>
      </c>
      <c r="H235" t="s">
        <v>615</v>
      </c>
      <c r="I235">
        <v>22</v>
      </c>
      <c r="J235" t="s">
        <v>616</v>
      </c>
      <c r="K235" t="s">
        <v>1152</v>
      </c>
      <c r="L235" s="1" t="s">
        <v>618</v>
      </c>
      <c r="M235" t="s">
        <v>309</v>
      </c>
      <c r="N235" t="s">
        <v>46</v>
      </c>
      <c r="O235" s="1" t="s">
        <v>1154</v>
      </c>
      <c r="P235" s="1" t="s">
        <v>1156</v>
      </c>
    </row>
    <row r="236" spans="1:17" x14ac:dyDescent="0.25">
      <c r="A236" t="s">
        <v>1157</v>
      </c>
      <c r="B236" t="str">
        <f>HYPERLINK("https://staging-dtl-pattern-api.hfm-weimar.de/static/audio/solos/dtl/AQAFe9m6KFGYKMgv4_GObxOeo_xh1TiV_0.01.37.070956-0.01.44.076843.mp3", "link")</f>
        <v>link</v>
      </c>
      <c r="D236" t="s">
        <v>611</v>
      </c>
      <c r="E236" t="s">
        <v>614</v>
      </c>
      <c r="F236" t="s">
        <v>613</v>
      </c>
      <c r="G236" t="s">
        <v>614</v>
      </c>
      <c r="H236" t="s">
        <v>615</v>
      </c>
      <c r="I236">
        <v>22</v>
      </c>
      <c r="J236" t="s">
        <v>616</v>
      </c>
      <c r="K236" t="s">
        <v>1152</v>
      </c>
      <c r="L236" s="1" t="s">
        <v>618</v>
      </c>
      <c r="M236" t="s">
        <v>309</v>
      </c>
      <c r="N236" t="s">
        <v>622</v>
      </c>
      <c r="O236" s="1" t="s">
        <v>1156</v>
      </c>
      <c r="P236" s="1" t="s">
        <v>1158</v>
      </c>
    </row>
    <row r="237" spans="1:17" x14ac:dyDescent="0.25">
      <c r="A237" t="s">
        <v>1159</v>
      </c>
      <c r="B237" t="str">
        <f>HYPERLINK("https://staging-dtl-pattern-api.hfm-weimar.de/static/audio/solos/dtl/AQAFe9m6KFGYKMgv4_GObxOeo_xh1TiV_0.01.48.082612-0.01.52.079673.mp3", "link")</f>
        <v>link</v>
      </c>
      <c r="D237" t="s">
        <v>611</v>
      </c>
      <c r="E237" t="s">
        <v>612</v>
      </c>
      <c r="F237" t="s">
        <v>613</v>
      </c>
      <c r="G237" t="s">
        <v>614</v>
      </c>
      <c r="H237" t="s">
        <v>615</v>
      </c>
      <c r="I237">
        <v>22</v>
      </c>
      <c r="J237" t="s">
        <v>616</v>
      </c>
      <c r="K237" t="s">
        <v>1152</v>
      </c>
      <c r="L237" s="1" t="s">
        <v>618</v>
      </c>
      <c r="M237" t="s">
        <v>309</v>
      </c>
      <c r="N237" t="s">
        <v>46</v>
      </c>
      <c r="O237" s="1" t="s">
        <v>1160</v>
      </c>
      <c r="P237" s="1" t="s">
        <v>1161</v>
      </c>
    </row>
    <row r="238" spans="1:17" x14ac:dyDescent="0.25">
      <c r="A238" t="s">
        <v>1162</v>
      </c>
      <c r="B238" t="str">
        <f>HYPERLINK("https://staging-dtl-pattern-api.hfm-weimar.de/static/audio/solos/dtl/AQAFe9m6KFGYKMgv4_GObxOeo_xh1TiV_0.01.52.079673-0.01.59.058857.mp3", "link")</f>
        <v>link</v>
      </c>
      <c r="D238" t="s">
        <v>611</v>
      </c>
      <c r="E238" t="s">
        <v>614</v>
      </c>
      <c r="F238" t="s">
        <v>613</v>
      </c>
      <c r="G238" t="s">
        <v>614</v>
      </c>
      <c r="H238" t="s">
        <v>615</v>
      </c>
      <c r="I238">
        <v>22</v>
      </c>
      <c r="J238" t="s">
        <v>616</v>
      </c>
      <c r="K238" t="s">
        <v>1152</v>
      </c>
      <c r="L238" s="1" t="s">
        <v>618</v>
      </c>
      <c r="M238" t="s">
        <v>309</v>
      </c>
      <c r="N238" t="s">
        <v>622</v>
      </c>
      <c r="O238" s="1" t="s">
        <v>1161</v>
      </c>
      <c r="P238" s="1" t="s">
        <v>1163</v>
      </c>
    </row>
    <row r="239" spans="1:17" x14ac:dyDescent="0.25">
      <c r="A239" t="s">
        <v>1164</v>
      </c>
      <c r="B239" t="str">
        <f>HYPERLINK("https://staging-dtl-pattern-api.hfm-weimar.de/static/audio/solos/dtl/AQAFe9m6KFGYKMgv4_GObxOeo_xh1TiV_0.02.06.084190-0.02.10.078349.mp3", "link")</f>
        <v>link</v>
      </c>
      <c r="D239" t="s">
        <v>611</v>
      </c>
      <c r="E239" t="s">
        <v>614</v>
      </c>
      <c r="F239" t="s">
        <v>613</v>
      </c>
      <c r="G239" t="s">
        <v>614</v>
      </c>
      <c r="H239" t="s">
        <v>615</v>
      </c>
      <c r="I239">
        <v>22</v>
      </c>
      <c r="J239" t="s">
        <v>616</v>
      </c>
      <c r="K239" t="s">
        <v>1152</v>
      </c>
      <c r="L239" s="1" t="s">
        <v>618</v>
      </c>
      <c r="M239" t="s">
        <v>309</v>
      </c>
      <c r="N239" t="s">
        <v>622</v>
      </c>
      <c r="O239" s="1" t="s">
        <v>1165</v>
      </c>
      <c r="P239" s="1" t="s">
        <v>1166</v>
      </c>
    </row>
    <row r="240" spans="1:17" x14ac:dyDescent="0.25">
      <c r="A240" t="s">
        <v>1167</v>
      </c>
      <c r="B240" t="str">
        <f>HYPERLINK("https://staging-dtl-pattern-api.hfm-weimar.de/static/audio/solos/dtl/AQAFe9m6KFGYKMgv4_GObxOeo_xh1TiV_0.02.13.091238-0.02.17.091492.mp3", "link")</f>
        <v>link</v>
      </c>
      <c r="D240" t="s">
        <v>611</v>
      </c>
      <c r="E240" t="s">
        <v>612</v>
      </c>
      <c r="F240" t="s">
        <v>613</v>
      </c>
      <c r="G240" t="s">
        <v>614</v>
      </c>
      <c r="H240" t="s">
        <v>615</v>
      </c>
      <c r="I240">
        <v>22</v>
      </c>
      <c r="J240" t="s">
        <v>616</v>
      </c>
      <c r="K240" t="s">
        <v>1152</v>
      </c>
      <c r="L240" s="1" t="s">
        <v>618</v>
      </c>
      <c r="M240" t="s">
        <v>309</v>
      </c>
      <c r="N240" t="s">
        <v>46</v>
      </c>
      <c r="O240" s="1" t="s">
        <v>1168</v>
      </c>
      <c r="P240" s="1" t="s">
        <v>1169</v>
      </c>
    </row>
    <row r="241" spans="1:17" x14ac:dyDescent="0.25">
      <c r="A241" t="s">
        <v>1170</v>
      </c>
      <c r="B241" t="str">
        <f>HYPERLINK("https://staging-dtl-pattern-api.hfm-weimar.de/static/audio/solos/dtl/AQAFe9m6KFGYKMgv4_GObxOeo_xh1TiV_0.02.21.018603-0.02.24.098539.mp3", "link")</f>
        <v>link</v>
      </c>
      <c r="D241" t="s">
        <v>611</v>
      </c>
      <c r="E241" t="s">
        <v>614</v>
      </c>
      <c r="F241" t="s">
        <v>613</v>
      </c>
      <c r="G241" t="s">
        <v>614</v>
      </c>
      <c r="H241" t="s">
        <v>615</v>
      </c>
      <c r="I241">
        <v>22</v>
      </c>
      <c r="J241" t="s">
        <v>616</v>
      </c>
      <c r="K241" t="s">
        <v>1152</v>
      </c>
      <c r="L241" s="1" t="s">
        <v>618</v>
      </c>
      <c r="M241" t="s">
        <v>309</v>
      </c>
      <c r="N241" t="s">
        <v>622</v>
      </c>
      <c r="O241" s="1" t="s">
        <v>1171</v>
      </c>
      <c r="P241" s="1" t="s">
        <v>1172</v>
      </c>
    </row>
    <row r="242" spans="1:17" x14ac:dyDescent="0.25">
      <c r="A242" t="s">
        <v>1173</v>
      </c>
      <c r="B242" t="str">
        <f>HYPERLINK("https://staging-dtl-pattern-api.hfm-weimar.de/static/audio/solos/dtl/AQAFe9m6KFGYKMgv4_GObxOeo_xh1TiV_0.02.28.031746-0.02.32.038095.mp3", "link")</f>
        <v>link</v>
      </c>
      <c r="D242" t="s">
        <v>611</v>
      </c>
      <c r="E242" t="s">
        <v>612</v>
      </c>
      <c r="F242" t="s">
        <v>613</v>
      </c>
      <c r="G242" t="s">
        <v>614</v>
      </c>
      <c r="H242" t="s">
        <v>615</v>
      </c>
      <c r="I242">
        <v>22</v>
      </c>
      <c r="J242" t="s">
        <v>616</v>
      </c>
      <c r="K242" t="s">
        <v>1152</v>
      </c>
      <c r="L242" s="1" t="s">
        <v>618</v>
      </c>
      <c r="M242" t="s">
        <v>309</v>
      </c>
      <c r="N242" t="s">
        <v>46</v>
      </c>
      <c r="O242" s="1" t="s">
        <v>1174</v>
      </c>
      <c r="P242" s="1" t="s">
        <v>1175</v>
      </c>
    </row>
    <row r="243" spans="1:17" x14ac:dyDescent="0.25">
      <c r="A243" t="s">
        <v>1176</v>
      </c>
      <c r="B243" t="str">
        <f>HYPERLINK("https://staging-dtl-pattern-api.hfm-weimar.de/static/audio/solos/dtl/AQAFeUrWKJeGPz-u4Irw7AgzHoly4dIx_0.00.36.040888-0.01.38.003464.mp3", "link")</f>
        <v>link</v>
      </c>
      <c r="D243" t="s">
        <v>1177</v>
      </c>
      <c r="E243" t="s">
        <v>123</v>
      </c>
      <c r="F243" t="s">
        <v>124</v>
      </c>
      <c r="G243" t="s">
        <v>123</v>
      </c>
      <c r="H243" t="s">
        <v>1178</v>
      </c>
      <c r="I243">
        <v>84</v>
      </c>
      <c r="J243" t="s">
        <v>126</v>
      </c>
      <c r="K243" t="s">
        <v>1179</v>
      </c>
      <c r="L243" s="1" t="s">
        <v>1180</v>
      </c>
      <c r="M243" t="s">
        <v>129</v>
      </c>
      <c r="N243" t="s">
        <v>23</v>
      </c>
      <c r="O243" s="1" t="s">
        <v>1181</v>
      </c>
      <c r="P243" s="1" t="s">
        <v>1182</v>
      </c>
    </row>
    <row r="244" spans="1:17" x14ac:dyDescent="0.25">
      <c r="A244" t="s">
        <v>1183</v>
      </c>
      <c r="B244" t="str">
        <f>HYPERLINK("https://staging-dtl-pattern-api.hfm-weimar.de/static/audio/solos/dtl/AQAfeYmarNGkIazCYMqP43nQVAyqJyF4_0.02.00.018648-0.04.26.071020.mp3", "link")</f>
        <v>link</v>
      </c>
      <c r="C244" t="s">
        <v>1184</v>
      </c>
      <c r="D244" t="s">
        <v>1185</v>
      </c>
      <c r="F244" t="s">
        <v>54</v>
      </c>
      <c r="G244" t="s">
        <v>54</v>
      </c>
      <c r="J244" t="s">
        <v>55</v>
      </c>
      <c r="K244" t="s">
        <v>1186</v>
      </c>
      <c r="L244" s="1" t="s">
        <v>57</v>
      </c>
      <c r="M244" t="s">
        <v>58</v>
      </c>
      <c r="N244" t="s">
        <v>46</v>
      </c>
      <c r="O244" s="1" t="s">
        <v>1187</v>
      </c>
      <c r="P244" s="1" t="s">
        <v>1188</v>
      </c>
    </row>
    <row r="245" spans="1:17" x14ac:dyDescent="0.25">
      <c r="A245" t="s">
        <v>1189</v>
      </c>
      <c r="B245" t="str">
        <f>HYPERLINK("https://staging-dtl-pattern-api.hfm-weimar.de/static/audio/solos/dtl/AQAfeYmarNGkIazCYMqP43nQVAyqJyF4_0.04.41.060000-0.06.30.000816.mp3", "link")</f>
        <v>link</v>
      </c>
      <c r="C245" t="s">
        <v>1184</v>
      </c>
      <c r="D245" t="s">
        <v>1185</v>
      </c>
      <c r="F245" t="s">
        <v>54</v>
      </c>
      <c r="G245" t="s">
        <v>54</v>
      </c>
      <c r="J245" t="s">
        <v>55</v>
      </c>
      <c r="K245" t="s">
        <v>1186</v>
      </c>
      <c r="L245" s="1" t="s">
        <v>57</v>
      </c>
      <c r="M245" t="s">
        <v>58</v>
      </c>
      <c r="N245" t="s">
        <v>46</v>
      </c>
      <c r="O245" s="1" t="s">
        <v>1190</v>
      </c>
      <c r="P245" s="1" t="s">
        <v>1191</v>
      </c>
    </row>
    <row r="246" spans="1:17" x14ac:dyDescent="0.25">
      <c r="A246" t="s">
        <v>1192</v>
      </c>
      <c r="B246" t="str">
        <f>HYPERLINK("https://staging-dtl-pattern-api.hfm-weimar.de/static/audio/solos/dtl/AQAfeYmarNGkIazCYMqP43nQVAyqJyF4_0.06.44.002721-0.07.59.081714.mp3", "link")</f>
        <v>link</v>
      </c>
      <c r="C246" t="s">
        <v>1184</v>
      </c>
      <c r="D246" t="s">
        <v>1185</v>
      </c>
      <c r="F246" t="s">
        <v>54</v>
      </c>
      <c r="G246" t="s">
        <v>54</v>
      </c>
      <c r="J246" t="s">
        <v>55</v>
      </c>
      <c r="K246" t="s">
        <v>1186</v>
      </c>
      <c r="L246" s="1" t="s">
        <v>57</v>
      </c>
      <c r="M246" t="s">
        <v>58</v>
      </c>
      <c r="N246" t="s">
        <v>46</v>
      </c>
      <c r="O246" s="1" t="s">
        <v>1193</v>
      </c>
      <c r="P246" s="1" t="s">
        <v>1194</v>
      </c>
    </row>
    <row r="247" spans="1:17" x14ac:dyDescent="0.25">
      <c r="A247" t="s">
        <v>1195</v>
      </c>
      <c r="B247" t="str">
        <f>HYPERLINK("https://staging-dtl-pattern-api.hfm-weimar.de/static/audio/solos/dtl/AQAFFlIUJXGUFXaC73DMGH2ISkwOc63g_0.02.04.070022-0.02.22.064489.mp3", "link")</f>
        <v>link</v>
      </c>
      <c r="C247" t="s">
        <v>1196</v>
      </c>
      <c r="D247" t="s">
        <v>1197</v>
      </c>
      <c r="F247" t="s">
        <v>1198</v>
      </c>
      <c r="G247" t="s">
        <v>178</v>
      </c>
      <c r="H247" t="s">
        <v>1199</v>
      </c>
      <c r="I247">
        <v>31</v>
      </c>
      <c r="J247" t="s">
        <v>160</v>
      </c>
      <c r="K247" t="s">
        <v>1200</v>
      </c>
      <c r="L247" s="1" t="s">
        <v>1201</v>
      </c>
      <c r="M247" t="s">
        <v>129</v>
      </c>
      <c r="N247" t="s">
        <v>23</v>
      </c>
      <c r="O247" s="1" t="s">
        <v>1202</v>
      </c>
      <c r="P247" s="1" t="s">
        <v>1203</v>
      </c>
    </row>
    <row r="248" spans="1:17" x14ac:dyDescent="0.25">
      <c r="A248" t="s">
        <v>1204</v>
      </c>
      <c r="B248" t="str">
        <f>HYPERLINK("https://staging-dtl-pattern-api.hfm-weimar.de/static/audio/solos/dtl/AQAFfqKiZekWlFk02CEqS8Ez5cONKw1O_0.01.09.012580-0.01.38.026684.mp3", "link")</f>
        <v>link</v>
      </c>
      <c r="D248" t="s">
        <v>1205</v>
      </c>
      <c r="E248" t="s">
        <v>614</v>
      </c>
      <c r="F248" t="s">
        <v>613</v>
      </c>
      <c r="G248" t="s">
        <v>614</v>
      </c>
      <c r="H248" t="s">
        <v>1206</v>
      </c>
      <c r="I248">
        <v>8</v>
      </c>
      <c r="J248" t="s">
        <v>616</v>
      </c>
      <c r="K248" t="s">
        <v>1207</v>
      </c>
      <c r="L248" s="1" t="s">
        <v>1208</v>
      </c>
      <c r="M248" t="s">
        <v>309</v>
      </c>
      <c r="N248" t="s">
        <v>622</v>
      </c>
      <c r="O248" s="1" t="s">
        <v>1209</v>
      </c>
      <c r="P248" s="1" t="s">
        <v>1210</v>
      </c>
    </row>
    <row r="249" spans="1:17" x14ac:dyDescent="0.25">
      <c r="A249" t="s">
        <v>1211</v>
      </c>
      <c r="B249" t="str">
        <f>HYPERLINK("https://staging-dtl-pattern-api.hfm-weimar.de/static/audio/solos/dtl/AQAFfqKiZekWlFk02CEqS8Ez5cONKw1O_0.01.38.026684-0.02.01.007174.mp3", "link")</f>
        <v>link</v>
      </c>
      <c r="D249" t="s">
        <v>1205</v>
      </c>
      <c r="E249" t="s">
        <v>612</v>
      </c>
      <c r="F249" t="s">
        <v>613</v>
      </c>
      <c r="G249" t="s">
        <v>614</v>
      </c>
      <c r="H249" t="s">
        <v>1206</v>
      </c>
      <c r="I249">
        <v>8</v>
      </c>
      <c r="J249" t="s">
        <v>616</v>
      </c>
      <c r="K249" t="s">
        <v>1207</v>
      </c>
      <c r="L249" s="1" t="s">
        <v>1208</v>
      </c>
      <c r="M249" t="s">
        <v>309</v>
      </c>
      <c r="N249" t="s">
        <v>46</v>
      </c>
      <c r="O249" s="1" t="s">
        <v>1210</v>
      </c>
      <c r="P249" s="1" t="s">
        <v>1212</v>
      </c>
    </row>
    <row r="250" spans="1:17" x14ac:dyDescent="0.25">
      <c r="A250" t="s">
        <v>1213</v>
      </c>
      <c r="B250" t="str">
        <f>HYPERLINK("https://staging-dtl-pattern-api.hfm-weimar.de/static/audio/solos/dtl/AQAFfqKiZekWlFk02CEqS8Ez5cONKw1O_0.02.01.007174-0.02.22.075047.mp3", "link")</f>
        <v>link</v>
      </c>
      <c r="D250" t="s">
        <v>1205</v>
      </c>
      <c r="E250" t="s">
        <v>1214</v>
      </c>
      <c r="F250" t="s">
        <v>613</v>
      </c>
      <c r="G250" t="s">
        <v>614</v>
      </c>
      <c r="H250" t="s">
        <v>1206</v>
      </c>
      <c r="I250">
        <v>8</v>
      </c>
      <c r="J250" t="s">
        <v>616</v>
      </c>
      <c r="K250" t="s">
        <v>1207</v>
      </c>
      <c r="L250" s="1" t="s">
        <v>1208</v>
      </c>
      <c r="M250" t="s">
        <v>309</v>
      </c>
      <c r="N250" t="s">
        <v>202</v>
      </c>
      <c r="O250" s="1" t="s">
        <v>1212</v>
      </c>
      <c r="P250" s="1" t="s">
        <v>916</v>
      </c>
    </row>
    <row r="251" spans="1:17" x14ac:dyDescent="0.25">
      <c r="A251" t="s">
        <v>1215</v>
      </c>
      <c r="B251" t="str">
        <f>HYPERLINK("https://staging-dtl-pattern-api.hfm-weimar.de/static/audio/solos/dtl/AQAFfUuSJ1OiREKTPE6GX0YOZZWUIV-L_0.01.08.038276-0.01.41.023900.mp3", "link")</f>
        <v>link</v>
      </c>
      <c r="D251" t="s">
        <v>1216</v>
      </c>
      <c r="E251" t="s">
        <v>1217</v>
      </c>
      <c r="F251" t="s">
        <v>1218</v>
      </c>
      <c r="G251" t="s">
        <v>1219</v>
      </c>
      <c r="H251" t="s">
        <v>1220</v>
      </c>
      <c r="I251">
        <v>74</v>
      </c>
      <c r="J251" t="s">
        <v>198</v>
      </c>
      <c r="K251" t="s">
        <v>1221</v>
      </c>
      <c r="L251" s="1" t="s">
        <v>1222</v>
      </c>
      <c r="M251" t="s">
        <v>129</v>
      </c>
      <c r="N251" t="s">
        <v>23</v>
      </c>
      <c r="O251" s="1" t="s">
        <v>1223</v>
      </c>
      <c r="P251" s="1" t="s">
        <v>1224</v>
      </c>
    </row>
    <row r="252" spans="1:17" x14ac:dyDescent="0.25">
      <c r="A252" t="s">
        <v>1225</v>
      </c>
      <c r="B252" t="str">
        <f>HYPERLINK("https://staging-dtl-pattern-api.hfm-weimar.de/static/audio/solos/dtl/AQAFG1mVJJEUariC5Dp6PmhOPCOuoHke_0.02.04.018081-0.02.16.065895.mp3", "link")</f>
        <v>link</v>
      </c>
      <c r="C252" t="s">
        <v>1226</v>
      </c>
      <c r="D252" t="s">
        <v>1227</v>
      </c>
      <c r="F252" t="s">
        <v>324</v>
      </c>
      <c r="G252" t="s">
        <v>325</v>
      </c>
      <c r="H252" t="s">
        <v>1228</v>
      </c>
      <c r="I252">
        <v>44</v>
      </c>
      <c r="J252" t="s">
        <v>160</v>
      </c>
      <c r="K252" t="s">
        <v>1229</v>
      </c>
      <c r="L252" s="1" t="s">
        <v>1230</v>
      </c>
      <c r="M252" t="s">
        <v>129</v>
      </c>
      <c r="N252" t="s">
        <v>172</v>
      </c>
      <c r="O252" s="1" t="s">
        <v>1231</v>
      </c>
      <c r="P252" s="1" t="s">
        <v>1232</v>
      </c>
    </row>
    <row r="253" spans="1:17" x14ac:dyDescent="0.25">
      <c r="A253" t="s">
        <v>1233</v>
      </c>
      <c r="B253" t="str">
        <f>HYPERLINK("https://staging-dtl-pattern-api.hfm-weimar.de/static/audio/solos/dtl/AQAFG1mVJJEUariC5Dp6PmhOPCOuoHke_0.02.16.065895-0.02.29.024988.mp3", "link")</f>
        <v>link</v>
      </c>
      <c r="C253" t="s">
        <v>1234</v>
      </c>
      <c r="D253" t="s">
        <v>1227</v>
      </c>
      <c r="F253" t="s">
        <v>324</v>
      </c>
      <c r="G253" t="s">
        <v>325</v>
      </c>
      <c r="H253" t="s">
        <v>1228</v>
      </c>
      <c r="I253">
        <v>44</v>
      </c>
      <c r="J253" t="s">
        <v>160</v>
      </c>
      <c r="K253" t="s">
        <v>1229</v>
      </c>
      <c r="L253" s="1" t="s">
        <v>1230</v>
      </c>
      <c r="M253" t="s">
        <v>129</v>
      </c>
      <c r="N253" t="s">
        <v>46</v>
      </c>
      <c r="O253" s="1" t="s">
        <v>1232</v>
      </c>
      <c r="P253" s="1" t="s">
        <v>1235</v>
      </c>
      <c r="Q253" s="1" t="s">
        <v>7167</v>
      </c>
    </row>
    <row r="254" spans="1:17" x14ac:dyDescent="0.25">
      <c r="A254" t="s">
        <v>1236</v>
      </c>
      <c r="B254" t="str">
        <f>HYPERLINK("https://staging-dtl-pattern-api.hfm-weimar.de/static/audio/solos/dtl/AQAFG8qSKdqySOCP_-ieYyKZYlSi45-F_0.00.16.064870-0.00.40.082068.mp3", "link")</f>
        <v>link</v>
      </c>
      <c r="C254" t="s">
        <v>1237</v>
      </c>
      <c r="D254" t="s">
        <v>1238</v>
      </c>
      <c r="F254" t="s">
        <v>1239</v>
      </c>
      <c r="H254" t="s">
        <v>1240</v>
      </c>
      <c r="I254">
        <v>88</v>
      </c>
      <c r="J254" t="s">
        <v>141</v>
      </c>
      <c r="K254" t="s">
        <v>1241</v>
      </c>
      <c r="L254" s="1" t="s">
        <v>1242</v>
      </c>
      <c r="M254" t="s">
        <v>129</v>
      </c>
      <c r="N254" t="s">
        <v>202</v>
      </c>
      <c r="O254" s="1" t="s">
        <v>1243</v>
      </c>
      <c r="P254" s="1" t="s">
        <v>1244</v>
      </c>
    </row>
    <row r="255" spans="1:17" x14ac:dyDescent="0.25">
      <c r="A255" t="s">
        <v>1245</v>
      </c>
      <c r="B255" t="str">
        <f>HYPERLINK("https://staging-dtl-pattern-api.hfm-weimar.de/static/audio/solos/dtl/AQAFG8qSKdqySOCP_-ieYyKZYlSi45-F_0.01.05.038739-0.01.29.079156.mp3", "link")</f>
        <v>link</v>
      </c>
      <c r="D255" t="s">
        <v>1238</v>
      </c>
      <c r="E255" t="s">
        <v>1246</v>
      </c>
      <c r="F255" t="s">
        <v>1239</v>
      </c>
      <c r="H255" t="s">
        <v>1240</v>
      </c>
      <c r="I255">
        <v>88</v>
      </c>
      <c r="J255" t="s">
        <v>141</v>
      </c>
      <c r="K255" t="s">
        <v>1241</v>
      </c>
      <c r="L255" s="1" t="s">
        <v>1242</v>
      </c>
      <c r="M255" t="s">
        <v>129</v>
      </c>
      <c r="N255" t="s">
        <v>109</v>
      </c>
      <c r="O255" s="1" t="s">
        <v>1247</v>
      </c>
      <c r="P255" s="1" t="s">
        <v>1248</v>
      </c>
    </row>
    <row r="256" spans="1:17" x14ac:dyDescent="0.25">
      <c r="A256" t="s">
        <v>1249</v>
      </c>
      <c r="B256" t="str">
        <f>HYPERLINK("https://staging-dtl-pattern-api.hfm-weimar.de/static/audio/solos/dtl/AQAFG8qSKdqySOCP_-ieYyKZYlSi45-F_0.01.29.079156-0.01.54.005641.mp3", "link")</f>
        <v>link</v>
      </c>
      <c r="C256" t="s">
        <v>1237</v>
      </c>
      <c r="D256" t="s">
        <v>1238</v>
      </c>
      <c r="F256" t="s">
        <v>1239</v>
      </c>
      <c r="H256" t="s">
        <v>1240</v>
      </c>
      <c r="I256">
        <v>88</v>
      </c>
      <c r="J256" t="s">
        <v>141</v>
      </c>
      <c r="K256" t="s">
        <v>1241</v>
      </c>
      <c r="L256" s="1" t="s">
        <v>1242</v>
      </c>
      <c r="M256" t="s">
        <v>129</v>
      </c>
      <c r="N256" t="s">
        <v>202</v>
      </c>
      <c r="O256" s="1" t="s">
        <v>1248</v>
      </c>
      <c r="P256" s="1" t="s">
        <v>1250</v>
      </c>
    </row>
    <row r="257" spans="1:17" x14ac:dyDescent="0.25">
      <c r="A257" t="s">
        <v>1251</v>
      </c>
      <c r="B257" t="str">
        <f>HYPERLINK("https://staging-dtl-pattern-api.hfm-weimar.de/static/audio/solos/dtl/AQAFG8qSKdqySOCP_-ieYyKZYlSi45-F_0.01.54.005641-0.02.19.038938.mp3", "link")</f>
        <v>link</v>
      </c>
      <c r="C257" t="s">
        <v>1237</v>
      </c>
      <c r="D257" t="s">
        <v>1238</v>
      </c>
      <c r="F257" t="s">
        <v>1239</v>
      </c>
      <c r="H257" t="s">
        <v>1240</v>
      </c>
      <c r="I257">
        <v>88</v>
      </c>
      <c r="J257" t="s">
        <v>141</v>
      </c>
      <c r="K257" t="s">
        <v>1241</v>
      </c>
      <c r="L257" s="1" t="s">
        <v>1242</v>
      </c>
      <c r="M257" t="s">
        <v>129</v>
      </c>
      <c r="N257" t="s">
        <v>46</v>
      </c>
      <c r="O257" s="1" t="s">
        <v>1250</v>
      </c>
      <c r="P257" s="1" t="s">
        <v>1252</v>
      </c>
      <c r="Q257" s="1" t="s">
        <v>7167</v>
      </c>
    </row>
    <row r="258" spans="1:17" x14ac:dyDescent="0.25">
      <c r="A258" t="s">
        <v>1253</v>
      </c>
      <c r="B258" t="str">
        <f>HYPERLINK("https://staging-dtl-pattern-api.hfm-weimar.de/static/audio/solos/dtl/AQAFGBm7RHkS9ISWkEIe_EGnMVXQRH4Q_0.01.00.058086-0.01.24.098503.mp3", "link")</f>
        <v>link</v>
      </c>
      <c r="C258" t="s">
        <v>1254</v>
      </c>
      <c r="D258" t="s">
        <v>1255</v>
      </c>
      <c r="F258" t="s">
        <v>1256</v>
      </c>
      <c r="G258" t="s">
        <v>280</v>
      </c>
      <c r="H258" t="s">
        <v>1257</v>
      </c>
      <c r="I258">
        <v>54</v>
      </c>
      <c r="J258" t="s">
        <v>126</v>
      </c>
      <c r="K258" t="s">
        <v>1258</v>
      </c>
      <c r="L258" s="1" t="s">
        <v>1259</v>
      </c>
      <c r="M258" t="s">
        <v>309</v>
      </c>
      <c r="N258" t="s">
        <v>23</v>
      </c>
      <c r="O258" s="1" t="s">
        <v>1260</v>
      </c>
      <c r="P258" s="1" t="s">
        <v>1261</v>
      </c>
    </row>
    <row r="259" spans="1:17" x14ac:dyDescent="0.25">
      <c r="A259" t="s">
        <v>1262</v>
      </c>
      <c r="B259" t="str">
        <f>HYPERLINK("https://staging-dtl-pattern-api.hfm-weimar.de/static/audio/solos/dtl/AQAFGBm7RHkS9ISWkEIe_EGnMVXQRH4Q_0.01.24.098503-0.02.13.063083.mp3", "link")</f>
        <v>link</v>
      </c>
      <c r="D259" t="s">
        <v>1255</v>
      </c>
      <c r="E259" t="s">
        <v>280</v>
      </c>
      <c r="F259" t="s">
        <v>1256</v>
      </c>
      <c r="G259" t="s">
        <v>280</v>
      </c>
      <c r="H259" t="s">
        <v>1257</v>
      </c>
      <c r="I259">
        <v>54</v>
      </c>
      <c r="J259" t="s">
        <v>126</v>
      </c>
      <c r="K259" t="s">
        <v>1258</v>
      </c>
      <c r="L259" s="1" t="s">
        <v>1259</v>
      </c>
      <c r="M259" t="s">
        <v>309</v>
      </c>
      <c r="N259" t="s">
        <v>46</v>
      </c>
      <c r="O259" s="1" t="s">
        <v>1261</v>
      </c>
      <c r="P259" s="1" t="s">
        <v>1263</v>
      </c>
    </row>
    <row r="260" spans="1:17" x14ac:dyDescent="0.25">
      <c r="A260" t="s">
        <v>1264</v>
      </c>
      <c r="B260" t="str">
        <f>HYPERLINK("https://staging-dtl-pattern-api.hfm-weimar.de/static/audio/solos/dtl/AQAFGooqJZSoBD3xZMWTG-mmGbqR08Qe_0.00.23.066113-0.00.59.076816.mp3", "link")</f>
        <v>link</v>
      </c>
      <c r="D260" t="s">
        <v>466</v>
      </c>
      <c r="E260" t="s">
        <v>475</v>
      </c>
      <c r="F260" t="s">
        <v>468</v>
      </c>
      <c r="H260" t="s">
        <v>469</v>
      </c>
      <c r="I260">
        <v>15</v>
      </c>
      <c r="J260" t="s">
        <v>198</v>
      </c>
      <c r="K260" t="s">
        <v>1265</v>
      </c>
      <c r="L260" s="1" t="s">
        <v>471</v>
      </c>
      <c r="M260" t="s">
        <v>201</v>
      </c>
      <c r="N260" t="s">
        <v>23</v>
      </c>
      <c r="O260" s="1" t="s">
        <v>1266</v>
      </c>
      <c r="P260" s="1" t="s">
        <v>1267</v>
      </c>
    </row>
    <row r="261" spans="1:17" x14ac:dyDescent="0.25">
      <c r="A261" t="s">
        <v>1268</v>
      </c>
      <c r="B261" t="str">
        <f>HYPERLINK("https://staging-dtl-pattern-api.hfm-weimar.de/static/audio/solos/dtl/AQAfGUucREoookdyhHmao2ok48GPJqJy_0.02.05.099147-0.03.07.064045.mp3", "link")</f>
        <v>link</v>
      </c>
      <c r="C261" t="s">
        <v>1269</v>
      </c>
      <c r="D261" t="s">
        <v>1270</v>
      </c>
      <c r="F261" t="s">
        <v>1271</v>
      </c>
      <c r="G261" t="s">
        <v>1272</v>
      </c>
      <c r="H261" t="s">
        <v>1273</v>
      </c>
      <c r="I261">
        <v>96</v>
      </c>
      <c r="J261" t="s">
        <v>141</v>
      </c>
      <c r="K261" t="s">
        <v>1274</v>
      </c>
      <c r="L261" s="1" t="s">
        <v>1275</v>
      </c>
      <c r="M261" t="s">
        <v>1276</v>
      </c>
      <c r="N261" t="s">
        <v>46</v>
      </c>
      <c r="O261" s="1" t="s">
        <v>1277</v>
      </c>
      <c r="P261" s="1" t="s">
        <v>1278</v>
      </c>
      <c r="Q261" s="1" t="s">
        <v>7167</v>
      </c>
    </row>
    <row r="262" spans="1:17" x14ac:dyDescent="0.25">
      <c r="A262" t="s">
        <v>1279</v>
      </c>
      <c r="B262" t="str">
        <f>HYPERLINK("https://staging-dtl-pattern-api.hfm-weimar.de/static/audio/solos/dtl/AQAfGUucREoookdyhHmao2ok48GPJqJy_0.03.07.064045-0.04.08.024453.mp3", "link")</f>
        <v>link</v>
      </c>
      <c r="D262" t="s">
        <v>1270</v>
      </c>
      <c r="E262" t="s">
        <v>1280</v>
      </c>
      <c r="F262" t="s">
        <v>1271</v>
      </c>
      <c r="G262" t="s">
        <v>1272</v>
      </c>
      <c r="H262" t="s">
        <v>1273</v>
      </c>
      <c r="I262">
        <v>96</v>
      </c>
      <c r="J262" t="s">
        <v>141</v>
      </c>
      <c r="K262" t="s">
        <v>1274</v>
      </c>
      <c r="L262" s="1" t="s">
        <v>1275</v>
      </c>
      <c r="M262" t="s">
        <v>1276</v>
      </c>
      <c r="N262" t="s">
        <v>202</v>
      </c>
      <c r="O262" s="1" t="s">
        <v>1278</v>
      </c>
      <c r="P262" s="1" t="s">
        <v>1281</v>
      </c>
    </row>
    <row r="263" spans="1:17" x14ac:dyDescent="0.25">
      <c r="A263" t="s">
        <v>1282</v>
      </c>
      <c r="B263" t="str">
        <f>HYPERLINK("https://staging-dtl-pattern-api.hfm-weimar.de/static/audio/solos/dtl/AQAfGUucREoookdyhHmao2ok48GPJqJy_0.04.08.024453-0.05.09.098639.mp3", "link")</f>
        <v>link</v>
      </c>
      <c r="C263" t="s">
        <v>1269</v>
      </c>
      <c r="D263" t="s">
        <v>1270</v>
      </c>
      <c r="F263" t="s">
        <v>1271</v>
      </c>
      <c r="G263" t="s">
        <v>1272</v>
      </c>
      <c r="H263" t="s">
        <v>1273</v>
      </c>
      <c r="I263">
        <v>96</v>
      </c>
      <c r="J263" t="s">
        <v>141</v>
      </c>
      <c r="K263" t="s">
        <v>1274</v>
      </c>
      <c r="L263" s="1" t="s">
        <v>1275</v>
      </c>
      <c r="M263" t="s">
        <v>1276</v>
      </c>
      <c r="N263" t="s">
        <v>46</v>
      </c>
      <c r="O263" s="1" t="s">
        <v>1281</v>
      </c>
      <c r="P263" s="1" t="s">
        <v>1283</v>
      </c>
      <c r="Q263" s="1" t="s">
        <v>7167</v>
      </c>
    </row>
    <row r="264" spans="1:17" x14ac:dyDescent="0.25">
      <c r="A264" t="s">
        <v>1284</v>
      </c>
      <c r="B264" t="str">
        <f>HYPERLINK("https://staging-dtl-pattern-api.hfm-weimar.de/static/audio/solos/dtl/AQAfGUucREoookdyhHmao2ok48GPJqJy_0.05.09.098639-0.06.39.001170.mp3", "link")</f>
        <v>link</v>
      </c>
      <c r="D264" t="s">
        <v>1270</v>
      </c>
      <c r="E264" t="s">
        <v>1285</v>
      </c>
      <c r="F264" t="s">
        <v>1271</v>
      </c>
      <c r="G264" t="s">
        <v>1272</v>
      </c>
      <c r="H264" t="s">
        <v>1273</v>
      </c>
      <c r="I264">
        <v>96</v>
      </c>
      <c r="J264" t="s">
        <v>141</v>
      </c>
      <c r="K264" t="s">
        <v>1274</v>
      </c>
      <c r="L264" s="1" t="s">
        <v>1275</v>
      </c>
      <c r="M264" t="s">
        <v>1276</v>
      </c>
      <c r="N264" t="s">
        <v>23</v>
      </c>
      <c r="O264" s="1" t="s">
        <v>1283</v>
      </c>
      <c r="P264" s="1" t="s">
        <v>1286</v>
      </c>
    </row>
    <row r="265" spans="1:17" x14ac:dyDescent="0.25">
      <c r="A265" t="s">
        <v>1287</v>
      </c>
      <c r="B265" t="str">
        <f>HYPERLINK("https://staging-dtl-pattern-api.hfm-weimar.de/static/audio/solos/dtl/AQAfGUucREoookdyhHmao2ok48GPJqJy_0.06.39.001170-0.08.08.073360.mp3", "link")</f>
        <v>link</v>
      </c>
      <c r="C265" t="s">
        <v>1288</v>
      </c>
      <c r="D265" t="s">
        <v>1270</v>
      </c>
      <c r="F265" t="s">
        <v>1271</v>
      </c>
      <c r="G265" t="s">
        <v>1272</v>
      </c>
      <c r="H265" t="s">
        <v>1273</v>
      </c>
      <c r="I265">
        <v>96</v>
      </c>
      <c r="J265" t="s">
        <v>141</v>
      </c>
      <c r="K265" t="s">
        <v>1274</v>
      </c>
      <c r="L265" s="1" t="s">
        <v>1275</v>
      </c>
      <c r="M265" t="s">
        <v>1276</v>
      </c>
      <c r="N265" t="s">
        <v>172</v>
      </c>
      <c r="O265" s="1" t="s">
        <v>1286</v>
      </c>
      <c r="P265" s="1" t="s">
        <v>1289</v>
      </c>
    </row>
    <row r="266" spans="1:17" x14ac:dyDescent="0.25">
      <c r="A266" t="s">
        <v>1290</v>
      </c>
      <c r="B266" t="str">
        <f>HYPERLINK("https://staging-dtl-pattern-api.hfm-weimar.de/static/audio/solos/dtl/AQAfGUucREoookdyhHmao2ok48GPJqJy_0.08.08.073360-0.09.39.089514.mp3", "link")</f>
        <v>link</v>
      </c>
      <c r="D266" t="s">
        <v>1270</v>
      </c>
      <c r="E266" t="s">
        <v>1291</v>
      </c>
      <c r="F266" t="s">
        <v>1271</v>
      </c>
      <c r="G266" t="s">
        <v>1272</v>
      </c>
      <c r="H266" t="s">
        <v>1273</v>
      </c>
      <c r="I266">
        <v>96</v>
      </c>
      <c r="J266" t="s">
        <v>141</v>
      </c>
      <c r="K266" t="s">
        <v>1274</v>
      </c>
      <c r="L266" s="1" t="s">
        <v>1275</v>
      </c>
      <c r="M266" t="s">
        <v>1276</v>
      </c>
      <c r="N266" t="s">
        <v>109</v>
      </c>
      <c r="O266" s="1" t="s">
        <v>1289</v>
      </c>
      <c r="P266" s="1" t="s">
        <v>1292</v>
      </c>
    </row>
    <row r="267" spans="1:17" x14ac:dyDescent="0.25">
      <c r="A267" t="s">
        <v>1293</v>
      </c>
      <c r="B267" t="str">
        <f>HYPERLINK("https://staging-dtl-pattern-api.hfm-weimar.de/static/audio/solos/dtl/AQAfGUucREoookdyhHmao2ok48GPJqJy_0.09.39.089514-0.10.39.077941.mp3", "link")</f>
        <v>link</v>
      </c>
      <c r="C267" t="s">
        <v>1288</v>
      </c>
      <c r="D267" t="s">
        <v>1270</v>
      </c>
      <c r="F267" t="s">
        <v>1271</v>
      </c>
      <c r="G267" t="s">
        <v>1272</v>
      </c>
      <c r="H267" t="s">
        <v>1273</v>
      </c>
      <c r="I267">
        <v>96</v>
      </c>
      <c r="J267" t="s">
        <v>141</v>
      </c>
      <c r="K267" t="s">
        <v>1274</v>
      </c>
      <c r="L267" s="1" t="s">
        <v>1275</v>
      </c>
      <c r="M267" t="s">
        <v>1276</v>
      </c>
      <c r="N267" t="s">
        <v>172</v>
      </c>
      <c r="O267" s="1" t="s">
        <v>1292</v>
      </c>
      <c r="P267" s="1" t="s">
        <v>1294</v>
      </c>
    </row>
    <row r="268" spans="1:17" x14ac:dyDescent="0.25">
      <c r="A268" t="s">
        <v>1295</v>
      </c>
      <c r="B268" t="str">
        <f>HYPERLINK("https://staging-dtl-pattern-api.hfm-weimar.de/static/audio/solos/dtl/AQAFgVoWJUykB0_gSThRUUwo45wu5NIO_0.01.19.018585-0.01.57.027238.mp3", "link")</f>
        <v>link</v>
      </c>
      <c r="D268" t="s">
        <v>1296</v>
      </c>
      <c r="E268" t="s">
        <v>1297</v>
      </c>
      <c r="F268" t="s">
        <v>1298</v>
      </c>
      <c r="H268" t="s">
        <v>1299</v>
      </c>
      <c r="I268">
        <v>78</v>
      </c>
      <c r="J268" t="s">
        <v>198</v>
      </c>
      <c r="K268" t="s">
        <v>1300</v>
      </c>
      <c r="L268" s="1" t="s">
        <v>1301</v>
      </c>
      <c r="M268" t="s">
        <v>129</v>
      </c>
      <c r="N268" t="s">
        <v>202</v>
      </c>
      <c r="O268" s="1" t="s">
        <v>1302</v>
      </c>
      <c r="P268" s="1" t="s">
        <v>1303</v>
      </c>
    </row>
    <row r="269" spans="1:17" x14ac:dyDescent="0.25">
      <c r="A269" t="s">
        <v>1304</v>
      </c>
      <c r="B269" t="str">
        <f>HYPERLINK("https://staging-dtl-pattern-api.hfm-weimar.de/static/audio/solos/dtl/AQAFgVoWJUykB0_gSThRUUwo45wu5NIO_0.01.57.027238-0.02.17.036925.mp3", "link")</f>
        <v>link</v>
      </c>
      <c r="D269" t="s">
        <v>1296</v>
      </c>
      <c r="E269" t="s">
        <v>594</v>
      </c>
      <c r="F269" t="s">
        <v>1298</v>
      </c>
      <c r="H269" t="s">
        <v>1299</v>
      </c>
      <c r="I269">
        <v>78</v>
      </c>
      <c r="J269" t="s">
        <v>198</v>
      </c>
      <c r="K269" t="s">
        <v>1300</v>
      </c>
      <c r="L269" s="1" t="s">
        <v>1301</v>
      </c>
      <c r="M269" t="s">
        <v>129</v>
      </c>
      <c r="N269" t="s">
        <v>172</v>
      </c>
      <c r="O269" s="1" t="s">
        <v>1303</v>
      </c>
      <c r="P269" s="1" t="s">
        <v>1305</v>
      </c>
    </row>
    <row r="270" spans="1:17" x14ac:dyDescent="0.25">
      <c r="A270" t="s">
        <v>1306</v>
      </c>
      <c r="B270" t="str">
        <f>HYPERLINK("https://staging-dtl-pattern-api.hfm-weimar.de/static/audio/solos/dtl/AQAFgYsopVFGXFfQhR90o83xsErw5ygv_0.01.15.004108-0.01.26.042975.mp3", "link")</f>
        <v>link</v>
      </c>
      <c r="D270" t="s">
        <v>1307</v>
      </c>
      <c r="E270" t="s">
        <v>1308</v>
      </c>
      <c r="F270" t="s">
        <v>138</v>
      </c>
      <c r="G270" t="s">
        <v>139</v>
      </c>
      <c r="H270" t="s">
        <v>140</v>
      </c>
      <c r="I270">
        <v>39</v>
      </c>
      <c r="J270" t="s">
        <v>141</v>
      </c>
      <c r="K270" t="s">
        <v>1309</v>
      </c>
      <c r="L270" s="1" t="s">
        <v>1310</v>
      </c>
      <c r="M270" t="s">
        <v>129</v>
      </c>
      <c r="N270" t="s">
        <v>202</v>
      </c>
      <c r="O270" s="1" t="s">
        <v>1311</v>
      </c>
      <c r="P270" s="1" t="s">
        <v>1312</v>
      </c>
    </row>
    <row r="271" spans="1:17" x14ac:dyDescent="0.25">
      <c r="A271" t="s">
        <v>1313</v>
      </c>
      <c r="B271" t="str">
        <f>HYPERLINK("https://staging-dtl-pattern-api.hfm-weimar.de/static/audio/solos/dtl/AQAFgYsopVFGXFfQhR90o83xsErw5ygv_0.01.26.042975-0.01.37.084081.mp3", "link")</f>
        <v>link</v>
      </c>
      <c r="D271" t="s">
        <v>1307</v>
      </c>
      <c r="E271" t="s">
        <v>1314</v>
      </c>
      <c r="F271" t="s">
        <v>138</v>
      </c>
      <c r="G271" t="s">
        <v>139</v>
      </c>
      <c r="H271" t="s">
        <v>140</v>
      </c>
      <c r="I271">
        <v>39</v>
      </c>
      <c r="J271" t="s">
        <v>141</v>
      </c>
      <c r="K271" t="s">
        <v>1309</v>
      </c>
      <c r="L271" s="1" t="s">
        <v>1310</v>
      </c>
      <c r="M271" t="s">
        <v>129</v>
      </c>
      <c r="N271" t="s">
        <v>46</v>
      </c>
      <c r="O271" s="1" t="s">
        <v>1312</v>
      </c>
      <c r="P271" s="1" t="s">
        <v>1315</v>
      </c>
    </row>
    <row r="272" spans="1:17" x14ac:dyDescent="0.25">
      <c r="A272" t="s">
        <v>1316</v>
      </c>
      <c r="B272" t="str">
        <f>HYPERLINK("https://staging-dtl-pattern-api.hfm-weimar.de/static/audio/solos/dtl/AQAFgYsopVFGXFfQhR90o83xsErw5ygv_0.01.37.084081-0.01.48.047564.mp3", "link")</f>
        <v>link</v>
      </c>
      <c r="D272" t="s">
        <v>1307</v>
      </c>
      <c r="E272" t="s">
        <v>1308</v>
      </c>
      <c r="F272" t="s">
        <v>138</v>
      </c>
      <c r="G272" t="s">
        <v>139</v>
      </c>
      <c r="H272" t="s">
        <v>140</v>
      </c>
      <c r="I272">
        <v>39</v>
      </c>
      <c r="J272" t="s">
        <v>141</v>
      </c>
      <c r="K272" t="s">
        <v>1309</v>
      </c>
      <c r="L272" s="1" t="s">
        <v>1310</v>
      </c>
      <c r="M272" t="s">
        <v>129</v>
      </c>
      <c r="N272" t="s">
        <v>202</v>
      </c>
      <c r="O272" s="1" t="s">
        <v>1315</v>
      </c>
      <c r="P272" s="1" t="s">
        <v>1317</v>
      </c>
    </row>
    <row r="273" spans="1:17" x14ac:dyDescent="0.25">
      <c r="A273" t="s">
        <v>1318</v>
      </c>
      <c r="B273" t="str">
        <f>HYPERLINK("https://staging-dtl-pattern-api.hfm-weimar.de/static/audio/solos/dtl/AQAFh4-USFIiIUfyB_5yPKOES0azqMmR_0.00.04.043501-0.01.00.025578.mp3", "link")</f>
        <v>link</v>
      </c>
      <c r="D273" t="s">
        <v>1319</v>
      </c>
      <c r="E273" t="s">
        <v>266</v>
      </c>
      <c r="F273" t="s">
        <v>710</v>
      </c>
      <c r="G273" t="s">
        <v>266</v>
      </c>
      <c r="H273" t="s">
        <v>1320</v>
      </c>
      <c r="I273">
        <v>79</v>
      </c>
      <c r="J273" t="s">
        <v>141</v>
      </c>
      <c r="K273" t="s">
        <v>1321</v>
      </c>
      <c r="L273" s="1" t="s">
        <v>1322</v>
      </c>
      <c r="M273" t="s">
        <v>129</v>
      </c>
      <c r="N273" t="s">
        <v>23</v>
      </c>
      <c r="O273" s="1" t="s">
        <v>1323</v>
      </c>
      <c r="P273" s="1" t="s">
        <v>1324</v>
      </c>
    </row>
    <row r="274" spans="1:17" x14ac:dyDescent="0.25">
      <c r="A274" t="s">
        <v>1325</v>
      </c>
      <c r="B274" t="str">
        <f>HYPERLINK("https://staging-dtl-pattern-api.hfm-weimar.de/static/audio/solos/dtl/AQAFh4-USFIiIUfyB_5yPKOES0azqMmR_0.01.00.025578-0.01.28.049950.mp3", "link")</f>
        <v>link</v>
      </c>
      <c r="D274" t="s">
        <v>1319</v>
      </c>
      <c r="E274" t="s">
        <v>1326</v>
      </c>
      <c r="F274" t="s">
        <v>710</v>
      </c>
      <c r="G274" t="s">
        <v>266</v>
      </c>
      <c r="H274" t="s">
        <v>1320</v>
      </c>
      <c r="I274">
        <v>79</v>
      </c>
      <c r="J274" t="s">
        <v>141</v>
      </c>
      <c r="K274" t="s">
        <v>1321</v>
      </c>
      <c r="L274" s="1" t="s">
        <v>1322</v>
      </c>
      <c r="M274" t="s">
        <v>129</v>
      </c>
      <c r="N274" t="s">
        <v>46</v>
      </c>
      <c r="O274" s="1" t="s">
        <v>1324</v>
      </c>
      <c r="P274" s="1" t="s">
        <v>1327</v>
      </c>
    </row>
    <row r="275" spans="1:17" x14ac:dyDescent="0.25">
      <c r="A275" t="s">
        <v>1328</v>
      </c>
      <c r="B275" t="str">
        <f>HYPERLINK("https://staging-dtl-pattern-api.hfm-weimar.de/static/audio/solos/dtl/AQAFh4-USFIiIUfyB_5yPKOES0azqMmR_0.01.56.047129-0.02.31.092816.mp3", "link")</f>
        <v>link</v>
      </c>
      <c r="D275" t="s">
        <v>1319</v>
      </c>
      <c r="E275" t="s">
        <v>266</v>
      </c>
      <c r="F275" t="s">
        <v>710</v>
      </c>
      <c r="G275" t="s">
        <v>266</v>
      </c>
      <c r="H275" t="s">
        <v>1320</v>
      </c>
      <c r="I275">
        <v>79</v>
      </c>
      <c r="J275" t="s">
        <v>141</v>
      </c>
      <c r="K275" t="s">
        <v>1321</v>
      </c>
      <c r="L275" s="1" t="s">
        <v>1322</v>
      </c>
      <c r="M275" t="s">
        <v>129</v>
      </c>
      <c r="N275" t="s">
        <v>23</v>
      </c>
      <c r="O275" s="1" t="s">
        <v>1329</v>
      </c>
      <c r="P275" s="1" t="s">
        <v>1330</v>
      </c>
    </row>
    <row r="276" spans="1:17" x14ac:dyDescent="0.25">
      <c r="A276" t="s">
        <v>1331</v>
      </c>
      <c r="B276" t="str">
        <f>HYPERLINK("https://staging-dtl-pattern-api.hfm-weimar.de/static/audio/solos/dtl/AQAFh4-USFIiIUfyB_5yPKOES0azqMmR_0.02.31.092816-0.02.39.024244.mp3", "link")</f>
        <v>link</v>
      </c>
      <c r="D276" t="s">
        <v>1319</v>
      </c>
      <c r="E276" t="s">
        <v>1326</v>
      </c>
      <c r="F276" t="s">
        <v>710</v>
      </c>
      <c r="G276" t="s">
        <v>266</v>
      </c>
      <c r="H276" t="s">
        <v>1320</v>
      </c>
      <c r="I276">
        <v>79</v>
      </c>
      <c r="J276" t="s">
        <v>141</v>
      </c>
      <c r="K276" t="s">
        <v>1321</v>
      </c>
      <c r="L276" s="1" t="s">
        <v>1322</v>
      </c>
      <c r="M276" t="s">
        <v>129</v>
      </c>
      <c r="N276" t="s">
        <v>46</v>
      </c>
      <c r="O276" s="1" t="s">
        <v>1330</v>
      </c>
      <c r="P276" s="1" t="s">
        <v>1332</v>
      </c>
    </row>
    <row r="277" spans="1:17" x14ac:dyDescent="0.25">
      <c r="A277" t="s">
        <v>1333</v>
      </c>
      <c r="B277" t="str">
        <f>HYPERLINK("https://staging-dtl-pattern-api.hfm-weimar.de/static/audio/solos/dtl/AQAFh4-USFIiIUfyB_5yPKOES0azqMmR_0.02.39.024244-0.02.46.025487.mp3", "link")</f>
        <v>link</v>
      </c>
      <c r="D277" t="s">
        <v>1319</v>
      </c>
      <c r="E277" t="s">
        <v>266</v>
      </c>
      <c r="F277" t="s">
        <v>710</v>
      </c>
      <c r="G277" t="s">
        <v>266</v>
      </c>
      <c r="H277" t="s">
        <v>1320</v>
      </c>
      <c r="I277">
        <v>79</v>
      </c>
      <c r="J277" t="s">
        <v>141</v>
      </c>
      <c r="K277" t="s">
        <v>1321</v>
      </c>
      <c r="L277" s="1" t="s">
        <v>1322</v>
      </c>
      <c r="M277" t="s">
        <v>129</v>
      </c>
      <c r="N277" t="s">
        <v>23</v>
      </c>
      <c r="O277" s="1" t="s">
        <v>1332</v>
      </c>
      <c r="P277" s="1" t="s">
        <v>1334</v>
      </c>
    </row>
    <row r="278" spans="1:17" x14ac:dyDescent="0.25">
      <c r="A278" t="s">
        <v>1335</v>
      </c>
      <c r="B278" t="str">
        <f>HYPERLINK("https://staging-dtl-pattern-api.hfm-weimar.de/static/audio/solos/dtl/AQAFh4-USFIiIUfyB_5yPKOES0azqMmR_0.02.46.025487-0.02.49.064498.mp3", "link")</f>
        <v>link</v>
      </c>
      <c r="D278" t="s">
        <v>1319</v>
      </c>
      <c r="E278" t="s">
        <v>1326</v>
      </c>
      <c r="F278" t="s">
        <v>710</v>
      </c>
      <c r="G278" t="s">
        <v>266</v>
      </c>
      <c r="H278" t="s">
        <v>1320</v>
      </c>
      <c r="I278">
        <v>79</v>
      </c>
      <c r="J278" t="s">
        <v>141</v>
      </c>
      <c r="K278" t="s">
        <v>1321</v>
      </c>
      <c r="L278" s="1" t="s">
        <v>1322</v>
      </c>
      <c r="M278" t="s">
        <v>129</v>
      </c>
      <c r="N278" t="s">
        <v>46</v>
      </c>
      <c r="O278" s="1" t="s">
        <v>1334</v>
      </c>
      <c r="P278" s="1" t="s">
        <v>1336</v>
      </c>
    </row>
    <row r="279" spans="1:17" x14ac:dyDescent="0.25">
      <c r="A279" t="s">
        <v>1337</v>
      </c>
      <c r="B279" t="str">
        <f>HYPERLINK("https://staging-dtl-pattern-api.hfm-weimar.de/static/audio/solos/dtl/AQAFh4kyXU8SaGk-5MrwDK7-AL-SBS_2_0.00.35.052653-0.01.31.011510.mp3", "link")</f>
        <v>link</v>
      </c>
      <c r="D279" t="s">
        <v>1338</v>
      </c>
      <c r="E279" t="s">
        <v>1339</v>
      </c>
      <c r="F279" t="s">
        <v>1340</v>
      </c>
      <c r="G279" t="s">
        <v>1339</v>
      </c>
      <c r="H279" t="s">
        <v>1341</v>
      </c>
      <c r="I279">
        <v>60</v>
      </c>
      <c r="J279" t="s">
        <v>126</v>
      </c>
      <c r="K279" t="s">
        <v>1342</v>
      </c>
      <c r="L279" s="1" t="s">
        <v>1343</v>
      </c>
      <c r="M279" t="s">
        <v>129</v>
      </c>
      <c r="N279" t="s">
        <v>23</v>
      </c>
      <c r="O279" s="1" t="s">
        <v>1344</v>
      </c>
      <c r="P279" s="1" t="s">
        <v>1345</v>
      </c>
    </row>
    <row r="280" spans="1:17" x14ac:dyDescent="0.25">
      <c r="A280" t="s">
        <v>1346</v>
      </c>
      <c r="B280" t="str">
        <f>HYPERLINK("https://staging-dtl-pattern-api.hfm-weimar.de/static/audio/solos/dtl/AQAFh4kyXU8SaGk-5MrwDK7-AL-SBS_2_0.02.24.072997-0.02.28.021297.mp3", "link")</f>
        <v>link</v>
      </c>
      <c r="D280" t="s">
        <v>1338</v>
      </c>
      <c r="E280" t="s">
        <v>1339</v>
      </c>
      <c r="F280" t="s">
        <v>1340</v>
      </c>
      <c r="G280" t="s">
        <v>1339</v>
      </c>
      <c r="H280" t="s">
        <v>1341</v>
      </c>
      <c r="I280">
        <v>60</v>
      </c>
      <c r="J280" t="s">
        <v>126</v>
      </c>
      <c r="K280" t="s">
        <v>1342</v>
      </c>
      <c r="L280" s="1" t="s">
        <v>1343</v>
      </c>
      <c r="M280" t="s">
        <v>129</v>
      </c>
      <c r="N280" t="s">
        <v>23</v>
      </c>
      <c r="O280" s="1" t="s">
        <v>1347</v>
      </c>
      <c r="P280" s="1" t="s">
        <v>1348</v>
      </c>
    </row>
    <row r="281" spans="1:17" x14ac:dyDescent="0.25">
      <c r="A281" t="s">
        <v>1349</v>
      </c>
      <c r="B281" t="str">
        <f>HYPERLINK("https://staging-dtl-pattern-api.hfm-weimar.de/static/audio/solos/dtl/AQAFh4kyXU8SaGk-5MrwDK7-AL-SBS_2_0.02.31.074240-0.02.35.017895.mp3", "link")</f>
        <v>link</v>
      </c>
      <c r="D281" t="s">
        <v>1338</v>
      </c>
      <c r="E281" t="s">
        <v>1339</v>
      </c>
      <c r="F281" t="s">
        <v>1340</v>
      </c>
      <c r="G281" t="s">
        <v>1339</v>
      </c>
      <c r="H281" t="s">
        <v>1341</v>
      </c>
      <c r="I281">
        <v>60</v>
      </c>
      <c r="J281" t="s">
        <v>126</v>
      </c>
      <c r="K281" t="s">
        <v>1342</v>
      </c>
      <c r="L281" s="1" t="s">
        <v>1343</v>
      </c>
      <c r="M281" t="s">
        <v>129</v>
      </c>
      <c r="N281" t="s">
        <v>23</v>
      </c>
      <c r="O281" s="1" t="s">
        <v>1350</v>
      </c>
      <c r="P281" s="1" t="s">
        <v>1351</v>
      </c>
    </row>
    <row r="282" spans="1:17" x14ac:dyDescent="0.25">
      <c r="A282" t="s">
        <v>1352</v>
      </c>
      <c r="B282" t="str">
        <f>HYPERLINK("https://staging-dtl-pattern-api.hfm-weimar.de/static/audio/solos/dtl/AQAFh5kSMkuUKcENBzpvxD1-ND-6pMEZ_0.01.20.061968-0.01.58.066122.mp3", "link")</f>
        <v>link</v>
      </c>
      <c r="D282" t="s">
        <v>1353</v>
      </c>
      <c r="E282" t="s">
        <v>256</v>
      </c>
      <c r="F282" t="s">
        <v>1354</v>
      </c>
      <c r="G282" t="s">
        <v>256</v>
      </c>
      <c r="H282" t="s">
        <v>1355</v>
      </c>
      <c r="I282">
        <v>2</v>
      </c>
      <c r="J282" t="s">
        <v>141</v>
      </c>
      <c r="K282" t="s">
        <v>1356</v>
      </c>
      <c r="L282" s="1" t="s">
        <v>1357</v>
      </c>
      <c r="M282" t="s">
        <v>129</v>
      </c>
      <c r="N282" t="s">
        <v>23</v>
      </c>
      <c r="O282" s="1" t="s">
        <v>1358</v>
      </c>
      <c r="P282" s="1" t="s">
        <v>1359</v>
      </c>
    </row>
    <row r="283" spans="1:17" x14ac:dyDescent="0.25">
      <c r="A283" t="s">
        <v>1360</v>
      </c>
      <c r="B283" t="str">
        <f>HYPERLINK("https://staging-dtl-pattern-api.hfm-weimar.de/static/audio/solos/dtl/AQAFh5kSMkuUKcENBzpvxD1-ND-6pMEZ_0.02.17.007755-0.02.27.026530.mp3", "link")</f>
        <v>link</v>
      </c>
      <c r="D283" t="s">
        <v>1353</v>
      </c>
      <c r="E283" t="s">
        <v>1361</v>
      </c>
      <c r="F283" t="s">
        <v>1354</v>
      </c>
      <c r="G283" t="s">
        <v>256</v>
      </c>
      <c r="H283" t="s">
        <v>1355</v>
      </c>
      <c r="I283">
        <v>2</v>
      </c>
      <c r="J283" t="s">
        <v>141</v>
      </c>
      <c r="K283" t="s">
        <v>1356</v>
      </c>
      <c r="L283" s="1" t="s">
        <v>1357</v>
      </c>
      <c r="M283" t="s">
        <v>129</v>
      </c>
      <c r="N283" t="s">
        <v>172</v>
      </c>
      <c r="O283" s="1" t="s">
        <v>1362</v>
      </c>
      <c r="P283" s="1" t="s">
        <v>1363</v>
      </c>
    </row>
    <row r="284" spans="1:17" x14ac:dyDescent="0.25">
      <c r="A284" t="s">
        <v>1364</v>
      </c>
      <c r="B284" t="str">
        <f>HYPERLINK("https://staging-dtl-pattern-api.hfm-weimar.de/static/audio/solos/dtl/AQAFh5kSMkuUKcENBzpvxD1-ND-6pMEZ_0.02.27.026530-0.02.36.040816.mp3", "link")</f>
        <v>link</v>
      </c>
      <c r="D284" t="s">
        <v>1353</v>
      </c>
      <c r="E284" t="s">
        <v>256</v>
      </c>
      <c r="F284" t="s">
        <v>1354</v>
      </c>
      <c r="G284" t="s">
        <v>256</v>
      </c>
      <c r="H284" t="s">
        <v>1355</v>
      </c>
      <c r="I284">
        <v>2</v>
      </c>
      <c r="J284" t="s">
        <v>141</v>
      </c>
      <c r="K284" t="s">
        <v>1356</v>
      </c>
      <c r="L284" s="1" t="s">
        <v>1357</v>
      </c>
      <c r="M284" t="s">
        <v>129</v>
      </c>
      <c r="N284" t="s">
        <v>23</v>
      </c>
      <c r="O284" s="1" t="s">
        <v>1363</v>
      </c>
      <c r="P284" s="1" t="s">
        <v>1365</v>
      </c>
    </row>
    <row r="285" spans="1:17" x14ac:dyDescent="0.25">
      <c r="A285" t="s">
        <v>1366</v>
      </c>
      <c r="B285" t="str">
        <f>HYPERLINK("https://staging-dtl-pattern-api.hfm-weimar.de/static/audio/solos/dtl/AQAFHdESJ2EYJZD4oNIJxcnywb4RWtmP_0.01.26.009959-0.01.37.073278.mp3", "link")</f>
        <v>link</v>
      </c>
      <c r="D285" t="s">
        <v>1367</v>
      </c>
      <c r="E285" t="s">
        <v>1368</v>
      </c>
      <c r="F285" t="s">
        <v>1369</v>
      </c>
      <c r="G285" t="s">
        <v>1368</v>
      </c>
      <c r="H285" t="s">
        <v>1370</v>
      </c>
      <c r="I285">
        <v>81</v>
      </c>
      <c r="J285" t="s">
        <v>160</v>
      </c>
      <c r="K285" t="s">
        <v>1371</v>
      </c>
      <c r="L285" s="1" t="s">
        <v>1372</v>
      </c>
      <c r="M285" t="s">
        <v>309</v>
      </c>
      <c r="N285" t="s">
        <v>109</v>
      </c>
      <c r="O285" s="1" t="s">
        <v>1373</v>
      </c>
      <c r="P285" s="1" t="s">
        <v>1374</v>
      </c>
    </row>
    <row r="286" spans="1:17" x14ac:dyDescent="0.25">
      <c r="A286" t="s">
        <v>1375</v>
      </c>
      <c r="B286" t="str">
        <f>HYPERLINK("https://staging-dtl-pattern-api.hfm-weimar.de/static/audio/solos/dtl/AQAFHIqYJNmUKEpwPDr-okn0o08dNONx_0.00.48.069224-0.01.41.066857.mp3", "link")</f>
        <v>link</v>
      </c>
      <c r="D286" t="s">
        <v>1376</v>
      </c>
      <c r="E286" t="s">
        <v>54</v>
      </c>
      <c r="F286" t="s">
        <v>54</v>
      </c>
      <c r="G286" t="s">
        <v>54</v>
      </c>
      <c r="J286" t="s">
        <v>1377</v>
      </c>
      <c r="K286" t="s">
        <v>1378</v>
      </c>
      <c r="L286" s="1" t="s">
        <v>1379</v>
      </c>
      <c r="M286" t="s">
        <v>1380</v>
      </c>
      <c r="N286" t="s">
        <v>46</v>
      </c>
      <c r="O286" s="1" t="s">
        <v>1381</v>
      </c>
      <c r="P286" s="1" t="s">
        <v>1382</v>
      </c>
    </row>
    <row r="287" spans="1:17" x14ac:dyDescent="0.25">
      <c r="A287" t="s">
        <v>1383</v>
      </c>
      <c r="B287" t="str">
        <f>HYPERLINK("https://staging-dtl-pattern-api.hfm-weimar.de/static/audio/solos/dtl/AQAFHIqYJNmUKEpwPDr-okn0o08dNONx_0.01.41.066857-0.01.46.089306.mp3", "link")</f>
        <v>link</v>
      </c>
      <c r="C287" t="s">
        <v>1384</v>
      </c>
      <c r="D287" t="s">
        <v>1376</v>
      </c>
      <c r="E287" t="s">
        <v>7213</v>
      </c>
      <c r="F287" t="s">
        <v>54</v>
      </c>
      <c r="G287" t="s">
        <v>54</v>
      </c>
      <c r="J287" t="s">
        <v>1377</v>
      </c>
      <c r="K287" t="s">
        <v>1378</v>
      </c>
      <c r="L287" s="1" t="s">
        <v>1379</v>
      </c>
      <c r="M287" t="s">
        <v>1380</v>
      </c>
      <c r="N287" t="s">
        <v>329</v>
      </c>
      <c r="O287" s="1" t="s">
        <v>1382</v>
      </c>
      <c r="P287" s="1" t="s">
        <v>1385</v>
      </c>
      <c r="Q287" s="1" t="s">
        <v>7214</v>
      </c>
    </row>
    <row r="288" spans="1:17" x14ac:dyDescent="0.25">
      <c r="A288" t="s">
        <v>1386</v>
      </c>
      <c r="B288" t="str">
        <f>HYPERLINK("https://staging-dtl-pattern-api.hfm-weimar.de/static/audio/solos/dtl/AQAFHIqYJNmUKEpwPDr-okn0o08dNONx_0.01.46.089306-0.02.02.025306.mp3", "link")</f>
        <v>link</v>
      </c>
      <c r="D288" t="s">
        <v>1376</v>
      </c>
      <c r="E288" t="s">
        <v>54</v>
      </c>
      <c r="F288" t="s">
        <v>54</v>
      </c>
      <c r="G288" t="s">
        <v>54</v>
      </c>
      <c r="J288" t="s">
        <v>1377</v>
      </c>
      <c r="K288" t="s">
        <v>1378</v>
      </c>
      <c r="L288" s="1" t="s">
        <v>1379</v>
      </c>
      <c r="M288" t="s">
        <v>1380</v>
      </c>
      <c r="N288" t="s">
        <v>46</v>
      </c>
      <c r="O288" s="1" t="s">
        <v>1385</v>
      </c>
      <c r="P288" s="1" t="s">
        <v>1387</v>
      </c>
    </row>
    <row r="289" spans="1:17" x14ac:dyDescent="0.25">
      <c r="A289" t="s">
        <v>1388</v>
      </c>
      <c r="B289" t="str">
        <f>HYPERLINK("https://staging-dtl-pattern-api.hfm-weimar.de/static/audio/solos/dtl/AQAFHIqYJNmUKEpwPDr-okn0o08dNONx_0.02.02.025306-0.02.07.032081.mp3", "link")</f>
        <v>link</v>
      </c>
      <c r="C289" t="s">
        <v>1384</v>
      </c>
      <c r="D289" t="s">
        <v>1376</v>
      </c>
      <c r="E289" t="s">
        <v>7213</v>
      </c>
      <c r="F289" t="s">
        <v>54</v>
      </c>
      <c r="G289" t="s">
        <v>54</v>
      </c>
      <c r="J289" t="s">
        <v>1377</v>
      </c>
      <c r="K289" t="s">
        <v>1378</v>
      </c>
      <c r="L289" s="1" t="s">
        <v>1379</v>
      </c>
      <c r="M289" t="s">
        <v>1380</v>
      </c>
      <c r="N289" t="s">
        <v>329</v>
      </c>
      <c r="O289" s="1" t="s">
        <v>1387</v>
      </c>
      <c r="P289" s="1" t="s">
        <v>1389</v>
      </c>
      <c r="Q289" s="1" t="s">
        <v>7214</v>
      </c>
    </row>
    <row r="290" spans="1:17" x14ac:dyDescent="0.25">
      <c r="A290" t="s">
        <v>1390</v>
      </c>
      <c r="B290" t="str">
        <f>HYPERLINK("https://staging-dtl-pattern-api.hfm-weimar.de/static/audio/solos/dtl/AQAFHIqYJNmUKEpwPDr-okn0o08dNONx_0.02.07.032081-0.02.12.044081.mp3", "link")</f>
        <v>link</v>
      </c>
      <c r="D290" t="s">
        <v>1376</v>
      </c>
      <c r="E290" t="s">
        <v>54</v>
      </c>
      <c r="F290" t="s">
        <v>54</v>
      </c>
      <c r="G290" t="s">
        <v>54</v>
      </c>
      <c r="J290" t="s">
        <v>1377</v>
      </c>
      <c r="K290" t="s">
        <v>1378</v>
      </c>
      <c r="L290" s="1" t="s">
        <v>1379</v>
      </c>
      <c r="M290" t="s">
        <v>1380</v>
      </c>
      <c r="N290" t="s">
        <v>46</v>
      </c>
      <c r="O290" s="1" t="s">
        <v>1389</v>
      </c>
      <c r="P290" s="1" t="s">
        <v>1391</v>
      </c>
    </row>
    <row r="291" spans="1:17" x14ac:dyDescent="0.25">
      <c r="A291" t="s">
        <v>1392</v>
      </c>
      <c r="B291" t="str">
        <f>HYPERLINK("https://staging-dtl-pattern-api.hfm-weimar.de/static/audio/solos/dtl/AQAFHpSUJJSYJfgu-HlwPLgZPBeabvnQ_0.00.59.016600-0.01.09.010843.mp3", "link")</f>
        <v>link</v>
      </c>
      <c r="D291" t="s">
        <v>1393</v>
      </c>
      <c r="E291" t="s">
        <v>235</v>
      </c>
      <c r="F291" t="s">
        <v>227</v>
      </c>
      <c r="G291" t="s">
        <v>228</v>
      </c>
      <c r="H291" t="s">
        <v>229</v>
      </c>
      <c r="I291">
        <v>88</v>
      </c>
      <c r="J291" t="s">
        <v>198</v>
      </c>
      <c r="K291" t="s">
        <v>993</v>
      </c>
      <c r="L291" s="1" t="s">
        <v>1394</v>
      </c>
      <c r="M291" t="s">
        <v>182</v>
      </c>
      <c r="N291" t="s">
        <v>23</v>
      </c>
      <c r="O291" s="1" t="s">
        <v>1395</v>
      </c>
      <c r="P291" s="1" t="s">
        <v>1396</v>
      </c>
    </row>
    <row r="292" spans="1:17" x14ac:dyDescent="0.25">
      <c r="A292" t="s">
        <v>1397</v>
      </c>
      <c r="B292" t="str">
        <f>HYPERLINK("https://staging-dtl-pattern-api.hfm-weimar.de/static/audio/solos/dtl/AQAFHpSUJJSYJfgu-HlwPLgZPBeabvnQ_0.01.12.081777-0.01.30.053460.mp3", "link")</f>
        <v>link</v>
      </c>
      <c r="D292" t="s">
        <v>1393</v>
      </c>
      <c r="E292" t="s">
        <v>137</v>
      </c>
      <c r="F292" t="s">
        <v>227</v>
      </c>
      <c r="G292" t="s">
        <v>228</v>
      </c>
      <c r="H292" t="s">
        <v>229</v>
      </c>
      <c r="I292">
        <v>88</v>
      </c>
      <c r="J292" t="s">
        <v>198</v>
      </c>
      <c r="K292" t="s">
        <v>993</v>
      </c>
      <c r="L292" s="1" t="s">
        <v>1394</v>
      </c>
      <c r="M292" t="s">
        <v>182</v>
      </c>
      <c r="N292" t="s">
        <v>109</v>
      </c>
      <c r="O292" s="1" t="s">
        <v>1398</v>
      </c>
      <c r="P292" s="1" t="s">
        <v>1399</v>
      </c>
    </row>
    <row r="293" spans="1:17" x14ac:dyDescent="0.25">
      <c r="A293" t="s">
        <v>1400</v>
      </c>
      <c r="B293" t="str">
        <f>HYPERLINK("https://staging-dtl-pattern-api.hfm-weimar.de/static/audio/solos/dtl/AQAFHpSUJJSYJfgu-HlwPLgZPBeabvnQ_0.01.30.053460-0.01.49.001233.mp3", "link")</f>
        <v>link</v>
      </c>
      <c r="C293" t="s">
        <v>1401</v>
      </c>
      <c r="D293" t="s">
        <v>1393</v>
      </c>
      <c r="F293" t="s">
        <v>227</v>
      </c>
      <c r="G293" t="s">
        <v>228</v>
      </c>
      <c r="H293" t="s">
        <v>229</v>
      </c>
      <c r="I293">
        <v>88</v>
      </c>
      <c r="J293" t="s">
        <v>198</v>
      </c>
      <c r="K293" t="s">
        <v>993</v>
      </c>
      <c r="L293" s="1" t="s">
        <v>1394</v>
      </c>
      <c r="M293" t="s">
        <v>182</v>
      </c>
      <c r="N293" t="s">
        <v>172</v>
      </c>
      <c r="O293" s="1" t="s">
        <v>1399</v>
      </c>
      <c r="P293" s="1" t="s">
        <v>1402</v>
      </c>
    </row>
    <row r="294" spans="1:17" x14ac:dyDescent="0.25">
      <c r="A294" t="s">
        <v>1403</v>
      </c>
      <c r="B294" t="str">
        <f>HYPERLINK("https://staging-dtl-pattern-api.hfm-weimar.de/static/audio/solos/dtl/AQAFHpSUJJSYJfgu-HlwPLgZPBeabvnQ_0.01.49.001233-0.02.08.014968.mp3", "link")</f>
        <v>link</v>
      </c>
      <c r="D294" t="s">
        <v>1393</v>
      </c>
      <c r="E294" t="s">
        <v>235</v>
      </c>
      <c r="F294" t="s">
        <v>227</v>
      </c>
      <c r="G294" t="s">
        <v>228</v>
      </c>
      <c r="H294" t="s">
        <v>229</v>
      </c>
      <c r="I294">
        <v>88</v>
      </c>
      <c r="J294" t="s">
        <v>198</v>
      </c>
      <c r="K294" t="s">
        <v>993</v>
      </c>
      <c r="L294" s="1" t="s">
        <v>1394</v>
      </c>
      <c r="M294" t="s">
        <v>182</v>
      </c>
      <c r="N294" t="s">
        <v>23</v>
      </c>
      <c r="O294" s="1" t="s">
        <v>1402</v>
      </c>
      <c r="P294" s="1" t="s">
        <v>1404</v>
      </c>
      <c r="Q294" s="1" t="s">
        <v>7203</v>
      </c>
    </row>
    <row r="295" spans="1:17" x14ac:dyDescent="0.25">
      <c r="A295" t="s">
        <v>1405</v>
      </c>
      <c r="B295" t="str">
        <f>HYPERLINK("https://staging-dtl-pattern-api.hfm-weimar.de/static/audio/solos/dtl/AQAFI0q0KE2WBgyPMIXK9MiPe2iuzZjM_0.01.39.010666-0.01.59.065258.mp3", "link")</f>
        <v>link</v>
      </c>
      <c r="D295" t="s">
        <v>1406</v>
      </c>
      <c r="E295" t="s">
        <v>1407</v>
      </c>
      <c r="F295" t="s">
        <v>1408</v>
      </c>
      <c r="G295" t="s">
        <v>1407</v>
      </c>
      <c r="H295" t="s">
        <v>1409</v>
      </c>
      <c r="I295">
        <v>41</v>
      </c>
      <c r="J295" t="s">
        <v>198</v>
      </c>
      <c r="K295" t="s">
        <v>1410</v>
      </c>
      <c r="L295" s="1" t="s">
        <v>1411</v>
      </c>
      <c r="M295" t="s">
        <v>182</v>
      </c>
      <c r="N295" t="s">
        <v>109</v>
      </c>
      <c r="O295" s="1" t="s">
        <v>1412</v>
      </c>
      <c r="P295" s="1" t="s">
        <v>1413</v>
      </c>
    </row>
    <row r="296" spans="1:17" x14ac:dyDescent="0.25">
      <c r="A296" t="s">
        <v>1414</v>
      </c>
      <c r="B296" t="str">
        <f>HYPERLINK("https://staging-dtl-pattern-api.hfm-weimar.de/static/audio/solos/dtl/AQAFiGmWzNmU4ElR6hK0Z3iOd9VR_SnC_0.01.05.001587-0.01.33.015845.mp3", "link")</f>
        <v>link</v>
      </c>
      <c r="D296" t="s">
        <v>1415</v>
      </c>
      <c r="E296" t="s">
        <v>723</v>
      </c>
      <c r="F296" t="s">
        <v>1416</v>
      </c>
      <c r="G296" t="s">
        <v>1417</v>
      </c>
      <c r="H296" t="s">
        <v>1418</v>
      </c>
      <c r="I296">
        <v>90</v>
      </c>
      <c r="J296" t="s">
        <v>198</v>
      </c>
      <c r="K296" t="s">
        <v>518</v>
      </c>
      <c r="L296" s="1" t="s">
        <v>1419</v>
      </c>
      <c r="M296" t="s">
        <v>182</v>
      </c>
      <c r="N296" t="s">
        <v>109</v>
      </c>
      <c r="O296" s="1" t="s">
        <v>369</v>
      </c>
      <c r="P296" s="1" t="s">
        <v>1420</v>
      </c>
    </row>
    <row r="297" spans="1:17" x14ac:dyDescent="0.25">
      <c r="A297" t="s">
        <v>1421</v>
      </c>
      <c r="B297" t="str">
        <f>HYPERLINK("https://staging-dtl-pattern-api.hfm-weimar.de/static/audio/solos/dtl/AQAFiGmWzNmU4ElR6hK0Z3iOd9VR_SnC_0.01.33.015845-0.02.01.011528.mp3", "link")</f>
        <v>link</v>
      </c>
      <c r="C297" t="s">
        <v>1422</v>
      </c>
      <c r="D297" t="s">
        <v>1415</v>
      </c>
      <c r="F297" t="s">
        <v>1416</v>
      </c>
      <c r="G297" t="s">
        <v>1417</v>
      </c>
      <c r="H297" t="s">
        <v>1418</v>
      </c>
      <c r="I297">
        <v>90</v>
      </c>
      <c r="J297" t="s">
        <v>198</v>
      </c>
      <c r="K297" t="s">
        <v>518</v>
      </c>
      <c r="L297" s="1" t="s">
        <v>1419</v>
      </c>
      <c r="M297" t="s">
        <v>182</v>
      </c>
      <c r="N297" t="s">
        <v>172</v>
      </c>
      <c r="O297" s="1" t="s">
        <v>1420</v>
      </c>
      <c r="P297" s="1" t="s">
        <v>1423</v>
      </c>
    </row>
    <row r="298" spans="1:17" x14ac:dyDescent="0.25">
      <c r="A298" t="s">
        <v>1424</v>
      </c>
      <c r="B298" t="str">
        <f>HYPERLINK("https://staging-dtl-pattern-api.hfm-weimar.de/static/audio/solos/dtl/AQAFJFKeLEoSbeilA1cfPMSj8KgOnxW6_0.00.27.041405-0.01.20.041070.mp3", "link")</f>
        <v>link</v>
      </c>
      <c r="C298" t="s">
        <v>1425</v>
      </c>
      <c r="D298" t="s">
        <v>1426</v>
      </c>
      <c r="E298" t="s">
        <v>216</v>
      </c>
      <c r="F298" t="s">
        <v>216</v>
      </c>
      <c r="G298" t="s">
        <v>216</v>
      </c>
      <c r="H298" t="s">
        <v>217</v>
      </c>
      <c r="I298">
        <v>76</v>
      </c>
      <c r="J298" t="s">
        <v>160</v>
      </c>
      <c r="K298" t="s">
        <v>1427</v>
      </c>
      <c r="L298" s="1" t="s">
        <v>1428</v>
      </c>
      <c r="M298" t="s">
        <v>129</v>
      </c>
      <c r="N298" t="s">
        <v>23</v>
      </c>
      <c r="O298" s="1" t="s">
        <v>1429</v>
      </c>
      <c r="P298" s="1" t="s">
        <v>1430</v>
      </c>
      <c r="Q298" s="1" t="s">
        <v>7215</v>
      </c>
    </row>
    <row r="299" spans="1:17" x14ac:dyDescent="0.25">
      <c r="A299" t="s">
        <v>1431</v>
      </c>
      <c r="B299" t="str">
        <f>HYPERLINK("https://staging-dtl-pattern-api.hfm-weimar.de/static/audio/solos/dtl/AQAFjM-sJFoifHkYPJGHetJERAoN1Tmy_0.00.54.098775-0.01.16.011428.mp3", "link")</f>
        <v>link</v>
      </c>
      <c r="D299" t="s">
        <v>1432</v>
      </c>
      <c r="E299" t="s">
        <v>1433</v>
      </c>
      <c r="F299" t="s">
        <v>1434</v>
      </c>
      <c r="G299" t="s">
        <v>1435</v>
      </c>
      <c r="H299" t="s">
        <v>1436</v>
      </c>
      <c r="I299">
        <v>84</v>
      </c>
      <c r="J299" t="s">
        <v>198</v>
      </c>
      <c r="K299" t="s">
        <v>1437</v>
      </c>
      <c r="L299" s="1" t="s">
        <v>1438</v>
      </c>
      <c r="M299" t="s">
        <v>129</v>
      </c>
      <c r="N299" t="s">
        <v>23</v>
      </c>
      <c r="O299" s="1" t="s">
        <v>1439</v>
      </c>
      <c r="P299" s="1" t="s">
        <v>1440</v>
      </c>
    </row>
    <row r="300" spans="1:17" x14ac:dyDescent="0.25">
      <c r="A300" t="s">
        <v>1441</v>
      </c>
      <c r="B300" t="str">
        <f>HYPERLINK("https://staging-dtl-pattern-api.hfm-weimar.de/static/audio/solos/dtl/AQAFjM-sJFoifHkYPJGHetJERAoN1Tmy_0.01.16.011428-0.01.36.003773.mp3", "link")</f>
        <v>link</v>
      </c>
      <c r="D300" t="s">
        <v>1432</v>
      </c>
      <c r="E300" t="s">
        <v>692</v>
      </c>
      <c r="F300" t="s">
        <v>1434</v>
      </c>
      <c r="G300" t="s">
        <v>1435</v>
      </c>
      <c r="H300" t="s">
        <v>1436</v>
      </c>
      <c r="I300">
        <v>84</v>
      </c>
      <c r="J300" t="s">
        <v>198</v>
      </c>
      <c r="K300" t="s">
        <v>1437</v>
      </c>
      <c r="L300" s="1" t="s">
        <v>1438</v>
      </c>
      <c r="M300" t="s">
        <v>129</v>
      </c>
      <c r="N300" t="s">
        <v>109</v>
      </c>
      <c r="O300" s="1" t="s">
        <v>1440</v>
      </c>
      <c r="P300" s="1" t="s">
        <v>1442</v>
      </c>
    </row>
    <row r="301" spans="1:17" x14ac:dyDescent="0.25">
      <c r="A301" t="s">
        <v>1443</v>
      </c>
      <c r="B301" t="str">
        <f>HYPERLINK("https://staging-dtl-pattern-api.hfm-weimar.de/static/audio/solos/dtl/AQAFjM-sJFoifHkYPJGHetJERAoN1Tmy_0.01.36.003773-0.01.57.015918.mp3", "link")</f>
        <v>link</v>
      </c>
      <c r="C301" t="s">
        <v>1444</v>
      </c>
      <c r="D301" t="s">
        <v>1432</v>
      </c>
      <c r="F301" t="s">
        <v>1434</v>
      </c>
      <c r="G301" t="s">
        <v>1435</v>
      </c>
      <c r="H301" t="s">
        <v>1436</v>
      </c>
      <c r="I301">
        <v>84</v>
      </c>
      <c r="J301" t="s">
        <v>198</v>
      </c>
      <c r="K301" t="s">
        <v>1437</v>
      </c>
      <c r="L301" s="1" t="s">
        <v>1438</v>
      </c>
      <c r="M301" t="s">
        <v>129</v>
      </c>
      <c r="N301" t="s">
        <v>172</v>
      </c>
      <c r="O301" s="1" t="s">
        <v>1442</v>
      </c>
      <c r="P301" s="1" t="s">
        <v>1445</v>
      </c>
    </row>
    <row r="302" spans="1:17" x14ac:dyDescent="0.25">
      <c r="A302" t="s">
        <v>1446</v>
      </c>
      <c r="B302" t="str">
        <f>HYPERLINK("https://staging-dtl-pattern-api.hfm-weimar.de/static/audio/solos/dtl/AQAFJYkoJUuSFY-I-7gD_7iiHM-DH9V1_0.00.43.000335-0.01.21.022340.mp3", "link")</f>
        <v>link</v>
      </c>
      <c r="D302" t="s">
        <v>1447</v>
      </c>
      <c r="E302" t="s">
        <v>507</v>
      </c>
      <c r="F302" t="s">
        <v>1448</v>
      </c>
      <c r="G302" t="s">
        <v>1449</v>
      </c>
      <c r="H302" t="s">
        <v>509</v>
      </c>
      <c r="I302">
        <v>73</v>
      </c>
      <c r="J302" t="s">
        <v>126</v>
      </c>
      <c r="K302" t="s">
        <v>1450</v>
      </c>
      <c r="L302" s="1" t="s">
        <v>1451</v>
      </c>
      <c r="M302" t="s">
        <v>182</v>
      </c>
      <c r="N302" t="s">
        <v>23</v>
      </c>
      <c r="O302" s="1" t="s">
        <v>1452</v>
      </c>
      <c r="P302" s="1" t="s">
        <v>1453</v>
      </c>
    </row>
    <row r="303" spans="1:17" x14ac:dyDescent="0.25">
      <c r="A303" t="s">
        <v>1454</v>
      </c>
      <c r="B303" t="str">
        <f>HYPERLINK("https://staging-dtl-pattern-api.hfm-weimar.de/static/audio/solos/dtl/AQAFJYkoJUuSFY-I-7gD_7iiHM-DH9V1_0.01.21.022340-0.01.39.086902.mp3", "link")</f>
        <v>link</v>
      </c>
      <c r="D303" t="s">
        <v>1447</v>
      </c>
      <c r="E303" t="s">
        <v>1455</v>
      </c>
      <c r="F303" t="s">
        <v>1448</v>
      </c>
      <c r="G303" t="s">
        <v>1449</v>
      </c>
      <c r="H303" t="s">
        <v>509</v>
      </c>
      <c r="I303">
        <v>73</v>
      </c>
      <c r="J303" t="s">
        <v>126</v>
      </c>
      <c r="K303" t="s">
        <v>1450</v>
      </c>
      <c r="L303" s="1" t="s">
        <v>1451</v>
      </c>
      <c r="M303" t="s">
        <v>182</v>
      </c>
      <c r="N303" t="s">
        <v>46</v>
      </c>
      <c r="O303" s="1" t="s">
        <v>1453</v>
      </c>
      <c r="P303" s="1" t="s">
        <v>1456</v>
      </c>
    </row>
    <row r="304" spans="1:17" x14ac:dyDescent="0.25">
      <c r="A304" t="s">
        <v>1457</v>
      </c>
      <c r="B304" t="str">
        <f>HYPERLINK("https://staging-dtl-pattern-api.hfm-weimar.de/static/audio/solos/dtl/AQAFjZL0SFwS5Bn0Iw0fPEfyZUecH80b_0.02.06.050231-0.03.05.094539.mp3", "link")</f>
        <v>link</v>
      </c>
      <c r="C304" t="s">
        <v>7216</v>
      </c>
      <c r="D304" s="2" t="s">
        <v>1458</v>
      </c>
      <c r="F304" t="s">
        <v>680</v>
      </c>
      <c r="H304" t="s">
        <v>1108</v>
      </c>
      <c r="I304">
        <v>81</v>
      </c>
      <c r="J304" t="s">
        <v>198</v>
      </c>
      <c r="K304" t="s">
        <v>1459</v>
      </c>
      <c r="L304" s="1" t="s">
        <v>1460</v>
      </c>
      <c r="M304" t="s">
        <v>129</v>
      </c>
      <c r="N304" t="s">
        <v>826</v>
      </c>
      <c r="O304" s="1" t="s">
        <v>1461</v>
      </c>
      <c r="P304" s="1" t="s">
        <v>1462</v>
      </c>
      <c r="Q304" s="1" t="s">
        <v>7175</v>
      </c>
    </row>
    <row r="305" spans="1:16" x14ac:dyDescent="0.25">
      <c r="A305" t="s">
        <v>1463</v>
      </c>
      <c r="B305" t="str">
        <f>HYPERLINK("https://staging-dtl-pattern-api.hfm-weimar.de/static/audio/solos/dtl/AQAFk5KeKlEUoT-SZUd-Bc1RD1WW_Ggu_0.00.35.089804-0.01.08.019700.mp3", "link")</f>
        <v>link</v>
      </c>
      <c r="D305" t="s">
        <v>1464</v>
      </c>
      <c r="E305" t="s">
        <v>541</v>
      </c>
      <c r="F305" t="s">
        <v>542</v>
      </c>
      <c r="G305" t="s">
        <v>543</v>
      </c>
      <c r="H305" t="s">
        <v>544</v>
      </c>
      <c r="I305">
        <v>34</v>
      </c>
      <c r="J305" t="s">
        <v>126</v>
      </c>
      <c r="K305" t="s">
        <v>1465</v>
      </c>
      <c r="L305" s="1" t="s">
        <v>546</v>
      </c>
      <c r="M305" t="s">
        <v>129</v>
      </c>
      <c r="N305" t="s">
        <v>23</v>
      </c>
      <c r="O305" s="1" t="s">
        <v>1466</v>
      </c>
      <c r="P305" s="1" t="s">
        <v>1467</v>
      </c>
    </row>
    <row r="306" spans="1:16" x14ac:dyDescent="0.25">
      <c r="A306" t="s">
        <v>1468</v>
      </c>
      <c r="B306" t="str">
        <f>HYPERLINK("https://staging-dtl-pattern-api.hfm-weimar.de/static/audio/solos/dtl/AQAFk5KeKlEUoT-SZUd-Bc1RD1WW_Ggu_0.01.08.019700-0.02.10.058902.mp3", "link")</f>
        <v>link</v>
      </c>
      <c r="D306" t="s">
        <v>1464</v>
      </c>
      <c r="E306" t="s">
        <v>550</v>
      </c>
      <c r="F306" t="s">
        <v>542</v>
      </c>
      <c r="G306" t="s">
        <v>543</v>
      </c>
      <c r="H306" t="s">
        <v>544</v>
      </c>
      <c r="I306">
        <v>34</v>
      </c>
      <c r="J306" t="s">
        <v>126</v>
      </c>
      <c r="K306" t="s">
        <v>1465</v>
      </c>
      <c r="L306" s="1" t="s">
        <v>546</v>
      </c>
      <c r="M306" t="s">
        <v>129</v>
      </c>
      <c r="N306" t="s">
        <v>46</v>
      </c>
      <c r="O306" s="1" t="s">
        <v>1467</v>
      </c>
      <c r="P306" s="1" t="s">
        <v>1469</v>
      </c>
    </row>
    <row r="307" spans="1:16" x14ac:dyDescent="0.25">
      <c r="A307" t="s">
        <v>1470</v>
      </c>
      <c r="B307" t="str">
        <f>HYPERLINK("https://staging-dtl-pattern-api.hfm-weimar.de/static/audio/solos/dtl/AQAFk5KeKlEUoT-SZUd-Bc1RD1WW_Ggu_0.02.10.058902-0.02.40.098394.mp3", "link")</f>
        <v>link</v>
      </c>
      <c r="D307" t="s">
        <v>1464</v>
      </c>
      <c r="E307" t="s">
        <v>1471</v>
      </c>
      <c r="F307" t="s">
        <v>542</v>
      </c>
      <c r="G307" t="s">
        <v>543</v>
      </c>
      <c r="H307" t="s">
        <v>544</v>
      </c>
      <c r="I307">
        <v>34</v>
      </c>
      <c r="J307" t="s">
        <v>126</v>
      </c>
      <c r="K307" t="s">
        <v>1465</v>
      </c>
      <c r="L307" s="1" t="s">
        <v>546</v>
      </c>
      <c r="M307" t="s">
        <v>129</v>
      </c>
      <c r="N307" t="s">
        <v>202</v>
      </c>
      <c r="O307" s="1" t="s">
        <v>1469</v>
      </c>
      <c r="P307" s="1" t="s">
        <v>1472</v>
      </c>
    </row>
    <row r="308" spans="1:16" x14ac:dyDescent="0.25">
      <c r="A308" t="s">
        <v>1473</v>
      </c>
      <c r="B308" t="str">
        <f>HYPERLINK("https://staging-dtl-pattern-api.hfm-weimar.de/static/audio/solos/dtl/AQAFKdKSMlEXmMeniApyHc2ocYFWDmcb_0.00.27.015210-0.00.55.047682.mp3", "link")</f>
        <v>link</v>
      </c>
      <c r="D308" t="s">
        <v>1474</v>
      </c>
      <c r="E308" t="s">
        <v>443</v>
      </c>
      <c r="F308" t="s">
        <v>444</v>
      </c>
      <c r="H308" t="s">
        <v>1475</v>
      </c>
      <c r="I308">
        <v>46</v>
      </c>
      <c r="J308" t="s">
        <v>141</v>
      </c>
      <c r="K308" t="s">
        <v>1476</v>
      </c>
      <c r="L308" s="1" t="s">
        <v>1477</v>
      </c>
      <c r="M308" t="s">
        <v>448</v>
      </c>
      <c r="N308" t="s">
        <v>449</v>
      </c>
      <c r="O308" s="1" t="s">
        <v>1478</v>
      </c>
      <c r="P308" s="1" t="s">
        <v>1479</v>
      </c>
    </row>
    <row r="309" spans="1:16" x14ac:dyDescent="0.25">
      <c r="A309" t="s">
        <v>1480</v>
      </c>
      <c r="B309" t="str">
        <f>HYPERLINK("https://staging-dtl-pattern-api.hfm-weimar.de/static/audio/solos/dtl/AQAFKdKSMlEXmMeniApyHc2ocYFWDmcb_0.02.16.021142-0.02.37.005469.mp3", "link")</f>
        <v>link</v>
      </c>
      <c r="D309" t="s">
        <v>1474</v>
      </c>
      <c r="E309" t="s">
        <v>443</v>
      </c>
      <c r="F309" t="s">
        <v>444</v>
      </c>
      <c r="H309" t="s">
        <v>1475</v>
      </c>
      <c r="I309">
        <v>46</v>
      </c>
      <c r="J309" t="s">
        <v>141</v>
      </c>
      <c r="K309" t="s">
        <v>1476</v>
      </c>
      <c r="L309" s="1" t="s">
        <v>1477</v>
      </c>
      <c r="M309" t="s">
        <v>448</v>
      </c>
      <c r="N309" t="s">
        <v>449</v>
      </c>
      <c r="O309" s="1" t="s">
        <v>1481</v>
      </c>
      <c r="P309" s="1" t="s">
        <v>1482</v>
      </c>
    </row>
    <row r="310" spans="1:16" x14ac:dyDescent="0.25">
      <c r="A310" t="s">
        <v>1483</v>
      </c>
      <c r="B310" t="str">
        <f>HYPERLINK("https://staging-dtl-pattern-api.hfm-weimar.de/static/audio/solos/dtl/AQAFkFkSLUqmTJg-6Pjxw09i_Hh1TKmY_0.01.35.081814-0.02.15.017065.mp3", "link")</f>
        <v>link</v>
      </c>
      <c r="D310" t="s">
        <v>1484</v>
      </c>
      <c r="E310" t="s">
        <v>1485</v>
      </c>
      <c r="F310" t="s">
        <v>1486</v>
      </c>
      <c r="H310" t="s">
        <v>1487</v>
      </c>
      <c r="I310">
        <v>5</v>
      </c>
      <c r="J310" t="s">
        <v>198</v>
      </c>
      <c r="K310" t="s">
        <v>1488</v>
      </c>
      <c r="L310" s="1" t="s">
        <v>1489</v>
      </c>
      <c r="M310" t="s">
        <v>1490</v>
      </c>
      <c r="N310" t="s">
        <v>109</v>
      </c>
      <c r="O310" s="1" t="s">
        <v>1491</v>
      </c>
      <c r="P310" s="1" t="s">
        <v>1492</v>
      </c>
    </row>
    <row r="311" spans="1:16" x14ac:dyDescent="0.25">
      <c r="A311" t="s">
        <v>1493</v>
      </c>
      <c r="B311" t="str">
        <f>HYPERLINK("https://staging-dtl-pattern-api.hfm-weimar.de/static/audio/solos/dtl/AQAFkt0mSdkUIL2hKVSUHDF2Dk9Y4W9E_0.01.19.055156-0.01.50.013224.mp3", "link")</f>
        <v>link</v>
      </c>
      <c r="C311" t="s">
        <v>1494</v>
      </c>
      <c r="D311" t="s">
        <v>1495</v>
      </c>
      <c r="F311" t="s">
        <v>579</v>
      </c>
      <c r="G311" t="s">
        <v>580</v>
      </c>
      <c r="H311" t="s">
        <v>1496</v>
      </c>
      <c r="I311">
        <v>83</v>
      </c>
      <c r="J311" t="s">
        <v>160</v>
      </c>
      <c r="K311" t="s">
        <v>1497</v>
      </c>
      <c r="L311" s="1" t="s">
        <v>1498</v>
      </c>
      <c r="M311" t="s">
        <v>129</v>
      </c>
      <c r="N311" t="s">
        <v>329</v>
      </c>
      <c r="O311" s="1" t="s">
        <v>1499</v>
      </c>
      <c r="P311" s="1" t="s">
        <v>1500</v>
      </c>
    </row>
    <row r="312" spans="1:16" x14ac:dyDescent="0.25">
      <c r="A312" t="s">
        <v>1501</v>
      </c>
      <c r="B312" t="str">
        <f>HYPERLINK("https://staging-dtl-pattern-api.hfm-weimar.de/static/audio/solos/dtl/AQAFL0z4JEoWBbVS48nxFHmO9yTqQOzR_0.00.45.005786-0.01.14.097251.mp3", "link")</f>
        <v>link</v>
      </c>
      <c r="D312" t="s">
        <v>1502</v>
      </c>
      <c r="E312" t="s">
        <v>1503</v>
      </c>
      <c r="F312" t="s">
        <v>1504</v>
      </c>
      <c r="G312" t="s">
        <v>1504</v>
      </c>
      <c r="J312" t="s">
        <v>1505</v>
      </c>
      <c r="K312" t="s">
        <v>1506</v>
      </c>
      <c r="L312" s="1" t="s">
        <v>1507</v>
      </c>
      <c r="M312" t="s">
        <v>1508</v>
      </c>
      <c r="N312" t="s">
        <v>288</v>
      </c>
      <c r="O312" s="1" t="s">
        <v>1509</v>
      </c>
      <c r="P312" s="1" t="s">
        <v>1510</v>
      </c>
    </row>
    <row r="313" spans="1:16" x14ac:dyDescent="0.25">
      <c r="A313" t="s">
        <v>1511</v>
      </c>
      <c r="B313" t="str">
        <f>HYPERLINK("https://staging-dtl-pattern-api.hfm-weimar.de/static/audio/solos/dtl/AQAFL0z4JEoWBbVS48nxFHmO9yTqQOzR_0.01.14.097251-0.01.43.047274.mp3", "link")</f>
        <v>link</v>
      </c>
      <c r="D313" t="s">
        <v>1502</v>
      </c>
      <c r="E313" t="s">
        <v>1504</v>
      </c>
      <c r="F313" t="s">
        <v>1504</v>
      </c>
      <c r="G313" t="s">
        <v>1504</v>
      </c>
      <c r="J313" t="s">
        <v>1505</v>
      </c>
      <c r="K313" t="s">
        <v>1506</v>
      </c>
      <c r="L313" s="1" t="s">
        <v>1507</v>
      </c>
      <c r="M313" t="s">
        <v>1508</v>
      </c>
      <c r="N313" t="s">
        <v>109</v>
      </c>
      <c r="O313" s="1" t="s">
        <v>1510</v>
      </c>
      <c r="P313" s="1" t="s">
        <v>1512</v>
      </c>
    </row>
    <row r="314" spans="1:16" x14ac:dyDescent="0.25">
      <c r="A314" t="s">
        <v>1513</v>
      </c>
      <c r="B314" t="str">
        <f>HYPERLINK("https://staging-dtl-pattern-api.hfm-weimar.de/static/audio/solos/dtl/AQAFlEyYJJI0RQma9wj1mEgWJcelzMf5_0.00.38.063800-0.01.13.023573.mp3", "link")</f>
        <v>link</v>
      </c>
      <c r="D314" t="s">
        <v>1514</v>
      </c>
      <c r="E314" t="s">
        <v>1515</v>
      </c>
      <c r="F314" t="s">
        <v>1516</v>
      </c>
      <c r="G314" t="s">
        <v>1517</v>
      </c>
      <c r="H314" t="s">
        <v>1518</v>
      </c>
      <c r="I314">
        <v>89</v>
      </c>
      <c r="J314" t="s">
        <v>141</v>
      </c>
      <c r="K314" t="s">
        <v>1519</v>
      </c>
      <c r="L314" s="1" t="s">
        <v>1520</v>
      </c>
      <c r="M314" t="s">
        <v>129</v>
      </c>
      <c r="N314" t="s">
        <v>46</v>
      </c>
      <c r="O314" s="1" t="s">
        <v>1521</v>
      </c>
      <c r="P314" s="1" t="s">
        <v>1522</v>
      </c>
    </row>
    <row r="315" spans="1:16" x14ac:dyDescent="0.25">
      <c r="A315" t="s">
        <v>1523</v>
      </c>
      <c r="B315" t="str">
        <f>HYPERLINK("https://staging-dtl-pattern-api.hfm-weimar.de/static/audio/solos/dtl/AQAFlEyYJJI0RQma9wj1mEgWJcelzMf5_0.01.48.073904-0.02.22.059374.mp3", "link")</f>
        <v>link</v>
      </c>
      <c r="D315" t="s">
        <v>1514</v>
      </c>
      <c r="E315" t="s">
        <v>1517</v>
      </c>
      <c r="F315" t="s">
        <v>1516</v>
      </c>
      <c r="G315" t="s">
        <v>1517</v>
      </c>
      <c r="H315" t="s">
        <v>1518</v>
      </c>
      <c r="I315">
        <v>89</v>
      </c>
      <c r="J315" t="s">
        <v>141</v>
      </c>
      <c r="K315" t="s">
        <v>1519</v>
      </c>
      <c r="L315" s="1" t="s">
        <v>1520</v>
      </c>
      <c r="M315" t="s">
        <v>129</v>
      </c>
      <c r="N315" t="s">
        <v>23</v>
      </c>
      <c r="O315" s="1" t="s">
        <v>1524</v>
      </c>
      <c r="P315" s="1" t="s">
        <v>1525</v>
      </c>
    </row>
    <row r="316" spans="1:16" x14ac:dyDescent="0.25">
      <c r="A316" t="s">
        <v>1526</v>
      </c>
      <c r="B316" t="str">
        <f>HYPERLINK("https://staging-dtl-pattern-api.hfm-weimar.de/static/audio/solos/dtl/AQAFLJKSRZuiZZiswwcJ_2jwHMfzcNCP_0.00.05.041043-0.00.44.055782.mp3", "link")</f>
        <v>link</v>
      </c>
      <c r="D316" t="s">
        <v>1527</v>
      </c>
      <c r="E316" t="s">
        <v>401</v>
      </c>
      <c r="F316" t="s">
        <v>393</v>
      </c>
      <c r="G316" t="s">
        <v>394</v>
      </c>
      <c r="H316" t="s">
        <v>911</v>
      </c>
      <c r="I316">
        <v>28</v>
      </c>
      <c r="J316" t="s">
        <v>141</v>
      </c>
      <c r="K316" t="s">
        <v>1528</v>
      </c>
      <c r="L316" s="1" t="s">
        <v>1529</v>
      </c>
      <c r="M316" t="s">
        <v>129</v>
      </c>
      <c r="N316" t="s">
        <v>46</v>
      </c>
      <c r="O316" s="1" t="s">
        <v>1530</v>
      </c>
      <c r="P316" s="1" t="s">
        <v>1531</v>
      </c>
    </row>
    <row r="317" spans="1:16" x14ac:dyDescent="0.25">
      <c r="A317" t="s">
        <v>1532</v>
      </c>
      <c r="B317" t="str">
        <f>HYPERLINK("https://staging-dtl-pattern-api.hfm-weimar.de/static/audio/solos/dtl/AQAFLJKSRZuiZZiswwcJ_2jwHMfzcNCP_0.00.44.055782-0.01.23.031464.mp3", "link")</f>
        <v>link</v>
      </c>
      <c r="D317" t="s">
        <v>1527</v>
      </c>
      <c r="E317" t="s">
        <v>235</v>
      </c>
      <c r="F317" t="s">
        <v>393</v>
      </c>
      <c r="G317" t="s">
        <v>394</v>
      </c>
      <c r="H317" t="s">
        <v>911</v>
      </c>
      <c r="I317">
        <v>28</v>
      </c>
      <c r="J317" t="s">
        <v>141</v>
      </c>
      <c r="K317" t="s">
        <v>1528</v>
      </c>
      <c r="L317" s="1" t="s">
        <v>1529</v>
      </c>
      <c r="M317" t="s">
        <v>129</v>
      </c>
      <c r="N317" t="s">
        <v>23</v>
      </c>
      <c r="O317" s="1" t="s">
        <v>1531</v>
      </c>
      <c r="P317" s="1" t="s">
        <v>1533</v>
      </c>
    </row>
    <row r="318" spans="1:16" x14ac:dyDescent="0.25">
      <c r="A318" t="s">
        <v>1534</v>
      </c>
      <c r="B318" t="str">
        <f>HYPERLINK("https://staging-dtl-pattern-api.hfm-weimar.de/static/audio/solos/dtl/AQAFLJKSRZuiZZiswwcJ_2jwHMfzcNCP_0.01.23.031464-0.02.02.083356.mp3", "link")</f>
        <v>link</v>
      </c>
      <c r="D318" t="s">
        <v>1527</v>
      </c>
      <c r="E318" t="s">
        <v>394</v>
      </c>
      <c r="F318" t="s">
        <v>393</v>
      </c>
      <c r="G318" t="s">
        <v>394</v>
      </c>
      <c r="H318" t="s">
        <v>911</v>
      </c>
      <c r="I318">
        <v>28</v>
      </c>
      <c r="J318" t="s">
        <v>141</v>
      </c>
      <c r="K318" t="s">
        <v>1528</v>
      </c>
      <c r="L318" s="1" t="s">
        <v>1529</v>
      </c>
      <c r="M318" t="s">
        <v>129</v>
      </c>
      <c r="N318" t="s">
        <v>288</v>
      </c>
      <c r="O318" s="1" t="s">
        <v>1533</v>
      </c>
      <c r="P318" s="1" t="s">
        <v>1535</v>
      </c>
    </row>
    <row r="319" spans="1:16" x14ac:dyDescent="0.25">
      <c r="A319" t="s">
        <v>1536</v>
      </c>
      <c r="B319" t="str">
        <f>HYPERLINK("https://staging-dtl-pattern-api.hfm-weimar.de/static/audio/solos/dtl/AQAFLJKSRZuiZZiswwcJ_2jwHMfzcNCP_0.02.02.083356-0.02.21.084870.mp3", "link")</f>
        <v>link</v>
      </c>
      <c r="D319" t="s">
        <v>1527</v>
      </c>
      <c r="E319" t="s">
        <v>394</v>
      </c>
      <c r="F319" t="s">
        <v>393</v>
      </c>
      <c r="G319" t="s">
        <v>394</v>
      </c>
      <c r="H319" t="s">
        <v>911</v>
      </c>
      <c r="I319">
        <v>28</v>
      </c>
      <c r="J319" t="s">
        <v>141</v>
      </c>
      <c r="K319" t="s">
        <v>1528</v>
      </c>
      <c r="L319" s="1" t="s">
        <v>1529</v>
      </c>
      <c r="M319" t="s">
        <v>129</v>
      </c>
      <c r="N319" t="s">
        <v>288</v>
      </c>
      <c r="O319" s="1" t="s">
        <v>1535</v>
      </c>
      <c r="P319" s="1" t="s">
        <v>1537</v>
      </c>
    </row>
    <row r="320" spans="1:16" x14ac:dyDescent="0.25">
      <c r="A320" t="s">
        <v>1538</v>
      </c>
      <c r="B320" t="str">
        <f>HYPERLINK("https://staging-dtl-pattern-api.hfm-weimar.de/static/audio/solos/dtl/AQAFLJKSRZuiZZiswwcJ_2jwHMfzcNCP_0.02.21.084870-0.02.32.024489.mp3", "link")</f>
        <v>link</v>
      </c>
      <c r="D320" t="s">
        <v>1527</v>
      </c>
      <c r="E320" t="s">
        <v>394</v>
      </c>
      <c r="F320" t="s">
        <v>393</v>
      </c>
      <c r="G320" t="s">
        <v>394</v>
      </c>
      <c r="H320" t="s">
        <v>911</v>
      </c>
      <c r="I320">
        <v>28</v>
      </c>
      <c r="J320" t="s">
        <v>141</v>
      </c>
      <c r="K320" t="s">
        <v>1528</v>
      </c>
      <c r="L320" s="1" t="s">
        <v>1529</v>
      </c>
      <c r="M320" t="s">
        <v>129</v>
      </c>
      <c r="N320" t="s">
        <v>288</v>
      </c>
      <c r="O320" s="1" t="s">
        <v>1537</v>
      </c>
      <c r="P320" s="1" t="s">
        <v>1539</v>
      </c>
    </row>
    <row r="321" spans="1:17" x14ac:dyDescent="0.25">
      <c r="A321" t="s">
        <v>1540</v>
      </c>
      <c r="B321" t="str">
        <f>HYPERLINK("https://staging-dtl-pattern-api.hfm-weimar.de/static/audio/solos/dtl/AQAFLJKSRZuiZZiswwcJ_2jwHMfzcNCP_0.02.32.024489-0.02.46.063999.mp3", "link")</f>
        <v>link</v>
      </c>
      <c r="D321" t="s">
        <v>1527</v>
      </c>
      <c r="E321" t="s">
        <v>394</v>
      </c>
      <c r="F321" t="s">
        <v>393</v>
      </c>
      <c r="G321" t="s">
        <v>394</v>
      </c>
      <c r="H321" t="s">
        <v>911</v>
      </c>
      <c r="I321">
        <v>28</v>
      </c>
      <c r="J321" t="s">
        <v>141</v>
      </c>
      <c r="K321" t="s">
        <v>1528</v>
      </c>
      <c r="L321" s="1" t="s">
        <v>1529</v>
      </c>
      <c r="M321" t="s">
        <v>129</v>
      </c>
      <c r="N321" t="s">
        <v>288</v>
      </c>
      <c r="O321" s="1" t="s">
        <v>1539</v>
      </c>
      <c r="P321" s="1" t="s">
        <v>1541</v>
      </c>
    </row>
    <row r="322" spans="1:17" x14ac:dyDescent="0.25">
      <c r="A322" t="s">
        <v>1542</v>
      </c>
      <c r="B322" t="str">
        <f>HYPERLINK("https://staging-dtl-pattern-api.hfm-weimar.de/static/audio/solos/dtl/AQAFllGWKJK0JEmSoBePZye4bi-Oc4Kf_0.00.25.084380-0.01.02.074031.mp3", "link")</f>
        <v>link</v>
      </c>
      <c r="D322" t="s">
        <v>1543</v>
      </c>
      <c r="E322" t="s">
        <v>1517</v>
      </c>
      <c r="F322" t="s">
        <v>1544</v>
      </c>
      <c r="G322" t="s">
        <v>1545</v>
      </c>
      <c r="H322" t="s">
        <v>1546</v>
      </c>
      <c r="I322">
        <v>90</v>
      </c>
      <c r="J322" t="s">
        <v>141</v>
      </c>
      <c r="K322" t="s">
        <v>1547</v>
      </c>
      <c r="L322" s="1" t="s">
        <v>1548</v>
      </c>
      <c r="M322" t="s">
        <v>129</v>
      </c>
      <c r="N322" t="s">
        <v>23</v>
      </c>
      <c r="O322" s="1" t="s">
        <v>1549</v>
      </c>
      <c r="P322" s="1" t="s">
        <v>1550</v>
      </c>
    </row>
    <row r="323" spans="1:17" x14ac:dyDescent="0.25">
      <c r="A323" t="s">
        <v>1551</v>
      </c>
      <c r="B323" t="str">
        <f>HYPERLINK("https://staging-dtl-pattern-api.hfm-weimar.de/static/audio/solos/dtl/AQAFllGWKJK0JEmSoBePZye4bi-Oc4Kf_0.01.02.074031-0.01.21.020018.mp3", "link")</f>
        <v>link</v>
      </c>
      <c r="D323" t="s">
        <v>1543</v>
      </c>
      <c r="E323" t="s">
        <v>1552</v>
      </c>
      <c r="F323" t="s">
        <v>1544</v>
      </c>
      <c r="G323" t="s">
        <v>1545</v>
      </c>
      <c r="H323" t="s">
        <v>1546</v>
      </c>
      <c r="I323">
        <v>90</v>
      </c>
      <c r="J323" t="s">
        <v>141</v>
      </c>
      <c r="K323" t="s">
        <v>1547</v>
      </c>
      <c r="L323" s="1" t="s">
        <v>1548</v>
      </c>
      <c r="M323" t="s">
        <v>129</v>
      </c>
      <c r="N323" t="s">
        <v>109</v>
      </c>
      <c r="O323" s="1" t="s">
        <v>1550</v>
      </c>
      <c r="P323" s="1" t="s">
        <v>1553</v>
      </c>
    </row>
    <row r="324" spans="1:17" x14ac:dyDescent="0.25">
      <c r="A324" t="s">
        <v>1554</v>
      </c>
      <c r="B324" t="str">
        <f>HYPERLINK("https://staging-dtl-pattern-api.hfm-weimar.de/static/audio/solos/dtl/AQAFllGWKJK0JEmSoBePZye4bi-Oc4Kf_0.01.21.020018-0.02.19.025006.mp3", "link")</f>
        <v>link</v>
      </c>
      <c r="D324" t="s">
        <v>1543</v>
      </c>
      <c r="E324" t="s">
        <v>1517</v>
      </c>
      <c r="F324" t="s">
        <v>1544</v>
      </c>
      <c r="G324" t="s">
        <v>1545</v>
      </c>
      <c r="H324" t="s">
        <v>1546</v>
      </c>
      <c r="I324">
        <v>90</v>
      </c>
      <c r="J324" t="s">
        <v>141</v>
      </c>
      <c r="K324" t="s">
        <v>1547</v>
      </c>
      <c r="L324" s="1" t="s">
        <v>1548</v>
      </c>
      <c r="M324" t="s">
        <v>129</v>
      </c>
      <c r="N324" t="s">
        <v>23</v>
      </c>
      <c r="O324" s="1" t="s">
        <v>1553</v>
      </c>
      <c r="P324" s="1" t="s">
        <v>1555</v>
      </c>
    </row>
    <row r="325" spans="1:17" x14ac:dyDescent="0.25">
      <c r="A325" t="s">
        <v>1556</v>
      </c>
      <c r="B325" t="str">
        <f>HYPERLINK("https://staging-dtl-pattern-api.hfm-weimar.de/static/audio/solos/dtl/AQAFllmiMEkWJUmiINfxBz6PjyuiK4eV_0.00.32.024571-0.01.03.024698.mp3", "link")</f>
        <v>link</v>
      </c>
      <c r="C325" t="s">
        <v>1557</v>
      </c>
      <c r="D325" t="s">
        <v>1558</v>
      </c>
      <c r="E325" t="s">
        <v>235</v>
      </c>
      <c r="F325" t="s">
        <v>1559</v>
      </c>
      <c r="G325" t="s">
        <v>235</v>
      </c>
      <c r="H325" t="s">
        <v>1560</v>
      </c>
      <c r="I325">
        <v>31</v>
      </c>
      <c r="J325" t="s">
        <v>141</v>
      </c>
      <c r="K325" t="s">
        <v>1561</v>
      </c>
      <c r="L325" s="1" t="s">
        <v>1562</v>
      </c>
      <c r="M325" t="s">
        <v>448</v>
      </c>
      <c r="N325" t="s">
        <v>23</v>
      </c>
      <c r="O325" s="1" t="s">
        <v>1563</v>
      </c>
      <c r="P325" s="1" t="s">
        <v>1564</v>
      </c>
      <c r="Q325" s="1" t="s">
        <v>7217</v>
      </c>
    </row>
    <row r="326" spans="1:17" x14ac:dyDescent="0.25">
      <c r="A326" t="s">
        <v>1565</v>
      </c>
      <c r="B326" t="str">
        <f>HYPERLINK("https://staging-dtl-pattern-api.hfm-weimar.de/static/audio/solos/dtl/AQAFllmiMEkWJUmiINfxBz6PjyuiK4eV_0.01.03.024698-0.01.29.044888.mp3", "link")</f>
        <v>link</v>
      </c>
      <c r="D326" t="s">
        <v>1558</v>
      </c>
      <c r="E326" t="s">
        <v>401</v>
      </c>
      <c r="F326" t="s">
        <v>1559</v>
      </c>
      <c r="G326" t="s">
        <v>235</v>
      </c>
      <c r="H326" t="s">
        <v>1560</v>
      </c>
      <c r="I326">
        <v>31</v>
      </c>
      <c r="J326" t="s">
        <v>141</v>
      </c>
      <c r="K326" t="s">
        <v>1561</v>
      </c>
      <c r="L326" s="1" t="s">
        <v>1562</v>
      </c>
      <c r="M326" t="s">
        <v>448</v>
      </c>
      <c r="N326" t="s">
        <v>46</v>
      </c>
      <c r="O326" s="1" t="s">
        <v>1564</v>
      </c>
      <c r="P326" s="1" t="s">
        <v>1566</v>
      </c>
    </row>
    <row r="327" spans="1:17" x14ac:dyDescent="0.25">
      <c r="A327" t="s">
        <v>1567</v>
      </c>
      <c r="B327" t="str">
        <f>HYPERLINK("https://staging-dtl-pattern-api.hfm-weimar.de/static/audio/solos/dtl/AQAFllmiMEkWJUmiINfxBz6PjyuiK4eV_0.01.29.044888-0.01.59.023632.mp3", "link")</f>
        <v>link</v>
      </c>
      <c r="C327" t="s">
        <v>1557</v>
      </c>
      <c r="D327" t="s">
        <v>1558</v>
      </c>
      <c r="E327" t="s">
        <v>235</v>
      </c>
      <c r="F327" t="s">
        <v>1559</v>
      </c>
      <c r="G327" t="s">
        <v>235</v>
      </c>
      <c r="H327" t="s">
        <v>1560</v>
      </c>
      <c r="I327">
        <v>31</v>
      </c>
      <c r="J327" t="s">
        <v>141</v>
      </c>
      <c r="K327" t="s">
        <v>1561</v>
      </c>
      <c r="L327" s="1" t="s">
        <v>1562</v>
      </c>
      <c r="M327" t="s">
        <v>448</v>
      </c>
      <c r="N327" t="s">
        <v>23</v>
      </c>
      <c r="O327" s="1" t="s">
        <v>1566</v>
      </c>
      <c r="P327" s="1" t="s">
        <v>1568</v>
      </c>
      <c r="Q327" s="1" t="s">
        <v>7217</v>
      </c>
    </row>
    <row r="328" spans="1:17" x14ac:dyDescent="0.25">
      <c r="A328" t="s">
        <v>1569</v>
      </c>
      <c r="B328" t="str">
        <f>HYPERLINK("https://staging-dtl-pattern-api.hfm-weimar.de/static/audio/solos/dtl/AQAFmFcSSlKCL8rxBzeNL8fxB7_RB_6h_0.01.12.072489-0.01.47.027619.mp3", "link")</f>
        <v>link</v>
      </c>
      <c r="D328" t="s">
        <v>1570</v>
      </c>
      <c r="E328" t="s">
        <v>1571</v>
      </c>
      <c r="F328" t="s">
        <v>1572</v>
      </c>
      <c r="H328" t="s">
        <v>672</v>
      </c>
      <c r="I328">
        <v>83</v>
      </c>
      <c r="J328" t="s">
        <v>198</v>
      </c>
      <c r="K328" t="s">
        <v>1573</v>
      </c>
      <c r="L328" s="1" t="s">
        <v>1574</v>
      </c>
      <c r="M328" t="s">
        <v>129</v>
      </c>
      <c r="N328" t="s">
        <v>23</v>
      </c>
      <c r="O328" s="1" t="s">
        <v>1575</v>
      </c>
      <c r="P328" s="1" t="s">
        <v>1576</v>
      </c>
    </row>
    <row r="329" spans="1:17" x14ac:dyDescent="0.25">
      <c r="A329" t="s">
        <v>1577</v>
      </c>
      <c r="B329" t="str">
        <f>HYPERLINK("https://staging-dtl-pattern-api.hfm-weimar.de/static/audio/solos/dtl/AQAFmFcSSlKCL8rxBzeNL8fxB7_RB_6h_0.01.47.027619-0.02.04.083047.mp3", "link")</f>
        <v>link</v>
      </c>
      <c r="D329" t="s">
        <v>1570</v>
      </c>
      <c r="E329" t="s">
        <v>1217</v>
      </c>
      <c r="F329" t="s">
        <v>1572</v>
      </c>
      <c r="H329" t="s">
        <v>672</v>
      </c>
      <c r="I329">
        <v>83</v>
      </c>
      <c r="J329" t="s">
        <v>198</v>
      </c>
      <c r="K329" t="s">
        <v>1573</v>
      </c>
      <c r="L329" s="1" t="s">
        <v>1574</v>
      </c>
      <c r="M329" t="s">
        <v>129</v>
      </c>
      <c r="N329" t="s">
        <v>109</v>
      </c>
      <c r="O329" s="1" t="s">
        <v>1576</v>
      </c>
      <c r="P329" s="1" t="s">
        <v>1578</v>
      </c>
    </row>
    <row r="330" spans="1:17" x14ac:dyDescent="0.25">
      <c r="A330" t="s">
        <v>1579</v>
      </c>
      <c r="B330" t="str">
        <f>HYPERLINK("https://staging-dtl-pattern-api.hfm-weimar.de/static/audio/solos/dtl/AQAFmFcSSlKCL8rxBzeNL8fxB7_RB_6h_0.02.04.083047-0.02.18.085532.mp3", "link")</f>
        <v>link</v>
      </c>
      <c r="D330" t="s">
        <v>1570</v>
      </c>
      <c r="E330" t="s">
        <v>1571</v>
      </c>
      <c r="F330" t="s">
        <v>1572</v>
      </c>
      <c r="H330" t="s">
        <v>672</v>
      </c>
      <c r="I330">
        <v>83</v>
      </c>
      <c r="J330" t="s">
        <v>198</v>
      </c>
      <c r="K330" t="s">
        <v>1573</v>
      </c>
      <c r="L330" s="1" t="s">
        <v>1574</v>
      </c>
      <c r="M330" t="s">
        <v>129</v>
      </c>
      <c r="N330" t="s">
        <v>23</v>
      </c>
      <c r="O330" s="1" t="s">
        <v>1578</v>
      </c>
      <c r="P330" s="1" t="s">
        <v>1580</v>
      </c>
    </row>
    <row r="331" spans="1:17" x14ac:dyDescent="0.25">
      <c r="A331" t="s">
        <v>1581</v>
      </c>
      <c r="B331" t="str">
        <f>HYPERLINK("https://staging-dtl-pattern-api.hfm-weimar.de/static/audio/solos/dtl/AQAFmI7GKJIS4uVWjEfyFvkPljl-1Hgi_0.00.42.090095-0.01.27.047646.mp3", "link")</f>
        <v>link</v>
      </c>
      <c r="C331" t="s">
        <v>426</v>
      </c>
      <c r="D331" t="s">
        <v>417</v>
      </c>
      <c r="F331" t="s">
        <v>419</v>
      </c>
      <c r="H331" t="s">
        <v>420</v>
      </c>
      <c r="I331">
        <v>41</v>
      </c>
      <c r="J331" t="s">
        <v>141</v>
      </c>
      <c r="K331" t="s">
        <v>1582</v>
      </c>
      <c r="L331" s="1" t="s">
        <v>422</v>
      </c>
      <c r="M331" t="s">
        <v>129</v>
      </c>
      <c r="N331" t="s">
        <v>46</v>
      </c>
      <c r="O331" s="1" t="s">
        <v>1583</v>
      </c>
      <c r="P331" s="1" t="s">
        <v>1584</v>
      </c>
      <c r="Q331" s="1" t="s">
        <v>7167</v>
      </c>
    </row>
    <row r="332" spans="1:17" x14ac:dyDescent="0.25">
      <c r="A332" t="s">
        <v>1585</v>
      </c>
      <c r="B332" t="str">
        <f>HYPERLINK("https://staging-dtl-pattern-api.hfm-weimar.de/static/audio/solos/dtl/AQAFml3yaNGEPSGaiQGjYkoy7kX-IPkZ_0.00.51.026965-0.01.28.002684.mp3", "link")</f>
        <v>link</v>
      </c>
      <c r="C332" t="s">
        <v>1586</v>
      </c>
      <c r="D332" t="s">
        <v>1587</v>
      </c>
      <c r="E332" t="s">
        <v>1589</v>
      </c>
      <c r="F332" t="s">
        <v>1588</v>
      </c>
      <c r="G332" t="s">
        <v>1589</v>
      </c>
      <c r="H332" t="s">
        <v>1590</v>
      </c>
      <c r="I332">
        <v>91</v>
      </c>
      <c r="J332" t="s">
        <v>160</v>
      </c>
      <c r="K332" t="s">
        <v>1591</v>
      </c>
      <c r="L332" s="1" t="s">
        <v>1592</v>
      </c>
      <c r="M332" t="s">
        <v>309</v>
      </c>
      <c r="N332" t="s">
        <v>172</v>
      </c>
      <c r="O332" s="1" t="s">
        <v>1593</v>
      </c>
      <c r="P332" s="1" t="s">
        <v>1594</v>
      </c>
      <c r="Q332" s="1" t="s">
        <v>7218</v>
      </c>
    </row>
    <row r="333" spans="1:17" x14ac:dyDescent="0.25">
      <c r="A333" t="s">
        <v>1595</v>
      </c>
      <c r="B333" t="str">
        <f>HYPERLINK("https://staging-dtl-pattern-api.hfm-weimar.de/static/audio/solos/dtl/AQAFml3yaNGEPSGaiQGjYkoy7kX-IPkZ_0.01.32.025287-0.02.08.082430.mp3", "link")</f>
        <v>link</v>
      </c>
      <c r="C333" t="s">
        <v>1586</v>
      </c>
      <c r="D333" t="s">
        <v>1587</v>
      </c>
      <c r="E333" t="s">
        <v>1589</v>
      </c>
      <c r="F333" t="s">
        <v>1588</v>
      </c>
      <c r="G333" t="s">
        <v>1589</v>
      </c>
      <c r="H333" t="s">
        <v>1590</v>
      </c>
      <c r="I333">
        <v>91</v>
      </c>
      <c r="J333" t="s">
        <v>160</v>
      </c>
      <c r="K333" t="s">
        <v>1591</v>
      </c>
      <c r="L333" s="1" t="s">
        <v>1592</v>
      </c>
      <c r="M333" t="s">
        <v>309</v>
      </c>
      <c r="N333" t="s">
        <v>172</v>
      </c>
      <c r="O333" s="1" t="s">
        <v>1596</v>
      </c>
      <c r="P333" s="1" t="s">
        <v>1597</v>
      </c>
      <c r="Q333" s="1" t="s">
        <v>7218</v>
      </c>
    </row>
    <row r="334" spans="1:17" x14ac:dyDescent="0.25">
      <c r="A334" t="s">
        <v>1598</v>
      </c>
      <c r="B334" t="str">
        <f>HYPERLINK("https://staging-dtl-pattern-api.hfm-weimar.de/static/audio/solos/dtl/AQAFnQkfa5GC68EbBnnn4MkFP8Qz_Lgf_0.01.18.029768-0.01.51.008426.mp3", "link")</f>
        <v>link</v>
      </c>
      <c r="D334" t="s">
        <v>1599</v>
      </c>
      <c r="E334" t="s">
        <v>564</v>
      </c>
      <c r="F334" t="s">
        <v>1600</v>
      </c>
      <c r="G334" t="s">
        <v>1600</v>
      </c>
      <c r="H334" t="s">
        <v>1601</v>
      </c>
      <c r="I334">
        <v>93</v>
      </c>
      <c r="J334" t="s">
        <v>198</v>
      </c>
      <c r="K334" t="s">
        <v>1602</v>
      </c>
      <c r="L334" s="1" t="s">
        <v>1603</v>
      </c>
      <c r="M334" t="s">
        <v>182</v>
      </c>
      <c r="N334" t="s">
        <v>826</v>
      </c>
      <c r="O334" s="1" t="s">
        <v>1604</v>
      </c>
      <c r="P334" s="1" t="s">
        <v>1605</v>
      </c>
      <c r="Q334" s="1" t="s">
        <v>7219</v>
      </c>
    </row>
    <row r="335" spans="1:17" x14ac:dyDescent="0.25">
      <c r="A335" t="s">
        <v>1606</v>
      </c>
      <c r="B335" t="str">
        <f>HYPERLINK("https://staging-dtl-pattern-api.hfm-weimar.de/static/audio/solos/dtl/AQAFNsmSJEsSRYoC_fgVhN_QF654nIoc_0.01.02.046167-0.01.50.027156.mp3", "link")</f>
        <v>link</v>
      </c>
      <c r="D335" t="s">
        <v>1607</v>
      </c>
      <c r="E335" t="s">
        <v>7087</v>
      </c>
      <c r="F335" t="s">
        <v>1486</v>
      </c>
      <c r="H335" t="s">
        <v>1486</v>
      </c>
      <c r="I335">
        <v>6</v>
      </c>
      <c r="J335" t="s">
        <v>198</v>
      </c>
      <c r="K335" t="s">
        <v>1608</v>
      </c>
      <c r="L335" s="1" t="s">
        <v>1609</v>
      </c>
      <c r="M335" t="s">
        <v>1490</v>
      </c>
      <c r="N335" t="s">
        <v>826</v>
      </c>
      <c r="O335" s="1" t="s">
        <v>1610</v>
      </c>
      <c r="P335" s="1" t="s">
        <v>1611</v>
      </c>
      <c r="Q335" s="1" t="s">
        <v>7220</v>
      </c>
    </row>
    <row r="336" spans="1:17" x14ac:dyDescent="0.25">
      <c r="A336" t="s">
        <v>1612</v>
      </c>
      <c r="B336" t="str">
        <f>HYPERLINK("https://staging-dtl-pattern-api.hfm-weimar.de/static/audio/solos/dtl/AQAFnVokMVKTRKiVY_pBVTqiZyl0w0wu_0.00.59.024571-0.01.10.093986.mp3", "link")</f>
        <v>link</v>
      </c>
      <c r="D336" t="s">
        <v>1613</v>
      </c>
      <c r="E336" t="s">
        <v>1614</v>
      </c>
      <c r="F336" t="s">
        <v>595</v>
      </c>
      <c r="G336" t="s">
        <v>594</v>
      </c>
      <c r="H336" t="s">
        <v>596</v>
      </c>
      <c r="I336">
        <v>64</v>
      </c>
      <c r="J336" t="s">
        <v>198</v>
      </c>
      <c r="K336" t="s">
        <v>1615</v>
      </c>
      <c r="L336" s="1" t="s">
        <v>1616</v>
      </c>
      <c r="M336" t="s">
        <v>129</v>
      </c>
      <c r="N336" t="s">
        <v>23</v>
      </c>
      <c r="O336" s="1" t="s">
        <v>1617</v>
      </c>
      <c r="P336" s="1" t="s">
        <v>1618</v>
      </c>
    </row>
    <row r="337" spans="1:17" x14ac:dyDescent="0.25">
      <c r="A337" t="s">
        <v>1619</v>
      </c>
      <c r="B337" t="str">
        <f>HYPERLINK("https://staging-dtl-pattern-api.hfm-weimar.de/static/audio/solos/dtl/AQAFnVokMVKTRKiVY_pBVTqiZyl0w0wu_0.01.16.077877-0.01.22.096979.mp3", "link")</f>
        <v>link</v>
      </c>
      <c r="D337" t="s">
        <v>1613</v>
      </c>
      <c r="E337" t="s">
        <v>1614</v>
      </c>
      <c r="F337" t="s">
        <v>595</v>
      </c>
      <c r="G337" t="s">
        <v>594</v>
      </c>
      <c r="H337" t="s">
        <v>596</v>
      </c>
      <c r="I337">
        <v>64</v>
      </c>
      <c r="J337" t="s">
        <v>198</v>
      </c>
      <c r="K337" t="s">
        <v>1615</v>
      </c>
      <c r="L337" s="1" t="s">
        <v>1616</v>
      </c>
      <c r="M337" t="s">
        <v>129</v>
      </c>
      <c r="N337" t="s">
        <v>23</v>
      </c>
      <c r="O337" s="1" t="s">
        <v>1620</v>
      </c>
      <c r="P337" s="1" t="s">
        <v>1621</v>
      </c>
    </row>
    <row r="338" spans="1:17" x14ac:dyDescent="0.25">
      <c r="A338" t="s">
        <v>1622</v>
      </c>
      <c r="B338" t="str">
        <f>HYPERLINK("https://staging-dtl-pattern-api.hfm-weimar.de/static/audio/solos/dtl/AQAFnVokMVKTRKiVY_pBVTqiZyl0w0wu_0.01.22.096979-0.02.05.086448.mp3", "link")</f>
        <v>link</v>
      </c>
      <c r="D338" t="s">
        <v>1613</v>
      </c>
      <c r="E338" t="s">
        <v>594</v>
      </c>
      <c r="F338" t="s">
        <v>595</v>
      </c>
      <c r="G338" t="s">
        <v>594</v>
      </c>
      <c r="H338" t="s">
        <v>596</v>
      </c>
      <c r="I338">
        <v>64</v>
      </c>
      <c r="J338" t="s">
        <v>198</v>
      </c>
      <c r="K338" t="s">
        <v>1615</v>
      </c>
      <c r="L338" s="1" t="s">
        <v>1616</v>
      </c>
      <c r="M338" t="s">
        <v>129</v>
      </c>
      <c r="N338" t="s">
        <v>172</v>
      </c>
      <c r="O338" s="1" t="s">
        <v>1621</v>
      </c>
      <c r="P338" s="1" t="s">
        <v>1623</v>
      </c>
    </row>
    <row r="339" spans="1:17" x14ac:dyDescent="0.25">
      <c r="A339" t="s">
        <v>1624</v>
      </c>
      <c r="B339" t="str">
        <f>HYPERLINK("https://staging-dtl-pattern-api.hfm-weimar.de/static/audio/solos/dtl/AQAFo1I2JVKUJAt-fIePHs9RHf5Rqw9K_0.00.33.020453-0.01.45.084816.mp3", "link")</f>
        <v>link</v>
      </c>
      <c r="D339" t="s">
        <v>1625</v>
      </c>
      <c r="E339" t="s">
        <v>353</v>
      </c>
      <c r="F339" t="s">
        <v>1626</v>
      </c>
      <c r="G339" t="s">
        <v>353</v>
      </c>
      <c r="H339" t="s">
        <v>1627</v>
      </c>
      <c r="I339">
        <v>45</v>
      </c>
      <c r="J339" t="s">
        <v>126</v>
      </c>
      <c r="K339" t="s">
        <v>1628</v>
      </c>
      <c r="L339" s="1" t="s">
        <v>1629</v>
      </c>
      <c r="M339" t="s">
        <v>1630</v>
      </c>
      <c r="N339" t="s">
        <v>23</v>
      </c>
      <c r="O339" s="1" t="s">
        <v>1631</v>
      </c>
      <c r="P339" s="1" t="s">
        <v>1632</v>
      </c>
    </row>
    <row r="340" spans="1:17" x14ac:dyDescent="0.25">
      <c r="A340" t="s">
        <v>1633</v>
      </c>
      <c r="B340" t="str">
        <f>HYPERLINK("https://staging-dtl-pattern-api.hfm-weimar.de/static/audio/solos/dtl/AQAFo1I2JVKUJAt-fIePHs9RHf5Rqw9K_0.02.14.003428-0.02.27.098367.mp3", "link")</f>
        <v>link</v>
      </c>
      <c r="D340" t="s">
        <v>1625</v>
      </c>
      <c r="E340" t="s">
        <v>353</v>
      </c>
      <c r="F340" t="s">
        <v>1626</v>
      </c>
      <c r="G340" t="s">
        <v>353</v>
      </c>
      <c r="H340" t="s">
        <v>1627</v>
      </c>
      <c r="I340">
        <v>45</v>
      </c>
      <c r="J340" t="s">
        <v>126</v>
      </c>
      <c r="K340" t="s">
        <v>1628</v>
      </c>
      <c r="L340" s="1" t="s">
        <v>1629</v>
      </c>
      <c r="M340" t="s">
        <v>1630</v>
      </c>
      <c r="N340" t="s">
        <v>23</v>
      </c>
      <c r="O340" s="1" t="s">
        <v>1634</v>
      </c>
      <c r="P340" s="1" t="s">
        <v>1635</v>
      </c>
    </row>
    <row r="341" spans="1:17" x14ac:dyDescent="0.25">
      <c r="A341" t="s">
        <v>1636</v>
      </c>
      <c r="B341" t="str">
        <f>HYPERLINK("https://staging-dtl-pattern-api.hfm-weimar.de/static/audio/solos/dtl/AQAFoFG2UyH2Qz_OQTOVB42WHl1zNNAP_0.00.34.055129-0.01.01.034712.mp3", "link")</f>
        <v>link</v>
      </c>
      <c r="C341" t="s">
        <v>577</v>
      </c>
      <c r="D341" t="s">
        <v>1637</v>
      </c>
      <c r="F341" t="s">
        <v>1638</v>
      </c>
      <c r="G341" t="s">
        <v>123</v>
      </c>
      <c r="H341" t="s">
        <v>839</v>
      </c>
      <c r="I341">
        <v>79</v>
      </c>
      <c r="J341" t="s">
        <v>126</v>
      </c>
      <c r="K341" t="s">
        <v>1639</v>
      </c>
      <c r="L341" s="1" t="s">
        <v>1640</v>
      </c>
      <c r="M341" t="s">
        <v>129</v>
      </c>
      <c r="N341" t="s">
        <v>23</v>
      </c>
      <c r="O341" s="1" t="s">
        <v>1641</v>
      </c>
      <c r="P341" s="1" t="s">
        <v>1642</v>
      </c>
    </row>
    <row r="342" spans="1:17" x14ac:dyDescent="0.25">
      <c r="A342" t="s">
        <v>1643</v>
      </c>
      <c r="B342" t="str">
        <f>HYPERLINK("https://staging-dtl-pattern-api.hfm-weimar.de/static/audio/solos/dtl/AQAFoFG2UyH2Qz_OQTOVB42WHl1zNNAP_0.01.01.034712-0.01.29.028653.mp3", "link")</f>
        <v>link</v>
      </c>
      <c r="D342" t="s">
        <v>1637</v>
      </c>
      <c r="E342" t="s">
        <v>1644</v>
      </c>
      <c r="F342" t="s">
        <v>1638</v>
      </c>
      <c r="G342" t="s">
        <v>123</v>
      </c>
      <c r="H342" t="s">
        <v>839</v>
      </c>
      <c r="I342">
        <v>79</v>
      </c>
      <c r="J342" t="s">
        <v>126</v>
      </c>
      <c r="K342" t="s">
        <v>1639</v>
      </c>
      <c r="L342" s="1" t="s">
        <v>1640</v>
      </c>
      <c r="M342" t="s">
        <v>129</v>
      </c>
      <c r="N342" t="s">
        <v>172</v>
      </c>
      <c r="O342" s="1" t="s">
        <v>1642</v>
      </c>
      <c r="P342" s="1" t="s">
        <v>1645</v>
      </c>
    </row>
    <row r="343" spans="1:17" x14ac:dyDescent="0.25">
      <c r="A343" t="s">
        <v>1646</v>
      </c>
      <c r="B343" t="str">
        <f>HYPERLINK("https://staging-dtl-pattern-api.hfm-weimar.de/static/audio/solos/dtl/AQAFoFG2UyH2Qz_OQTOVB42WHl1zNNAP_0.01.29.028653-0.01.56.098213.mp3", "link")</f>
        <v>link</v>
      </c>
      <c r="C343" t="s">
        <v>577</v>
      </c>
      <c r="D343" t="s">
        <v>1637</v>
      </c>
      <c r="F343" t="s">
        <v>1638</v>
      </c>
      <c r="G343" t="s">
        <v>123</v>
      </c>
      <c r="H343" t="s">
        <v>839</v>
      </c>
      <c r="I343">
        <v>79</v>
      </c>
      <c r="J343" t="s">
        <v>126</v>
      </c>
      <c r="K343" t="s">
        <v>1639</v>
      </c>
      <c r="L343" s="1" t="s">
        <v>1640</v>
      </c>
      <c r="M343" t="s">
        <v>129</v>
      </c>
      <c r="N343" t="s">
        <v>23</v>
      </c>
      <c r="O343" s="1" t="s">
        <v>1645</v>
      </c>
      <c r="P343" s="1" t="s">
        <v>1647</v>
      </c>
    </row>
    <row r="344" spans="1:17" x14ac:dyDescent="0.25">
      <c r="A344" t="s">
        <v>1648</v>
      </c>
      <c r="B344" t="str">
        <f>HYPERLINK("https://staging-dtl-pattern-api.hfm-weimar.de/static/audio/solos/dtl/AQAFoFG2UyH2Qz_OQTOVB42WHl1zNNAP_0.01.56.098213-0.02.24.066031.mp3", "link")</f>
        <v>link</v>
      </c>
      <c r="C344" t="s">
        <v>577</v>
      </c>
      <c r="D344" t="s">
        <v>1637</v>
      </c>
      <c r="F344" t="s">
        <v>1638</v>
      </c>
      <c r="G344" t="s">
        <v>123</v>
      </c>
      <c r="H344" t="s">
        <v>839</v>
      </c>
      <c r="I344">
        <v>79</v>
      </c>
      <c r="J344" t="s">
        <v>126</v>
      </c>
      <c r="K344" t="s">
        <v>1639</v>
      </c>
      <c r="L344" s="1" t="s">
        <v>1640</v>
      </c>
      <c r="M344" t="s">
        <v>129</v>
      </c>
      <c r="N344" t="s">
        <v>23</v>
      </c>
      <c r="O344" s="1" t="s">
        <v>1647</v>
      </c>
      <c r="P344" s="1" t="s">
        <v>1649</v>
      </c>
    </row>
    <row r="345" spans="1:17" x14ac:dyDescent="0.25">
      <c r="A345" t="s">
        <v>1650</v>
      </c>
      <c r="B345" t="str">
        <f>HYPERLINK("https://staging-dtl-pattern-api.hfm-weimar.de/static/audio/solos/dtl/AQAFoFG2UyH2Qz_OQTOVB42WHl1zNNAP_0.02.24.066031-0.02.27.005197.mp3", "link")</f>
        <v>link</v>
      </c>
      <c r="C345" t="s">
        <v>577</v>
      </c>
      <c r="D345" t="s">
        <v>1637</v>
      </c>
      <c r="F345" t="s">
        <v>1638</v>
      </c>
      <c r="G345" t="s">
        <v>123</v>
      </c>
      <c r="H345" t="s">
        <v>839</v>
      </c>
      <c r="I345">
        <v>79</v>
      </c>
      <c r="J345" t="s">
        <v>126</v>
      </c>
      <c r="K345" t="s">
        <v>1639</v>
      </c>
      <c r="L345" s="1" t="s">
        <v>1640</v>
      </c>
      <c r="M345" t="s">
        <v>129</v>
      </c>
      <c r="N345" t="s">
        <v>23</v>
      </c>
      <c r="O345" s="1" t="s">
        <v>1649</v>
      </c>
      <c r="P345" s="1" t="s">
        <v>1651</v>
      </c>
    </row>
    <row r="346" spans="1:17" x14ac:dyDescent="0.25">
      <c r="A346" t="s">
        <v>1652</v>
      </c>
      <c r="B346" t="str">
        <f>HYPERLINK("https://staging-dtl-pattern-api.hfm-weimar.de/static/audio/solos/dtl/AQAFoFG2UyH2Qz_OQTOVB42WHl1zNNAP_0.02.27.005197-0.02.30.092970.mp3", "link")</f>
        <v>link</v>
      </c>
      <c r="D346" t="s">
        <v>1637</v>
      </c>
      <c r="E346" t="s">
        <v>1644</v>
      </c>
      <c r="F346" t="s">
        <v>1638</v>
      </c>
      <c r="G346" t="s">
        <v>123</v>
      </c>
      <c r="H346" t="s">
        <v>839</v>
      </c>
      <c r="I346">
        <v>79</v>
      </c>
      <c r="J346" t="s">
        <v>126</v>
      </c>
      <c r="K346" t="s">
        <v>1639</v>
      </c>
      <c r="L346" s="1" t="s">
        <v>1640</v>
      </c>
      <c r="M346" t="s">
        <v>129</v>
      </c>
      <c r="N346" t="s">
        <v>172</v>
      </c>
      <c r="O346" s="1" t="s">
        <v>1651</v>
      </c>
      <c r="P346" s="1" t="s">
        <v>1653</v>
      </c>
    </row>
    <row r="347" spans="1:17" x14ac:dyDescent="0.25">
      <c r="A347" t="s">
        <v>1654</v>
      </c>
      <c r="B347" t="str">
        <f>HYPERLINK("https://staging-dtl-pattern-api.hfm-weimar.de/static/audio/solos/dtl/AQAFoFG2UyH2Qz_OQTOVB42WHl1zNNAP_0.02.30.092970-0.02.34.059845.mp3", "link")</f>
        <v>link</v>
      </c>
      <c r="C347" t="s">
        <v>577</v>
      </c>
      <c r="D347" t="s">
        <v>1637</v>
      </c>
      <c r="F347" t="s">
        <v>1638</v>
      </c>
      <c r="G347" t="s">
        <v>123</v>
      </c>
      <c r="H347" t="s">
        <v>839</v>
      </c>
      <c r="I347">
        <v>79</v>
      </c>
      <c r="J347" t="s">
        <v>126</v>
      </c>
      <c r="K347" t="s">
        <v>1639</v>
      </c>
      <c r="L347" s="1" t="s">
        <v>1640</v>
      </c>
      <c r="M347" t="s">
        <v>129</v>
      </c>
      <c r="N347" t="s">
        <v>23</v>
      </c>
      <c r="O347" s="1" t="s">
        <v>1653</v>
      </c>
      <c r="P347" s="1" t="s">
        <v>1655</v>
      </c>
    </row>
    <row r="348" spans="1:17" x14ac:dyDescent="0.25">
      <c r="A348" t="s">
        <v>1656</v>
      </c>
      <c r="B348" t="str">
        <f>HYPERLINK("https://staging-dtl-pattern-api.hfm-weimar.de/static/audio/solos/dtl/AQAFoFG2UyH2Qz_OQTOVB42WHl1zNNAP_0.02.34.059845-0.02.37.084925.mp3", "link")</f>
        <v>link</v>
      </c>
      <c r="C348" t="s">
        <v>577</v>
      </c>
      <c r="D348" t="s">
        <v>1637</v>
      </c>
      <c r="F348" t="s">
        <v>1638</v>
      </c>
      <c r="G348" t="s">
        <v>123</v>
      </c>
      <c r="H348" t="s">
        <v>839</v>
      </c>
      <c r="I348">
        <v>79</v>
      </c>
      <c r="J348" t="s">
        <v>126</v>
      </c>
      <c r="K348" t="s">
        <v>1639</v>
      </c>
      <c r="L348" s="1" t="s">
        <v>1640</v>
      </c>
      <c r="M348" t="s">
        <v>129</v>
      </c>
      <c r="N348" t="s">
        <v>23</v>
      </c>
      <c r="O348" s="1" t="s">
        <v>1655</v>
      </c>
      <c r="P348" s="1" t="s">
        <v>1657</v>
      </c>
    </row>
    <row r="349" spans="1:17" x14ac:dyDescent="0.25">
      <c r="A349" t="s">
        <v>1658</v>
      </c>
      <c r="B349" t="str">
        <f>HYPERLINK("https://staging-dtl-pattern-api.hfm-weimar.de/static/audio/solos/dtl/AQAFON8mPQkeJ_iDH-45XB_04yeew8Ej_0.00.30.043265-0.00.56.032000.mp3", "link")</f>
        <v>link</v>
      </c>
      <c r="D349" t="s">
        <v>1659</v>
      </c>
      <c r="E349" t="s">
        <v>148</v>
      </c>
      <c r="F349" t="s">
        <v>1660</v>
      </c>
      <c r="G349" t="s">
        <v>1661</v>
      </c>
      <c r="H349" t="s">
        <v>1662</v>
      </c>
      <c r="I349">
        <v>75</v>
      </c>
      <c r="J349" t="s">
        <v>126</v>
      </c>
      <c r="K349" t="s">
        <v>1342</v>
      </c>
      <c r="L349" s="1" t="s">
        <v>1663</v>
      </c>
      <c r="M349" t="s">
        <v>129</v>
      </c>
      <c r="N349" t="s">
        <v>23</v>
      </c>
      <c r="O349" s="1" t="s">
        <v>1664</v>
      </c>
      <c r="P349" s="1" t="s">
        <v>1665</v>
      </c>
    </row>
    <row r="350" spans="1:17" x14ac:dyDescent="0.25">
      <c r="A350" t="s">
        <v>1666</v>
      </c>
      <c r="B350" t="str">
        <f>HYPERLINK("https://staging-dtl-pattern-api.hfm-weimar.de/static/audio/solos/dtl/AQAFON8mPQkeJ_iDH-45XB_04yeew8Ej_0.00.56.032000-0.01.22.092426.mp3", "link")</f>
        <v>link</v>
      </c>
      <c r="D350" t="s">
        <v>1659</v>
      </c>
      <c r="E350" t="s">
        <v>1661</v>
      </c>
      <c r="F350" t="s">
        <v>1660</v>
      </c>
      <c r="G350" t="s">
        <v>1661</v>
      </c>
      <c r="H350" t="s">
        <v>1662</v>
      </c>
      <c r="I350">
        <v>75</v>
      </c>
      <c r="J350" t="s">
        <v>126</v>
      </c>
      <c r="K350" t="s">
        <v>1342</v>
      </c>
      <c r="L350" s="1" t="s">
        <v>1663</v>
      </c>
      <c r="M350" t="s">
        <v>129</v>
      </c>
      <c r="N350" t="s">
        <v>46</v>
      </c>
      <c r="O350" s="1" t="s">
        <v>1665</v>
      </c>
      <c r="P350" s="1" t="s">
        <v>1667</v>
      </c>
    </row>
    <row r="351" spans="1:17" x14ac:dyDescent="0.25">
      <c r="A351" t="s">
        <v>1668</v>
      </c>
      <c r="B351" t="str">
        <f>HYPERLINK("https://staging-dtl-pattern-api.hfm-weimar.de/static/audio/solos/dtl/AQAFON8mPQkeJ_iDH-45XB_04yeew8Ej_0.01.22.092426-0.01.52.080544.mp3", "link")</f>
        <v>link</v>
      </c>
      <c r="D351" t="s">
        <v>1659</v>
      </c>
      <c r="E351" t="s">
        <v>1669</v>
      </c>
      <c r="F351" t="s">
        <v>1660</v>
      </c>
      <c r="G351" t="s">
        <v>1661</v>
      </c>
      <c r="H351" t="s">
        <v>1662</v>
      </c>
      <c r="I351">
        <v>75</v>
      </c>
      <c r="J351" t="s">
        <v>126</v>
      </c>
      <c r="K351" t="s">
        <v>1342</v>
      </c>
      <c r="L351" s="1" t="s">
        <v>1663</v>
      </c>
      <c r="M351" t="s">
        <v>129</v>
      </c>
      <c r="N351" t="s">
        <v>622</v>
      </c>
      <c r="O351" s="1" t="s">
        <v>1667</v>
      </c>
      <c r="P351" s="1" t="s">
        <v>1670</v>
      </c>
    </row>
    <row r="352" spans="1:17" x14ac:dyDescent="0.25">
      <c r="A352" t="s">
        <v>1671</v>
      </c>
      <c r="B352" t="str">
        <f>HYPERLINK("https://staging-dtl-pattern-api.hfm-weimar.de/static/audio/solos/dtl/AQAFPe0yaUqSYDoLPpUwnMlxhRC36XhS_0.01.19.069959-0.01.29.080897.mp3", "link")</f>
        <v>link</v>
      </c>
      <c r="D352" t="s">
        <v>1672</v>
      </c>
      <c r="E352" t="s">
        <v>687</v>
      </c>
      <c r="F352" t="s">
        <v>1673</v>
      </c>
      <c r="G352" t="s">
        <v>1133</v>
      </c>
      <c r="H352" t="s">
        <v>1674</v>
      </c>
      <c r="I352">
        <v>70</v>
      </c>
      <c r="J352" t="s">
        <v>198</v>
      </c>
      <c r="K352" t="s">
        <v>1675</v>
      </c>
      <c r="L352" s="1" t="s">
        <v>1676</v>
      </c>
      <c r="M352" t="s">
        <v>129</v>
      </c>
      <c r="N352" t="s">
        <v>622</v>
      </c>
      <c r="O352" s="1" t="s">
        <v>1677</v>
      </c>
      <c r="P352" s="1" t="s">
        <v>1678</v>
      </c>
      <c r="Q352" s="1" t="s">
        <v>7221</v>
      </c>
    </row>
    <row r="353" spans="1:17" x14ac:dyDescent="0.25">
      <c r="A353" t="s">
        <v>1679</v>
      </c>
      <c r="B353" t="str">
        <f>HYPERLINK("https://staging-dtl-pattern-api.hfm-weimar.de/static/audio/solos/dtl/AQAFPe0yaUqSYDoLPpUwnMlxhRC36XhS_0.01.29.080897-0.01.39.089224.mp3", "link")</f>
        <v>link</v>
      </c>
      <c r="D353" t="s">
        <v>1672</v>
      </c>
      <c r="E353" t="s">
        <v>1680</v>
      </c>
      <c r="F353" t="s">
        <v>1673</v>
      </c>
      <c r="G353" t="s">
        <v>1133</v>
      </c>
      <c r="H353" t="s">
        <v>1674</v>
      </c>
      <c r="I353">
        <v>70</v>
      </c>
      <c r="J353" t="s">
        <v>198</v>
      </c>
      <c r="K353" t="s">
        <v>1675</v>
      </c>
      <c r="L353" s="1" t="s">
        <v>1676</v>
      </c>
      <c r="M353" t="s">
        <v>129</v>
      </c>
      <c r="N353" t="s">
        <v>109</v>
      </c>
      <c r="O353" s="1" t="s">
        <v>1678</v>
      </c>
      <c r="P353" s="1" t="s">
        <v>1681</v>
      </c>
    </row>
    <row r="354" spans="1:17" x14ac:dyDescent="0.25">
      <c r="A354" t="s">
        <v>1682</v>
      </c>
      <c r="B354" t="str">
        <f>HYPERLINK("https://staging-dtl-pattern-api.hfm-weimar.de/static/audio/solos/dtl/AQAFPe0yaUqSYDoLPpUwnMlxhRC36XhS_0.01.39.089224-0.01.50.005387.mp3", "link")</f>
        <v>link</v>
      </c>
      <c r="D354" t="s">
        <v>1672</v>
      </c>
      <c r="E354" t="s">
        <v>687</v>
      </c>
      <c r="F354" t="s">
        <v>1673</v>
      </c>
      <c r="G354" t="s">
        <v>1133</v>
      </c>
      <c r="H354" t="s">
        <v>1674</v>
      </c>
      <c r="I354">
        <v>70</v>
      </c>
      <c r="J354" t="s">
        <v>198</v>
      </c>
      <c r="K354" t="s">
        <v>1675</v>
      </c>
      <c r="L354" s="1" t="s">
        <v>1676</v>
      </c>
      <c r="M354" t="s">
        <v>129</v>
      </c>
      <c r="N354" t="s">
        <v>622</v>
      </c>
      <c r="O354" s="1" t="s">
        <v>1681</v>
      </c>
      <c r="P354" s="1" t="s">
        <v>1683</v>
      </c>
      <c r="Q354" s="1" t="s">
        <v>7221</v>
      </c>
    </row>
    <row r="355" spans="1:17" x14ac:dyDescent="0.25">
      <c r="A355" t="s">
        <v>1684</v>
      </c>
      <c r="B355" t="str">
        <f>HYPERLINK("https://staging-dtl-pattern-api.hfm-weimar.de/static/audio/solos/dtl/AQAFPe0yaUqSYDoLPpUwnMlxhRC36XhS_0.01.50.005387-0.01.59.040571.mp3", "link")</f>
        <v>link</v>
      </c>
      <c r="D355" t="s">
        <v>1672</v>
      </c>
      <c r="E355" t="s">
        <v>1680</v>
      </c>
      <c r="F355" t="s">
        <v>1673</v>
      </c>
      <c r="G355" t="s">
        <v>1133</v>
      </c>
      <c r="H355" t="s">
        <v>1674</v>
      </c>
      <c r="I355">
        <v>70</v>
      </c>
      <c r="J355" t="s">
        <v>198</v>
      </c>
      <c r="K355" t="s">
        <v>1675</v>
      </c>
      <c r="L355" s="1" t="s">
        <v>1676</v>
      </c>
      <c r="M355" t="s">
        <v>129</v>
      </c>
      <c r="N355" t="s">
        <v>109</v>
      </c>
      <c r="O355" s="1" t="s">
        <v>1683</v>
      </c>
      <c r="P355" s="1" t="s">
        <v>1685</v>
      </c>
    </row>
    <row r="356" spans="1:17" x14ac:dyDescent="0.25">
      <c r="A356" t="s">
        <v>1686</v>
      </c>
      <c r="B356" t="str">
        <f>HYPERLINK("https://staging-dtl-pattern-api.hfm-weimar.de/static/audio/solos/dtl/AQAFptGYSEwe_PgPMsFVHU2dEHV6qI6O_0.00.47.049061-0.01.15.067383.mp3", "link")</f>
        <v>link</v>
      </c>
      <c r="D356" t="s">
        <v>1687</v>
      </c>
      <c r="E356" t="s">
        <v>1688</v>
      </c>
      <c r="F356" t="s">
        <v>1689</v>
      </c>
      <c r="G356" t="s">
        <v>1690</v>
      </c>
      <c r="H356" t="s">
        <v>1691</v>
      </c>
      <c r="I356">
        <v>74</v>
      </c>
      <c r="J356" t="s">
        <v>126</v>
      </c>
      <c r="K356" t="s">
        <v>1692</v>
      </c>
      <c r="L356" s="1" t="s">
        <v>1693</v>
      </c>
      <c r="M356" t="s">
        <v>309</v>
      </c>
      <c r="N356" t="s">
        <v>46</v>
      </c>
      <c r="O356" s="1" t="s">
        <v>1694</v>
      </c>
      <c r="P356" s="1" t="s">
        <v>1695</v>
      </c>
    </row>
    <row r="357" spans="1:17" x14ac:dyDescent="0.25">
      <c r="A357" t="s">
        <v>1696</v>
      </c>
      <c r="B357" t="str">
        <f>HYPERLINK("https://staging-dtl-pattern-api.hfm-weimar.de/static/audio/solos/dtl/AQAFptGYSEwe_PgPMsFVHU2dEHV6qI6O_0.01.42.044643-0.01.57.037687.mp3", "link")</f>
        <v>link</v>
      </c>
      <c r="D357" t="s">
        <v>1687</v>
      </c>
      <c r="E357" t="s">
        <v>507</v>
      </c>
      <c r="F357" t="s">
        <v>1689</v>
      </c>
      <c r="G357" t="s">
        <v>1690</v>
      </c>
      <c r="H357" t="s">
        <v>1691</v>
      </c>
      <c r="I357">
        <v>74</v>
      </c>
      <c r="J357" t="s">
        <v>126</v>
      </c>
      <c r="K357" t="s">
        <v>1692</v>
      </c>
      <c r="L357" s="1" t="s">
        <v>1693</v>
      </c>
      <c r="M357" t="s">
        <v>309</v>
      </c>
      <c r="N357" t="s">
        <v>23</v>
      </c>
      <c r="O357" s="1" t="s">
        <v>1697</v>
      </c>
      <c r="P357" s="1" t="s">
        <v>1698</v>
      </c>
    </row>
    <row r="358" spans="1:17" x14ac:dyDescent="0.25">
      <c r="A358" t="s">
        <v>1699</v>
      </c>
      <c r="B358" t="str">
        <f>HYPERLINK("https://staging-dtl-pattern-api.hfm-weimar.de/static/audio/solos/dtl/AQAFptGYSEwe_PgPMsFVHU2dEHV6qI6O_0.01.57.037687-0.02.11.026240.mp3", "link")</f>
        <v>link</v>
      </c>
      <c r="D358" t="s">
        <v>1687</v>
      </c>
      <c r="E358" t="s">
        <v>1690</v>
      </c>
      <c r="F358" t="s">
        <v>1689</v>
      </c>
      <c r="G358" t="s">
        <v>1690</v>
      </c>
      <c r="H358" t="s">
        <v>1691</v>
      </c>
      <c r="I358">
        <v>74</v>
      </c>
      <c r="J358" t="s">
        <v>126</v>
      </c>
      <c r="K358" t="s">
        <v>1692</v>
      </c>
      <c r="L358" s="1" t="s">
        <v>1693</v>
      </c>
      <c r="M358" t="s">
        <v>309</v>
      </c>
      <c r="N358" t="s">
        <v>172</v>
      </c>
      <c r="O358" s="1" t="s">
        <v>1698</v>
      </c>
      <c r="P358" s="1" t="s">
        <v>1700</v>
      </c>
    </row>
    <row r="359" spans="1:17" x14ac:dyDescent="0.25">
      <c r="A359" t="s">
        <v>1701</v>
      </c>
      <c r="B359" t="str">
        <f>HYPERLINK("https://staging-dtl-pattern-api.hfm-weimar.de/static/audio/solos/dtl/AQAFptGYSEwe_PgPMsFVHU2dEHV6qI6O_0.02.11.026240-0.02.24.093895.mp3", "link")</f>
        <v>link</v>
      </c>
      <c r="D359" t="s">
        <v>1687</v>
      </c>
      <c r="E359" t="s">
        <v>507</v>
      </c>
      <c r="F359" t="s">
        <v>1689</v>
      </c>
      <c r="G359" t="s">
        <v>1690</v>
      </c>
      <c r="H359" t="s">
        <v>1691</v>
      </c>
      <c r="I359">
        <v>74</v>
      </c>
      <c r="J359" t="s">
        <v>126</v>
      </c>
      <c r="K359" t="s">
        <v>1692</v>
      </c>
      <c r="L359" s="1" t="s">
        <v>1693</v>
      </c>
      <c r="M359" t="s">
        <v>309</v>
      </c>
      <c r="N359" t="s">
        <v>23</v>
      </c>
      <c r="O359" s="1" t="s">
        <v>1700</v>
      </c>
      <c r="P359" s="1" t="s">
        <v>1702</v>
      </c>
    </row>
    <row r="360" spans="1:17" x14ac:dyDescent="0.25">
      <c r="A360" t="s">
        <v>1703</v>
      </c>
      <c r="B360" t="str">
        <f>HYPERLINK("https://staging-dtl-pattern-api.hfm-weimar.de/static/audio/solos/dtl/AQAFpV8USaIUdMRn-EePszixKzqyR53Q_0.02.23.024390-0.03.01.060000.mp3", "link")</f>
        <v>link</v>
      </c>
      <c r="D360" t="s">
        <v>1704</v>
      </c>
      <c r="E360" t="s">
        <v>1705</v>
      </c>
      <c r="F360" t="s">
        <v>1706</v>
      </c>
      <c r="G360" t="s">
        <v>1705</v>
      </c>
      <c r="H360" t="s">
        <v>1707</v>
      </c>
      <c r="I360">
        <v>1</v>
      </c>
      <c r="J360" t="s">
        <v>126</v>
      </c>
      <c r="K360" t="s">
        <v>1708</v>
      </c>
      <c r="L360" s="1" t="s">
        <v>1709</v>
      </c>
      <c r="M360" t="s">
        <v>182</v>
      </c>
      <c r="N360" t="s">
        <v>329</v>
      </c>
      <c r="O360" s="1" t="s">
        <v>1710</v>
      </c>
      <c r="P360" s="1" t="s">
        <v>1711</v>
      </c>
    </row>
    <row r="361" spans="1:17" x14ac:dyDescent="0.25">
      <c r="A361" t="s">
        <v>1712</v>
      </c>
      <c r="B361" t="str">
        <f>HYPERLINK("https://staging-dtl-pattern-api.hfm-weimar.de/static/audio/solos/dtl/AQAFPYykRImSLErQhFr0IJ-hegmTIU90_0.00.54.073897-0.01.13.075755.mp3", "link")</f>
        <v>link</v>
      </c>
      <c r="D361" t="s">
        <v>1713</v>
      </c>
      <c r="E361" t="s">
        <v>1314</v>
      </c>
      <c r="F361" t="s">
        <v>138</v>
      </c>
      <c r="G361" t="s">
        <v>139</v>
      </c>
      <c r="H361" t="s">
        <v>1714</v>
      </c>
      <c r="I361">
        <v>40</v>
      </c>
      <c r="J361" t="s">
        <v>141</v>
      </c>
      <c r="K361" t="s">
        <v>1715</v>
      </c>
      <c r="L361" s="1" t="s">
        <v>1716</v>
      </c>
      <c r="M361" t="s">
        <v>129</v>
      </c>
      <c r="N361" t="s">
        <v>46</v>
      </c>
      <c r="O361" s="1" t="s">
        <v>1717</v>
      </c>
      <c r="P361" s="1" t="s">
        <v>1718</v>
      </c>
    </row>
    <row r="362" spans="1:17" x14ac:dyDescent="0.25">
      <c r="A362" t="s">
        <v>1719</v>
      </c>
      <c r="B362" t="str">
        <f>HYPERLINK("https://staging-dtl-pattern-api.hfm-weimar.de/static/audio/solos/dtl/AQAFPYykRImSLErQhFr0IJ-hegmTIU90_0.01.13.075755-0.01.22.037823.mp3", "link")</f>
        <v>link</v>
      </c>
      <c r="D362" t="s">
        <v>1713</v>
      </c>
      <c r="E362" t="s">
        <v>137</v>
      </c>
      <c r="F362" t="s">
        <v>138</v>
      </c>
      <c r="G362" t="s">
        <v>139</v>
      </c>
      <c r="H362" t="s">
        <v>1714</v>
      </c>
      <c r="I362">
        <v>40</v>
      </c>
      <c r="J362" t="s">
        <v>141</v>
      </c>
      <c r="K362" t="s">
        <v>1715</v>
      </c>
      <c r="L362" s="1" t="s">
        <v>1716</v>
      </c>
      <c r="M362" t="s">
        <v>129</v>
      </c>
      <c r="N362" t="s">
        <v>109</v>
      </c>
      <c r="O362" s="1" t="s">
        <v>1718</v>
      </c>
      <c r="P362" s="1" t="s">
        <v>1720</v>
      </c>
    </row>
    <row r="363" spans="1:17" x14ac:dyDescent="0.25">
      <c r="A363" t="s">
        <v>1721</v>
      </c>
      <c r="B363" t="str">
        <f>HYPERLINK("https://staging-dtl-pattern-api.hfm-weimar.de/static/audio/solos/dtl/AQAFPYykRImSLErQhFr0IJ-hegmTIU90_0.01.22.037823-0.01.29.059873.mp3", "link")</f>
        <v>link</v>
      </c>
      <c r="D363" t="s">
        <v>1713</v>
      </c>
      <c r="E363" t="s">
        <v>1314</v>
      </c>
      <c r="F363" t="s">
        <v>138</v>
      </c>
      <c r="G363" t="s">
        <v>139</v>
      </c>
      <c r="H363" t="s">
        <v>1714</v>
      </c>
      <c r="I363">
        <v>40</v>
      </c>
      <c r="J363" t="s">
        <v>141</v>
      </c>
      <c r="K363" t="s">
        <v>1715</v>
      </c>
      <c r="L363" s="1" t="s">
        <v>1716</v>
      </c>
      <c r="M363" t="s">
        <v>129</v>
      </c>
      <c r="N363" t="s">
        <v>46</v>
      </c>
      <c r="O363" s="1" t="s">
        <v>1720</v>
      </c>
      <c r="P363" s="1" t="s">
        <v>1722</v>
      </c>
    </row>
    <row r="364" spans="1:17" x14ac:dyDescent="0.25">
      <c r="A364" t="s">
        <v>1723</v>
      </c>
      <c r="B364" t="str">
        <f>HYPERLINK("https://staging-dtl-pattern-api.hfm-weimar.de/static/audio/solos/dtl/AQAFPYykRImSLErQhFr0IJ-hegmTIU90_0.01.50.060571-0.02.08.006095.mp3", "link")</f>
        <v>link</v>
      </c>
      <c r="D364" t="s">
        <v>1713</v>
      </c>
      <c r="E364" t="s">
        <v>1308</v>
      </c>
      <c r="F364" t="s">
        <v>138</v>
      </c>
      <c r="G364" t="s">
        <v>139</v>
      </c>
      <c r="H364" t="s">
        <v>1714</v>
      </c>
      <c r="I364">
        <v>40</v>
      </c>
      <c r="J364" t="s">
        <v>141</v>
      </c>
      <c r="K364" t="s">
        <v>1715</v>
      </c>
      <c r="L364" s="1" t="s">
        <v>1716</v>
      </c>
      <c r="M364" t="s">
        <v>129</v>
      </c>
      <c r="N364" t="s">
        <v>202</v>
      </c>
      <c r="O364" s="1" t="s">
        <v>1724</v>
      </c>
      <c r="P364" s="1" t="s">
        <v>1725</v>
      </c>
    </row>
    <row r="365" spans="1:17" x14ac:dyDescent="0.25">
      <c r="A365" t="s">
        <v>1726</v>
      </c>
      <c r="B365" t="str">
        <f>HYPERLINK("https://staging-dtl-pattern-api.hfm-weimar.de/static/audio/solos/dtl/AQAFPYykRImSLErQhFr0IJ-hegmTIU90_0.02.27.098530-0.02.36.066068.mp3", "link")</f>
        <v>link</v>
      </c>
      <c r="D365" t="s">
        <v>1713</v>
      </c>
      <c r="E365" t="s">
        <v>137</v>
      </c>
      <c r="F365" t="s">
        <v>138</v>
      </c>
      <c r="G365" t="s">
        <v>139</v>
      </c>
      <c r="H365" t="s">
        <v>1714</v>
      </c>
      <c r="I365">
        <v>40</v>
      </c>
      <c r="J365" t="s">
        <v>141</v>
      </c>
      <c r="K365" t="s">
        <v>1715</v>
      </c>
      <c r="L365" s="1" t="s">
        <v>1716</v>
      </c>
      <c r="M365" t="s">
        <v>129</v>
      </c>
      <c r="N365" t="s">
        <v>109</v>
      </c>
      <c r="O365" s="1" t="s">
        <v>1727</v>
      </c>
      <c r="P365" s="1" t="s">
        <v>1728</v>
      </c>
    </row>
    <row r="366" spans="1:17" x14ac:dyDescent="0.25">
      <c r="A366" t="s">
        <v>1729</v>
      </c>
      <c r="B366" t="str">
        <f>HYPERLINK("https://staging-dtl-pattern-api.hfm-weimar.de/static/audio/solos/dtl/AQAFq0kiaXk27HqgJWQePIxd5FKOh8eP_0.00.44.086385-0.01.15.042857.mp3", "link")</f>
        <v>link</v>
      </c>
      <c r="D366" t="s">
        <v>1730</v>
      </c>
      <c r="E366" t="s">
        <v>137</v>
      </c>
      <c r="F366" t="s">
        <v>138</v>
      </c>
      <c r="G366" t="s">
        <v>139</v>
      </c>
      <c r="H366" t="s">
        <v>1714</v>
      </c>
      <c r="I366">
        <v>40</v>
      </c>
      <c r="J366" t="s">
        <v>141</v>
      </c>
      <c r="K366" t="s">
        <v>1731</v>
      </c>
      <c r="L366" s="1" t="s">
        <v>1732</v>
      </c>
      <c r="M366" t="s">
        <v>129</v>
      </c>
      <c r="N366" t="s">
        <v>109</v>
      </c>
      <c r="O366" s="1" t="s">
        <v>1733</v>
      </c>
      <c r="P366" s="1" t="s">
        <v>1734</v>
      </c>
    </row>
    <row r="367" spans="1:17" x14ac:dyDescent="0.25">
      <c r="A367" t="s">
        <v>1735</v>
      </c>
      <c r="B367" t="str">
        <f>HYPERLINK("https://staging-dtl-pattern-api.hfm-weimar.de/static/audio/solos/dtl/AQAFq0kiaXk27HqgJWQePIxd5FKOh8eP_0.01.18.088870-0.01.47.073333.mp3", "link")</f>
        <v>link</v>
      </c>
      <c r="D367" t="s">
        <v>1730</v>
      </c>
      <c r="E367" t="s">
        <v>1314</v>
      </c>
      <c r="F367" t="s">
        <v>138</v>
      </c>
      <c r="G367" t="s">
        <v>139</v>
      </c>
      <c r="H367" t="s">
        <v>1714</v>
      </c>
      <c r="I367">
        <v>40</v>
      </c>
      <c r="J367" t="s">
        <v>141</v>
      </c>
      <c r="K367" t="s">
        <v>1731</v>
      </c>
      <c r="L367" s="1" t="s">
        <v>1732</v>
      </c>
      <c r="M367" t="s">
        <v>129</v>
      </c>
      <c r="N367" t="s">
        <v>46</v>
      </c>
      <c r="O367" s="1" t="s">
        <v>1736</v>
      </c>
      <c r="P367" s="1" t="s">
        <v>1737</v>
      </c>
    </row>
    <row r="368" spans="1:17" x14ac:dyDescent="0.25">
      <c r="A368" t="s">
        <v>1738</v>
      </c>
      <c r="B368" t="str">
        <f>HYPERLINK("https://staging-dtl-pattern-api.hfm-weimar.de/static/audio/solos/dtl/AQAFq0kiaXk27HqgJWQePIxd5FKOh8eP_0.01.47.073333-0.02.20.018122.mp3", "link")</f>
        <v>link</v>
      </c>
      <c r="D368" t="s">
        <v>1730</v>
      </c>
      <c r="E368" t="s">
        <v>1308</v>
      </c>
      <c r="F368" t="s">
        <v>138</v>
      </c>
      <c r="G368" t="s">
        <v>139</v>
      </c>
      <c r="H368" t="s">
        <v>1714</v>
      </c>
      <c r="I368">
        <v>40</v>
      </c>
      <c r="J368" t="s">
        <v>141</v>
      </c>
      <c r="K368" t="s">
        <v>1731</v>
      </c>
      <c r="L368" s="1" t="s">
        <v>1732</v>
      </c>
      <c r="M368" t="s">
        <v>129</v>
      </c>
      <c r="N368" t="s">
        <v>202</v>
      </c>
      <c r="O368" s="1" t="s">
        <v>1737</v>
      </c>
      <c r="P368" s="1" t="s">
        <v>1739</v>
      </c>
    </row>
    <row r="369" spans="1:17" x14ac:dyDescent="0.25">
      <c r="A369" t="s">
        <v>1740</v>
      </c>
      <c r="B369" t="str">
        <f>HYPERLINK("https://staging-dtl-pattern-api.hfm-weimar.de/static/audio/solos/dtl/AQAFQ1G0RNHm4YqHR8-hVcmEXMfRp8ZT_0.00.45.010476-0.01.15.081315.mp3", "link")</f>
        <v>link</v>
      </c>
      <c r="D369" t="s">
        <v>1741</v>
      </c>
      <c r="E369" t="s">
        <v>280</v>
      </c>
      <c r="F369" t="s">
        <v>1742</v>
      </c>
      <c r="G369" t="s">
        <v>1449</v>
      </c>
      <c r="H369" t="s">
        <v>509</v>
      </c>
      <c r="I369">
        <v>73</v>
      </c>
      <c r="J369" t="s">
        <v>126</v>
      </c>
      <c r="K369" t="s">
        <v>1743</v>
      </c>
      <c r="L369" s="1" t="s">
        <v>1744</v>
      </c>
      <c r="M369" t="s">
        <v>129</v>
      </c>
      <c r="N369" t="s">
        <v>46</v>
      </c>
      <c r="O369" s="1" t="s">
        <v>1745</v>
      </c>
      <c r="P369" s="1" t="s">
        <v>1746</v>
      </c>
    </row>
    <row r="370" spans="1:17" x14ac:dyDescent="0.25">
      <c r="A370" t="s">
        <v>1747</v>
      </c>
      <c r="B370" t="str">
        <f>HYPERLINK("https://staging-dtl-pattern-api.hfm-weimar.de/static/audio/solos/dtl/AQAFQ1G0RNHm4YqHR8-hVcmEXMfRp8ZT_0.01.15.081315-0.01.46.005714.mp3", "link")</f>
        <v>link</v>
      </c>
      <c r="D370" t="s">
        <v>1741</v>
      </c>
      <c r="E370" t="s">
        <v>507</v>
      </c>
      <c r="F370" t="s">
        <v>1742</v>
      </c>
      <c r="G370" t="s">
        <v>1449</v>
      </c>
      <c r="H370" t="s">
        <v>509</v>
      </c>
      <c r="I370">
        <v>73</v>
      </c>
      <c r="J370" t="s">
        <v>126</v>
      </c>
      <c r="K370" t="s">
        <v>1743</v>
      </c>
      <c r="L370" s="1" t="s">
        <v>1744</v>
      </c>
      <c r="M370" t="s">
        <v>129</v>
      </c>
      <c r="N370" t="s">
        <v>23</v>
      </c>
      <c r="O370" s="1" t="s">
        <v>1746</v>
      </c>
      <c r="P370" s="1" t="s">
        <v>1748</v>
      </c>
    </row>
    <row r="371" spans="1:17" x14ac:dyDescent="0.25">
      <c r="A371" t="s">
        <v>1749</v>
      </c>
      <c r="B371" t="str">
        <f>HYPERLINK("https://staging-dtl-pattern-api.hfm-weimar.de/static/audio/solos/dtl/AQAFQ1G0RNHm4YqHR8-hVcmEXMfRp8ZT_0.01.46.005714-0.02.09.030031.mp3", "link")</f>
        <v>link</v>
      </c>
      <c r="D371" t="s">
        <v>1741</v>
      </c>
      <c r="E371" t="s">
        <v>1690</v>
      </c>
      <c r="F371" t="s">
        <v>1742</v>
      </c>
      <c r="G371" t="s">
        <v>1449</v>
      </c>
      <c r="H371" t="s">
        <v>509</v>
      </c>
      <c r="I371">
        <v>73</v>
      </c>
      <c r="J371" t="s">
        <v>126</v>
      </c>
      <c r="K371" t="s">
        <v>1743</v>
      </c>
      <c r="L371" s="1" t="s">
        <v>1744</v>
      </c>
      <c r="M371" t="s">
        <v>129</v>
      </c>
      <c r="N371" t="s">
        <v>172</v>
      </c>
      <c r="O371" s="1" t="s">
        <v>1748</v>
      </c>
      <c r="P371" s="1" t="s">
        <v>1750</v>
      </c>
    </row>
    <row r="372" spans="1:17" x14ac:dyDescent="0.25">
      <c r="A372" t="s">
        <v>1751</v>
      </c>
      <c r="B372" t="str">
        <f>HYPERLINK("https://staging-dtl-pattern-api.hfm-weimar.de/static/audio/solos/dtl/AQAFQFOSMIqiMOAB_MGP40IYzQn0K8in_0.01.36.022349-0.02.08.001160.mp3", "link")</f>
        <v>link</v>
      </c>
      <c r="D372" t="s">
        <v>1752</v>
      </c>
      <c r="E372" t="s">
        <v>1753</v>
      </c>
      <c r="F372" t="s">
        <v>1754</v>
      </c>
      <c r="H372" t="s">
        <v>1755</v>
      </c>
      <c r="I372">
        <v>16</v>
      </c>
      <c r="J372" t="s">
        <v>198</v>
      </c>
      <c r="K372" t="s">
        <v>1756</v>
      </c>
      <c r="L372" s="1" t="s">
        <v>1757</v>
      </c>
      <c r="M372" t="s">
        <v>201</v>
      </c>
      <c r="N372" t="s">
        <v>172</v>
      </c>
      <c r="O372" s="1" t="s">
        <v>1758</v>
      </c>
      <c r="P372" s="1" t="s">
        <v>1759</v>
      </c>
    </row>
    <row r="373" spans="1:17" x14ac:dyDescent="0.25">
      <c r="A373" t="s">
        <v>1760</v>
      </c>
      <c r="B373" t="str">
        <f>HYPERLINK("https://staging-dtl-pattern-api.hfm-weimar.de/static/audio/solos/dtl/AQAFQhKjZkoYoU9yNKGGOJeRHP8l9Etc_0.00.43.072897-0.01.24.084759.mp3", "link")</f>
        <v>link</v>
      </c>
      <c r="D373" t="s">
        <v>1761</v>
      </c>
      <c r="E373" t="s">
        <v>235</v>
      </c>
      <c r="F373" t="s">
        <v>1762</v>
      </c>
      <c r="G373" t="s">
        <v>235</v>
      </c>
      <c r="H373" t="s">
        <v>1763</v>
      </c>
      <c r="I373">
        <v>35</v>
      </c>
      <c r="J373" t="s">
        <v>141</v>
      </c>
      <c r="K373" t="s">
        <v>1764</v>
      </c>
      <c r="L373" s="1" t="s">
        <v>1765</v>
      </c>
      <c r="M373" t="s">
        <v>129</v>
      </c>
      <c r="N373" t="s">
        <v>23</v>
      </c>
      <c r="O373" s="1" t="s">
        <v>1766</v>
      </c>
      <c r="P373" s="1" t="s">
        <v>1767</v>
      </c>
    </row>
    <row r="374" spans="1:17" x14ac:dyDescent="0.25">
      <c r="A374" t="s">
        <v>1768</v>
      </c>
      <c r="B374" t="str">
        <f>HYPERLINK("https://staging-dtl-pattern-api.hfm-weimar.de/static/audio/solos/dtl/AQAFQhKjZkoYoU9yNKGGOJeRHP8l9Etc_0.02.05.041510-0.02.49.034666.mp3", "link")</f>
        <v>link</v>
      </c>
      <c r="D374" t="s">
        <v>1761</v>
      </c>
      <c r="E374" t="s">
        <v>235</v>
      </c>
      <c r="F374" t="s">
        <v>1762</v>
      </c>
      <c r="G374" t="s">
        <v>235</v>
      </c>
      <c r="H374" t="s">
        <v>1763</v>
      </c>
      <c r="I374">
        <v>35</v>
      </c>
      <c r="J374" t="s">
        <v>141</v>
      </c>
      <c r="K374" t="s">
        <v>1764</v>
      </c>
      <c r="L374" s="1" t="s">
        <v>1765</v>
      </c>
      <c r="M374" t="s">
        <v>129</v>
      </c>
      <c r="N374" t="s">
        <v>23</v>
      </c>
      <c r="O374" s="1" t="s">
        <v>1769</v>
      </c>
      <c r="P374" s="1" t="s">
        <v>1770</v>
      </c>
    </row>
    <row r="375" spans="1:17" x14ac:dyDescent="0.25">
      <c r="A375" t="s">
        <v>1771</v>
      </c>
      <c r="B375" t="str">
        <f>HYPERLINK("https://staging-dtl-pattern-api.hfm-weimar.de/static/audio/solos/dtl/AQAFQlGURkmU7GjeQ1t6In_waDH8Hp9z_0.01.07.015210-0.01.24.070639.mp3", "link")</f>
        <v>link</v>
      </c>
      <c r="D375" t="s">
        <v>1772</v>
      </c>
      <c r="E375" t="s">
        <v>670</v>
      </c>
      <c r="F375" t="s">
        <v>1773</v>
      </c>
      <c r="H375" t="s">
        <v>672</v>
      </c>
      <c r="I375">
        <v>83</v>
      </c>
      <c r="J375" t="s">
        <v>198</v>
      </c>
      <c r="K375" t="s">
        <v>1774</v>
      </c>
      <c r="L375" s="1" t="s">
        <v>1775</v>
      </c>
      <c r="M375" t="s">
        <v>129</v>
      </c>
      <c r="N375" t="s">
        <v>172</v>
      </c>
      <c r="O375" s="1" t="s">
        <v>1776</v>
      </c>
      <c r="P375" s="1" t="s">
        <v>1777</v>
      </c>
      <c r="Q375" s="1" t="s">
        <v>7222</v>
      </c>
    </row>
    <row r="376" spans="1:17" x14ac:dyDescent="0.25">
      <c r="A376" t="s">
        <v>1778</v>
      </c>
      <c r="B376" t="str">
        <f>HYPERLINK("https://staging-dtl-pattern-api.hfm-weimar.de/static/audio/solos/dtl/AQAFQlGURkmU7GjeQ1t6In_waDH8Hp9z_0.01.24.070639-0.01.33.011201.mp3", "link")</f>
        <v>link</v>
      </c>
      <c r="D376" t="s">
        <v>1772</v>
      </c>
      <c r="E376" t="s">
        <v>1779</v>
      </c>
      <c r="F376" t="s">
        <v>1773</v>
      </c>
      <c r="H376" t="s">
        <v>672</v>
      </c>
      <c r="I376">
        <v>83</v>
      </c>
      <c r="J376" t="s">
        <v>198</v>
      </c>
      <c r="K376" t="s">
        <v>1774</v>
      </c>
      <c r="L376" s="1" t="s">
        <v>1775</v>
      </c>
      <c r="M376" t="s">
        <v>129</v>
      </c>
      <c r="N376" t="s">
        <v>329</v>
      </c>
      <c r="O376" s="1" t="s">
        <v>1777</v>
      </c>
      <c r="P376" s="1" t="s">
        <v>1780</v>
      </c>
    </row>
    <row r="377" spans="1:17" x14ac:dyDescent="0.25">
      <c r="A377" t="s">
        <v>1781</v>
      </c>
      <c r="B377" t="str">
        <f>HYPERLINK("https://staging-dtl-pattern-api.hfm-weimar.de/static/audio/solos/dtl/AQAFQlGURkmU7GjeQ1t6In_waDH8Hp9z_0.01.33.011201-0.01.41.061632.mp3", "link")</f>
        <v>link</v>
      </c>
      <c r="D377" t="s">
        <v>1772</v>
      </c>
      <c r="E377" t="s">
        <v>670</v>
      </c>
      <c r="F377" t="s">
        <v>1773</v>
      </c>
      <c r="H377" t="s">
        <v>672</v>
      </c>
      <c r="I377">
        <v>83</v>
      </c>
      <c r="J377" t="s">
        <v>198</v>
      </c>
      <c r="K377" t="s">
        <v>1774</v>
      </c>
      <c r="L377" s="1" t="s">
        <v>1775</v>
      </c>
      <c r="M377" t="s">
        <v>129</v>
      </c>
      <c r="N377" t="s">
        <v>172</v>
      </c>
      <c r="O377" s="1" t="s">
        <v>1780</v>
      </c>
      <c r="P377" s="1" t="s">
        <v>1782</v>
      </c>
      <c r="Q377" s="1" t="s">
        <v>7222</v>
      </c>
    </row>
    <row r="378" spans="1:17" x14ac:dyDescent="0.25">
      <c r="A378" t="s">
        <v>1783</v>
      </c>
      <c r="B378" t="str">
        <f>HYPERLINK("https://staging-dtl-pattern-api.hfm-weimar.de/static/audio/solos/dtl/AQAFQlGURkmU7GjeQ1t6In_waDH8Hp9z_0.02.21.071428-0.02.43.039591.mp3", "link")</f>
        <v>link</v>
      </c>
      <c r="D378" t="s">
        <v>1772</v>
      </c>
      <c r="E378" t="s">
        <v>670</v>
      </c>
      <c r="F378" t="s">
        <v>1773</v>
      </c>
      <c r="H378" t="s">
        <v>672</v>
      </c>
      <c r="I378">
        <v>83</v>
      </c>
      <c r="J378" t="s">
        <v>198</v>
      </c>
      <c r="K378" t="s">
        <v>1774</v>
      </c>
      <c r="L378" s="1" t="s">
        <v>1775</v>
      </c>
      <c r="M378" t="s">
        <v>129</v>
      </c>
      <c r="N378" t="s">
        <v>172</v>
      </c>
      <c r="O378" s="1" t="s">
        <v>1784</v>
      </c>
      <c r="P378" s="1" t="s">
        <v>1785</v>
      </c>
    </row>
    <row r="379" spans="1:17" x14ac:dyDescent="0.25">
      <c r="A379" t="s">
        <v>1786</v>
      </c>
      <c r="B379" t="str">
        <f>HYPERLINK("https://staging-dtl-pattern-api.hfm-weimar.de/static/audio/solos/dtl/AQAFqpISRbESEfmR7Awa7RmOP7iO78jl_0.02.14.011845-0.02.37.061705.mp3", "link")</f>
        <v>link</v>
      </c>
      <c r="D379" t="s">
        <v>1787</v>
      </c>
      <c r="E379" t="s">
        <v>564</v>
      </c>
      <c r="F379" t="s">
        <v>1788</v>
      </c>
      <c r="G379" t="s">
        <v>1788</v>
      </c>
      <c r="H379" t="s">
        <v>1601</v>
      </c>
      <c r="I379">
        <v>93</v>
      </c>
      <c r="J379" t="s">
        <v>198</v>
      </c>
      <c r="K379" t="s">
        <v>1789</v>
      </c>
      <c r="L379" s="1" t="s">
        <v>1790</v>
      </c>
      <c r="M379" t="s">
        <v>182</v>
      </c>
      <c r="N379" t="s">
        <v>826</v>
      </c>
      <c r="O379" s="1" t="s">
        <v>1791</v>
      </c>
      <c r="P379" s="1" t="s">
        <v>1792</v>
      </c>
      <c r="Q379" s="1" t="s">
        <v>7219</v>
      </c>
    </row>
    <row r="380" spans="1:17" x14ac:dyDescent="0.25">
      <c r="A380" t="s">
        <v>1793</v>
      </c>
      <c r="B380" t="str">
        <f>HYPERLINK("https://staging-dtl-pattern-api.hfm-weimar.de/static/audio/solos/dtl/AQAFRkqjKZci9IeJRD6y4yN-wTweeDp6_0.00.38.022004-0.01.15.013977.mp3", "link")</f>
        <v>link</v>
      </c>
      <c r="D380" t="s">
        <v>1794</v>
      </c>
      <c r="E380" t="s">
        <v>1795</v>
      </c>
      <c r="F380" t="s">
        <v>1796</v>
      </c>
      <c r="G380" t="s">
        <v>325</v>
      </c>
      <c r="H380" t="s">
        <v>1627</v>
      </c>
      <c r="I380">
        <v>45</v>
      </c>
      <c r="J380" t="s">
        <v>126</v>
      </c>
      <c r="K380" t="s">
        <v>1797</v>
      </c>
      <c r="L380" s="1" t="s">
        <v>1798</v>
      </c>
      <c r="M380" t="s">
        <v>129</v>
      </c>
      <c r="N380" t="s">
        <v>109</v>
      </c>
      <c r="O380" s="1" t="s">
        <v>1799</v>
      </c>
      <c r="P380" s="1" t="s">
        <v>1800</v>
      </c>
    </row>
    <row r="381" spans="1:17" x14ac:dyDescent="0.25">
      <c r="A381" t="s">
        <v>1801</v>
      </c>
      <c r="B381" t="str">
        <f>HYPERLINK("https://staging-dtl-pattern-api.hfm-weimar.de/static/audio/solos/dtl/AQAFRkqjKZci9IeJRD6y4yN-wTweeDp6_0.01.15.013977-0.02.05.036453.mp3", "link")</f>
        <v>link</v>
      </c>
      <c r="D381" t="s">
        <v>1794</v>
      </c>
      <c r="E381" t="s">
        <v>353</v>
      </c>
      <c r="F381" t="s">
        <v>1796</v>
      </c>
      <c r="G381" t="s">
        <v>325</v>
      </c>
      <c r="H381" t="s">
        <v>1627</v>
      </c>
      <c r="I381">
        <v>45</v>
      </c>
      <c r="J381" t="s">
        <v>126</v>
      </c>
      <c r="K381" t="s">
        <v>1797</v>
      </c>
      <c r="L381" s="1" t="s">
        <v>1798</v>
      </c>
      <c r="M381" t="s">
        <v>129</v>
      </c>
      <c r="N381" t="s">
        <v>23</v>
      </c>
      <c r="O381" s="1" t="s">
        <v>1800</v>
      </c>
      <c r="P381" s="1" t="s">
        <v>1802</v>
      </c>
    </row>
    <row r="382" spans="1:17" x14ac:dyDescent="0.25">
      <c r="A382" t="s">
        <v>1803</v>
      </c>
      <c r="B382" t="str">
        <f>HYPERLINK("https://staging-dtl-pattern-api.hfm-weimar.de/static/audio/solos/dtl/AQAFS6KS5EkSRYF5nMwRKj-0pJqFn1CU_0.00.48.087800-0.01.07.008244.mp3", "link")</f>
        <v>link</v>
      </c>
      <c r="C382" t="s">
        <v>1804</v>
      </c>
      <c r="D382" t="s">
        <v>1805</v>
      </c>
      <c r="F382" t="s">
        <v>1806</v>
      </c>
      <c r="H382" t="s">
        <v>1807</v>
      </c>
      <c r="I382">
        <v>74</v>
      </c>
      <c r="J382" t="s">
        <v>141</v>
      </c>
      <c r="K382" t="s">
        <v>1808</v>
      </c>
      <c r="L382" s="1" t="s">
        <v>1809</v>
      </c>
      <c r="M382" t="s">
        <v>129</v>
      </c>
      <c r="N382" t="s">
        <v>46</v>
      </c>
      <c r="O382" s="1" t="s">
        <v>1810</v>
      </c>
      <c r="P382" s="1" t="s">
        <v>1811</v>
      </c>
      <c r="Q382" s="1" t="s">
        <v>7167</v>
      </c>
    </row>
    <row r="383" spans="1:17" x14ac:dyDescent="0.25">
      <c r="A383" t="s">
        <v>1812</v>
      </c>
      <c r="B383" t="str">
        <f>HYPERLINK("https://staging-dtl-pattern-api.hfm-weimar.de/static/audio/solos/dtl/AQAFS6KS5EkSRYF5nMwRKj-0pJqFn1CU_0.01.07.008244-0.01.25.054231.mp3", "link")</f>
        <v>link</v>
      </c>
      <c r="D383" t="s">
        <v>1805</v>
      </c>
      <c r="E383" t="s">
        <v>1813</v>
      </c>
      <c r="F383" t="s">
        <v>1806</v>
      </c>
      <c r="H383" t="s">
        <v>1807</v>
      </c>
      <c r="I383">
        <v>74</v>
      </c>
      <c r="J383" t="s">
        <v>141</v>
      </c>
      <c r="K383" t="s">
        <v>1808</v>
      </c>
      <c r="L383" s="1" t="s">
        <v>1809</v>
      </c>
      <c r="M383" t="s">
        <v>129</v>
      </c>
      <c r="N383" t="s">
        <v>202</v>
      </c>
      <c r="O383" s="1" t="s">
        <v>1811</v>
      </c>
      <c r="P383" s="1" t="s">
        <v>1814</v>
      </c>
    </row>
    <row r="384" spans="1:17" x14ac:dyDescent="0.25">
      <c r="A384" t="s">
        <v>1815</v>
      </c>
      <c r="B384" t="str">
        <f>HYPERLINK("https://staging-dtl-pattern-api.hfm-weimar.de/static/audio/solos/dtl/AQAFS6KS5EkSRYF5nMwRKj-0pJqFn1CU_0.01.25.054231-0.02.01.044036.mp3", "link")</f>
        <v>link</v>
      </c>
      <c r="D384" t="s">
        <v>1805</v>
      </c>
      <c r="E384" t="s">
        <v>266</v>
      </c>
      <c r="F384" t="s">
        <v>1806</v>
      </c>
      <c r="H384" t="s">
        <v>1807</v>
      </c>
      <c r="I384">
        <v>74</v>
      </c>
      <c r="J384" t="s">
        <v>141</v>
      </c>
      <c r="K384" t="s">
        <v>1808</v>
      </c>
      <c r="L384" s="1" t="s">
        <v>1809</v>
      </c>
      <c r="M384" t="s">
        <v>129</v>
      </c>
      <c r="N384" t="s">
        <v>23</v>
      </c>
      <c r="O384" s="1" t="s">
        <v>1814</v>
      </c>
      <c r="P384" s="1" t="s">
        <v>1816</v>
      </c>
    </row>
    <row r="385" spans="1:17" x14ac:dyDescent="0.25">
      <c r="A385" t="s">
        <v>1817</v>
      </c>
      <c r="B385" t="str">
        <f>HYPERLINK("https://staging-dtl-pattern-api.hfm-weimar.de/static/audio/solos/dtl/AQAFsEq4ZAvDBE_CKvjBiXnQDmGUQrUi_0.01.27.051020-0.01.58.013877.mp3", "link")</f>
        <v>link</v>
      </c>
      <c r="D385" t="s">
        <v>1818</v>
      </c>
      <c r="E385" t="s">
        <v>137</v>
      </c>
      <c r="F385" t="s">
        <v>227</v>
      </c>
      <c r="G385" t="s">
        <v>228</v>
      </c>
      <c r="H385" t="s">
        <v>1819</v>
      </c>
      <c r="I385">
        <v>3</v>
      </c>
      <c r="J385" t="s">
        <v>160</v>
      </c>
      <c r="K385" t="s">
        <v>1820</v>
      </c>
      <c r="L385" s="1" t="s">
        <v>1821</v>
      </c>
      <c r="M385" t="s">
        <v>129</v>
      </c>
      <c r="N385" t="s">
        <v>109</v>
      </c>
      <c r="O385" s="1" t="s">
        <v>1822</v>
      </c>
      <c r="P385" s="1" t="s">
        <v>1823</v>
      </c>
    </row>
    <row r="386" spans="1:17" x14ac:dyDescent="0.25">
      <c r="A386" t="s">
        <v>1824</v>
      </c>
      <c r="B386" t="str">
        <f>HYPERLINK("https://staging-dtl-pattern-api.hfm-weimar.de/static/audio/solos/dtl/AQAFsEq4ZAvDBE_CKvjBiXnQDmGUQrUi_0.01.58.013877-0.02.28.037551.mp3", "link")</f>
        <v>link</v>
      </c>
      <c r="C386" t="s">
        <v>1825</v>
      </c>
      <c r="D386" t="s">
        <v>1818</v>
      </c>
      <c r="E386" t="s">
        <v>2192</v>
      </c>
      <c r="F386" t="s">
        <v>227</v>
      </c>
      <c r="G386" t="s">
        <v>228</v>
      </c>
      <c r="H386" t="s">
        <v>1819</v>
      </c>
      <c r="I386">
        <v>3</v>
      </c>
      <c r="J386" t="s">
        <v>160</v>
      </c>
      <c r="K386" t="s">
        <v>1820</v>
      </c>
      <c r="L386" s="1" t="s">
        <v>1821</v>
      </c>
      <c r="M386" t="s">
        <v>129</v>
      </c>
      <c r="N386" t="s">
        <v>46</v>
      </c>
      <c r="O386" s="1" t="s">
        <v>1823</v>
      </c>
      <c r="P386" s="1" t="s">
        <v>1826</v>
      </c>
      <c r="Q386" s="1" t="s">
        <v>7223</v>
      </c>
    </row>
    <row r="387" spans="1:17" x14ac:dyDescent="0.25">
      <c r="A387" t="s">
        <v>1827</v>
      </c>
      <c r="B387" t="str">
        <f>HYPERLINK("https://staging-dtl-pattern-api.hfm-weimar.de/static/audio/solos/dtl/AQAFsEq4ZAvDBE_CKvjBiXnQDmGUQrUi_0.02.44.090811-0.02.52.047782.mp3", "link")</f>
        <v>link</v>
      </c>
      <c r="C387" t="s">
        <v>1828</v>
      </c>
      <c r="D387" t="s">
        <v>1818</v>
      </c>
      <c r="F387" t="s">
        <v>227</v>
      </c>
      <c r="G387" t="s">
        <v>228</v>
      </c>
      <c r="H387" t="s">
        <v>1819</v>
      </c>
      <c r="I387">
        <v>3</v>
      </c>
      <c r="J387" t="s">
        <v>160</v>
      </c>
      <c r="K387" t="s">
        <v>1820</v>
      </c>
      <c r="L387" s="1" t="s">
        <v>1821</v>
      </c>
      <c r="M387" t="s">
        <v>129</v>
      </c>
      <c r="N387" t="s">
        <v>202</v>
      </c>
      <c r="O387" s="1" t="s">
        <v>1829</v>
      </c>
      <c r="P387" s="1" t="s">
        <v>1830</v>
      </c>
    </row>
    <row r="388" spans="1:17" x14ac:dyDescent="0.25">
      <c r="A388" t="s">
        <v>1831</v>
      </c>
      <c r="B388" t="str">
        <f>HYPERLINK("https://staging-dtl-pattern-api.hfm-weimar.de/static/audio/solos/dtl/AQAFSFIiiuGSJNgl-PTQR8fjG5d4PFkY_0.01.02.048489-0.01.33.048353.mp3", "link")</f>
        <v>link</v>
      </c>
      <c r="D388" t="s">
        <v>1832</v>
      </c>
      <c r="E388" t="s">
        <v>1833</v>
      </c>
      <c r="F388" t="s">
        <v>1834</v>
      </c>
      <c r="H388" t="s">
        <v>1835</v>
      </c>
      <c r="I388">
        <v>46</v>
      </c>
      <c r="J388" t="s">
        <v>198</v>
      </c>
      <c r="K388" t="s">
        <v>1836</v>
      </c>
      <c r="L388" s="1" t="s">
        <v>1837</v>
      </c>
      <c r="M388" t="s">
        <v>129</v>
      </c>
      <c r="N388" t="s">
        <v>622</v>
      </c>
      <c r="O388" s="1" t="s">
        <v>1838</v>
      </c>
      <c r="P388" s="1" t="s">
        <v>1839</v>
      </c>
    </row>
    <row r="389" spans="1:17" x14ac:dyDescent="0.25">
      <c r="A389" t="s">
        <v>1840</v>
      </c>
      <c r="B389" t="str">
        <f>HYPERLINK("https://staging-dtl-pattern-api.hfm-weimar.de/static/audio/solos/dtl/AQAFt4lEKtOa4EmyFydToj384GMUOITO_0.01.48.001922-0.02.28.023619.mp3", "link")</f>
        <v>link</v>
      </c>
      <c r="D389" t="s">
        <v>1787</v>
      </c>
      <c r="E389" t="s">
        <v>564</v>
      </c>
      <c r="F389" t="s">
        <v>1788</v>
      </c>
      <c r="G389" t="s">
        <v>1788</v>
      </c>
      <c r="H389" t="s">
        <v>1601</v>
      </c>
      <c r="I389">
        <v>93</v>
      </c>
      <c r="J389" t="s">
        <v>198</v>
      </c>
      <c r="K389" t="s">
        <v>1841</v>
      </c>
      <c r="L389" s="1" t="s">
        <v>1790</v>
      </c>
      <c r="M389" t="s">
        <v>182</v>
      </c>
      <c r="N389" t="s">
        <v>826</v>
      </c>
      <c r="O389" s="1" t="s">
        <v>1842</v>
      </c>
      <c r="P389" s="1" t="s">
        <v>1843</v>
      </c>
      <c r="Q389" s="1" t="s">
        <v>7219</v>
      </c>
    </row>
    <row r="390" spans="1:17" x14ac:dyDescent="0.25">
      <c r="A390" t="s">
        <v>1844</v>
      </c>
      <c r="B390" t="str">
        <f>HYPERLINK("https://staging-dtl-pattern-api.hfm-weimar.de/static/audio/solos/dtl/AQAFt9ITKdGD48GXHT6uPDh3YU2PJkou_0.00.01.045850-0.00.09.032317.mp3", "link")</f>
        <v>link</v>
      </c>
      <c r="D390" t="s">
        <v>1845</v>
      </c>
      <c r="E390" t="s">
        <v>460</v>
      </c>
      <c r="F390" t="s">
        <v>1846</v>
      </c>
      <c r="G390" t="s">
        <v>460</v>
      </c>
      <c r="H390" t="s">
        <v>343</v>
      </c>
      <c r="I390">
        <v>18</v>
      </c>
      <c r="J390" t="s">
        <v>141</v>
      </c>
      <c r="K390" t="s">
        <v>1847</v>
      </c>
      <c r="L390" s="1" t="s">
        <v>1848</v>
      </c>
      <c r="M390" t="s">
        <v>129</v>
      </c>
      <c r="N390" t="s">
        <v>202</v>
      </c>
      <c r="O390" s="1" t="s">
        <v>1849</v>
      </c>
      <c r="P390" s="1" t="s">
        <v>1850</v>
      </c>
    </row>
    <row r="391" spans="1:17" x14ac:dyDescent="0.25">
      <c r="A391" t="s">
        <v>1851</v>
      </c>
      <c r="B391" t="str">
        <f>HYPERLINK("https://staging-dtl-pattern-api.hfm-weimar.de/static/audio/solos/dtl/AQAFt9ITKdGD48GXHT6uPDh3YU2PJkou_0.02.53.025714-0.03.01.034857.mp3", "link")</f>
        <v>link</v>
      </c>
      <c r="D391" t="s">
        <v>1845</v>
      </c>
      <c r="E391" t="s">
        <v>460</v>
      </c>
      <c r="F391" t="s">
        <v>1846</v>
      </c>
      <c r="G391" t="s">
        <v>460</v>
      </c>
      <c r="H391" t="s">
        <v>343</v>
      </c>
      <c r="I391">
        <v>18</v>
      </c>
      <c r="J391" t="s">
        <v>141</v>
      </c>
      <c r="K391" t="s">
        <v>1847</v>
      </c>
      <c r="L391" s="1" t="s">
        <v>1848</v>
      </c>
      <c r="M391" t="s">
        <v>129</v>
      </c>
      <c r="N391" t="s">
        <v>202</v>
      </c>
      <c r="O391" s="1" t="s">
        <v>1852</v>
      </c>
      <c r="P391" s="1" t="s">
        <v>1853</v>
      </c>
    </row>
    <row r="392" spans="1:17" x14ac:dyDescent="0.25">
      <c r="A392" t="s">
        <v>1854</v>
      </c>
      <c r="B392" t="str">
        <f>HYPERLINK("https://staging-dtl-pattern-api.hfm-weimar.de/static/audio/solos/dtl/AQAFtcqk6FMU0MeP89jqVPhxKkfjLSdc_0.01.08.000000-0.01.18.059755.mp3", "link")</f>
        <v>link</v>
      </c>
      <c r="D392" t="s">
        <v>1855</v>
      </c>
      <c r="E392" t="s">
        <v>594</v>
      </c>
      <c r="F392" t="s">
        <v>1856</v>
      </c>
      <c r="H392" t="s">
        <v>1857</v>
      </c>
      <c r="I392">
        <v>63</v>
      </c>
      <c r="J392" t="s">
        <v>198</v>
      </c>
      <c r="K392" t="s">
        <v>1858</v>
      </c>
      <c r="L392" s="1" t="s">
        <v>1859</v>
      </c>
      <c r="M392" t="s">
        <v>129</v>
      </c>
      <c r="N392" t="s">
        <v>172</v>
      </c>
      <c r="O392" s="1" t="s">
        <v>1860</v>
      </c>
      <c r="P392" s="1" t="s">
        <v>1861</v>
      </c>
    </row>
    <row r="393" spans="1:17" x14ac:dyDescent="0.25">
      <c r="A393" t="s">
        <v>1862</v>
      </c>
      <c r="B393" t="str">
        <f>HYPERLINK("https://staging-dtl-pattern-api.hfm-weimar.de/static/audio/solos/dtl/AQAFtcqk6FMU0MeP89jqVPhxKkfjLSdc_0.01.34.057378-0.01.39.071047.mp3", "link")</f>
        <v>link</v>
      </c>
      <c r="D393" t="s">
        <v>1855</v>
      </c>
      <c r="E393" t="s">
        <v>605</v>
      </c>
      <c r="F393" t="s">
        <v>1856</v>
      </c>
      <c r="H393" t="s">
        <v>1857</v>
      </c>
      <c r="I393">
        <v>63</v>
      </c>
      <c r="J393" t="s">
        <v>198</v>
      </c>
      <c r="K393" t="s">
        <v>1858</v>
      </c>
      <c r="L393" s="1" t="s">
        <v>1859</v>
      </c>
      <c r="M393" t="s">
        <v>129</v>
      </c>
      <c r="N393" t="s">
        <v>109</v>
      </c>
      <c r="O393" s="1" t="s">
        <v>1863</v>
      </c>
      <c r="P393" s="1" t="s">
        <v>1864</v>
      </c>
    </row>
    <row r="394" spans="1:17" x14ac:dyDescent="0.25">
      <c r="A394" t="s">
        <v>1865</v>
      </c>
      <c r="B394" t="str">
        <f>HYPERLINK("https://staging-dtl-pattern-api.hfm-weimar.de/static/audio/solos/dtl/AQAFtcqk6FMU0MeP89jqVPhxKkfjLSdc_0.01.39.071047-0.01.44.053224.mp3", "link")</f>
        <v>link</v>
      </c>
      <c r="D394" t="s">
        <v>1855</v>
      </c>
      <c r="E394" t="s">
        <v>1435</v>
      </c>
      <c r="F394" t="s">
        <v>1856</v>
      </c>
      <c r="H394" t="s">
        <v>1857</v>
      </c>
      <c r="I394">
        <v>63</v>
      </c>
      <c r="J394" t="s">
        <v>198</v>
      </c>
      <c r="K394" t="s">
        <v>1858</v>
      </c>
      <c r="L394" s="1" t="s">
        <v>1859</v>
      </c>
      <c r="M394" t="s">
        <v>129</v>
      </c>
      <c r="N394" t="s">
        <v>826</v>
      </c>
      <c r="O394" s="1" t="s">
        <v>1864</v>
      </c>
      <c r="P394" s="1" t="s">
        <v>1866</v>
      </c>
      <c r="Q394" s="1" t="s">
        <v>7199</v>
      </c>
    </row>
    <row r="395" spans="1:17" x14ac:dyDescent="0.25">
      <c r="A395" t="s">
        <v>1867</v>
      </c>
      <c r="B395" t="str">
        <f>HYPERLINK("https://staging-dtl-pattern-api.hfm-weimar.de/static/audio/solos/dtl/AQAFtcqk6FMU0MeP89jqVPhxKkfjLSdc_0.01.44.053224-0.01.49.084408.mp3", "link")</f>
        <v>link</v>
      </c>
      <c r="D395" t="s">
        <v>1855</v>
      </c>
      <c r="E395" t="s">
        <v>605</v>
      </c>
      <c r="F395" t="s">
        <v>1856</v>
      </c>
      <c r="H395" t="s">
        <v>1857</v>
      </c>
      <c r="I395">
        <v>63</v>
      </c>
      <c r="J395" t="s">
        <v>198</v>
      </c>
      <c r="K395" t="s">
        <v>1858</v>
      </c>
      <c r="L395" s="1" t="s">
        <v>1859</v>
      </c>
      <c r="M395" t="s">
        <v>129</v>
      </c>
      <c r="N395" t="s">
        <v>109</v>
      </c>
      <c r="O395" s="1" t="s">
        <v>1866</v>
      </c>
      <c r="P395" s="1" t="s">
        <v>1868</v>
      </c>
    </row>
    <row r="396" spans="1:17" x14ac:dyDescent="0.25">
      <c r="A396" t="s">
        <v>1869</v>
      </c>
      <c r="B396" t="str">
        <f>HYPERLINK("https://staging-dtl-pattern-api.hfm-weimar.de/static/audio/solos/dtl/AQAFtcqk6FMU0MeP89jqVPhxKkfjLSdc_0.01.49.084408-0.01.52.054965.mp3", "link")</f>
        <v>link</v>
      </c>
      <c r="D396" t="s">
        <v>1855</v>
      </c>
      <c r="E396" t="s">
        <v>1435</v>
      </c>
      <c r="F396" t="s">
        <v>1856</v>
      </c>
      <c r="H396" t="s">
        <v>1857</v>
      </c>
      <c r="I396">
        <v>63</v>
      </c>
      <c r="J396" t="s">
        <v>198</v>
      </c>
      <c r="K396" t="s">
        <v>1858</v>
      </c>
      <c r="L396" s="1" t="s">
        <v>1859</v>
      </c>
      <c r="M396" t="s">
        <v>129</v>
      </c>
      <c r="N396" t="s">
        <v>826</v>
      </c>
      <c r="O396" s="1" t="s">
        <v>1868</v>
      </c>
      <c r="P396" s="1" t="s">
        <v>1870</v>
      </c>
      <c r="Q396" s="1" t="s">
        <v>7199</v>
      </c>
    </row>
    <row r="397" spans="1:17" x14ac:dyDescent="0.25">
      <c r="A397" t="s">
        <v>1871</v>
      </c>
      <c r="B397" t="str">
        <f>HYPERLINK("https://staging-dtl-pattern-api.hfm-weimar.de/static/audio/solos/dtl/AQAFtcqk6FMU0MeP89jqVPhxKkfjLSdc_0.01.52.054965-0.01.55.011183.mp3", "link")</f>
        <v>link</v>
      </c>
      <c r="D397" t="s">
        <v>1855</v>
      </c>
      <c r="E397" t="s">
        <v>605</v>
      </c>
      <c r="F397" t="s">
        <v>1856</v>
      </c>
      <c r="H397" t="s">
        <v>1857</v>
      </c>
      <c r="I397">
        <v>63</v>
      </c>
      <c r="J397" t="s">
        <v>198</v>
      </c>
      <c r="K397" t="s">
        <v>1858</v>
      </c>
      <c r="L397" s="1" t="s">
        <v>1859</v>
      </c>
      <c r="M397" t="s">
        <v>129</v>
      </c>
      <c r="N397" t="s">
        <v>109</v>
      </c>
      <c r="O397" s="1" t="s">
        <v>1870</v>
      </c>
      <c r="P397" s="1" t="s">
        <v>1872</v>
      </c>
    </row>
    <row r="398" spans="1:17" x14ac:dyDescent="0.25">
      <c r="A398" t="s">
        <v>1873</v>
      </c>
      <c r="B398" t="str">
        <f>HYPERLINK("https://staging-dtl-pattern-api.hfm-weimar.de/static/audio/solos/dtl/AQAFtcqk6FMU0MeP89jqVPhxKkfjLSdc_0.01.55.011183-0.01.57.027673.mp3", "link")</f>
        <v>link</v>
      </c>
      <c r="D398" t="s">
        <v>1855</v>
      </c>
      <c r="E398" t="s">
        <v>1435</v>
      </c>
      <c r="F398" t="s">
        <v>1856</v>
      </c>
      <c r="H398" t="s">
        <v>1857</v>
      </c>
      <c r="I398">
        <v>63</v>
      </c>
      <c r="J398" t="s">
        <v>198</v>
      </c>
      <c r="K398" t="s">
        <v>1858</v>
      </c>
      <c r="L398" s="1" t="s">
        <v>1859</v>
      </c>
      <c r="M398" t="s">
        <v>129</v>
      </c>
      <c r="N398" t="s">
        <v>826</v>
      </c>
      <c r="O398" s="1" t="s">
        <v>1872</v>
      </c>
      <c r="P398" s="1" t="s">
        <v>1874</v>
      </c>
      <c r="Q398" s="1" t="s">
        <v>7199</v>
      </c>
    </row>
    <row r="399" spans="1:17" x14ac:dyDescent="0.25">
      <c r="A399" t="s">
        <v>1875</v>
      </c>
      <c r="B399" t="str">
        <f>HYPERLINK("https://staging-dtl-pattern-api.hfm-weimar.de/static/audio/solos/dtl/AQAFtcqk6FMU0MeP89jqVPhxKkfjLSdc_0.01.57.027673-0.01.59.089478.mp3", "link")</f>
        <v>link</v>
      </c>
      <c r="D399" t="s">
        <v>1855</v>
      </c>
      <c r="E399" t="s">
        <v>594</v>
      </c>
      <c r="F399" t="s">
        <v>1856</v>
      </c>
      <c r="H399" t="s">
        <v>1857</v>
      </c>
      <c r="I399">
        <v>63</v>
      </c>
      <c r="J399" t="s">
        <v>198</v>
      </c>
      <c r="K399" t="s">
        <v>1858</v>
      </c>
      <c r="L399" s="1" t="s">
        <v>1859</v>
      </c>
      <c r="M399" t="s">
        <v>129</v>
      </c>
      <c r="N399" t="s">
        <v>172</v>
      </c>
      <c r="O399" s="1" t="s">
        <v>1874</v>
      </c>
      <c r="P399" s="1" t="s">
        <v>1876</v>
      </c>
    </row>
    <row r="400" spans="1:17" x14ac:dyDescent="0.25">
      <c r="A400" t="s">
        <v>1877</v>
      </c>
      <c r="B400" t="str">
        <f>HYPERLINK("https://staging-dtl-pattern-api.hfm-weimar.de/static/audio/solos/dtl/AQAFtcqk6FMU0MeP89jqVPhxKkfjLSdc_0.02.28.065995-0.02.41.028000.mp3", "link")</f>
        <v>link</v>
      </c>
      <c r="C400" t="s">
        <v>1878</v>
      </c>
      <c r="D400" t="s">
        <v>1855</v>
      </c>
      <c r="F400" t="s">
        <v>1856</v>
      </c>
      <c r="H400" t="s">
        <v>1857</v>
      </c>
      <c r="I400">
        <v>63</v>
      </c>
      <c r="J400" t="s">
        <v>198</v>
      </c>
      <c r="K400" t="s">
        <v>1858</v>
      </c>
      <c r="L400" s="1" t="s">
        <v>1859</v>
      </c>
      <c r="M400" t="s">
        <v>129</v>
      </c>
      <c r="N400" t="s">
        <v>202</v>
      </c>
      <c r="O400" s="1" t="s">
        <v>1879</v>
      </c>
      <c r="P400" s="1" t="s">
        <v>1880</v>
      </c>
    </row>
    <row r="401" spans="1:17" x14ac:dyDescent="0.25">
      <c r="A401" t="s">
        <v>1881</v>
      </c>
      <c r="B401" t="str">
        <f>HYPERLINK("https://staging-dtl-pattern-api.hfm-weimar.de/static/audio/solos/dtl/AQAFtGyUSFmY4MeP5E-G_MFToXlCojy-_0.02.02.081034-0.02.05.003945.mp3", "link")</f>
        <v>link</v>
      </c>
      <c r="D401" t="s">
        <v>1882</v>
      </c>
      <c r="E401" t="s">
        <v>564</v>
      </c>
      <c r="F401" t="s">
        <v>1883</v>
      </c>
      <c r="G401" t="s">
        <v>564</v>
      </c>
      <c r="H401" t="s">
        <v>1884</v>
      </c>
      <c r="I401">
        <v>39</v>
      </c>
      <c r="J401" t="s">
        <v>198</v>
      </c>
      <c r="K401" t="s">
        <v>1885</v>
      </c>
      <c r="L401" s="1" t="s">
        <v>1886</v>
      </c>
      <c r="M401" t="s">
        <v>182</v>
      </c>
      <c r="N401" t="s">
        <v>329</v>
      </c>
      <c r="O401" s="1" t="s">
        <v>1887</v>
      </c>
      <c r="P401" s="1" t="s">
        <v>1888</v>
      </c>
    </row>
    <row r="402" spans="1:17" x14ac:dyDescent="0.25">
      <c r="A402" t="s">
        <v>1889</v>
      </c>
      <c r="B402" t="str">
        <f>HYPERLINK("https://staging-dtl-pattern-api.hfm-weimar.de/static/audio/solos/dtl/AQAFtGyUSFmY4MeP5E-G_MFToXlCojy-_0.02.06.080417-0.02.09.017260.mp3", "link")</f>
        <v>link</v>
      </c>
      <c r="D402" t="s">
        <v>1882</v>
      </c>
      <c r="E402" t="s">
        <v>564</v>
      </c>
      <c r="F402" t="s">
        <v>1883</v>
      </c>
      <c r="G402" t="s">
        <v>564</v>
      </c>
      <c r="H402" t="s">
        <v>1884</v>
      </c>
      <c r="I402">
        <v>39</v>
      </c>
      <c r="J402" t="s">
        <v>198</v>
      </c>
      <c r="K402" t="s">
        <v>1885</v>
      </c>
      <c r="L402" s="1" t="s">
        <v>1886</v>
      </c>
      <c r="M402" t="s">
        <v>182</v>
      </c>
      <c r="N402" t="s">
        <v>329</v>
      </c>
      <c r="O402" s="1" t="s">
        <v>1890</v>
      </c>
      <c r="P402" s="1" t="s">
        <v>1891</v>
      </c>
    </row>
    <row r="403" spans="1:17" x14ac:dyDescent="0.25">
      <c r="A403" t="s">
        <v>1892</v>
      </c>
      <c r="B403" t="str">
        <f>HYPERLINK("https://staging-dtl-pattern-api.hfm-weimar.de/static/audio/solos/dtl/AQAFtGyUSFmY4MeP5E-G_MFToXlCojy-_0.02.11.041333-0.02.13.045088.mp3", "link")</f>
        <v>link</v>
      </c>
      <c r="D403" t="s">
        <v>1882</v>
      </c>
      <c r="E403" t="s">
        <v>564</v>
      </c>
      <c r="F403" t="s">
        <v>1883</v>
      </c>
      <c r="G403" t="s">
        <v>564</v>
      </c>
      <c r="H403" t="s">
        <v>1884</v>
      </c>
      <c r="I403">
        <v>39</v>
      </c>
      <c r="J403" t="s">
        <v>198</v>
      </c>
      <c r="K403" t="s">
        <v>1885</v>
      </c>
      <c r="L403" s="1" t="s">
        <v>1886</v>
      </c>
      <c r="M403" t="s">
        <v>182</v>
      </c>
      <c r="N403" t="s">
        <v>329</v>
      </c>
      <c r="O403" s="1" t="s">
        <v>1893</v>
      </c>
      <c r="P403" s="1" t="s">
        <v>1894</v>
      </c>
    </row>
    <row r="404" spans="1:17" x14ac:dyDescent="0.25">
      <c r="A404" t="s">
        <v>1895</v>
      </c>
      <c r="B404" t="str">
        <f>HYPERLINK("https://staging-dtl-pattern-api.hfm-weimar.de/static/audio/solos/dtl/AQAFtlIUMRKboDx6-GFxCRauLUFuPNCs_0.00.42.061442-0.01.13.042149.mp3", "link")</f>
        <v>link</v>
      </c>
      <c r="D404" s="2" t="s">
        <v>1896</v>
      </c>
      <c r="F404" t="s">
        <v>1897</v>
      </c>
      <c r="G404" t="s">
        <v>1898</v>
      </c>
      <c r="H404" t="s">
        <v>1899</v>
      </c>
      <c r="I404">
        <v>100</v>
      </c>
      <c r="J404" t="s">
        <v>160</v>
      </c>
      <c r="K404" t="s">
        <v>1900</v>
      </c>
      <c r="L404" s="1" t="s">
        <v>1901</v>
      </c>
      <c r="M404" t="s">
        <v>129</v>
      </c>
      <c r="N404" t="s">
        <v>46</v>
      </c>
      <c r="O404" s="1" t="s">
        <v>1902</v>
      </c>
      <c r="P404" s="1" t="s">
        <v>1903</v>
      </c>
      <c r="Q404" s="1" t="s">
        <v>7212</v>
      </c>
    </row>
    <row r="405" spans="1:17" x14ac:dyDescent="0.25">
      <c r="A405" t="s">
        <v>1904</v>
      </c>
      <c r="B405" t="str">
        <f>HYPERLINK("https://staging-dtl-pattern-api.hfm-weimar.de/static/audio/solos/dtl/AQAFtlIUMRKboDx6-GFxCRauLUFuPNCs_0.01.13.042149-0.01.47.080734.mp3", "link")</f>
        <v>link</v>
      </c>
      <c r="C405" t="s">
        <v>7088</v>
      </c>
      <c r="D405" s="2" t="s">
        <v>1896</v>
      </c>
      <c r="F405" t="s">
        <v>1897</v>
      </c>
      <c r="G405" t="s">
        <v>1898</v>
      </c>
      <c r="H405" t="s">
        <v>1899</v>
      </c>
      <c r="I405">
        <v>100</v>
      </c>
      <c r="J405" t="s">
        <v>160</v>
      </c>
      <c r="K405" t="s">
        <v>1900</v>
      </c>
      <c r="L405" s="1" t="s">
        <v>1901</v>
      </c>
      <c r="M405" t="s">
        <v>129</v>
      </c>
      <c r="N405" t="s">
        <v>23</v>
      </c>
      <c r="O405" s="1" t="s">
        <v>1903</v>
      </c>
      <c r="P405" s="1" t="s">
        <v>1905</v>
      </c>
      <c r="Q405" s="1" t="s">
        <v>7224</v>
      </c>
    </row>
    <row r="406" spans="1:17" x14ac:dyDescent="0.25">
      <c r="A406" t="s">
        <v>1906</v>
      </c>
      <c r="B406" t="str">
        <f>HYPERLINK("https://staging-dtl-pattern-api.hfm-weimar.de/static/audio/solos/dtl/AQAFU0miaJuUSMMf9Gh-IY_UIHyh5Tm-_0.00.49.028435-0.01.33.003074.mp3", "link")</f>
        <v>link</v>
      </c>
      <c r="C406" t="s">
        <v>1907</v>
      </c>
      <c r="D406" t="s">
        <v>1908</v>
      </c>
      <c r="F406" t="s">
        <v>1909</v>
      </c>
      <c r="G406" t="s">
        <v>1910</v>
      </c>
      <c r="H406" t="s">
        <v>1911</v>
      </c>
      <c r="I406">
        <v>78</v>
      </c>
      <c r="J406" t="s">
        <v>160</v>
      </c>
      <c r="K406" t="s">
        <v>1912</v>
      </c>
      <c r="L406" s="1" t="s">
        <v>1913</v>
      </c>
      <c r="M406" t="s">
        <v>129</v>
      </c>
      <c r="N406" t="s">
        <v>109</v>
      </c>
      <c r="O406" s="1" t="s">
        <v>1914</v>
      </c>
      <c r="P406" s="1" t="s">
        <v>1915</v>
      </c>
    </row>
    <row r="407" spans="1:17" x14ac:dyDescent="0.25">
      <c r="A407" t="s">
        <v>1916</v>
      </c>
      <c r="B407" t="str">
        <f>HYPERLINK("https://staging-dtl-pattern-api.hfm-weimar.de/static/audio/solos/dtl/AQAFudPML8JfeD-Y6ymqRUGjxfh4408w_0.01.33.036743-0.01.55.086757.mp3", "link")</f>
        <v>link</v>
      </c>
      <c r="D407" t="s">
        <v>1917</v>
      </c>
      <c r="E407" t="s">
        <v>1918</v>
      </c>
      <c r="F407" t="s">
        <v>1919</v>
      </c>
      <c r="G407" t="s">
        <v>1047</v>
      </c>
      <c r="H407" t="s">
        <v>1920</v>
      </c>
      <c r="I407">
        <v>69</v>
      </c>
      <c r="J407" t="s">
        <v>141</v>
      </c>
      <c r="K407" t="s">
        <v>1921</v>
      </c>
      <c r="L407" s="1" t="s">
        <v>1922</v>
      </c>
      <c r="M407" t="s">
        <v>309</v>
      </c>
      <c r="N407" t="s">
        <v>23</v>
      </c>
      <c r="O407" s="1" t="s">
        <v>1923</v>
      </c>
      <c r="P407" s="1" t="s">
        <v>1924</v>
      </c>
    </row>
    <row r="408" spans="1:17" x14ac:dyDescent="0.25">
      <c r="A408" t="s">
        <v>1925</v>
      </c>
      <c r="B408" t="str">
        <f>HYPERLINK("https://staging-dtl-pattern-api.hfm-weimar.de/static/audio/solos/dtl/AQAFudPML8JfeD-Y6ymqRUGjxfh4408w_0.01.55.086757-0.02.17.018349.mp3", "link")</f>
        <v>link</v>
      </c>
      <c r="D408" t="s">
        <v>1917</v>
      </c>
      <c r="E408" t="s">
        <v>394</v>
      </c>
      <c r="F408" t="s">
        <v>1919</v>
      </c>
      <c r="G408" t="s">
        <v>1047</v>
      </c>
      <c r="H408" t="s">
        <v>1920</v>
      </c>
      <c r="I408">
        <v>69</v>
      </c>
      <c r="J408" t="s">
        <v>141</v>
      </c>
      <c r="K408" t="s">
        <v>1921</v>
      </c>
      <c r="L408" s="1" t="s">
        <v>1922</v>
      </c>
      <c r="M408" t="s">
        <v>309</v>
      </c>
      <c r="N408" t="s">
        <v>288</v>
      </c>
      <c r="O408" s="1" t="s">
        <v>1924</v>
      </c>
      <c r="P408" s="1" t="s">
        <v>1926</v>
      </c>
    </row>
    <row r="409" spans="1:17" x14ac:dyDescent="0.25">
      <c r="A409" t="s">
        <v>1927</v>
      </c>
      <c r="B409" t="str">
        <f>HYPERLINK("https://staging-dtl-pattern-api.hfm-weimar.de/static/audio/solos/dtl/AQAFudPML8JfeD-Y6ymqRUGjxfh4408w_0.02.17.018349-0.02.39.010312.mp3", "link")</f>
        <v>link</v>
      </c>
      <c r="D409" t="s">
        <v>1917</v>
      </c>
      <c r="E409" t="s">
        <v>692</v>
      </c>
      <c r="F409" t="s">
        <v>1919</v>
      </c>
      <c r="G409" t="s">
        <v>1047</v>
      </c>
      <c r="H409" t="s">
        <v>1920</v>
      </c>
      <c r="I409">
        <v>69</v>
      </c>
      <c r="J409" t="s">
        <v>141</v>
      </c>
      <c r="K409" t="s">
        <v>1921</v>
      </c>
      <c r="L409" s="1" t="s">
        <v>1922</v>
      </c>
      <c r="M409" t="s">
        <v>309</v>
      </c>
      <c r="N409" t="s">
        <v>109</v>
      </c>
      <c r="O409" s="1" t="s">
        <v>1926</v>
      </c>
      <c r="P409" s="1" t="s">
        <v>1928</v>
      </c>
    </row>
    <row r="410" spans="1:17" x14ac:dyDescent="0.25">
      <c r="A410" t="s">
        <v>1929</v>
      </c>
      <c r="B410" t="str">
        <f>HYPERLINK("https://staging-dtl-pattern-api.hfm-weimar.de/static/audio/solos/dtl/AQAFUsqlJIqSJcHp4tKOULqH51hdiD3K_0.01.02.078675-0.01.28.083954.mp3", "link")</f>
        <v>link</v>
      </c>
      <c r="C410" t="s">
        <v>1930</v>
      </c>
      <c r="D410" t="s">
        <v>1931</v>
      </c>
      <c r="F410" t="s">
        <v>1932</v>
      </c>
      <c r="G410" t="s">
        <v>738</v>
      </c>
      <c r="H410" t="s">
        <v>1933</v>
      </c>
      <c r="I410">
        <v>18</v>
      </c>
      <c r="J410" t="s">
        <v>160</v>
      </c>
      <c r="K410" t="s">
        <v>1934</v>
      </c>
      <c r="L410" s="1" t="s">
        <v>1935</v>
      </c>
      <c r="M410" t="s">
        <v>1936</v>
      </c>
      <c r="N410" t="s">
        <v>202</v>
      </c>
      <c r="O410" s="1" t="s">
        <v>1937</v>
      </c>
      <c r="P410" s="1" t="s">
        <v>1938</v>
      </c>
    </row>
    <row r="411" spans="1:17" x14ac:dyDescent="0.25">
      <c r="A411" t="s">
        <v>1939</v>
      </c>
      <c r="B411" t="str">
        <f>HYPERLINK("https://staging-dtl-pattern-api.hfm-weimar.de/static/audio/solos/dtl/AQAFUsqlJIqSJcHp4tKOULqH51hdiD3K_0.01.41.081950-0.02.25.044979.mp3", "link")</f>
        <v>link</v>
      </c>
      <c r="C411" t="s">
        <v>7225</v>
      </c>
      <c r="D411" t="s">
        <v>1931</v>
      </c>
      <c r="F411" t="s">
        <v>1932</v>
      </c>
      <c r="G411" t="s">
        <v>738</v>
      </c>
      <c r="H411" t="s">
        <v>1933</v>
      </c>
      <c r="I411">
        <v>18</v>
      </c>
      <c r="J411" t="s">
        <v>160</v>
      </c>
      <c r="K411" t="s">
        <v>1934</v>
      </c>
      <c r="L411" s="1" t="s">
        <v>1935</v>
      </c>
      <c r="M411" t="s">
        <v>1936</v>
      </c>
      <c r="N411" t="s">
        <v>46</v>
      </c>
      <c r="O411" s="1" t="s">
        <v>1940</v>
      </c>
      <c r="P411" s="1" t="s">
        <v>1941</v>
      </c>
      <c r="Q411" s="1" t="s">
        <v>7226</v>
      </c>
    </row>
    <row r="412" spans="1:17" x14ac:dyDescent="0.25">
      <c r="A412" t="s">
        <v>1942</v>
      </c>
      <c r="B412" t="str">
        <f>HYPERLINK("https://staging-dtl-pattern-api.hfm-weimar.de/static/audio/solos/dtl/AQAFuUsmkYpUUJ8UhH9xKbHw6LiDUM4l_0.01.36.024897-0.02.31.025659.mp3", "link")</f>
        <v>link</v>
      </c>
      <c r="C412" t="s">
        <v>1943</v>
      </c>
      <c r="D412" t="s">
        <v>1944</v>
      </c>
      <c r="E412" t="s">
        <v>486</v>
      </c>
      <c r="F412" t="s">
        <v>485</v>
      </c>
      <c r="G412" t="s">
        <v>486</v>
      </c>
      <c r="H412" t="s">
        <v>487</v>
      </c>
      <c r="I412">
        <v>9</v>
      </c>
      <c r="J412" t="s">
        <v>141</v>
      </c>
      <c r="K412" t="s">
        <v>1945</v>
      </c>
      <c r="L412" s="1" t="s">
        <v>1946</v>
      </c>
      <c r="M412" t="s">
        <v>129</v>
      </c>
      <c r="N412" t="s">
        <v>46</v>
      </c>
      <c r="O412" s="1" t="s">
        <v>1947</v>
      </c>
      <c r="P412" s="1" t="s">
        <v>1948</v>
      </c>
      <c r="Q412" s="1" t="s">
        <v>7197</v>
      </c>
    </row>
    <row r="413" spans="1:17" x14ac:dyDescent="0.25">
      <c r="A413" t="s">
        <v>1949</v>
      </c>
      <c r="B413" t="str">
        <f>HYPERLINK("https://staging-dtl-pattern-api.hfm-weimar.de/static/audio/solos/dtl/AQAFuUsmkYpUUJ8UhH9xKbHw6LiDUM4l_0.02.31.025659-0.02.44.071727.mp3", "link")</f>
        <v>link</v>
      </c>
      <c r="C413" t="s">
        <v>1950</v>
      </c>
      <c r="D413" t="s">
        <v>1944</v>
      </c>
      <c r="F413" t="s">
        <v>485</v>
      </c>
      <c r="G413" t="s">
        <v>486</v>
      </c>
      <c r="H413" t="s">
        <v>487</v>
      </c>
      <c r="I413">
        <v>9</v>
      </c>
      <c r="J413" t="s">
        <v>141</v>
      </c>
      <c r="K413" t="s">
        <v>1945</v>
      </c>
      <c r="L413" s="1" t="s">
        <v>1946</v>
      </c>
      <c r="M413" t="s">
        <v>129</v>
      </c>
      <c r="N413" t="s">
        <v>23</v>
      </c>
      <c r="O413" s="1" t="s">
        <v>1948</v>
      </c>
      <c r="P413" s="1" t="s">
        <v>1951</v>
      </c>
    </row>
    <row r="414" spans="1:17" x14ac:dyDescent="0.25">
      <c r="A414" t="s">
        <v>1952</v>
      </c>
      <c r="B414" s="3" t="str">
        <f>HYPERLINK("https://staging-dtl-pattern-api.hfm-weimar.de/static/audio/solos/dtl/AQAFUv6WTcHNIMx_JKOSo1KijEKjSiFO_0.01.01.057931-0.02.51.030666.mp3", "link")</f>
        <v>link</v>
      </c>
      <c r="C414" s="3"/>
      <c r="D414" s="3" t="s">
        <v>1953</v>
      </c>
      <c r="E414" s="3" t="s">
        <v>1954</v>
      </c>
      <c r="F414" s="3" t="s">
        <v>1955</v>
      </c>
      <c r="G414" s="3" t="s">
        <v>1954</v>
      </c>
      <c r="H414" s="3" t="s">
        <v>1956</v>
      </c>
      <c r="I414" s="3">
        <v>71</v>
      </c>
      <c r="J414" s="3" t="s">
        <v>126</v>
      </c>
      <c r="K414" s="3" t="s">
        <v>1957</v>
      </c>
      <c r="L414" s="4" t="s">
        <v>1958</v>
      </c>
      <c r="M414" s="3" t="s">
        <v>448</v>
      </c>
      <c r="N414" s="3" t="s">
        <v>202</v>
      </c>
      <c r="O414" s="4" t="s">
        <v>1959</v>
      </c>
      <c r="P414" s="4" t="s">
        <v>1960</v>
      </c>
      <c r="Q414" s="4" t="s">
        <v>7227</v>
      </c>
    </row>
    <row r="415" spans="1:17" x14ac:dyDescent="0.25">
      <c r="A415" t="s">
        <v>1961</v>
      </c>
      <c r="B415" t="str">
        <f>HYPERLINK("https://staging-dtl-pattern-api.hfm-weimar.de/static/audio/solos/dtl/AQAFv0mUSYoSRYG_BF_gH3_wGL5yPIF__0.02.38.033825-0.02.51.076961.mp3", "link")</f>
        <v>link</v>
      </c>
      <c r="D415" t="s">
        <v>1962</v>
      </c>
      <c r="E415" t="s">
        <v>443</v>
      </c>
      <c r="F415" t="s">
        <v>444</v>
      </c>
      <c r="H415" t="s">
        <v>1475</v>
      </c>
      <c r="I415">
        <v>46</v>
      </c>
      <c r="J415" t="s">
        <v>141</v>
      </c>
      <c r="K415" t="s">
        <v>1963</v>
      </c>
      <c r="L415" s="1" t="s">
        <v>1964</v>
      </c>
      <c r="M415" t="s">
        <v>448</v>
      </c>
      <c r="N415" t="s">
        <v>449</v>
      </c>
      <c r="O415" s="1" t="s">
        <v>1965</v>
      </c>
      <c r="P415" s="1" t="s">
        <v>1966</v>
      </c>
    </row>
    <row r="416" spans="1:17" x14ac:dyDescent="0.25">
      <c r="A416" t="s">
        <v>1967</v>
      </c>
      <c r="B416" t="str">
        <f>HYPERLINK("https://staging-dtl-pattern-api.hfm-weimar.de/static/audio/solos/dtl/AQAFv0oSNYrGJAnCKxGhO46CPDsm33hD_0.01.16.057941-0.01.33.076217.mp3", "link")</f>
        <v>link</v>
      </c>
      <c r="D416" t="s">
        <v>1968</v>
      </c>
      <c r="E416" t="s">
        <v>206</v>
      </c>
      <c r="F416" t="s">
        <v>196</v>
      </c>
      <c r="H416" t="s">
        <v>197</v>
      </c>
      <c r="I416">
        <v>72</v>
      </c>
      <c r="J416" t="s">
        <v>198</v>
      </c>
      <c r="K416" t="s">
        <v>1969</v>
      </c>
      <c r="L416" s="1" t="s">
        <v>200</v>
      </c>
      <c r="M416" t="s">
        <v>201</v>
      </c>
      <c r="N416" t="s">
        <v>172</v>
      </c>
      <c r="O416" s="1" t="s">
        <v>847</v>
      </c>
      <c r="P416" s="1" t="s">
        <v>1970</v>
      </c>
    </row>
    <row r="417" spans="1:17" x14ac:dyDescent="0.25">
      <c r="A417" t="s">
        <v>1971</v>
      </c>
      <c r="B417" t="str">
        <f>HYPERLINK("https://staging-dtl-pattern-api.hfm-weimar.de/static/audio/solos/dtl/AQAFv0oSNYrGJAnCKxGhO46CPDsm33hD_0.01.51.022358-0.02.08.033668.mp3", "link")</f>
        <v>link</v>
      </c>
      <c r="D417" t="s">
        <v>1968</v>
      </c>
      <c r="E417" t="s">
        <v>195</v>
      </c>
      <c r="F417" t="s">
        <v>196</v>
      </c>
      <c r="H417" t="s">
        <v>197</v>
      </c>
      <c r="I417">
        <v>72</v>
      </c>
      <c r="J417" t="s">
        <v>198</v>
      </c>
      <c r="K417" t="s">
        <v>1969</v>
      </c>
      <c r="L417" s="1" t="s">
        <v>200</v>
      </c>
      <c r="M417" t="s">
        <v>201</v>
      </c>
      <c r="N417" t="s">
        <v>202</v>
      </c>
      <c r="O417" s="1" t="s">
        <v>1972</v>
      </c>
      <c r="P417" s="1" t="s">
        <v>1973</v>
      </c>
    </row>
    <row r="418" spans="1:17" x14ac:dyDescent="0.25">
      <c r="A418" t="s">
        <v>1974</v>
      </c>
      <c r="B418" t="str">
        <f>HYPERLINK("https://staging-dtl-pattern-api.hfm-weimar.de/static/audio/solos/dtl/AQAFv0oSNYrGJAnCKxGhO46CPDsm33hD_0.02.08.033668-0.02.25.079809.mp3", "link")</f>
        <v>link</v>
      </c>
      <c r="D418" t="s">
        <v>1968</v>
      </c>
      <c r="E418" t="s">
        <v>206</v>
      </c>
      <c r="F418" t="s">
        <v>196</v>
      </c>
      <c r="H418" t="s">
        <v>197</v>
      </c>
      <c r="I418">
        <v>72</v>
      </c>
      <c r="J418" t="s">
        <v>198</v>
      </c>
      <c r="K418" t="s">
        <v>1969</v>
      </c>
      <c r="L418" s="1" t="s">
        <v>200</v>
      </c>
      <c r="M418" t="s">
        <v>201</v>
      </c>
      <c r="N418" t="s">
        <v>172</v>
      </c>
      <c r="O418" s="1" t="s">
        <v>1973</v>
      </c>
      <c r="P418" s="1" t="s">
        <v>1975</v>
      </c>
    </row>
    <row r="419" spans="1:17" x14ac:dyDescent="0.25">
      <c r="A419" t="s">
        <v>1976</v>
      </c>
      <c r="B419" t="str">
        <f>HYPERLINK("https://staging-dtl-pattern-api.hfm-weimar.de/static/audio/solos/dtl/AQAFv0oSNYrGJAnCKxGhO46CPDsm33hD_0.02.25.079809-0.02.42.086476.mp3", "link")</f>
        <v>link</v>
      </c>
      <c r="C419" t="s">
        <v>1977</v>
      </c>
      <c r="D419" t="s">
        <v>1968</v>
      </c>
      <c r="F419" t="s">
        <v>196</v>
      </c>
      <c r="H419" t="s">
        <v>197</v>
      </c>
      <c r="I419">
        <v>72</v>
      </c>
      <c r="J419" t="s">
        <v>198</v>
      </c>
      <c r="K419" t="s">
        <v>1969</v>
      </c>
      <c r="L419" s="1" t="s">
        <v>200</v>
      </c>
      <c r="M419" t="s">
        <v>201</v>
      </c>
      <c r="N419" t="s">
        <v>329</v>
      </c>
      <c r="O419" s="1" t="s">
        <v>1975</v>
      </c>
      <c r="P419" s="1" t="s">
        <v>1978</v>
      </c>
    </row>
    <row r="420" spans="1:17" x14ac:dyDescent="0.25">
      <c r="A420" t="s">
        <v>1979</v>
      </c>
      <c r="B420" t="str">
        <f>HYPERLINK("https://staging-dtl-pattern-api.hfm-weimar.de/static/audio/solos/dtl/AQAFV9QmSQmzoMelHH344MSDH7twH5Xe_0.00.52.008163-0.01.57.003727.mp3", "link")</f>
        <v>link</v>
      </c>
      <c r="D420" t="s">
        <v>938</v>
      </c>
      <c r="E420" t="s">
        <v>486</v>
      </c>
      <c r="F420" t="s">
        <v>939</v>
      </c>
      <c r="G420" t="s">
        <v>486</v>
      </c>
      <c r="H420" t="s">
        <v>940</v>
      </c>
      <c r="I420">
        <v>13</v>
      </c>
      <c r="J420" t="s">
        <v>141</v>
      </c>
      <c r="K420" t="s">
        <v>1980</v>
      </c>
      <c r="L420" s="1" t="s">
        <v>942</v>
      </c>
      <c r="M420" t="s">
        <v>129</v>
      </c>
      <c r="N420" t="s">
        <v>46</v>
      </c>
      <c r="O420" s="1" t="s">
        <v>1981</v>
      </c>
      <c r="P420" s="1" t="s">
        <v>1982</v>
      </c>
    </row>
    <row r="421" spans="1:17" x14ac:dyDescent="0.25">
      <c r="A421" t="s">
        <v>1983</v>
      </c>
      <c r="B421" t="str">
        <f>HYPERLINK("https://staging-dtl-pattern-api.hfm-weimar.de/static/audio/solos/dtl/AQAFV9QmSQmzoMelHH344MSDH7twH5Xe_0.02.26.055673-0.02.43.042204.mp3", "link")</f>
        <v>link</v>
      </c>
      <c r="D421" t="s">
        <v>938</v>
      </c>
      <c r="E421" t="s">
        <v>486</v>
      </c>
      <c r="F421" t="s">
        <v>939</v>
      </c>
      <c r="G421" t="s">
        <v>486</v>
      </c>
      <c r="H421" t="s">
        <v>940</v>
      </c>
      <c r="I421">
        <v>13</v>
      </c>
      <c r="J421" t="s">
        <v>141</v>
      </c>
      <c r="K421" t="s">
        <v>1980</v>
      </c>
      <c r="L421" s="1" t="s">
        <v>942</v>
      </c>
      <c r="M421" t="s">
        <v>129</v>
      </c>
      <c r="N421" t="s">
        <v>46</v>
      </c>
      <c r="O421" s="1" t="s">
        <v>1984</v>
      </c>
      <c r="P421" s="1" t="s">
        <v>1985</v>
      </c>
    </row>
    <row r="422" spans="1:17" x14ac:dyDescent="0.25">
      <c r="A422" t="s">
        <v>1986</v>
      </c>
      <c r="B422" t="str">
        <f>HYPERLINK("https://staging-dtl-pattern-api.hfm-weimar.de/static/audio/solos/dtl/AQAFvI2UJIoiTUmAZG8Qk52CJ-SDieEC_0.01.05.005650-0.01.41.068888.mp3", "link")</f>
        <v>link</v>
      </c>
      <c r="C422" t="s">
        <v>1987</v>
      </c>
      <c r="D422" t="s">
        <v>1988</v>
      </c>
      <c r="E422" t="s">
        <v>401</v>
      </c>
      <c r="F422" t="s">
        <v>1989</v>
      </c>
      <c r="H422" t="s">
        <v>1990</v>
      </c>
      <c r="I422">
        <v>68</v>
      </c>
      <c r="J422" t="s">
        <v>198</v>
      </c>
      <c r="K422" t="s">
        <v>1991</v>
      </c>
      <c r="L422" s="1" t="s">
        <v>1992</v>
      </c>
      <c r="M422" t="s">
        <v>129</v>
      </c>
      <c r="N422" t="s">
        <v>202</v>
      </c>
      <c r="O422" s="1" t="s">
        <v>1993</v>
      </c>
      <c r="P422" s="1" t="s">
        <v>1994</v>
      </c>
      <c r="Q422" s="1" t="s">
        <v>7228</v>
      </c>
    </row>
    <row r="423" spans="1:17" x14ac:dyDescent="0.25">
      <c r="A423" t="s">
        <v>1995</v>
      </c>
      <c r="B423" t="str">
        <f>HYPERLINK("https://staging-dtl-pattern-api.hfm-weimar.de/static/audio/solos/dtl/AQAFvI2UJIoiTUmAZG8Qk52CJ-SDieEC_0.02.40.022349-0.03.04.036000.mp3", "link")</f>
        <v>link</v>
      </c>
      <c r="C423" t="s">
        <v>1996</v>
      </c>
      <c r="D423" t="s">
        <v>1988</v>
      </c>
      <c r="E423" t="s">
        <v>235</v>
      </c>
      <c r="F423" t="s">
        <v>1989</v>
      </c>
      <c r="H423" t="s">
        <v>1990</v>
      </c>
      <c r="I423">
        <v>68</v>
      </c>
      <c r="J423" t="s">
        <v>198</v>
      </c>
      <c r="K423" t="s">
        <v>1991</v>
      </c>
      <c r="L423" s="1" t="s">
        <v>1992</v>
      </c>
      <c r="M423" t="s">
        <v>129</v>
      </c>
      <c r="N423" t="s">
        <v>23</v>
      </c>
      <c r="O423" s="1" t="s">
        <v>1997</v>
      </c>
      <c r="P423" s="1" t="s">
        <v>1998</v>
      </c>
      <c r="Q423" s="1" t="s">
        <v>7217</v>
      </c>
    </row>
    <row r="424" spans="1:17" x14ac:dyDescent="0.25">
      <c r="A424" t="s">
        <v>1999</v>
      </c>
      <c r="B424" t="str">
        <f>HYPERLINK("https://staging-dtl-pattern-api.hfm-weimar.de/static/audio/solos/dtl/AQAFvUukJEmSSHqQ_kGrQn_wHF3kIMyz_0.00.36.022312-0.01.06.075736.mp3", "link")</f>
        <v>link</v>
      </c>
      <c r="C424" t="s">
        <v>2000</v>
      </c>
      <c r="D424" t="s">
        <v>2001</v>
      </c>
      <c r="F424" t="s">
        <v>324</v>
      </c>
      <c r="G424" t="s">
        <v>325</v>
      </c>
      <c r="H424" t="s">
        <v>2002</v>
      </c>
      <c r="I424">
        <v>43</v>
      </c>
      <c r="J424" t="s">
        <v>160</v>
      </c>
      <c r="K424" t="s">
        <v>2003</v>
      </c>
      <c r="L424" s="1" t="s">
        <v>2004</v>
      </c>
      <c r="M424" t="s">
        <v>129</v>
      </c>
      <c r="N424" t="s">
        <v>46</v>
      </c>
      <c r="O424" s="1" t="s">
        <v>2005</v>
      </c>
      <c r="P424" s="1" t="s">
        <v>2006</v>
      </c>
      <c r="Q424" s="1" t="s">
        <v>7167</v>
      </c>
    </row>
    <row r="425" spans="1:17" x14ac:dyDescent="0.25">
      <c r="A425" t="s">
        <v>2007</v>
      </c>
      <c r="B425" t="str">
        <f>HYPERLINK("https://staging-dtl-pattern-api.hfm-weimar.de/static/audio/solos/dtl/AQAFvUukJEmSSHqQ_kGrQn_wHF3kIMyz_0.01.06.075736-0.01.38.063836.mp3", "link")</f>
        <v>link</v>
      </c>
      <c r="C425" t="s">
        <v>2008</v>
      </c>
      <c r="D425" t="s">
        <v>2001</v>
      </c>
      <c r="E425" t="s">
        <v>266</v>
      </c>
      <c r="F425" t="s">
        <v>324</v>
      </c>
      <c r="G425" t="s">
        <v>325</v>
      </c>
      <c r="H425" t="s">
        <v>2002</v>
      </c>
      <c r="I425">
        <v>43</v>
      </c>
      <c r="J425" t="s">
        <v>160</v>
      </c>
      <c r="K425" t="s">
        <v>2003</v>
      </c>
      <c r="L425" s="1" t="s">
        <v>2004</v>
      </c>
      <c r="M425" t="s">
        <v>129</v>
      </c>
      <c r="N425" t="s">
        <v>109</v>
      </c>
      <c r="O425" s="1" t="s">
        <v>2006</v>
      </c>
      <c r="P425" s="1" t="s">
        <v>2009</v>
      </c>
      <c r="Q425" s="1" t="s">
        <v>7229</v>
      </c>
    </row>
    <row r="426" spans="1:17" x14ac:dyDescent="0.25">
      <c r="A426" t="s">
        <v>2010</v>
      </c>
      <c r="B426" t="str">
        <f>HYPERLINK("https://staging-dtl-pattern-api.hfm-weimar.de/static/audio/solos/dtl/AQAFvUukJEmSSHqQ_kGrQn_wHF3kIMyz_0.01.38.063836-0.01.56.047129.mp3", "link")</f>
        <v>link</v>
      </c>
      <c r="C426" t="s">
        <v>1226</v>
      </c>
      <c r="D426" t="s">
        <v>2001</v>
      </c>
      <c r="F426" t="s">
        <v>324</v>
      </c>
      <c r="G426" t="s">
        <v>325</v>
      </c>
      <c r="H426" t="s">
        <v>2002</v>
      </c>
      <c r="I426">
        <v>43</v>
      </c>
      <c r="J426" t="s">
        <v>160</v>
      </c>
      <c r="K426" t="s">
        <v>2003</v>
      </c>
      <c r="L426" s="1" t="s">
        <v>2004</v>
      </c>
      <c r="M426" t="s">
        <v>129</v>
      </c>
      <c r="N426" t="s">
        <v>172</v>
      </c>
      <c r="O426" s="1" t="s">
        <v>2009</v>
      </c>
      <c r="P426" s="1" t="s">
        <v>1329</v>
      </c>
    </row>
    <row r="427" spans="1:17" x14ac:dyDescent="0.25">
      <c r="A427" t="s">
        <v>2011</v>
      </c>
      <c r="B427" t="str">
        <f>HYPERLINK("https://staging-dtl-pattern-api.hfm-weimar.de/static/audio/solos/dtl/AQAFvUukJEmSSHqQ_kGrQn_wHF3kIMyz_0.01.56.047129-0.02.04.004099.mp3", "link")</f>
        <v>link</v>
      </c>
      <c r="C427" t="s">
        <v>2012</v>
      </c>
      <c r="D427" t="s">
        <v>2001</v>
      </c>
      <c r="F427" t="s">
        <v>324</v>
      </c>
      <c r="G427" t="s">
        <v>325</v>
      </c>
      <c r="H427" t="s">
        <v>2002</v>
      </c>
      <c r="I427">
        <v>43</v>
      </c>
      <c r="J427" t="s">
        <v>160</v>
      </c>
      <c r="K427" t="s">
        <v>2003</v>
      </c>
      <c r="L427" s="1" t="s">
        <v>2004</v>
      </c>
      <c r="M427" t="s">
        <v>129</v>
      </c>
      <c r="N427" t="s">
        <v>23</v>
      </c>
      <c r="O427" s="1" t="s">
        <v>1329</v>
      </c>
      <c r="P427" s="1" t="s">
        <v>2013</v>
      </c>
    </row>
    <row r="428" spans="1:17" x14ac:dyDescent="0.25">
      <c r="A428" t="s">
        <v>2014</v>
      </c>
      <c r="B428" t="str">
        <f>HYPERLINK("https://staging-dtl-pattern-api.hfm-weimar.de/static/audio/solos/dtl/AQAFvUukJEmSSHqQ_kGrQn_wHF3kIMyz_0.02.04.004099-0.02.13.016643.mp3", "link")</f>
        <v>link</v>
      </c>
      <c r="C428" t="s">
        <v>1226</v>
      </c>
      <c r="D428" t="s">
        <v>2001</v>
      </c>
      <c r="F428" t="s">
        <v>324</v>
      </c>
      <c r="G428" t="s">
        <v>325</v>
      </c>
      <c r="H428" t="s">
        <v>2002</v>
      </c>
      <c r="I428">
        <v>43</v>
      </c>
      <c r="J428" t="s">
        <v>160</v>
      </c>
      <c r="K428" t="s">
        <v>2003</v>
      </c>
      <c r="L428" s="1" t="s">
        <v>2004</v>
      </c>
      <c r="M428" t="s">
        <v>129</v>
      </c>
      <c r="N428" t="s">
        <v>172</v>
      </c>
      <c r="O428" s="1" t="s">
        <v>2013</v>
      </c>
      <c r="P428" s="1" t="s">
        <v>2015</v>
      </c>
    </row>
    <row r="429" spans="1:17" x14ac:dyDescent="0.25">
      <c r="A429" t="s">
        <v>2016</v>
      </c>
      <c r="B429" t="str">
        <f>HYPERLINK("https://staging-dtl-pattern-api.hfm-weimar.de/static/audio/solos/dtl/AQAFVVElJ6JxHPoaxK_w7EPJFi439Phx_0.01.18.043047-0.01.22.000163.mp3", "link")</f>
        <v>link</v>
      </c>
      <c r="D429" t="s">
        <v>2017</v>
      </c>
      <c r="E429" t="s">
        <v>342</v>
      </c>
      <c r="F429" t="s">
        <v>2018</v>
      </c>
      <c r="G429" t="s">
        <v>342</v>
      </c>
      <c r="H429" t="s">
        <v>2019</v>
      </c>
      <c r="I429">
        <v>21</v>
      </c>
      <c r="J429" t="s">
        <v>141</v>
      </c>
      <c r="K429" t="s">
        <v>2020</v>
      </c>
      <c r="L429" s="1" t="s">
        <v>2021</v>
      </c>
      <c r="M429" t="s">
        <v>182</v>
      </c>
      <c r="N429" t="s">
        <v>109</v>
      </c>
      <c r="O429" s="1" t="s">
        <v>2022</v>
      </c>
      <c r="P429" s="1" t="s">
        <v>2023</v>
      </c>
    </row>
    <row r="430" spans="1:17" x14ac:dyDescent="0.25">
      <c r="A430" t="s">
        <v>2024</v>
      </c>
      <c r="B430" t="str">
        <f>HYPERLINK("https://staging-dtl-pattern-api.hfm-weimar.de/static/audio/solos/dtl/AQAFVVElJ6JxHPoaxK_w7EPJFi439Phx_0.01.26.048816-0.01.29.094394.mp3", "link")</f>
        <v>link</v>
      </c>
      <c r="D430" t="s">
        <v>2017</v>
      </c>
      <c r="E430" t="s">
        <v>342</v>
      </c>
      <c r="F430" t="s">
        <v>2018</v>
      </c>
      <c r="G430" t="s">
        <v>342</v>
      </c>
      <c r="H430" t="s">
        <v>2019</v>
      </c>
      <c r="I430">
        <v>21</v>
      </c>
      <c r="J430" t="s">
        <v>141</v>
      </c>
      <c r="K430" t="s">
        <v>2020</v>
      </c>
      <c r="L430" s="1" t="s">
        <v>2021</v>
      </c>
      <c r="M430" t="s">
        <v>182</v>
      </c>
      <c r="N430" t="s">
        <v>109</v>
      </c>
      <c r="O430" s="1" t="s">
        <v>2025</v>
      </c>
      <c r="P430" s="1" t="s">
        <v>2026</v>
      </c>
    </row>
    <row r="431" spans="1:17" x14ac:dyDescent="0.25">
      <c r="A431" t="s">
        <v>2027</v>
      </c>
      <c r="B431" t="str">
        <f>HYPERLINK("https://staging-dtl-pattern-api.hfm-weimar.de/static/audio/solos/dtl/AQAFVVElJ6JxHPoaxK_w7EPJFi439Phx_0.01.29.094394-0.02.03.077106.mp3", "link")</f>
        <v>link</v>
      </c>
      <c r="D431" t="s">
        <v>2017</v>
      </c>
      <c r="E431" t="s">
        <v>1517</v>
      </c>
      <c r="F431" t="s">
        <v>2018</v>
      </c>
      <c r="G431" t="s">
        <v>342</v>
      </c>
      <c r="H431" t="s">
        <v>2019</v>
      </c>
      <c r="I431">
        <v>21</v>
      </c>
      <c r="J431" t="s">
        <v>141</v>
      </c>
      <c r="K431" t="s">
        <v>2020</v>
      </c>
      <c r="L431" s="1" t="s">
        <v>2021</v>
      </c>
      <c r="M431" t="s">
        <v>182</v>
      </c>
      <c r="N431" t="s">
        <v>23</v>
      </c>
      <c r="O431" s="1" t="s">
        <v>2026</v>
      </c>
      <c r="P431" s="1" t="s">
        <v>2028</v>
      </c>
    </row>
    <row r="432" spans="1:17" x14ac:dyDescent="0.25">
      <c r="A432" t="s">
        <v>2029</v>
      </c>
      <c r="B432" t="str">
        <f>HYPERLINK("https://staging-dtl-pattern-api.hfm-weimar.de/static/audio/solos/dtl/AQAFw0mSMNySqAid5Do4d8WPLBMfaNmO_0.01.46.037061-0.02.03.094811.mp3", "link")</f>
        <v>link</v>
      </c>
      <c r="D432" t="s">
        <v>2030</v>
      </c>
      <c r="E432" t="s">
        <v>2031</v>
      </c>
      <c r="F432" t="s">
        <v>2032</v>
      </c>
      <c r="G432" t="s">
        <v>228</v>
      </c>
      <c r="H432" t="s">
        <v>2033</v>
      </c>
      <c r="I432">
        <v>1</v>
      </c>
      <c r="J432" t="s">
        <v>160</v>
      </c>
      <c r="K432" t="s">
        <v>2034</v>
      </c>
      <c r="L432" s="1" t="s">
        <v>2035</v>
      </c>
      <c r="M432" t="s">
        <v>129</v>
      </c>
      <c r="N432" t="s">
        <v>449</v>
      </c>
      <c r="O432" s="1" t="s">
        <v>2036</v>
      </c>
      <c r="P432" s="1" t="s">
        <v>742</v>
      </c>
    </row>
    <row r="433" spans="1:17" x14ac:dyDescent="0.25">
      <c r="A433" t="s">
        <v>2037</v>
      </c>
      <c r="B433" t="str">
        <f>HYPERLINK("https://staging-dtl-pattern-api.hfm-weimar.de/static/audio/solos/dtl/AQAFw0mSMNySqAid5Do4d8WPLBMfaNmO_0.02.03.094811-0.02.22.052408.mp3", "link")</f>
        <v>link</v>
      </c>
      <c r="C433" t="s">
        <v>2038</v>
      </c>
      <c r="D433" t="s">
        <v>2030</v>
      </c>
      <c r="E433" t="s">
        <v>1308</v>
      </c>
      <c r="F433" t="s">
        <v>2032</v>
      </c>
      <c r="G433" t="s">
        <v>228</v>
      </c>
      <c r="H433" t="s">
        <v>2033</v>
      </c>
      <c r="I433">
        <v>1</v>
      </c>
      <c r="J433" t="s">
        <v>160</v>
      </c>
      <c r="K433" t="s">
        <v>2034</v>
      </c>
      <c r="L433" s="1" t="s">
        <v>2035</v>
      </c>
      <c r="M433" t="s">
        <v>129</v>
      </c>
      <c r="N433" t="s">
        <v>202</v>
      </c>
      <c r="O433" s="1" t="s">
        <v>742</v>
      </c>
      <c r="P433" s="1" t="s">
        <v>2039</v>
      </c>
      <c r="Q433" s="1" t="s">
        <v>7230</v>
      </c>
    </row>
    <row r="434" spans="1:17" x14ac:dyDescent="0.25">
      <c r="A434" t="s">
        <v>2040</v>
      </c>
      <c r="B434" t="str">
        <f>HYPERLINK("https://staging-dtl-pattern-api.hfm-weimar.de/static/audio/solos/dtl/AQAFw0mSMNySqAid5Do4d8WPLBMfaNmO_0.02.22.052408-0.02.40.072852.mp3", "link")</f>
        <v>link</v>
      </c>
      <c r="D434" t="s">
        <v>2030</v>
      </c>
      <c r="E434" t="s">
        <v>226</v>
      </c>
      <c r="F434" t="s">
        <v>2032</v>
      </c>
      <c r="G434" t="s">
        <v>228</v>
      </c>
      <c r="H434" t="s">
        <v>2033</v>
      </c>
      <c r="I434">
        <v>1</v>
      </c>
      <c r="J434" t="s">
        <v>160</v>
      </c>
      <c r="K434" t="s">
        <v>2034</v>
      </c>
      <c r="L434" s="1" t="s">
        <v>2035</v>
      </c>
      <c r="M434" t="s">
        <v>129</v>
      </c>
      <c r="N434" t="s">
        <v>46</v>
      </c>
      <c r="O434" s="1" t="s">
        <v>2039</v>
      </c>
      <c r="P434" s="1" t="s">
        <v>2041</v>
      </c>
    </row>
    <row r="435" spans="1:17" x14ac:dyDescent="0.25">
      <c r="A435" t="s">
        <v>2042</v>
      </c>
      <c r="B435" t="str">
        <f>HYPERLINK("https://staging-dtl-pattern-api.hfm-weimar.de/static/audio/solos/dtl/AQAFW1nCRVQUSai-QK6O-MF2Bfzhl3gO_0.01.31.050984-0.02.52.036000.mp3", "link")</f>
        <v>link</v>
      </c>
      <c r="D435" t="s">
        <v>2043</v>
      </c>
      <c r="E435" t="s">
        <v>2044</v>
      </c>
      <c r="F435" t="s">
        <v>460</v>
      </c>
      <c r="G435" t="s">
        <v>460</v>
      </c>
      <c r="J435" t="s">
        <v>461</v>
      </c>
      <c r="K435" t="s">
        <v>2045</v>
      </c>
      <c r="L435" s="1" t="s">
        <v>2046</v>
      </c>
      <c r="M435" t="s">
        <v>309</v>
      </c>
      <c r="N435" t="s">
        <v>172</v>
      </c>
      <c r="O435" s="1" t="s">
        <v>2047</v>
      </c>
      <c r="P435" s="1" t="s">
        <v>2048</v>
      </c>
    </row>
    <row r="436" spans="1:17" x14ac:dyDescent="0.25">
      <c r="A436" t="s">
        <v>2049</v>
      </c>
      <c r="B436" t="str">
        <f>HYPERLINK("https://staging-dtl-pattern-api.hfm-weimar.de/static/audio/solos/dtl/AQAFWskSJlEUZcHx4jj0wPixHeXx4nsY_0.01.19.076054-0.01.50.011482.mp3", "link")</f>
        <v>link</v>
      </c>
      <c r="D436" t="s">
        <v>2050</v>
      </c>
      <c r="E436" t="s">
        <v>2051</v>
      </c>
      <c r="F436" t="s">
        <v>2052</v>
      </c>
      <c r="G436" t="s">
        <v>54</v>
      </c>
      <c r="H436" t="s">
        <v>2053</v>
      </c>
      <c r="I436">
        <v>20</v>
      </c>
      <c r="J436" t="s">
        <v>126</v>
      </c>
      <c r="K436" t="s">
        <v>2054</v>
      </c>
      <c r="L436" s="1" t="s">
        <v>2055</v>
      </c>
      <c r="M436" t="s">
        <v>1630</v>
      </c>
      <c r="N436" t="s">
        <v>23</v>
      </c>
      <c r="O436" s="1" t="s">
        <v>2056</v>
      </c>
      <c r="P436" s="1" t="s">
        <v>2057</v>
      </c>
    </row>
    <row r="437" spans="1:17" x14ac:dyDescent="0.25">
      <c r="A437" t="s">
        <v>2058</v>
      </c>
      <c r="B437" t="str">
        <f>HYPERLINK("https://staging-dtl-pattern-api.hfm-weimar.de/static/audio/solos/dtl/AQAFWskSJlEUZcHx4jj0wPixHeXx4nsY_0.01.50.011482-0.02.27.067891.mp3", "link")</f>
        <v>link</v>
      </c>
      <c r="D437" t="s">
        <v>2050</v>
      </c>
      <c r="E437" t="s">
        <v>54</v>
      </c>
      <c r="F437" t="s">
        <v>2052</v>
      </c>
      <c r="G437" t="s">
        <v>54</v>
      </c>
      <c r="H437" t="s">
        <v>2053</v>
      </c>
      <c r="I437">
        <v>20</v>
      </c>
      <c r="J437" t="s">
        <v>126</v>
      </c>
      <c r="K437" t="s">
        <v>2054</v>
      </c>
      <c r="L437" s="1" t="s">
        <v>2055</v>
      </c>
      <c r="M437" t="s">
        <v>1630</v>
      </c>
      <c r="N437" t="s">
        <v>46</v>
      </c>
      <c r="O437" s="1" t="s">
        <v>2057</v>
      </c>
      <c r="P437" s="1" t="s">
        <v>2059</v>
      </c>
    </row>
    <row r="438" spans="1:17" x14ac:dyDescent="0.25">
      <c r="A438" t="s">
        <v>2060</v>
      </c>
      <c r="B438" t="str">
        <f>HYPERLINK("https://staging-dtl-pattern-api.hfm-weimar.de/static/audio/solos/dtl/AQAFwVISJUkiKxOuKkX5oXmDdhl-nJLx_0.01.49.096970-0.02.26.028571.mp3", "link")</f>
        <v>link</v>
      </c>
      <c r="D438" t="s">
        <v>2061</v>
      </c>
      <c r="E438" t="s">
        <v>564</v>
      </c>
      <c r="F438" t="s">
        <v>2062</v>
      </c>
      <c r="G438" t="s">
        <v>2062</v>
      </c>
      <c r="H438" t="s">
        <v>2063</v>
      </c>
      <c r="I438">
        <v>92</v>
      </c>
      <c r="J438" t="s">
        <v>198</v>
      </c>
      <c r="K438" t="s">
        <v>2064</v>
      </c>
      <c r="L438" s="1" t="s">
        <v>2065</v>
      </c>
      <c r="M438" t="s">
        <v>182</v>
      </c>
      <c r="N438" t="s">
        <v>826</v>
      </c>
      <c r="O438" s="1" t="s">
        <v>2066</v>
      </c>
      <c r="P438" s="1" t="s">
        <v>2067</v>
      </c>
      <c r="Q438" s="1" t="s">
        <v>7219</v>
      </c>
    </row>
    <row r="439" spans="1:17" x14ac:dyDescent="0.25">
      <c r="A439" t="s">
        <v>2068</v>
      </c>
      <c r="B439" t="str">
        <f>HYPERLINK("https://staging-dtl-pattern-api.hfm-weimar.de/static/audio/solos/dtl/AQAFYEmiZEnESEmSBJ_DFKqYiGiHXLpw_0.00.33.073859-0.00.51.022321.mp3", "link")</f>
        <v>link</v>
      </c>
      <c r="C439" t="s">
        <v>577</v>
      </c>
      <c r="D439" t="s">
        <v>1637</v>
      </c>
      <c r="F439" t="s">
        <v>1638</v>
      </c>
      <c r="G439" t="s">
        <v>123</v>
      </c>
      <c r="H439" t="s">
        <v>839</v>
      </c>
      <c r="I439">
        <v>79</v>
      </c>
      <c r="J439" t="s">
        <v>126</v>
      </c>
      <c r="K439" t="s">
        <v>2069</v>
      </c>
      <c r="L439" s="1" t="s">
        <v>1640</v>
      </c>
      <c r="M439" t="s">
        <v>129</v>
      </c>
      <c r="N439" t="s">
        <v>23</v>
      </c>
      <c r="O439" s="1" t="s">
        <v>2070</v>
      </c>
      <c r="P439" s="1" t="s">
        <v>2071</v>
      </c>
    </row>
    <row r="440" spans="1:17" x14ac:dyDescent="0.25">
      <c r="A440" t="s">
        <v>2072</v>
      </c>
      <c r="B440" t="str">
        <f>HYPERLINK("https://staging-dtl-pattern-api.hfm-weimar.de/static/audio/solos/dtl/AQAFYEmiZEnESEmSBJ_DFKqYiGiHXLpw_0.00.51.022321-0.01.08.028988.mp3", "link")</f>
        <v>link</v>
      </c>
      <c r="D440" t="s">
        <v>1637</v>
      </c>
      <c r="E440" t="s">
        <v>1644</v>
      </c>
      <c r="F440" t="s">
        <v>1638</v>
      </c>
      <c r="G440" t="s">
        <v>123</v>
      </c>
      <c r="H440" t="s">
        <v>839</v>
      </c>
      <c r="I440">
        <v>79</v>
      </c>
      <c r="J440" t="s">
        <v>126</v>
      </c>
      <c r="K440" t="s">
        <v>2069</v>
      </c>
      <c r="L440" s="1" t="s">
        <v>1640</v>
      </c>
      <c r="M440" t="s">
        <v>129</v>
      </c>
      <c r="N440" t="s">
        <v>172</v>
      </c>
      <c r="O440" s="1" t="s">
        <v>2071</v>
      </c>
      <c r="P440" s="1" t="s">
        <v>845</v>
      </c>
    </row>
    <row r="441" spans="1:17" x14ac:dyDescent="0.25">
      <c r="A441" t="s">
        <v>2073</v>
      </c>
      <c r="B441" t="str">
        <f>HYPERLINK("https://staging-dtl-pattern-api.hfm-weimar.de/static/audio/solos/dtl/AQAFYEmiZEnESEmSBJ_DFKqYiGiHXLpw_0.01.08.028988-0.01.24.059029.mp3", "link")</f>
        <v>link</v>
      </c>
      <c r="C441" t="s">
        <v>577</v>
      </c>
      <c r="D441" t="s">
        <v>1637</v>
      </c>
      <c r="F441" t="s">
        <v>1638</v>
      </c>
      <c r="G441" t="s">
        <v>123</v>
      </c>
      <c r="H441" t="s">
        <v>839</v>
      </c>
      <c r="I441">
        <v>79</v>
      </c>
      <c r="J441" t="s">
        <v>126</v>
      </c>
      <c r="K441" t="s">
        <v>2069</v>
      </c>
      <c r="L441" s="1" t="s">
        <v>1640</v>
      </c>
      <c r="M441" t="s">
        <v>129</v>
      </c>
      <c r="N441" t="s">
        <v>23</v>
      </c>
      <c r="O441" s="1" t="s">
        <v>845</v>
      </c>
      <c r="P441" s="1" t="s">
        <v>2074</v>
      </c>
    </row>
    <row r="442" spans="1:17" x14ac:dyDescent="0.25">
      <c r="A442" t="s">
        <v>2075</v>
      </c>
      <c r="B442" t="str">
        <f>HYPERLINK("https://staging-dtl-pattern-api.hfm-weimar.de/static/audio/solos/dtl/AQAFYEmiZEnESEmSBJ_DFKqYiGiHXLpw_0.01.41.000680-0.01.57.042331.mp3", "link")</f>
        <v>link</v>
      </c>
      <c r="C442" t="s">
        <v>577</v>
      </c>
      <c r="D442" t="s">
        <v>1637</v>
      </c>
      <c r="F442" t="s">
        <v>1638</v>
      </c>
      <c r="G442" t="s">
        <v>123</v>
      </c>
      <c r="H442" t="s">
        <v>839</v>
      </c>
      <c r="I442">
        <v>79</v>
      </c>
      <c r="J442" t="s">
        <v>126</v>
      </c>
      <c r="K442" t="s">
        <v>2069</v>
      </c>
      <c r="L442" s="1" t="s">
        <v>1640</v>
      </c>
      <c r="M442" t="s">
        <v>129</v>
      </c>
      <c r="N442" t="s">
        <v>23</v>
      </c>
      <c r="O442" s="1" t="s">
        <v>2076</v>
      </c>
      <c r="P442" s="1" t="s">
        <v>2077</v>
      </c>
    </row>
    <row r="443" spans="1:17" x14ac:dyDescent="0.25">
      <c r="A443" t="s">
        <v>2078</v>
      </c>
      <c r="B443" t="str">
        <f>HYPERLINK("https://staging-dtl-pattern-api.hfm-weimar.de/static/audio/solos/dtl/AQAFYI8SPQl-HFeO5BryHCcqH41yq_jR_0.01.12.070748-0.01.31.071882.mp3", "link")</f>
        <v>link</v>
      </c>
      <c r="C443" t="s">
        <v>2079</v>
      </c>
      <c r="D443" t="s">
        <v>2080</v>
      </c>
      <c r="F443" t="s">
        <v>2081</v>
      </c>
      <c r="G443" t="s">
        <v>2082</v>
      </c>
      <c r="H443" t="s">
        <v>2083</v>
      </c>
      <c r="I443">
        <v>18</v>
      </c>
      <c r="J443" t="s">
        <v>198</v>
      </c>
      <c r="K443" t="s">
        <v>2084</v>
      </c>
      <c r="L443" s="1" t="s">
        <v>2085</v>
      </c>
      <c r="M443" t="s">
        <v>182</v>
      </c>
      <c r="N443" t="s">
        <v>202</v>
      </c>
      <c r="O443" s="1" t="s">
        <v>2086</v>
      </c>
      <c r="P443" s="1" t="s">
        <v>2087</v>
      </c>
    </row>
    <row r="444" spans="1:17" x14ac:dyDescent="0.25">
      <c r="A444" t="s">
        <v>2088</v>
      </c>
      <c r="B444" t="str">
        <f>HYPERLINK("https://staging-dtl-pattern-api.hfm-weimar.de/static/audio/solos/dtl/AQAFYI8SPQl-HFeO5BryHCcqH41yq_jR_0.01.31.071882-0.01.46.005714.mp3", "link")</f>
        <v>link</v>
      </c>
      <c r="D444" t="s">
        <v>2080</v>
      </c>
      <c r="E444" t="s">
        <v>2089</v>
      </c>
      <c r="F444" t="s">
        <v>2081</v>
      </c>
      <c r="G444" t="s">
        <v>2082</v>
      </c>
      <c r="H444" t="s">
        <v>2083</v>
      </c>
      <c r="I444">
        <v>18</v>
      </c>
      <c r="J444" t="s">
        <v>198</v>
      </c>
      <c r="K444" t="s">
        <v>2084</v>
      </c>
      <c r="L444" s="1" t="s">
        <v>2085</v>
      </c>
      <c r="M444" t="s">
        <v>182</v>
      </c>
      <c r="N444" t="s">
        <v>46</v>
      </c>
      <c r="O444" s="1" t="s">
        <v>2087</v>
      </c>
      <c r="P444" s="1" t="s">
        <v>1748</v>
      </c>
    </row>
    <row r="445" spans="1:17" x14ac:dyDescent="0.25">
      <c r="A445" t="s">
        <v>2090</v>
      </c>
      <c r="B445" s="3" t="str">
        <f>HYPERLINK("https://staging-dtl-pattern-api.hfm-weimar.de/static/audio/solos/dtl/AQAFYI8SPQl-HFeO5BryHCcqH41yq_jR_0.01.46.005714-0.02.23.003492.mp3", "link")</f>
        <v>link</v>
      </c>
      <c r="C445" s="3" t="s">
        <v>7231</v>
      </c>
      <c r="D445" s="3" t="s">
        <v>2080</v>
      </c>
      <c r="E445" s="3" t="s">
        <v>2089</v>
      </c>
      <c r="F445" s="3" t="s">
        <v>2081</v>
      </c>
      <c r="G445" s="3" t="s">
        <v>2082</v>
      </c>
      <c r="H445" s="3" t="s">
        <v>2083</v>
      </c>
      <c r="I445" s="3">
        <v>18</v>
      </c>
      <c r="J445" s="3" t="s">
        <v>198</v>
      </c>
      <c r="K445" s="3" t="s">
        <v>2084</v>
      </c>
      <c r="L445" s="4" t="s">
        <v>2085</v>
      </c>
      <c r="M445" s="3" t="s">
        <v>182</v>
      </c>
      <c r="N445" s="3" t="s">
        <v>46</v>
      </c>
      <c r="O445" s="4" t="s">
        <v>1748</v>
      </c>
      <c r="P445" s="4" t="s">
        <v>2091</v>
      </c>
      <c r="Q445" s="4" t="s">
        <v>7232</v>
      </c>
    </row>
    <row r="446" spans="1:17" x14ac:dyDescent="0.25">
      <c r="A446" t="s">
        <v>2092</v>
      </c>
      <c r="B446" t="str">
        <f>HYPERLINK("https://staging-dtl-pattern-api.hfm-weimar.de/static/audio/solos/dtl/AQAFZ9OYRhGVoJJurEp0XFYqos-PKdcR_0.01.44.086131-0.02.22.087238.mp3", "link")</f>
        <v>link</v>
      </c>
      <c r="C446" t="s">
        <v>2093</v>
      </c>
      <c r="D446" t="s">
        <v>2094</v>
      </c>
      <c r="E446" t="s">
        <v>54</v>
      </c>
      <c r="F446" t="s">
        <v>2095</v>
      </c>
      <c r="G446" t="s">
        <v>54</v>
      </c>
      <c r="H446" t="s">
        <v>2053</v>
      </c>
      <c r="I446">
        <v>20</v>
      </c>
      <c r="J446" t="s">
        <v>126</v>
      </c>
      <c r="K446" t="s">
        <v>2096</v>
      </c>
      <c r="L446" s="1" t="s">
        <v>2097</v>
      </c>
      <c r="M446" t="s">
        <v>129</v>
      </c>
      <c r="N446" t="s">
        <v>46</v>
      </c>
      <c r="O446" s="1" t="s">
        <v>2098</v>
      </c>
      <c r="P446" s="1" t="s">
        <v>2099</v>
      </c>
      <c r="Q446" s="1" t="s">
        <v>7198</v>
      </c>
    </row>
    <row r="447" spans="1:17" x14ac:dyDescent="0.25">
      <c r="A447" t="s">
        <v>2100</v>
      </c>
      <c r="B447" t="str">
        <f>HYPERLINK("https://staging-dtl-pattern-api.hfm-weimar.de/static/audio/solos/dtl/AQAFZdKeLIpSPG-CKwpSRT9-LdCZX0ib_0.01.56.065705-0.02.53.065333.mp3", "link")</f>
        <v>link</v>
      </c>
      <c r="D447" t="s">
        <v>2101</v>
      </c>
      <c r="E447" t="s">
        <v>2102</v>
      </c>
      <c r="F447" t="s">
        <v>2103</v>
      </c>
      <c r="G447" t="s">
        <v>2102</v>
      </c>
      <c r="H447" t="s">
        <v>150</v>
      </c>
      <c r="I447">
        <v>78</v>
      </c>
      <c r="J447" t="s">
        <v>126</v>
      </c>
      <c r="K447" t="s">
        <v>2104</v>
      </c>
      <c r="L447" s="1" t="s">
        <v>2105</v>
      </c>
      <c r="M447" t="s">
        <v>129</v>
      </c>
      <c r="N447" t="s">
        <v>23</v>
      </c>
      <c r="O447" s="1" t="s">
        <v>2106</v>
      </c>
      <c r="P447" s="1" t="s">
        <v>2107</v>
      </c>
    </row>
    <row r="448" spans="1:17" x14ac:dyDescent="0.25">
      <c r="A448" t="s">
        <v>2108</v>
      </c>
      <c r="B448" t="str">
        <f>HYPERLINK("https://staging-dtl-pattern-api.hfm-weimar.de/static/audio/solos/dtl/AQAFzkmSJI2ibBGaxAv6Iz2DXniioF-O_0.01.07.083854-0.01.39.070068.mp3", "link")</f>
        <v>link</v>
      </c>
      <c r="D448" t="s">
        <v>2109</v>
      </c>
      <c r="F448" t="s">
        <v>305</v>
      </c>
      <c r="J448" t="s">
        <v>1006</v>
      </c>
      <c r="K448" t="s">
        <v>2110</v>
      </c>
      <c r="L448" s="1" t="s">
        <v>1008</v>
      </c>
      <c r="M448" t="s">
        <v>309</v>
      </c>
      <c r="N448" t="s">
        <v>172</v>
      </c>
      <c r="O448" s="1" t="s">
        <v>2111</v>
      </c>
      <c r="P448" s="1" t="s">
        <v>2112</v>
      </c>
      <c r="Q448" s="1" t="s">
        <v>7233</v>
      </c>
    </row>
    <row r="449" spans="1:17" x14ac:dyDescent="0.25">
      <c r="A449" t="s">
        <v>2113</v>
      </c>
      <c r="B449" t="str">
        <f>HYPERLINK("https://staging-dtl-pattern-api.hfm-weimar.de/static/audio/solos/dtl/AQAFzkmSJI2ibBGaxAv6Iz2DXniioF-O_0.01.39.070068-0.02.08.088888.mp3", "link")</f>
        <v>link</v>
      </c>
      <c r="D449" t="s">
        <v>2109</v>
      </c>
      <c r="F449" t="s">
        <v>305</v>
      </c>
      <c r="J449" t="s">
        <v>1006</v>
      </c>
      <c r="K449" t="s">
        <v>2110</v>
      </c>
      <c r="L449" s="1" t="s">
        <v>1008</v>
      </c>
      <c r="M449" t="s">
        <v>309</v>
      </c>
      <c r="N449" t="s">
        <v>23</v>
      </c>
      <c r="O449" s="1" t="s">
        <v>2112</v>
      </c>
      <c r="P449" s="1" t="s">
        <v>2114</v>
      </c>
    </row>
    <row r="450" spans="1:17" x14ac:dyDescent="0.25">
      <c r="A450" t="s">
        <v>2115</v>
      </c>
      <c r="B450" t="str">
        <f>HYPERLINK("https://staging-dtl-pattern-api.hfm-weimar.de/static/audio/solos/dtl/AQAFZWMZVRMemciDWmjkQ8nxB2EuNHVi_0.01.30.044172-0.01.48.099446.mp3", "link")</f>
        <v>link</v>
      </c>
      <c r="D450" t="s">
        <v>2116</v>
      </c>
      <c r="E450" t="s">
        <v>460</v>
      </c>
      <c r="F450" t="s">
        <v>1046</v>
      </c>
      <c r="G450" t="s">
        <v>1047</v>
      </c>
      <c r="H450" t="s">
        <v>2117</v>
      </c>
      <c r="I450">
        <v>68</v>
      </c>
      <c r="J450" t="s">
        <v>141</v>
      </c>
      <c r="K450" t="s">
        <v>2118</v>
      </c>
      <c r="L450" s="1" t="s">
        <v>2119</v>
      </c>
      <c r="M450" t="s">
        <v>129</v>
      </c>
      <c r="N450" t="s">
        <v>202</v>
      </c>
      <c r="O450" s="1" t="s">
        <v>2120</v>
      </c>
      <c r="P450" s="1" t="s">
        <v>2121</v>
      </c>
    </row>
    <row r="451" spans="1:17" x14ac:dyDescent="0.25">
      <c r="A451" t="s">
        <v>2122</v>
      </c>
      <c r="B451" t="str">
        <f>HYPERLINK("https://staging-dtl-pattern-api.hfm-weimar.de/static/audio/solos/dtl/AQAG0V-SKIlwnSmuPag-PNJhTI9wI9B__0.01.23.005777-0.02.49.078285.mp3", "link")</f>
        <v>link</v>
      </c>
      <c r="D451" t="s">
        <v>2123</v>
      </c>
      <c r="E451" t="s">
        <v>2124</v>
      </c>
      <c r="F451" t="s">
        <v>2125</v>
      </c>
      <c r="G451" t="s">
        <v>2125</v>
      </c>
      <c r="J451" t="s">
        <v>2126</v>
      </c>
      <c r="K451" t="s">
        <v>2127</v>
      </c>
      <c r="L451" s="1" t="s">
        <v>2128</v>
      </c>
      <c r="M451" t="s">
        <v>2129</v>
      </c>
      <c r="N451" t="s">
        <v>46</v>
      </c>
      <c r="O451" s="1" t="s">
        <v>2130</v>
      </c>
      <c r="P451" s="1" t="s">
        <v>2131</v>
      </c>
    </row>
    <row r="452" spans="1:17" x14ac:dyDescent="0.25">
      <c r="A452" t="s">
        <v>2132</v>
      </c>
      <c r="B452" t="str">
        <f>HYPERLINK("https://staging-dtl-pattern-api.hfm-weimar.de/static/audio/solos/dtl/AQAG34mlTJoThPmDUCaDJ8qQ50H1ofmC_0.00.36.026666-0.01.13.014285.mp3", "link")</f>
        <v>link</v>
      </c>
      <c r="D452" t="s">
        <v>2133</v>
      </c>
      <c r="E452" t="s">
        <v>258</v>
      </c>
      <c r="F452" t="s">
        <v>2134</v>
      </c>
      <c r="G452" t="s">
        <v>258</v>
      </c>
      <c r="H452" t="s">
        <v>2135</v>
      </c>
      <c r="I452">
        <v>12</v>
      </c>
      <c r="J452" t="s">
        <v>126</v>
      </c>
      <c r="K452" t="s">
        <v>2136</v>
      </c>
      <c r="L452" s="1" t="s">
        <v>2137</v>
      </c>
      <c r="M452" t="s">
        <v>129</v>
      </c>
      <c r="N452" t="s">
        <v>288</v>
      </c>
      <c r="O452" s="1" t="s">
        <v>2138</v>
      </c>
      <c r="P452" s="1" t="s">
        <v>2139</v>
      </c>
    </row>
    <row r="453" spans="1:17" x14ac:dyDescent="0.25">
      <c r="A453" t="s">
        <v>2140</v>
      </c>
      <c r="B453" t="str">
        <f>HYPERLINK("https://staging-dtl-pattern-api.hfm-weimar.de/static/audio/solos/dtl/AQAG34mlTJoThPmDUCaDJ8qQ50H1ofmC_0.01.13.014285-0.01.48.025142.mp3", "link")</f>
        <v>link</v>
      </c>
      <c r="D453" t="s">
        <v>2133</v>
      </c>
      <c r="E453" t="s">
        <v>2141</v>
      </c>
      <c r="F453" t="s">
        <v>2134</v>
      </c>
      <c r="G453" t="s">
        <v>258</v>
      </c>
      <c r="H453" t="s">
        <v>2135</v>
      </c>
      <c r="I453">
        <v>12</v>
      </c>
      <c r="J453" t="s">
        <v>126</v>
      </c>
      <c r="K453" t="s">
        <v>2136</v>
      </c>
      <c r="L453" s="1" t="s">
        <v>2137</v>
      </c>
      <c r="M453" t="s">
        <v>129</v>
      </c>
      <c r="N453" t="s">
        <v>23</v>
      </c>
      <c r="O453" s="1" t="s">
        <v>2139</v>
      </c>
      <c r="P453" s="1" t="s">
        <v>2142</v>
      </c>
    </row>
    <row r="454" spans="1:17" x14ac:dyDescent="0.25">
      <c r="A454" t="s">
        <v>2143</v>
      </c>
      <c r="B454" t="str">
        <f>HYPERLINK("https://staging-dtl-pattern-api.hfm-weimar.de/static/audio/solos/dtl/AQAG34mlTJoThPmDUCaDJ8qQ50H1ofmC_0.01.48.025142-0.02.19.041260.mp3", "link")</f>
        <v>link</v>
      </c>
      <c r="D454" t="s">
        <v>2133</v>
      </c>
      <c r="E454" t="s">
        <v>54</v>
      </c>
      <c r="F454" t="s">
        <v>2134</v>
      </c>
      <c r="G454" t="s">
        <v>258</v>
      </c>
      <c r="H454" t="s">
        <v>2135</v>
      </c>
      <c r="I454">
        <v>12</v>
      </c>
      <c r="J454" t="s">
        <v>126</v>
      </c>
      <c r="K454" t="s">
        <v>2136</v>
      </c>
      <c r="L454" s="1" t="s">
        <v>2137</v>
      </c>
      <c r="M454" t="s">
        <v>129</v>
      </c>
      <c r="N454" t="s">
        <v>46</v>
      </c>
      <c r="O454" s="1" t="s">
        <v>2142</v>
      </c>
      <c r="P454" s="1" t="s">
        <v>2144</v>
      </c>
    </row>
    <row r="455" spans="1:17" x14ac:dyDescent="0.25">
      <c r="A455" t="s">
        <v>2145</v>
      </c>
      <c r="B455" t="str">
        <f>HYPERLINK("https://staging-dtl-pattern-api.hfm-weimar.de/static/audio/solos/dtl/AQAG34mlTJoThPmDUCaDJ8qQ50H1ofmC_0.02.19.041260-0.02.50.099174.mp3", "link")</f>
        <v>link</v>
      </c>
      <c r="D455" t="s">
        <v>2133</v>
      </c>
      <c r="E455" t="s">
        <v>251</v>
      </c>
      <c r="F455" t="s">
        <v>2134</v>
      </c>
      <c r="G455" t="s">
        <v>258</v>
      </c>
      <c r="H455" t="s">
        <v>2135</v>
      </c>
      <c r="I455">
        <v>12</v>
      </c>
      <c r="J455" t="s">
        <v>126</v>
      </c>
      <c r="K455" t="s">
        <v>2136</v>
      </c>
      <c r="L455" s="1" t="s">
        <v>2137</v>
      </c>
      <c r="M455" t="s">
        <v>129</v>
      </c>
      <c r="N455" t="s">
        <v>202</v>
      </c>
      <c r="O455" s="1" t="s">
        <v>2144</v>
      </c>
      <c r="P455" s="1" t="s">
        <v>2146</v>
      </c>
    </row>
    <row r="456" spans="1:17" x14ac:dyDescent="0.25">
      <c r="A456" t="s">
        <v>2147</v>
      </c>
      <c r="B456" t="str">
        <f>HYPERLINK("https://staging-dtl-pattern-api.hfm-weimar.de/static/audio/solos/dtl/AQAG3ZyiRInIBY-ScCJ-GuMJ8QfvpMe8_0.00.52.005333-0.02.36.074920.mp3", "link")</f>
        <v>link</v>
      </c>
      <c r="C456" t="s">
        <v>2148</v>
      </c>
      <c r="D456" t="s">
        <v>2149</v>
      </c>
      <c r="F456" t="s">
        <v>2150</v>
      </c>
      <c r="G456" t="s">
        <v>2151</v>
      </c>
      <c r="H456" t="s">
        <v>2152</v>
      </c>
      <c r="I456">
        <v>87</v>
      </c>
      <c r="J456" t="s">
        <v>616</v>
      </c>
      <c r="K456" t="s">
        <v>1945</v>
      </c>
      <c r="L456" s="1" t="s">
        <v>2153</v>
      </c>
      <c r="M456" t="s">
        <v>129</v>
      </c>
      <c r="N456" t="s">
        <v>23</v>
      </c>
      <c r="O456" s="1" t="s">
        <v>2154</v>
      </c>
      <c r="P456" s="1" t="s">
        <v>2155</v>
      </c>
    </row>
    <row r="457" spans="1:17" x14ac:dyDescent="0.25">
      <c r="A457" t="s">
        <v>2156</v>
      </c>
      <c r="B457" t="str">
        <f>HYPERLINK("https://staging-dtl-pattern-api.hfm-weimar.de/static/audio/solos/dtl/AQAg5mqo5EkCq4kQK0-Lv7hyTFn2oH8C_0.00.41.023863-0.07.49.042040.mp3", "link")</f>
        <v>link</v>
      </c>
      <c r="D457" t="s">
        <v>2157</v>
      </c>
      <c r="E457" t="s">
        <v>18</v>
      </c>
      <c r="F457" t="s">
        <v>18</v>
      </c>
      <c r="G457" t="s">
        <v>18</v>
      </c>
      <c r="J457" t="s">
        <v>2158</v>
      </c>
      <c r="K457" t="s">
        <v>2159</v>
      </c>
      <c r="L457" s="1" t="s">
        <v>2160</v>
      </c>
      <c r="M457" t="s">
        <v>2161</v>
      </c>
      <c r="N457" t="s">
        <v>23</v>
      </c>
      <c r="O457" s="1" t="s">
        <v>2162</v>
      </c>
      <c r="P457" s="1" t="s">
        <v>2163</v>
      </c>
    </row>
    <row r="458" spans="1:17" x14ac:dyDescent="0.25">
      <c r="A458" t="s">
        <v>2164</v>
      </c>
      <c r="B458" t="str">
        <f>HYPERLINK("https://staging-dtl-pattern-api.hfm-weimar.de/static/audio/solos/dtl/AQAg5mqo5EkCq4kQK0-Lv7hyTFn2oH8C_0.14.51.003673-0.15.45.099183.mp3", "link")</f>
        <v>link</v>
      </c>
      <c r="D458" t="s">
        <v>2157</v>
      </c>
      <c r="E458" t="s">
        <v>18</v>
      </c>
      <c r="F458" t="s">
        <v>18</v>
      </c>
      <c r="G458" t="s">
        <v>18</v>
      </c>
      <c r="J458" t="s">
        <v>2158</v>
      </c>
      <c r="K458" t="s">
        <v>2159</v>
      </c>
      <c r="L458" s="1" t="s">
        <v>2160</v>
      </c>
      <c r="M458" t="s">
        <v>2161</v>
      </c>
      <c r="N458" t="s">
        <v>23</v>
      </c>
      <c r="O458" s="1" t="s">
        <v>2165</v>
      </c>
      <c r="P458" s="1" t="s">
        <v>2166</v>
      </c>
    </row>
    <row r="459" spans="1:17" x14ac:dyDescent="0.25">
      <c r="A459" t="s">
        <v>2167</v>
      </c>
      <c r="B459" t="str">
        <f>HYPERLINK("https://staging-dtl-pattern-api.hfm-weimar.de/static/audio/solos/dtl/AQAg5mqo5EkCq4kQK0-Lv7hyTFn2oH8C_0.15.54.097142-0.16.06.010612.mp3", "link")</f>
        <v>link</v>
      </c>
      <c r="D459" t="s">
        <v>2157</v>
      </c>
      <c r="E459" t="s">
        <v>18</v>
      </c>
      <c r="F459" t="s">
        <v>18</v>
      </c>
      <c r="G459" t="s">
        <v>18</v>
      </c>
      <c r="J459" t="s">
        <v>2158</v>
      </c>
      <c r="K459" t="s">
        <v>2159</v>
      </c>
      <c r="L459" s="1" t="s">
        <v>2160</v>
      </c>
      <c r="M459" t="s">
        <v>2161</v>
      </c>
      <c r="N459" t="s">
        <v>23</v>
      </c>
      <c r="O459" s="1" t="s">
        <v>2168</v>
      </c>
      <c r="P459" s="1" t="s">
        <v>2169</v>
      </c>
    </row>
    <row r="460" spans="1:17" x14ac:dyDescent="0.25">
      <c r="A460" t="s">
        <v>2170</v>
      </c>
      <c r="B460" t="str">
        <f>HYPERLINK("https://staging-dtl-pattern-api.hfm-weimar.de/static/audio/solos/dtl/AQAg5mqo5EkCq4kQK0-Lv7hyTFn2oH8C_0.16.15.028163-0.16.36.044081.mp3", "link")</f>
        <v>link</v>
      </c>
      <c r="D460" t="s">
        <v>2157</v>
      </c>
      <c r="E460" t="s">
        <v>18</v>
      </c>
      <c r="F460" t="s">
        <v>18</v>
      </c>
      <c r="G460" t="s">
        <v>18</v>
      </c>
      <c r="J460" t="s">
        <v>2158</v>
      </c>
      <c r="K460" t="s">
        <v>2159</v>
      </c>
      <c r="L460" s="1" t="s">
        <v>2160</v>
      </c>
      <c r="M460" t="s">
        <v>2161</v>
      </c>
      <c r="N460" t="s">
        <v>23</v>
      </c>
      <c r="O460" s="1" t="s">
        <v>2171</v>
      </c>
      <c r="P460" s="1" t="s">
        <v>2172</v>
      </c>
    </row>
    <row r="461" spans="1:17" x14ac:dyDescent="0.25">
      <c r="A461" t="s">
        <v>2173</v>
      </c>
      <c r="B461" t="str">
        <f>HYPERLINK("https://staging-dtl-pattern-api.hfm-weimar.de/static/audio/solos/dtl/AQAGB4l0KVGYBPmPch6eHb2HZ8vRxCh__0.01.16.048507-0.02.16.008344.mp3", "link")</f>
        <v>link</v>
      </c>
      <c r="C461" t="s">
        <v>7089</v>
      </c>
      <c r="D461" t="s">
        <v>2175</v>
      </c>
      <c r="F461" t="s">
        <v>2176</v>
      </c>
      <c r="J461" t="s">
        <v>2177</v>
      </c>
      <c r="K461" t="s">
        <v>2178</v>
      </c>
      <c r="L461" s="1" t="s">
        <v>2179</v>
      </c>
      <c r="M461" t="s">
        <v>2180</v>
      </c>
      <c r="N461" t="s">
        <v>172</v>
      </c>
      <c r="O461" s="1" t="s">
        <v>2181</v>
      </c>
      <c r="P461" s="1" t="s">
        <v>2182</v>
      </c>
      <c r="Q461" s="1" t="s">
        <v>7233</v>
      </c>
    </row>
    <row r="462" spans="1:17" x14ac:dyDescent="0.25">
      <c r="A462" t="s">
        <v>2183</v>
      </c>
      <c r="B462" t="str">
        <f>HYPERLINK("https://staging-dtl-pattern-api.hfm-weimar.de/static/audio/solos/dtl/AQAGb5Kymwlu3EUp0USzSMOL_rg-9Bny_0.00.43.053741-0.01.21.020018.mp3", "link")</f>
        <v>link</v>
      </c>
      <c r="D462" t="s">
        <v>2184</v>
      </c>
      <c r="E462" t="s">
        <v>2185</v>
      </c>
      <c r="F462" t="s">
        <v>2186</v>
      </c>
      <c r="H462" t="s">
        <v>2187</v>
      </c>
      <c r="I462">
        <v>49</v>
      </c>
      <c r="J462" t="s">
        <v>198</v>
      </c>
      <c r="K462" t="s">
        <v>2188</v>
      </c>
      <c r="L462" s="1" t="s">
        <v>2189</v>
      </c>
      <c r="M462" t="s">
        <v>129</v>
      </c>
      <c r="N462" t="s">
        <v>23</v>
      </c>
      <c r="O462" s="1" t="s">
        <v>2190</v>
      </c>
      <c r="P462" s="1" t="s">
        <v>1553</v>
      </c>
    </row>
    <row r="463" spans="1:17" x14ac:dyDescent="0.25">
      <c r="A463" t="s">
        <v>2191</v>
      </c>
      <c r="B463" t="str">
        <f>HYPERLINK("https://staging-dtl-pattern-api.hfm-weimar.de/static/audio/solos/dtl/AQAGb5Kymwlu3EUp0USzSMOL_rg-9Bny_0.01.26.086585-0.02.04.057505.mp3", "link")</f>
        <v>link</v>
      </c>
      <c r="D463" t="s">
        <v>2184</v>
      </c>
      <c r="E463" t="s">
        <v>2192</v>
      </c>
      <c r="F463" t="s">
        <v>2186</v>
      </c>
      <c r="H463" t="s">
        <v>2187</v>
      </c>
      <c r="I463">
        <v>49</v>
      </c>
      <c r="J463" t="s">
        <v>198</v>
      </c>
      <c r="K463" t="s">
        <v>2188</v>
      </c>
      <c r="L463" s="1" t="s">
        <v>2189</v>
      </c>
      <c r="M463" t="s">
        <v>129</v>
      </c>
      <c r="N463" t="s">
        <v>329</v>
      </c>
      <c r="O463" s="1" t="s">
        <v>2193</v>
      </c>
      <c r="P463" s="1" t="s">
        <v>2194</v>
      </c>
    </row>
    <row r="464" spans="1:17" x14ac:dyDescent="0.25">
      <c r="A464" t="s">
        <v>2195</v>
      </c>
      <c r="B464" t="str">
        <f>HYPERLINK("https://staging-dtl-pattern-api.hfm-weimar.de/static/audio/solos/dtl/AQAGb5Kymwlu3EUp0USzSMOL_rg-9Bny_0.02.04.057505-0.02.09.007972.mp3", "link")</f>
        <v>link</v>
      </c>
      <c r="C464" t="s">
        <v>7090</v>
      </c>
      <c r="D464" t="s">
        <v>2184</v>
      </c>
      <c r="F464" t="s">
        <v>2186</v>
      </c>
      <c r="H464" t="s">
        <v>2187</v>
      </c>
      <c r="I464">
        <v>49</v>
      </c>
      <c r="J464" t="s">
        <v>198</v>
      </c>
      <c r="K464" t="s">
        <v>2188</v>
      </c>
      <c r="L464" s="1" t="s">
        <v>2189</v>
      </c>
      <c r="M464" t="s">
        <v>129</v>
      </c>
      <c r="N464" t="s">
        <v>202</v>
      </c>
      <c r="O464" s="1" t="s">
        <v>2194</v>
      </c>
      <c r="P464" s="1" t="s">
        <v>2196</v>
      </c>
      <c r="Q464" s="1" t="s">
        <v>7234</v>
      </c>
    </row>
    <row r="465" spans="1:17" x14ac:dyDescent="0.25">
      <c r="A465" t="s">
        <v>2197</v>
      </c>
      <c r="B465" t="str">
        <f>HYPERLINK("https://staging-dtl-pattern-api.hfm-weimar.de/static/audio/solos/dtl/AQAGb5Kymwlu3EUp0USzSMOL_rg-9Bny_0.02.09.007972-0.02.46.051029.mp3", "link")</f>
        <v>link</v>
      </c>
      <c r="C465" t="s">
        <v>2198</v>
      </c>
      <c r="D465" t="s">
        <v>2184</v>
      </c>
      <c r="F465" t="s">
        <v>2186</v>
      </c>
      <c r="G465" t="s">
        <v>2192</v>
      </c>
      <c r="H465" t="s">
        <v>2187</v>
      </c>
      <c r="I465">
        <v>49</v>
      </c>
      <c r="J465" t="s">
        <v>198</v>
      </c>
      <c r="K465" t="s">
        <v>2188</v>
      </c>
      <c r="L465" s="1" t="s">
        <v>2189</v>
      </c>
      <c r="M465" t="s">
        <v>129</v>
      </c>
      <c r="N465" t="s">
        <v>46</v>
      </c>
      <c r="O465" s="1" t="s">
        <v>2196</v>
      </c>
      <c r="P465" s="1" t="s">
        <v>2199</v>
      </c>
      <c r="Q465" s="1" t="s">
        <v>7223</v>
      </c>
    </row>
    <row r="466" spans="1:17" x14ac:dyDescent="0.25">
      <c r="A466" t="s">
        <v>2200</v>
      </c>
      <c r="B466" t="str">
        <f>HYPERLINK("https://staging-dtl-pattern-api.hfm-weimar.de/static/audio/solos/dtl/AQAGBlrEZFGSJQuuorkOfdvxNHi0w39w_0.00.38.040580-0.00.58.016598.mp3", "link")</f>
        <v>link</v>
      </c>
      <c r="C466" t="s">
        <v>2201</v>
      </c>
      <c r="D466" t="s">
        <v>2202</v>
      </c>
      <c r="F466" t="s">
        <v>2203</v>
      </c>
      <c r="G466" t="s">
        <v>2204</v>
      </c>
      <c r="H466" t="s">
        <v>2205</v>
      </c>
      <c r="I466">
        <v>40</v>
      </c>
      <c r="J466" t="s">
        <v>160</v>
      </c>
      <c r="K466" t="s">
        <v>2206</v>
      </c>
      <c r="L466" s="1" t="s">
        <v>2207</v>
      </c>
      <c r="M466" t="s">
        <v>129</v>
      </c>
      <c r="N466" t="s">
        <v>202</v>
      </c>
      <c r="O466" s="1" t="s">
        <v>2208</v>
      </c>
      <c r="P466" s="1" t="s">
        <v>2209</v>
      </c>
    </row>
    <row r="467" spans="1:17" x14ac:dyDescent="0.25">
      <c r="A467" t="s">
        <v>2210</v>
      </c>
      <c r="B467" t="str">
        <f>HYPERLINK("https://staging-dtl-pattern-api.hfm-weimar.de/static/audio/solos/dtl/AQAGBlrEZFGSJQuuorkOfdvxNHi0w39w_0.01.17.002058-0.01.35.075909.mp3", "link")</f>
        <v>link</v>
      </c>
      <c r="C467" t="s">
        <v>7091</v>
      </c>
      <c r="D467" s="2" t="s">
        <v>2202</v>
      </c>
      <c r="F467" t="s">
        <v>2203</v>
      </c>
      <c r="G467" t="s">
        <v>2204</v>
      </c>
      <c r="H467" t="s">
        <v>2205</v>
      </c>
      <c r="I467">
        <v>40</v>
      </c>
      <c r="J467" t="s">
        <v>160</v>
      </c>
      <c r="K467" t="s">
        <v>2206</v>
      </c>
      <c r="L467" s="1" t="s">
        <v>2207</v>
      </c>
      <c r="M467" t="s">
        <v>129</v>
      </c>
      <c r="N467" t="s">
        <v>46</v>
      </c>
      <c r="O467" s="1" t="s">
        <v>2212</v>
      </c>
      <c r="P467" s="1" t="s">
        <v>2213</v>
      </c>
      <c r="Q467" s="1" t="s">
        <v>7212</v>
      </c>
    </row>
    <row r="468" spans="1:17" x14ac:dyDescent="0.25">
      <c r="A468" t="s">
        <v>2214</v>
      </c>
      <c r="B468" t="str">
        <f>HYPERLINK("https://staging-dtl-pattern-api.hfm-weimar.de/static/audio/solos/dtl/AQAGBlrEZFGSJQuuorkOfdvxNHi0w39w_0.01.35.075909-0.01.45.058693.mp3", "link")</f>
        <v>link</v>
      </c>
      <c r="D468" t="s">
        <v>2202</v>
      </c>
      <c r="E468" t="s">
        <v>2215</v>
      </c>
      <c r="F468" t="s">
        <v>2203</v>
      </c>
      <c r="G468" t="s">
        <v>2204</v>
      </c>
      <c r="H468" t="s">
        <v>2205</v>
      </c>
      <c r="I468">
        <v>40</v>
      </c>
      <c r="J468" t="s">
        <v>160</v>
      </c>
      <c r="K468" t="s">
        <v>2206</v>
      </c>
      <c r="L468" s="1" t="s">
        <v>2207</v>
      </c>
      <c r="M468" t="s">
        <v>129</v>
      </c>
      <c r="N468" t="s">
        <v>23</v>
      </c>
      <c r="O468" s="1" t="s">
        <v>2213</v>
      </c>
      <c r="P468" s="1" t="s">
        <v>2216</v>
      </c>
    </row>
    <row r="469" spans="1:17" x14ac:dyDescent="0.25">
      <c r="A469" t="s">
        <v>2217</v>
      </c>
      <c r="B469" t="str">
        <f>HYPERLINK("https://staging-dtl-pattern-api.hfm-weimar.de/static/audio/solos/dtl/AQAGBlrEZFGSJQuuorkOfdvxNHi0w39w_0.01.45.058693-0.01.56.012299.mp3", "link")</f>
        <v>link</v>
      </c>
      <c r="C469" t="s">
        <v>7091</v>
      </c>
      <c r="D469" t="s">
        <v>2202</v>
      </c>
      <c r="F469" t="s">
        <v>2203</v>
      </c>
      <c r="G469" t="s">
        <v>2204</v>
      </c>
      <c r="H469" t="s">
        <v>2205</v>
      </c>
      <c r="I469">
        <v>40</v>
      </c>
      <c r="J469" t="s">
        <v>160</v>
      </c>
      <c r="K469" t="s">
        <v>2206</v>
      </c>
      <c r="L469" s="1" t="s">
        <v>2207</v>
      </c>
      <c r="M469" t="s">
        <v>129</v>
      </c>
      <c r="N469" t="s">
        <v>46</v>
      </c>
      <c r="O469" s="1" t="s">
        <v>2216</v>
      </c>
      <c r="P469" s="1" t="s">
        <v>2218</v>
      </c>
    </row>
    <row r="470" spans="1:17" x14ac:dyDescent="0.25">
      <c r="A470" t="s">
        <v>2219</v>
      </c>
      <c r="B470" t="str">
        <f>HYPERLINK("https://staging-dtl-pattern-api.hfm-weimar.de/static/audio/solos/dtl/AQAGBsqmSJQenDx-_JFz_GOQJj-e5IYu_0.00.31.071265-0.01.29.011818.mp3", "link")</f>
        <v>link</v>
      </c>
      <c r="D470" t="s">
        <v>7092</v>
      </c>
      <c r="E470" t="s">
        <v>1339</v>
      </c>
      <c r="F470" t="s">
        <v>1339</v>
      </c>
      <c r="G470" t="s">
        <v>1339</v>
      </c>
      <c r="J470" t="s">
        <v>2220</v>
      </c>
      <c r="K470" t="s">
        <v>2221</v>
      </c>
      <c r="L470" s="1" t="s">
        <v>2222</v>
      </c>
      <c r="M470" t="s">
        <v>129</v>
      </c>
      <c r="N470" t="s">
        <v>23</v>
      </c>
      <c r="O470" s="1" t="s">
        <v>2223</v>
      </c>
      <c r="P470" s="1" t="s">
        <v>2224</v>
      </c>
      <c r="Q470" s="1" t="s">
        <v>7224</v>
      </c>
    </row>
    <row r="471" spans="1:17" x14ac:dyDescent="0.25">
      <c r="A471" t="s">
        <v>2225</v>
      </c>
      <c r="B471" t="str">
        <f>HYPERLINK("https://staging-dtl-pattern-api.hfm-weimar.de/static/audio/solos/dtl/AQAGBsqmSJQenDx-_JFz_GOQJj-e5IYu_0.01.56.045387-0.02.53.073170.mp3", "link")</f>
        <v>link</v>
      </c>
      <c r="D471" t="s">
        <v>7092</v>
      </c>
      <c r="E471" t="s">
        <v>1339</v>
      </c>
      <c r="F471" t="s">
        <v>1339</v>
      </c>
      <c r="G471" t="s">
        <v>1339</v>
      </c>
      <c r="J471" t="s">
        <v>2220</v>
      </c>
      <c r="K471" t="s">
        <v>2221</v>
      </c>
      <c r="L471" s="1" t="s">
        <v>2222</v>
      </c>
      <c r="M471" t="s">
        <v>129</v>
      </c>
      <c r="N471" t="s">
        <v>23</v>
      </c>
      <c r="O471" s="1" t="s">
        <v>2226</v>
      </c>
      <c r="P471" s="1" t="s">
        <v>2227</v>
      </c>
      <c r="Q471" s="1" t="s">
        <v>7224</v>
      </c>
    </row>
    <row r="472" spans="1:17" x14ac:dyDescent="0.25">
      <c r="A472" t="s">
        <v>2228</v>
      </c>
      <c r="B472" t="str">
        <f>HYPERLINK("https://staging-dtl-pattern-api.hfm-weimar.de/static/audio/solos/dtl/AQAGc9SjSGEUfMYdlFHgFQ9ChRqSWifK_0.01.03.080843-0.01.28.029387.mp3", "link")</f>
        <v>link</v>
      </c>
      <c r="D472" t="s">
        <v>2229</v>
      </c>
      <c r="E472" t="s">
        <v>1131</v>
      </c>
      <c r="F472" t="s">
        <v>2230</v>
      </c>
      <c r="G472" t="s">
        <v>2231</v>
      </c>
      <c r="H472" t="s">
        <v>681</v>
      </c>
      <c r="I472">
        <v>100</v>
      </c>
      <c r="J472" t="s">
        <v>198</v>
      </c>
      <c r="K472" t="s">
        <v>2232</v>
      </c>
      <c r="L472" s="1" t="s">
        <v>2233</v>
      </c>
      <c r="M472" t="s">
        <v>129</v>
      </c>
      <c r="N472" t="s">
        <v>449</v>
      </c>
      <c r="O472" s="1" t="s">
        <v>2234</v>
      </c>
      <c r="P472" s="1" t="s">
        <v>2235</v>
      </c>
    </row>
    <row r="473" spans="1:17" x14ac:dyDescent="0.25">
      <c r="A473" t="s">
        <v>2236</v>
      </c>
      <c r="B473" t="str">
        <f>HYPERLINK("https://staging-dtl-pattern-api.hfm-weimar.de/static/audio/solos/dtl/AQAGc9SjSGEUfMYdlFHgFQ9ChRqSWifK_0.02.25.050204-0.02.32.027646.mp3", "link")</f>
        <v>link</v>
      </c>
      <c r="D473" t="s">
        <v>2229</v>
      </c>
      <c r="E473" t="s">
        <v>1131</v>
      </c>
      <c r="F473" t="s">
        <v>2230</v>
      </c>
      <c r="G473" t="s">
        <v>2231</v>
      </c>
      <c r="H473" t="s">
        <v>681</v>
      </c>
      <c r="I473">
        <v>100</v>
      </c>
      <c r="J473" t="s">
        <v>198</v>
      </c>
      <c r="K473" t="s">
        <v>2232</v>
      </c>
      <c r="L473" s="1" t="s">
        <v>2233</v>
      </c>
      <c r="M473" t="s">
        <v>129</v>
      </c>
      <c r="N473" t="s">
        <v>449</v>
      </c>
      <c r="O473" s="1" t="s">
        <v>2237</v>
      </c>
      <c r="P473" s="1" t="s">
        <v>2238</v>
      </c>
    </row>
    <row r="474" spans="1:17" x14ac:dyDescent="0.25">
      <c r="A474" t="s">
        <v>2239</v>
      </c>
      <c r="B474" t="str">
        <f>HYPERLINK("https://staging-dtl-pattern-api.hfm-weimar.de/static/audio/solos/dtl/AQAGc9SjSGEUfMYdlFHgFQ9ChRqSWifK_0.02.43.060780-0.02.55.002040.mp3", "link")</f>
        <v>link</v>
      </c>
      <c r="D474" t="s">
        <v>2229</v>
      </c>
      <c r="E474" t="s">
        <v>1133</v>
      </c>
      <c r="F474" t="s">
        <v>2230</v>
      </c>
      <c r="G474" t="s">
        <v>2231</v>
      </c>
      <c r="H474" t="s">
        <v>681</v>
      </c>
      <c r="I474">
        <v>100</v>
      </c>
      <c r="J474" t="s">
        <v>198</v>
      </c>
      <c r="K474" t="s">
        <v>2232</v>
      </c>
      <c r="L474" s="1" t="s">
        <v>2233</v>
      </c>
      <c r="M474" t="s">
        <v>129</v>
      </c>
      <c r="N474" t="s">
        <v>826</v>
      </c>
      <c r="O474" s="1" t="s">
        <v>2240</v>
      </c>
      <c r="P474" s="1" t="s">
        <v>2241</v>
      </c>
      <c r="Q474" s="1" t="s">
        <v>7235</v>
      </c>
    </row>
    <row r="475" spans="1:17" x14ac:dyDescent="0.25">
      <c r="A475" t="s">
        <v>2242</v>
      </c>
      <c r="B475" t="str">
        <f>HYPERLINK("https://staging-dtl-pattern-api.hfm-weimar.de/static/audio/solos/dtl/AQAGCokmRZJyVMqRC5_C4Iqi49ThREf5_0.01.32.027755-0.01.55.017097.mp3", "link")</f>
        <v>link</v>
      </c>
      <c r="D475" t="s">
        <v>2243</v>
      </c>
      <c r="E475" t="s">
        <v>235</v>
      </c>
      <c r="F475" t="s">
        <v>227</v>
      </c>
      <c r="G475" t="s">
        <v>228</v>
      </c>
      <c r="H475" t="s">
        <v>1819</v>
      </c>
      <c r="I475">
        <v>3</v>
      </c>
      <c r="J475" t="s">
        <v>160</v>
      </c>
      <c r="K475" t="s">
        <v>2244</v>
      </c>
      <c r="L475" s="1" t="s">
        <v>2245</v>
      </c>
      <c r="M475" t="s">
        <v>129</v>
      </c>
      <c r="N475" t="s">
        <v>23</v>
      </c>
      <c r="O475" s="1" t="s">
        <v>2246</v>
      </c>
      <c r="P475" s="1" t="s">
        <v>2247</v>
      </c>
    </row>
    <row r="476" spans="1:17" x14ac:dyDescent="0.25">
      <c r="A476" t="s">
        <v>2248</v>
      </c>
      <c r="B476" t="str">
        <f>HYPERLINK("https://staging-dtl-pattern-api.hfm-weimar.de/static/audio/solos/dtl/AQAGCZqyJI2URBFC-8FL3EbzG_UnaDfS_0.01.10.072798-0.02.07.073297.mp3", "link")</f>
        <v>link</v>
      </c>
      <c r="D476" t="s">
        <v>2249</v>
      </c>
      <c r="E476" t="s">
        <v>2250</v>
      </c>
      <c r="F476" t="s">
        <v>157</v>
      </c>
      <c r="G476" t="s">
        <v>158</v>
      </c>
      <c r="H476" t="s">
        <v>2251</v>
      </c>
      <c r="I476">
        <v>38</v>
      </c>
      <c r="J476" t="s">
        <v>160</v>
      </c>
      <c r="K476" t="s">
        <v>2252</v>
      </c>
      <c r="L476" s="1" t="s">
        <v>2253</v>
      </c>
      <c r="M476" t="s">
        <v>129</v>
      </c>
      <c r="N476" t="s">
        <v>329</v>
      </c>
      <c r="O476" s="1" t="s">
        <v>2254</v>
      </c>
      <c r="P476" s="1" t="s">
        <v>2255</v>
      </c>
    </row>
    <row r="477" spans="1:17" x14ac:dyDescent="0.25">
      <c r="A477" t="s">
        <v>2256</v>
      </c>
      <c r="B477" t="str">
        <f>HYPERLINK("https://staging-dtl-pattern-api.hfm-weimar.de/static/audio/solos/dtl/AQAGCZqyJI2URBFC-8FL3EbzG_UnaDfS_0.02.07.073297-0.02.44.042049.mp3", "link")</f>
        <v>link</v>
      </c>
      <c r="C477" t="s">
        <v>2257</v>
      </c>
      <c r="D477" t="s">
        <v>2249</v>
      </c>
      <c r="F477" t="s">
        <v>157</v>
      </c>
      <c r="G477" t="s">
        <v>158</v>
      </c>
      <c r="H477" t="s">
        <v>2251</v>
      </c>
      <c r="I477">
        <v>38</v>
      </c>
      <c r="J477" t="s">
        <v>160</v>
      </c>
      <c r="K477" t="s">
        <v>2252</v>
      </c>
      <c r="L477" s="1" t="s">
        <v>2253</v>
      </c>
      <c r="M477" t="s">
        <v>129</v>
      </c>
      <c r="N477" t="s">
        <v>172</v>
      </c>
      <c r="O477" s="1" t="s">
        <v>2255</v>
      </c>
      <c r="P477" s="1" t="s">
        <v>2258</v>
      </c>
    </row>
    <row r="478" spans="1:17" x14ac:dyDescent="0.25">
      <c r="A478" t="s">
        <v>2259</v>
      </c>
      <c r="B478" t="str">
        <f>HYPERLINK("https://staging-dtl-pattern-api.hfm-weimar.de/static/audio/solos/dtl/AQAGD1GViIkSfIbuBAdzNCdO4cflGz_R_0.00.47.000734-0.02.00.054204.mp3", "link")</f>
        <v>link</v>
      </c>
      <c r="D478" t="s">
        <v>2260</v>
      </c>
      <c r="E478" t="s">
        <v>2261</v>
      </c>
      <c r="F478" t="s">
        <v>2262</v>
      </c>
      <c r="H478" t="s">
        <v>2263</v>
      </c>
      <c r="I478">
        <v>43</v>
      </c>
      <c r="J478" t="s">
        <v>141</v>
      </c>
      <c r="K478" t="s">
        <v>2264</v>
      </c>
      <c r="L478" s="1" t="s">
        <v>2265</v>
      </c>
      <c r="M478" t="s">
        <v>129</v>
      </c>
      <c r="N478" t="s">
        <v>46</v>
      </c>
      <c r="O478" s="1" t="s">
        <v>2266</v>
      </c>
      <c r="P478" s="1" t="s">
        <v>2267</v>
      </c>
    </row>
    <row r="479" spans="1:17" x14ac:dyDescent="0.25">
      <c r="A479" t="s">
        <v>2268</v>
      </c>
      <c r="B479" t="str">
        <f>HYPERLINK("https://staging-dtl-pattern-api.hfm-weimar.de/static/audio/solos/dtl/AQAGD1GViIkSfIbuBAdzNCdO4cflGz_R_0.02.33.097732-0.03.14.066666.mp3", "link")</f>
        <v>link</v>
      </c>
      <c r="D479" t="s">
        <v>2260</v>
      </c>
      <c r="E479" t="s">
        <v>2261</v>
      </c>
      <c r="F479" t="s">
        <v>2262</v>
      </c>
      <c r="H479" t="s">
        <v>2263</v>
      </c>
      <c r="I479">
        <v>43</v>
      </c>
      <c r="J479" t="s">
        <v>141</v>
      </c>
      <c r="K479" t="s">
        <v>2264</v>
      </c>
      <c r="L479" s="1" t="s">
        <v>2265</v>
      </c>
      <c r="M479" t="s">
        <v>129</v>
      </c>
      <c r="N479" t="s">
        <v>46</v>
      </c>
      <c r="O479" s="1" t="s">
        <v>2269</v>
      </c>
      <c r="P479" s="1" t="s">
        <v>2270</v>
      </c>
    </row>
    <row r="480" spans="1:17" x14ac:dyDescent="0.25">
      <c r="A480" t="s">
        <v>2271</v>
      </c>
      <c r="B480" t="str">
        <f>HYPERLINK("https://staging-dtl-pattern-api.hfm-weimar.de/static/audio/solos/dtl/AQAGDl8YSWvwyCIuPeiPR7dgTT-qxxvy_0.01.06.054839-0.01.28.065378.mp3", "link")</f>
        <v>link</v>
      </c>
      <c r="D480" t="s">
        <v>2272</v>
      </c>
      <c r="E480" t="s">
        <v>594</v>
      </c>
      <c r="F480" t="s">
        <v>2273</v>
      </c>
      <c r="G480" t="s">
        <v>1435</v>
      </c>
      <c r="H480" t="s">
        <v>2274</v>
      </c>
      <c r="I480">
        <v>66</v>
      </c>
      <c r="J480" t="s">
        <v>198</v>
      </c>
      <c r="K480" t="s">
        <v>2275</v>
      </c>
      <c r="L480" s="1" t="s">
        <v>2276</v>
      </c>
      <c r="M480" t="s">
        <v>129</v>
      </c>
      <c r="N480" t="s">
        <v>172</v>
      </c>
      <c r="O480" s="1" t="s">
        <v>2277</v>
      </c>
      <c r="P480" s="1" t="s">
        <v>2278</v>
      </c>
    </row>
    <row r="481" spans="1:17" x14ac:dyDescent="0.25">
      <c r="A481" t="s">
        <v>2279</v>
      </c>
      <c r="B481" t="str">
        <f>HYPERLINK("https://staging-dtl-pattern-api.hfm-weimar.de/static/audio/solos/dtl/AQAGDl8YSWvwyCIuPeiPR7dgTT-qxxvy_0.01.28.065378-0.01.52.094185.mp3", "link")</f>
        <v>link</v>
      </c>
      <c r="D481" t="s">
        <v>2272</v>
      </c>
      <c r="E481" t="s">
        <v>1435</v>
      </c>
      <c r="F481" t="s">
        <v>2273</v>
      </c>
      <c r="G481" t="s">
        <v>1435</v>
      </c>
      <c r="H481" t="s">
        <v>2274</v>
      </c>
      <c r="I481">
        <v>66</v>
      </c>
      <c r="J481" t="s">
        <v>198</v>
      </c>
      <c r="K481" t="s">
        <v>2275</v>
      </c>
      <c r="L481" s="1" t="s">
        <v>2276</v>
      </c>
      <c r="M481" t="s">
        <v>129</v>
      </c>
      <c r="N481" t="s">
        <v>826</v>
      </c>
      <c r="O481" s="1" t="s">
        <v>2278</v>
      </c>
      <c r="P481" s="1" t="s">
        <v>2280</v>
      </c>
      <c r="Q481" s="1" t="s">
        <v>7199</v>
      </c>
    </row>
    <row r="482" spans="1:17" x14ac:dyDescent="0.25">
      <c r="A482" t="s">
        <v>2281</v>
      </c>
      <c r="B482" t="str">
        <f>HYPERLINK("https://staging-dtl-pattern-api.hfm-weimar.de/static/audio/solos/dtl/AQAGFolCOsmUJGhmE3m042_QNBeJSGRW_0.00.05.088385-0.00.35.058698.mp3", "link")</f>
        <v>link</v>
      </c>
      <c r="D482" t="s">
        <v>2282</v>
      </c>
      <c r="E482" t="s">
        <v>1435</v>
      </c>
      <c r="F482" t="s">
        <v>2283</v>
      </c>
      <c r="H482" t="s">
        <v>2274</v>
      </c>
      <c r="I482">
        <v>66</v>
      </c>
      <c r="J482" t="s">
        <v>198</v>
      </c>
      <c r="K482" t="s">
        <v>2284</v>
      </c>
      <c r="L482" s="1" t="s">
        <v>2285</v>
      </c>
      <c r="M482" t="s">
        <v>129</v>
      </c>
      <c r="N482" t="s">
        <v>826</v>
      </c>
      <c r="O482" s="1" t="s">
        <v>2286</v>
      </c>
      <c r="P482" s="1" t="s">
        <v>2287</v>
      </c>
      <c r="Q482" s="1" t="s">
        <v>7199</v>
      </c>
    </row>
    <row r="483" spans="1:17" x14ac:dyDescent="0.25">
      <c r="A483" t="s">
        <v>2288</v>
      </c>
      <c r="B483" t="str">
        <f>HYPERLINK("https://staging-dtl-pattern-api.hfm-weimar.de/static/audio/solos/dtl/AQAGFolCOsmUJGhmE3m042_QNBeJSGRW_0.00.35.058698-0.01.05.051253.mp3", "link")</f>
        <v>link</v>
      </c>
      <c r="D483" t="s">
        <v>2282</v>
      </c>
      <c r="E483" t="s">
        <v>594</v>
      </c>
      <c r="F483" t="s">
        <v>2283</v>
      </c>
      <c r="H483" t="s">
        <v>2274</v>
      </c>
      <c r="I483">
        <v>66</v>
      </c>
      <c r="J483" t="s">
        <v>198</v>
      </c>
      <c r="K483" t="s">
        <v>2284</v>
      </c>
      <c r="L483" s="1" t="s">
        <v>2285</v>
      </c>
      <c r="M483" t="s">
        <v>129</v>
      </c>
      <c r="N483" t="s">
        <v>172</v>
      </c>
      <c r="O483" s="1" t="s">
        <v>2287</v>
      </c>
      <c r="P483" s="1" t="s">
        <v>2289</v>
      </c>
    </row>
    <row r="484" spans="1:17" x14ac:dyDescent="0.25">
      <c r="A484" t="s">
        <v>2290</v>
      </c>
      <c r="B484" t="str">
        <f>HYPERLINK("https://staging-dtl-pattern-api.hfm-weimar.de/static/audio/solos/dtl/AQAGFolCOsmUJGhmE3m042_QNBeJSGRW_0.01.05.051253-0.02.03.075328.mp3", "link")</f>
        <v>link</v>
      </c>
      <c r="D484" t="s">
        <v>2282</v>
      </c>
      <c r="E484" t="s">
        <v>605</v>
      </c>
      <c r="F484" t="s">
        <v>2283</v>
      </c>
      <c r="H484" t="s">
        <v>2274</v>
      </c>
      <c r="I484">
        <v>66</v>
      </c>
      <c r="J484" t="s">
        <v>198</v>
      </c>
      <c r="K484" t="s">
        <v>2284</v>
      </c>
      <c r="L484" s="1" t="s">
        <v>2285</v>
      </c>
      <c r="M484" t="s">
        <v>129</v>
      </c>
      <c r="N484" t="s">
        <v>202</v>
      </c>
      <c r="O484" s="1" t="s">
        <v>2289</v>
      </c>
      <c r="P484" s="1" t="s">
        <v>2291</v>
      </c>
    </row>
    <row r="485" spans="1:17" x14ac:dyDescent="0.25">
      <c r="A485" t="s">
        <v>2292</v>
      </c>
      <c r="B485" t="str">
        <f>HYPERLINK("https://staging-dtl-pattern-api.hfm-weimar.de/static/audio/solos/dtl/AQAGGdISZVErhD2aM3iCw3mMZ0GkTkez_0.00.30.065034-0.02.10.042648.mp3", "link")</f>
        <v>link</v>
      </c>
      <c r="D485" t="s">
        <v>2293</v>
      </c>
      <c r="E485" t="s">
        <v>507</v>
      </c>
      <c r="F485" t="s">
        <v>2294</v>
      </c>
      <c r="G485" t="s">
        <v>507</v>
      </c>
      <c r="H485" t="s">
        <v>2295</v>
      </c>
      <c r="I485">
        <v>76</v>
      </c>
      <c r="J485" t="s">
        <v>126</v>
      </c>
      <c r="K485" t="s">
        <v>2296</v>
      </c>
      <c r="L485" s="1" t="s">
        <v>2297</v>
      </c>
      <c r="M485" t="s">
        <v>129</v>
      </c>
      <c r="N485" t="s">
        <v>23</v>
      </c>
      <c r="O485" s="1" t="s">
        <v>2298</v>
      </c>
      <c r="P485" s="1" t="s">
        <v>2299</v>
      </c>
    </row>
    <row r="486" spans="1:17" x14ac:dyDescent="0.25">
      <c r="A486" t="s">
        <v>2300</v>
      </c>
      <c r="B486" t="str">
        <f>HYPERLINK("https://staging-dtl-pattern-api.hfm-weimar.de/static/audio/solos/dtl/AQAGGdISZVErhD2aM3iCw3mMZ0GkTkez_0.02.10.042648-0.02.21.058206.mp3", "link")</f>
        <v>link</v>
      </c>
      <c r="D486" t="s">
        <v>2293</v>
      </c>
      <c r="E486" t="s">
        <v>507</v>
      </c>
      <c r="F486" t="s">
        <v>2294</v>
      </c>
      <c r="G486" t="s">
        <v>507</v>
      </c>
      <c r="H486" t="s">
        <v>2295</v>
      </c>
      <c r="I486">
        <v>76</v>
      </c>
      <c r="J486" t="s">
        <v>126</v>
      </c>
      <c r="K486" t="s">
        <v>2296</v>
      </c>
      <c r="L486" s="1" t="s">
        <v>2297</v>
      </c>
      <c r="M486" t="s">
        <v>129</v>
      </c>
      <c r="N486" t="s">
        <v>23</v>
      </c>
      <c r="O486" s="1" t="s">
        <v>2299</v>
      </c>
      <c r="P486" s="1" t="s">
        <v>2301</v>
      </c>
    </row>
    <row r="487" spans="1:17" x14ac:dyDescent="0.25">
      <c r="A487" t="s">
        <v>2302</v>
      </c>
      <c r="B487" t="str">
        <f>HYPERLINK("https://staging-dtl-pattern-api.hfm-weimar.de/static/audio/solos/dtl/AQAGGdISZVErhD2aM3iCw3mMZ0GkTkez_0.02.28.053804-0.02.35.080589.mp3", "link")</f>
        <v>link</v>
      </c>
      <c r="D487" t="s">
        <v>2293</v>
      </c>
      <c r="E487" t="s">
        <v>507</v>
      </c>
      <c r="F487" t="s">
        <v>2294</v>
      </c>
      <c r="G487" t="s">
        <v>507</v>
      </c>
      <c r="H487" t="s">
        <v>2295</v>
      </c>
      <c r="I487">
        <v>76</v>
      </c>
      <c r="J487" t="s">
        <v>126</v>
      </c>
      <c r="K487" t="s">
        <v>2296</v>
      </c>
      <c r="L487" s="1" t="s">
        <v>2297</v>
      </c>
      <c r="M487" t="s">
        <v>129</v>
      </c>
      <c r="N487" t="s">
        <v>23</v>
      </c>
      <c r="O487" s="1" t="s">
        <v>2303</v>
      </c>
      <c r="P487" s="1" t="s">
        <v>2304</v>
      </c>
    </row>
    <row r="488" spans="1:17" x14ac:dyDescent="0.25">
      <c r="A488" t="s">
        <v>2305</v>
      </c>
      <c r="B488" t="str">
        <f>HYPERLINK("https://staging-dtl-pattern-api.hfm-weimar.de/static/audio/solos/dtl/AQAGGdISZVErhD2aM3iCw3mMZ0GkTkez_0.02.57.051655-0.03.05.017913.mp3", "link")</f>
        <v>link</v>
      </c>
      <c r="D488" t="s">
        <v>2293</v>
      </c>
      <c r="E488" t="s">
        <v>507</v>
      </c>
      <c r="F488" t="s">
        <v>2294</v>
      </c>
      <c r="G488" t="s">
        <v>507</v>
      </c>
      <c r="H488" t="s">
        <v>2295</v>
      </c>
      <c r="I488">
        <v>76</v>
      </c>
      <c r="J488" t="s">
        <v>126</v>
      </c>
      <c r="K488" t="s">
        <v>2296</v>
      </c>
      <c r="L488" s="1" t="s">
        <v>2297</v>
      </c>
      <c r="M488" t="s">
        <v>129</v>
      </c>
      <c r="N488" t="s">
        <v>23</v>
      </c>
      <c r="O488" s="1" t="s">
        <v>2306</v>
      </c>
      <c r="P488" s="1" t="s">
        <v>2307</v>
      </c>
    </row>
    <row r="489" spans="1:17" x14ac:dyDescent="0.25">
      <c r="A489" t="s">
        <v>2308</v>
      </c>
      <c r="B489" t="str">
        <f>HYPERLINK("https://staging-dtl-pattern-api.hfm-weimar.de/static/audio/solos/dtl/AQAGGdISZVErhD2aM3iCw3mMZ0GkTkez_0.03.08.056925-0.03.15.090666.mp3", "link")</f>
        <v>link</v>
      </c>
      <c r="D489" t="s">
        <v>2293</v>
      </c>
      <c r="E489" t="s">
        <v>507</v>
      </c>
      <c r="F489" t="s">
        <v>2294</v>
      </c>
      <c r="G489" t="s">
        <v>507</v>
      </c>
      <c r="H489" t="s">
        <v>2295</v>
      </c>
      <c r="I489">
        <v>76</v>
      </c>
      <c r="J489" t="s">
        <v>126</v>
      </c>
      <c r="K489" t="s">
        <v>2296</v>
      </c>
      <c r="L489" s="1" t="s">
        <v>2297</v>
      </c>
      <c r="M489" t="s">
        <v>129</v>
      </c>
      <c r="N489" t="s">
        <v>23</v>
      </c>
      <c r="O489" s="1" t="s">
        <v>2309</v>
      </c>
      <c r="P489" s="1" t="s">
        <v>2310</v>
      </c>
    </row>
    <row r="490" spans="1:17" x14ac:dyDescent="0.25">
      <c r="A490" t="s">
        <v>2311</v>
      </c>
      <c r="B490" s="3" t="str">
        <f>HYPERLINK("https://staging-dtl-pattern-api.hfm-weimar.de/static/audio/solos/dtl/AQAGGZmqJIso4T_-oKmh8QgZzsbJBC4T_0.01.29.030394-0.03.15.090666.mp3", "link")</f>
        <v>link</v>
      </c>
      <c r="C490" s="3"/>
      <c r="D490" s="5" t="s">
        <v>2312</v>
      </c>
      <c r="E490" s="3" t="s">
        <v>580</v>
      </c>
      <c r="F490" s="3" t="s">
        <v>579</v>
      </c>
      <c r="G490" s="3" t="s">
        <v>580</v>
      </c>
      <c r="H490" s="3" t="s">
        <v>581</v>
      </c>
      <c r="I490" s="3">
        <v>86</v>
      </c>
      <c r="J490" s="3" t="s">
        <v>160</v>
      </c>
      <c r="K490" s="3" t="s">
        <v>2313</v>
      </c>
      <c r="L490" s="4" t="s">
        <v>2314</v>
      </c>
      <c r="M490" s="3" t="s">
        <v>2315</v>
      </c>
      <c r="N490" s="3" t="s">
        <v>202</v>
      </c>
      <c r="O490" s="4" t="s">
        <v>2316</v>
      </c>
      <c r="P490" s="4" t="s">
        <v>2310</v>
      </c>
      <c r="Q490" s="3" t="s">
        <v>7236</v>
      </c>
    </row>
    <row r="491" spans="1:17" x14ac:dyDescent="0.25">
      <c r="A491" t="s">
        <v>2317</v>
      </c>
      <c r="B491" t="str">
        <f>HYPERLINK("https://staging-dtl-pattern-api.hfm-weimar.de/static/audio/solos/dtl/AQAGH05OTSmS6wr2BA8PTU_ho2RNnIYW_0.00.43.004979-0.01.07.088353.mp3", "link")</f>
        <v>link</v>
      </c>
      <c r="F491" t="s">
        <v>1144</v>
      </c>
      <c r="G491" t="s">
        <v>1144</v>
      </c>
      <c r="J491" t="s">
        <v>1145</v>
      </c>
      <c r="K491" t="s">
        <v>2318</v>
      </c>
      <c r="L491" s="1" t="s">
        <v>1147</v>
      </c>
      <c r="M491" t="s">
        <v>1148</v>
      </c>
      <c r="N491" t="s">
        <v>23</v>
      </c>
      <c r="O491" s="1" t="s">
        <v>2319</v>
      </c>
      <c r="P491" s="1" t="s">
        <v>2320</v>
      </c>
      <c r="Q491" s="1" t="s">
        <v>7224</v>
      </c>
    </row>
    <row r="492" spans="1:17" x14ac:dyDescent="0.25">
      <c r="A492" t="s">
        <v>2321</v>
      </c>
      <c r="B492" t="str">
        <f>HYPERLINK("https://staging-dtl-pattern-api.hfm-weimar.de/static/audio/solos/dtl/AQAGH05OTSmS6wr2BA8PTU_ho2RNnIYW_0.01.23.010421-0.01.49.087682.mp3", "link")</f>
        <v>link</v>
      </c>
      <c r="E492" t="s">
        <v>7093</v>
      </c>
      <c r="F492" t="s">
        <v>1144</v>
      </c>
      <c r="G492" t="s">
        <v>1144</v>
      </c>
      <c r="J492" t="s">
        <v>1145</v>
      </c>
      <c r="K492" t="s">
        <v>2318</v>
      </c>
      <c r="L492" s="1" t="s">
        <v>1147</v>
      </c>
      <c r="M492" t="s">
        <v>1148</v>
      </c>
      <c r="N492" t="s">
        <v>46</v>
      </c>
      <c r="O492" s="1" t="s">
        <v>527</v>
      </c>
      <c r="P492" s="1" t="s">
        <v>2322</v>
      </c>
      <c r="Q492" s="1" t="s">
        <v>7237</v>
      </c>
    </row>
    <row r="493" spans="1:17" x14ac:dyDescent="0.25">
      <c r="A493" t="s">
        <v>2323</v>
      </c>
      <c r="B493" t="str">
        <f>HYPERLINK("https://staging-dtl-pattern-api.hfm-weimar.de/static/audio/solos/dtl/AQAGH05OTSmS6wr2BA8PTU_ho2RNnIYW_0.01.49.087682-0.02.13.009968.mp3", "link")</f>
        <v>link</v>
      </c>
      <c r="E493" t="s">
        <v>7093</v>
      </c>
      <c r="F493" t="s">
        <v>1144</v>
      </c>
      <c r="G493" t="s">
        <v>1144</v>
      </c>
      <c r="J493" t="s">
        <v>1145</v>
      </c>
      <c r="K493" t="s">
        <v>2318</v>
      </c>
      <c r="L493" s="1" t="s">
        <v>1147</v>
      </c>
      <c r="M493" t="s">
        <v>1148</v>
      </c>
      <c r="N493" t="s">
        <v>46</v>
      </c>
      <c r="O493" s="1" t="s">
        <v>2322</v>
      </c>
      <c r="P493" s="1" t="s">
        <v>2324</v>
      </c>
      <c r="Q493" s="1" t="s">
        <v>7237</v>
      </c>
    </row>
    <row r="494" spans="1:17" x14ac:dyDescent="0.25">
      <c r="A494" t="s">
        <v>2325</v>
      </c>
      <c r="B494" t="str">
        <f>HYPERLINK("https://staging-dtl-pattern-api.hfm-weimar.de/static/audio/solos/dtl/AQAGI9HGJY3CgMdzTEqh6fjj4LnwPUMT_0.01.15.004689-0.01.50.028027.mp3", "link")</f>
        <v>link</v>
      </c>
      <c r="D494" t="s">
        <v>2326</v>
      </c>
      <c r="E494" t="s">
        <v>2327</v>
      </c>
      <c r="F494" t="s">
        <v>2328</v>
      </c>
      <c r="J494" t="s">
        <v>2329</v>
      </c>
      <c r="K494" t="s">
        <v>2330</v>
      </c>
      <c r="L494" s="1" t="s">
        <v>2331</v>
      </c>
      <c r="N494" t="s">
        <v>23</v>
      </c>
      <c r="O494" s="1" t="s">
        <v>2332</v>
      </c>
      <c r="P494" s="1" t="s">
        <v>2333</v>
      </c>
    </row>
    <row r="495" spans="1:17" x14ac:dyDescent="0.25">
      <c r="A495" t="s">
        <v>2334</v>
      </c>
      <c r="B495" t="str">
        <f>HYPERLINK("https://staging-dtl-pattern-api.hfm-weimar.de/static/audio/solos/dtl/AQAGKJmeqJEWaIcj5rCU7KjU487xzYWX_0.02.05.006267-0.03.17.075999.mp3", "link")</f>
        <v>link</v>
      </c>
      <c r="D495" t="s">
        <v>800</v>
      </c>
      <c r="E495" t="s">
        <v>251</v>
      </c>
      <c r="F495" t="s">
        <v>533</v>
      </c>
      <c r="G495" t="s">
        <v>251</v>
      </c>
      <c r="H495" t="s">
        <v>534</v>
      </c>
      <c r="I495">
        <v>29</v>
      </c>
      <c r="J495" t="s">
        <v>126</v>
      </c>
      <c r="K495" t="s">
        <v>2335</v>
      </c>
      <c r="L495" s="1" t="s">
        <v>802</v>
      </c>
      <c r="M495" t="s">
        <v>129</v>
      </c>
      <c r="N495" t="s">
        <v>202</v>
      </c>
      <c r="O495" s="1" t="s">
        <v>2336</v>
      </c>
      <c r="P495" s="1" t="s">
        <v>2337</v>
      </c>
    </row>
    <row r="496" spans="1:17" x14ac:dyDescent="0.25">
      <c r="A496" t="s">
        <v>2338</v>
      </c>
      <c r="B496" t="str">
        <f>HYPERLINK("https://staging-dtl-pattern-api.hfm-weimar.de/static/audio/solos/dtl/AQAGKZISSswTPNdx3HnwPDm-5Eh-hHmC_0.02.06.000888-0.02.26.046857.mp3", "link")</f>
        <v>link</v>
      </c>
      <c r="D496" t="s">
        <v>2339</v>
      </c>
      <c r="E496" t="s">
        <v>523</v>
      </c>
      <c r="F496" t="s">
        <v>433</v>
      </c>
      <c r="G496" t="s">
        <v>434</v>
      </c>
      <c r="H496" t="s">
        <v>435</v>
      </c>
      <c r="I496">
        <v>10</v>
      </c>
      <c r="J496" t="s">
        <v>198</v>
      </c>
      <c r="K496" t="s">
        <v>2340</v>
      </c>
      <c r="L496" s="1" t="s">
        <v>437</v>
      </c>
      <c r="M496" t="s">
        <v>438</v>
      </c>
      <c r="N496" t="s">
        <v>172</v>
      </c>
      <c r="O496" s="1" t="s">
        <v>2341</v>
      </c>
      <c r="P496" s="1" t="s">
        <v>2342</v>
      </c>
    </row>
    <row r="497" spans="1:17" x14ac:dyDescent="0.25">
      <c r="A497" t="s">
        <v>2343</v>
      </c>
      <c r="B497" t="str">
        <f>HYPERLINK("https://staging-dtl-pattern-api.hfm-weimar.de/static/audio/solos/dtl/AQAGL4yVTVKWIPeRMEdnnqj9CU3C6Aqe_0.01.02.022947-0.01.28.049124.mp3", "link")</f>
        <v>link</v>
      </c>
      <c r="D497" s="2" t="s">
        <v>2344</v>
      </c>
      <c r="F497" t="s">
        <v>2345</v>
      </c>
      <c r="G497" t="s">
        <v>1435</v>
      </c>
      <c r="H497" t="s">
        <v>2274</v>
      </c>
      <c r="I497">
        <v>66</v>
      </c>
      <c r="J497" t="s">
        <v>198</v>
      </c>
      <c r="K497" t="s">
        <v>2346</v>
      </c>
      <c r="L497" s="1" t="s">
        <v>2347</v>
      </c>
      <c r="M497" t="s">
        <v>129</v>
      </c>
      <c r="N497" t="s">
        <v>202</v>
      </c>
      <c r="O497" s="1" t="s">
        <v>2348</v>
      </c>
      <c r="P497" s="1" t="s">
        <v>2349</v>
      </c>
      <c r="Q497" s="1" t="s">
        <v>7238</v>
      </c>
    </row>
    <row r="498" spans="1:17" x14ac:dyDescent="0.25">
      <c r="A498" t="s">
        <v>2350</v>
      </c>
      <c r="B498" t="str">
        <f>HYPERLINK("https://staging-dtl-pattern-api.hfm-weimar.de/static/audio/solos/dtl/AQAGL4yVTVKWIPeRMEdnnqj9CU3C6Aqe_0.02.17.050857-0.02.46.071927.mp3", "link")</f>
        <v>link</v>
      </c>
      <c r="D498" t="s">
        <v>2344</v>
      </c>
      <c r="E498" t="s">
        <v>1833</v>
      </c>
      <c r="F498" t="s">
        <v>2345</v>
      </c>
      <c r="G498" t="s">
        <v>1435</v>
      </c>
      <c r="H498" t="s">
        <v>2274</v>
      </c>
      <c r="I498">
        <v>66</v>
      </c>
      <c r="J498" t="s">
        <v>198</v>
      </c>
      <c r="K498" t="s">
        <v>2346</v>
      </c>
      <c r="L498" s="1" t="s">
        <v>2347</v>
      </c>
      <c r="M498" t="s">
        <v>129</v>
      </c>
      <c r="N498" t="s">
        <v>622</v>
      </c>
      <c r="O498" s="1" t="s">
        <v>2351</v>
      </c>
      <c r="P498" s="1" t="s">
        <v>2352</v>
      </c>
    </row>
    <row r="499" spans="1:17" x14ac:dyDescent="0.25">
      <c r="A499" t="s">
        <v>2353</v>
      </c>
      <c r="B499" t="str">
        <f>HYPERLINK("https://staging-dtl-pattern-api.hfm-weimar.de/static/audio/solos/dtl/AQAGLYqULVmWRBH2xIS7BZd14aMH_0d__0.00.29.035292-0.01.36.070603.mp3", "link")</f>
        <v>link</v>
      </c>
      <c r="D499" t="s">
        <v>2354</v>
      </c>
      <c r="E499" t="s">
        <v>2356</v>
      </c>
      <c r="F499" t="s">
        <v>2355</v>
      </c>
      <c r="G499" t="s">
        <v>2356</v>
      </c>
      <c r="H499" t="s">
        <v>2019</v>
      </c>
      <c r="I499">
        <v>21</v>
      </c>
      <c r="J499" t="s">
        <v>141</v>
      </c>
      <c r="K499" t="s">
        <v>2357</v>
      </c>
      <c r="L499" s="1" t="s">
        <v>2358</v>
      </c>
      <c r="M499" t="s">
        <v>1936</v>
      </c>
      <c r="N499" t="s">
        <v>826</v>
      </c>
      <c r="O499" s="1" t="s">
        <v>2359</v>
      </c>
      <c r="P499" s="1" t="s">
        <v>2360</v>
      </c>
      <c r="Q499" s="1" t="s">
        <v>7196</v>
      </c>
    </row>
    <row r="500" spans="1:17" x14ac:dyDescent="0.25">
      <c r="A500" t="s">
        <v>2361</v>
      </c>
      <c r="B500" t="str">
        <f>HYPERLINK("https://staging-dtl-pattern-api.hfm-weimar.de/static/audio/solos/dtl/AQAGM0oSLk0ULUHTH09wkUfDKCz-IGcC_0.01.31.000952-0.01.35.045142.mp3", "link")</f>
        <v>link</v>
      </c>
      <c r="D500" t="s">
        <v>2362</v>
      </c>
      <c r="E500" t="s">
        <v>2356</v>
      </c>
      <c r="F500" t="s">
        <v>2355</v>
      </c>
      <c r="G500" t="s">
        <v>2356</v>
      </c>
      <c r="H500" t="s">
        <v>2019</v>
      </c>
      <c r="I500">
        <v>21</v>
      </c>
      <c r="J500" t="s">
        <v>141</v>
      </c>
      <c r="K500" t="s">
        <v>2363</v>
      </c>
      <c r="L500" s="1" t="s">
        <v>2358</v>
      </c>
      <c r="M500" t="s">
        <v>1936</v>
      </c>
      <c r="N500" t="s">
        <v>826</v>
      </c>
      <c r="O500" s="1" t="s">
        <v>2364</v>
      </c>
      <c r="P500" s="1" t="s">
        <v>2365</v>
      </c>
      <c r="Q500" s="1" t="s">
        <v>7196</v>
      </c>
    </row>
    <row r="501" spans="1:17" x14ac:dyDescent="0.25">
      <c r="A501" t="s">
        <v>2366</v>
      </c>
      <c r="B501" t="str">
        <f>HYPERLINK("https://staging-dtl-pattern-api.hfm-weimar.de/static/audio/solos/dtl/AQAGM0oSLk0ULUHTH09wkUfDKCz-IGcC_0.01.41.004689-0.01.54.077333.mp3", "link")</f>
        <v>link</v>
      </c>
      <c r="D501" t="s">
        <v>2362</v>
      </c>
      <c r="E501" t="s">
        <v>2356</v>
      </c>
      <c r="F501" t="s">
        <v>2355</v>
      </c>
      <c r="G501" t="s">
        <v>2356</v>
      </c>
      <c r="H501" t="s">
        <v>2019</v>
      </c>
      <c r="I501">
        <v>21</v>
      </c>
      <c r="J501" t="s">
        <v>141</v>
      </c>
      <c r="K501" t="s">
        <v>2363</v>
      </c>
      <c r="L501" s="1" t="s">
        <v>2358</v>
      </c>
      <c r="M501" t="s">
        <v>1936</v>
      </c>
      <c r="N501" t="s">
        <v>826</v>
      </c>
      <c r="O501" s="1" t="s">
        <v>2367</v>
      </c>
      <c r="P501" s="1" t="s">
        <v>2368</v>
      </c>
      <c r="Q501" s="1" t="s">
        <v>7196</v>
      </c>
    </row>
    <row r="502" spans="1:17" x14ac:dyDescent="0.25">
      <c r="A502" t="s">
        <v>2369</v>
      </c>
      <c r="B502" t="str">
        <f>HYPERLINK("https://staging-dtl-pattern-api.hfm-weimar.de/static/audio/solos/dtl/AQAGM0oSLk0ULUHTH09wkUfDKCz-IGcC_0.02.00.036353-0.02.03.066222.mp3", "link")</f>
        <v>link</v>
      </c>
      <c r="D502" t="s">
        <v>2362</v>
      </c>
      <c r="E502" t="s">
        <v>2356</v>
      </c>
      <c r="F502" t="s">
        <v>2355</v>
      </c>
      <c r="G502" t="s">
        <v>2356</v>
      </c>
      <c r="H502" t="s">
        <v>2019</v>
      </c>
      <c r="I502">
        <v>21</v>
      </c>
      <c r="J502" t="s">
        <v>141</v>
      </c>
      <c r="K502" t="s">
        <v>2363</v>
      </c>
      <c r="L502" s="1" t="s">
        <v>2358</v>
      </c>
      <c r="M502" t="s">
        <v>1936</v>
      </c>
      <c r="N502" t="s">
        <v>826</v>
      </c>
      <c r="O502" s="1" t="s">
        <v>2370</v>
      </c>
      <c r="P502" s="1" t="s">
        <v>2371</v>
      </c>
      <c r="Q502" s="1" t="s">
        <v>7196</v>
      </c>
    </row>
    <row r="503" spans="1:17" x14ac:dyDescent="0.25">
      <c r="A503" t="s">
        <v>2372</v>
      </c>
      <c r="B503" t="str">
        <f>HYPERLINK("https://staging-dtl-pattern-api.hfm-weimar.de/static/audio/solos/dtl/AQAGM0oSLk0ULUHTH09wkUfDKCz-IGcC_0.02.03.066222-0.02.51.054539.mp3", "link")</f>
        <v>link</v>
      </c>
      <c r="D503" t="s">
        <v>2362</v>
      </c>
      <c r="E503" t="s">
        <v>2356</v>
      </c>
      <c r="F503" t="s">
        <v>2355</v>
      </c>
      <c r="G503" t="s">
        <v>2356</v>
      </c>
      <c r="H503" t="s">
        <v>2019</v>
      </c>
      <c r="I503">
        <v>21</v>
      </c>
      <c r="J503" t="s">
        <v>141</v>
      </c>
      <c r="K503" t="s">
        <v>2363</v>
      </c>
      <c r="L503" s="1" t="s">
        <v>2358</v>
      </c>
      <c r="M503" t="s">
        <v>1936</v>
      </c>
      <c r="N503" t="s">
        <v>826</v>
      </c>
      <c r="O503" s="1" t="s">
        <v>2371</v>
      </c>
      <c r="P503" s="1" t="s">
        <v>2373</v>
      </c>
      <c r="Q503" s="1" t="s">
        <v>7196</v>
      </c>
    </row>
    <row r="504" spans="1:17" x14ac:dyDescent="0.25">
      <c r="A504" t="s">
        <v>2374</v>
      </c>
      <c r="B504" t="str">
        <f>HYPERLINK("https://staging-dtl-pattern-api.hfm-weimar.de/static/audio/solos/dtl/AQAgmkmiPNOyBJF05ZjyE4_Q47nhKcmH_0.00.25.007755-0.05.52.091428.mp3", "link")</f>
        <v>link</v>
      </c>
      <c r="D504" t="s">
        <v>7154</v>
      </c>
      <c r="E504" t="s">
        <v>18</v>
      </c>
      <c r="F504" t="s">
        <v>2375</v>
      </c>
      <c r="J504" t="s">
        <v>1465</v>
      </c>
      <c r="K504" t="s">
        <v>2376</v>
      </c>
      <c r="L504" s="1" t="s">
        <v>2377</v>
      </c>
      <c r="M504" t="s">
        <v>2378</v>
      </c>
      <c r="N504" t="s">
        <v>23</v>
      </c>
      <c r="O504" s="1" t="s">
        <v>2379</v>
      </c>
      <c r="P504" s="1" t="s">
        <v>2380</v>
      </c>
      <c r="Q504" s="1" t="s">
        <v>7239</v>
      </c>
    </row>
    <row r="505" spans="1:17" x14ac:dyDescent="0.25">
      <c r="A505" t="s">
        <v>2381</v>
      </c>
      <c r="B505" t="str">
        <f>HYPERLINK("https://staging-dtl-pattern-api.hfm-weimar.de/static/audio/solos/dtl/AQAgmkmiPNOyBJF05ZjyE4_Q47nhKcmH_0.14.03.016299-0.14.27.059038.mp3", "link")</f>
        <v>link</v>
      </c>
      <c r="D505" t="s">
        <v>7154</v>
      </c>
      <c r="E505" t="s">
        <v>18</v>
      </c>
      <c r="F505" t="s">
        <v>2375</v>
      </c>
      <c r="J505" t="s">
        <v>1465</v>
      </c>
      <c r="K505" t="s">
        <v>2376</v>
      </c>
      <c r="L505" s="1" t="s">
        <v>2377</v>
      </c>
      <c r="M505" t="s">
        <v>2378</v>
      </c>
      <c r="N505" t="s">
        <v>23</v>
      </c>
      <c r="O505" s="1" t="s">
        <v>2382</v>
      </c>
      <c r="P505" s="1" t="s">
        <v>2383</v>
      </c>
      <c r="Q505" s="1" t="s">
        <v>7239</v>
      </c>
    </row>
    <row r="506" spans="1:17" x14ac:dyDescent="0.25">
      <c r="A506" t="s">
        <v>2384</v>
      </c>
      <c r="B506" t="str">
        <f>HYPERLINK("https://staging-dtl-pattern-api.hfm-weimar.de/static/audio/solos/dtl/AQAgmkmiPNOyBJF05ZjyE4_Q47nhKcmH_0.14.38.036444-0.14.48.058122.mp3", "link")</f>
        <v>link</v>
      </c>
      <c r="D506" t="s">
        <v>7154</v>
      </c>
      <c r="E506" t="s">
        <v>18</v>
      </c>
      <c r="F506" t="s">
        <v>2375</v>
      </c>
      <c r="J506" t="s">
        <v>1465</v>
      </c>
      <c r="K506" t="s">
        <v>2376</v>
      </c>
      <c r="L506" s="1" t="s">
        <v>2377</v>
      </c>
      <c r="M506" t="s">
        <v>2378</v>
      </c>
      <c r="N506" t="s">
        <v>23</v>
      </c>
      <c r="O506" s="1" t="s">
        <v>2385</v>
      </c>
      <c r="P506" s="1" t="s">
        <v>2386</v>
      </c>
      <c r="Q506" s="1" t="s">
        <v>7239</v>
      </c>
    </row>
    <row r="507" spans="1:17" x14ac:dyDescent="0.25">
      <c r="A507" t="s">
        <v>2387</v>
      </c>
      <c r="B507" t="str">
        <f>HYPERLINK("https://staging-dtl-pattern-api.hfm-weimar.de/static/audio/solos/dtl/AQAgmkmiPNOyBJF05ZjyE4_Q47nhKcmH_0.14.57.054412-0.15.09.010766.mp3", "link")</f>
        <v>link</v>
      </c>
      <c r="D507" t="s">
        <v>7154</v>
      </c>
      <c r="E507" t="s">
        <v>18</v>
      </c>
      <c r="F507" t="s">
        <v>2375</v>
      </c>
      <c r="J507" t="s">
        <v>1465</v>
      </c>
      <c r="K507" t="s">
        <v>2376</v>
      </c>
      <c r="L507" s="1" t="s">
        <v>2377</v>
      </c>
      <c r="M507" t="s">
        <v>2378</v>
      </c>
      <c r="N507" t="s">
        <v>23</v>
      </c>
      <c r="O507" s="1" t="s">
        <v>2388</v>
      </c>
      <c r="P507" s="1" t="s">
        <v>2389</v>
      </c>
      <c r="Q507" s="1" t="s">
        <v>7239</v>
      </c>
    </row>
    <row r="508" spans="1:17" x14ac:dyDescent="0.25">
      <c r="A508" t="s">
        <v>2390</v>
      </c>
      <c r="B508" t="str">
        <f>HYPERLINK("https://staging-dtl-pattern-api.hfm-weimar.de/static/audio/solos/dtl/AQAgmkmiPNOyBJF05ZjyE4_Q47nhKcmH_0.15.19.055664-0.15.30.098086.mp3", "link")</f>
        <v>link</v>
      </c>
      <c r="D508" t="s">
        <v>7154</v>
      </c>
      <c r="E508" t="s">
        <v>18</v>
      </c>
      <c r="F508" t="s">
        <v>2375</v>
      </c>
      <c r="J508" t="s">
        <v>1465</v>
      </c>
      <c r="K508" t="s">
        <v>2376</v>
      </c>
      <c r="L508" s="1" t="s">
        <v>2377</v>
      </c>
      <c r="M508" t="s">
        <v>2378</v>
      </c>
      <c r="N508" t="s">
        <v>23</v>
      </c>
      <c r="O508" s="1" t="s">
        <v>2391</v>
      </c>
      <c r="P508" s="1" t="s">
        <v>2392</v>
      </c>
      <c r="Q508" s="1" t="s">
        <v>7239</v>
      </c>
    </row>
    <row r="509" spans="1:17" x14ac:dyDescent="0.25">
      <c r="A509" t="s">
        <v>2393</v>
      </c>
      <c r="B509" t="str">
        <f>HYPERLINK("https://staging-dtl-pattern-api.hfm-weimar.de/static/audio/solos/dtl/AQAgmkmiPNOyBJF05ZjyE4_Q47nhKcmH_0.15.40.082612-0.15.44.086639.mp3", "link")</f>
        <v>link</v>
      </c>
      <c r="D509" t="s">
        <v>7154</v>
      </c>
      <c r="E509" t="s">
        <v>18</v>
      </c>
      <c r="F509" t="s">
        <v>2375</v>
      </c>
      <c r="J509" t="s">
        <v>1465</v>
      </c>
      <c r="K509" t="s">
        <v>2376</v>
      </c>
      <c r="L509" s="1" t="s">
        <v>2377</v>
      </c>
      <c r="M509" t="s">
        <v>2378</v>
      </c>
      <c r="N509" t="s">
        <v>23</v>
      </c>
      <c r="O509" s="1" t="s">
        <v>2394</v>
      </c>
      <c r="P509" s="1" t="s">
        <v>2395</v>
      </c>
      <c r="Q509" s="1" t="s">
        <v>7239</v>
      </c>
    </row>
    <row r="510" spans="1:17" x14ac:dyDescent="0.25">
      <c r="A510" t="s">
        <v>2396</v>
      </c>
      <c r="B510" t="str">
        <f>HYPERLINK("https://staging-dtl-pattern-api.hfm-weimar.de/static/audio/solos/dtl/AQAgmkmiPNOyBJF05ZjyE4_Q47nhKcmH_0.15.47.083854-0.15.52.043609.mp3", "link")</f>
        <v>link</v>
      </c>
      <c r="D510" t="s">
        <v>7154</v>
      </c>
      <c r="E510" t="s">
        <v>18</v>
      </c>
      <c r="F510" t="s">
        <v>2375</v>
      </c>
      <c r="J510" t="s">
        <v>1465</v>
      </c>
      <c r="K510" t="s">
        <v>2376</v>
      </c>
      <c r="L510" s="1" t="s">
        <v>2377</v>
      </c>
      <c r="M510" t="s">
        <v>2378</v>
      </c>
      <c r="N510" t="s">
        <v>23</v>
      </c>
      <c r="O510" s="1" t="s">
        <v>2397</v>
      </c>
      <c r="P510" s="1" t="s">
        <v>2398</v>
      </c>
      <c r="Q510" s="1" t="s">
        <v>7239</v>
      </c>
    </row>
    <row r="511" spans="1:17" x14ac:dyDescent="0.25">
      <c r="A511" t="s">
        <v>2399</v>
      </c>
      <c r="B511" t="str">
        <f>HYPERLINK("https://staging-dtl-pattern-api.hfm-weimar.de/static/audio/solos/dtl/AQAgmkmiPNOyBJF05ZjyE4_Q47nhKcmH_0.15.55.008317-0.15.58.056616.mp3", "link")</f>
        <v>link</v>
      </c>
      <c r="D511" t="s">
        <v>7154</v>
      </c>
      <c r="E511" t="s">
        <v>18</v>
      </c>
      <c r="F511" t="s">
        <v>2375</v>
      </c>
      <c r="J511" t="s">
        <v>1465</v>
      </c>
      <c r="K511" t="s">
        <v>2376</v>
      </c>
      <c r="L511" s="1" t="s">
        <v>2377</v>
      </c>
      <c r="M511" t="s">
        <v>2378</v>
      </c>
      <c r="N511" t="s">
        <v>23</v>
      </c>
      <c r="O511" s="1" t="s">
        <v>2400</v>
      </c>
      <c r="P511" s="1" t="s">
        <v>2401</v>
      </c>
      <c r="Q511" s="1" t="s">
        <v>7239</v>
      </c>
    </row>
    <row r="512" spans="1:17" x14ac:dyDescent="0.25">
      <c r="A512" t="s">
        <v>2402</v>
      </c>
      <c r="B512" t="str">
        <f>HYPERLINK("https://staging-dtl-pattern-api.hfm-weimar.de/static/audio/solos/dtl/AQAgmkmiPNOyBJF05ZjyE4_Q47nhKcmH_0.16.01.067764-0.16.05.043927.mp3", "link")</f>
        <v>link</v>
      </c>
      <c r="D512" t="s">
        <v>7154</v>
      </c>
      <c r="E512" t="s">
        <v>18</v>
      </c>
      <c r="F512" t="s">
        <v>2375</v>
      </c>
      <c r="J512" t="s">
        <v>1465</v>
      </c>
      <c r="K512" t="s">
        <v>2376</v>
      </c>
      <c r="L512" s="1" t="s">
        <v>2377</v>
      </c>
      <c r="M512" t="s">
        <v>2378</v>
      </c>
      <c r="N512" t="s">
        <v>23</v>
      </c>
      <c r="O512" s="1" t="s">
        <v>2403</v>
      </c>
      <c r="P512" s="1" t="s">
        <v>2404</v>
      </c>
      <c r="Q512" s="1" t="s">
        <v>7239</v>
      </c>
    </row>
    <row r="513" spans="1:17" x14ac:dyDescent="0.25">
      <c r="A513" t="s">
        <v>2405</v>
      </c>
      <c r="B513" t="str">
        <f>HYPERLINK("https://staging-dtl-pattern-api.hfm-weimar.de/static/audio/solos/dtl/AQAgmkmiPNOyBJF05ZjyE4_Q47nhKcmH_0.16.08.045786-0.16.12.049814.mp3", "link")</f>
        <v>link</v>
      </c>
      <c r="D513" t="s">
        <v>7154</v>
      </c>
      <c r="E513" t="s">
        <v>18</v>
      </c>
      <c r="F513" t="s">
        <v>2375</v>
      </c>
      <c r="J513" t="s">
        <v>1465</v>
      </c>
      <c r="K513" t="s">
        <v>2376</v>
      </c>
      <c r="L513" s="1" t="s">
        <v>2377</v>
      </c>
      <c r="M513" t="s">
        <v>2378</v>
      </c>
      <c r="N513" t="s">
        <v>23</v>
      </c>
      <c r="O513" s="1" t="s">
        <v>2406</v>
      </c>
      <c r="P513" s="1" t="s">
        <v>2407</v>
      </c>
      <c r="Q513" s="1" t="s">
        <v>7239</v>
      </c>
    </row>
    <row r="514" spans="1:17" x14ac:dyDescent="0.25">
      <c r="A514" t="s">
        <v>2408</v>
      </c>
      <c r="B514" t="str">
        <f>HYPERLINK("https://staging-dtl-pattern-api.hfm-weimar.de/static/audio/solos/dtl/AQAgmkmiPNOyBJF05ZjyE4_Q47nhKcmH_0.16.15.051673-0.16.19.051056.mp3", "link")</f>
        <v>link</v>
      </c>
      <c r="D514" t="s">
        <v>7154</v>
      </c>
      <c r="E514" t="s">
        <v>18</v>
      </c>
      <c r="F514" t="s">
        <v>2375</v>
      </c>
      <c r="J514" t="s">
        <v>1465</v>
      </c>
      <c r="K514" t="s">
        <v>2376</v>
      </c>
      <c r="L514" s="1" t="s">
        <v>2377</v>
      </c>
      <c r="M514" t="s">
        <v>2378</v>
      </c>
      <c r="N514" t="s">
        <v>23</v>
      </c>
      <c r="O514" s="1" t="s">
        <v>2409</v>
      </c>
      <c r="P514" s="1" t="s">
        <v>2410</v>
      </c>
      <c r="Q514" s="1" t="s">
        <v>7239</v>
      </c>
    </row>
    <row r="515" spans="1:17" x14ac:dyDescent="0.25">
      <c r="A515" t="s">
        <v>2411</v>
      </c>
      <c r="B515" t="str">
        <f>HYPERLINK("https://staging-dtl-pattern-api.hfm-weimar.de/static/audio/solos/dtl/AQAGn8sURWGSbAl-MD0cMSMOHMmsI2am_0.00.48.092444-0.01.15.051999.mp3", "link")</f>
        <v>link</v>
      </c>
      <c r="D515" t="s">
        <v>2412</v>
      </c>
      <c r="E515" t="s">
        <v>2413</v>
      </c>
      <c r="F515" t="s">
        <v>2413</v>
      </c>
      <c r="J515" t="s">
        <v>2414</v>
      </c>
      <c r="K515" t="s">
        <v>2415</v>
      </c>
      <c r="L515" s="1" t="s">
        <v>2416</v>
      </c>
      <c r="M515" t="s">
        <v>129</v>
      </c>
      <c r="N515" t="s">
        <v>46</v>
      </c>
      <c r="O515" s="1" t="s">
        <v>2417</v>
      </c>
      <c r="P515" s="1" t="s">
        <v>2418</v>
      </c>
      <c r="Q515" s="1"/>
    </row>
    <row r="516" spans="1:17" x14ac:dyDescent="0.25">
      <c r="A516" t="s">
        <v>2419</v>
      </c>
      <c r="B516" t="str">
        <f>HYPERLINK("https://staging-dtl-pattern-api.hfm-weimar.de/static/audio/solos/dtl/AQAGn8sURWGSbAl-MD0cMSMOHMmsI2am_0.01.15.051999-0.01.39.098222.mp3", "link")</f>
        <v>link</v>
      </c>
      <c r="D516" t="s">
        <v>7095</v>
      </c>
      <c r="E516" t="s">
        <v>7094</v>
      </c>
      <c r="F516" t="s">
        <v>2413</v>
      </c>
      <c r="J516" t="s">
        <v>2414</v>
      </c>
      <c r="K516" t="s">
        <v>2415</v>
      </c>
      <c r="L516" s="1" t="s">
        <v>2416</v>
      </c>
      <c r="M516" t="s">
        <v>129</v>
      </c>
      <c r="N516" t="s">
        <v>891</v>
      </c>
      <c r="O516" s="1" t="s">
        <v>2418</v>
      </c>
      <c r="P516" s="1" t="s">
        <v>2420</v>
      </c>
      <c r="Q516" s="1" t="s">
        <v>7240</v>
      </c>
    </row>
    <row r="517" spans="1:17" x14ac:dyDescent="0.25">
      <c r="A517" t="s">
        <v>2421</v>
      </c>
      <c r="B517" t="str">
        <f>HYPERLINK("https://staging-dtl-pattern-api.hfm-weimar.de/static/audio/solos/dtl/AQAGn8sURWGSbAl-MD0cMSMOHMmsI2am_0.01.46.030095-0.02.04.093206.mp3", "link")</f>
        <v>link</v>
      </c>
      <c r="D517" t="s">
        <v>2412</v>
      </c>
      <c r="E517" t="s">
        <v>2422</v>
      </c>
      <c r="F517" t="s">
        <v>2413</v>
      </c>
      <c r="J517" t="s">
        <v>2414</v>
      </c>
      <c r="K517" t="s">
        <v>2415</v>
      </c>
      <c r="L517" s="1" t="s">
        <v>2416</v>
      </c>
      <c r="M517" t="s">
        <v>129</v>
      </c>
      <c r="N517" t="s">
        <v>23</v>
      </c>
      <c r="O517" s="1" t="s">
        <v>2423</v>
      </c>
      <c r="P517" s="1" t="s">
        <v>2424</v>
      </c>
    </row>
    <row r="518" spans="1:17" x14ac:dyDescent="0.25">
      <c r="A518" t="s">
        <v>2425</v>
      </c>
      <c r="B518" t="str">
        <f>HYPERLINK("https://staging-dtl-pattern-api.hfm-weimar.de/static/audio/solos/dtl/AQAGn8sURWGSbAl-MD0cMSMOHMmsI2am_0.02.04.093206-0.02.28.084716.mp3", "link")</f>
        <v>link</v>
      </c>
      <c r="D518" t="s">
        <v>2412</v>
      </c>
      <c r="E518" t="s">
        <v>7096</v>
      </c>
      <c r="F518" t="s">
        <v>2413</v>
      </c>
      <c r="J518" t="s">
        <v>2414</v>
      </c>
      <c r="K518" t="s">
        <v>2415</v>
      </c>
      <c r="L518" s="1" t="s">
        <v>2416</v>
      </c>
      <c r="M518" t="s">
        <v>129</v>
      </c>
      <c r="N518" t="s">
        <v>172</v>
      </c>
      <c r="O518" s="1" t="s">
        <v>2424</v>
      </c>
      <c r="P518" s="1" t="s">
        <v>2426</v>
      </c>
      <c r="Q518" s="1" t="s">
        <v>7241</v>
      </c>
    </row>
    <row r="519" spans="1:17" x14ac:dyDescent="0.25">
      <c r="A519" t="s">
        <v>2427</v>
      </c>
      <c r="B519" t="str">
        <f>HYPERLINK("https://staging-dtl-pattern-api.hfm-weimar.de/static/audio/solos/dtl/AQAGNlSTdVkiJD_yE88YB72OM8_xWQue_0.00.33.066893-0.02.47.083383.mp3", "link")</f>
        <v>link</v>
      </c>
      <c r="D519" t="s">
        <v>2428</v>
      </c>
      <c r="E519" t="s">
        <v>1795</v>
      </c>
      <c r="F519" t="s">
        <v>2429</v>
      </c>
      <c r="H519" t="s">
        <v>2430</v>
      </c>
      <c r="I519">
        <v>22</v>
      </c>
      <c r="J519" t="s">
        <v>126</v>
      </c>
      <c r="K519" t="s">
        <v>2431</v>
      </c>
      <c r="L519" s="1" t="s">
        <v>2432</v>
      </c>
      <c r="M519" t="s">
        <v>129</v>
      </c>
      <c r="N519" t="s">
        <v>109</v>
      </c>
      <c r="O519" s="1" t="s">
        <v>2433</v>
      </c>
      <c r="P519" s="1" t="s">
        <v>2434</v>
      </c>
    </row>
    <row r="520" spans="1:17" x14ac:dyDescent="0.25">
      <c r="A520" t="s">
        <v>2435</v>
      </c>
      <c r="B520" t="str">
        <f>HYPERLINK("https://staging-dtl-pattern-api.hfm-weimar.de/static/audio/solos/dtl/AQAGNNQzLQx-PDm-48Ij6Dv6BM_RxEpO_0.00.36.088489-0.01.08.064979.mp3", "link")</f>
        <v>link</v>
      </c>
      <c r="D520" t="s">
        <v>2436</v>
      </c>
      <c r="E520" t="s">
        <v>2437</v>
      </c>
      <c r="F520" t="s">
        <v>2438</v>
      </c>
      <c r="H520" t="s">
        <v>2439</v>
      </c>
      <c r="I520">
        <v>76</v>
      </c>
      <c r="J520" t="s">
        <v>141</v>
      </c>
      <c r="K520" t="s">
        <v>2440</v>
      </c>
      <c r="L520" s="1" t="s">
        <v>2441</v>
      </c>
      <c r="M520" t="s">
        <v>129</v>
      </c>
      <c r="N520" t="s">
        <v>172</v>
      </c>
      <c r="O520" s="1" t="s">
        <v>2442</v>
      </c>
      <c r="P520" s="1" t="s">
        <v>2443</v>
      </c>
    </row>
    <row r="521" spans="1:17" x14ac:dyDescent="0.25">
      <c r="A521" t="s">
        <v>2444</v>
      </c>
      <c r="B521" t="str">
        <f>HYPERLINK("https://staging-dtl-pattern-api.hfm-weimar.de/static/audio/solos/dtl/AQAGNNQzLQx-PDm-48Ij6Dv6BM_RxEpO_0.01.08.064979-0.01.39.089224.mp3", "link")</f>
        <v>link</v>
      </c>
      <c r="D521" t="s">
        <v>2436</v>
      </c>
      <c r="E521" t="s">
        <v>266</v>
      </c>
      <c r="F521" t="s">
        <v>2438</v>
      </c>
      <c r="H521" t="s">
        <v>2439</v>
      </c>
      <c r="I521">
        <v>76</v>
      </c>
      <c r="J521" t="s">
        <v>141</v>
      </c>
      <c r="K521" t="s">
        <v>2440</v>
      </c>
      <c r="L521" s="1" t="s">
        <v>2441</v>
      </c>
      <c r="M521" t="s">
        <v>129</v>
      </c>
      <c r="N521" t="s">
        <v>23</v>
      </c>
      <c r="O521" s="1" t="s">
        <v>2443</v>
      </c>
      <c r="P521" s="1" t="s">
        <v>1681</v>
      </c>
    </row>
    <row r="522" spans="1:17" x14ac:dyDescent="0.25">
      <c r="A522" t="s">
        <v>2445</v>
      </c>
      <c r="B522" t="str">
        <f>HYPERLINK("https://staging-dtl-pattern-api.hfm-weimar.de/static/audio/solos/dtl/AQAGNNQzLQx-PDm-48Ij6Dv6BM_RxEpO_0.01.39.089224-0.02.11.052653.mp3", "link")</f>
        <v>link</v>
      </c>
      <c r="D522" t="s">
        <v>2436</v>
      </c>
      <c r="E522" t="s">
        <v>2446</v>
      </c>
      <c r="F522" t="s">
        <v>2438</v>
      </c>
      <c r="H522" t="s">
        <v>2439</v>
      </c>
      <c r="I522">
        <v>76</v>
      </c>
      <c r="J522" t="s">
        <v>141</v>
      </c>
      <c r="K522" t="s">
        <v>2440</v>
      </c>
      <c r="L522" s="1" t="s">
        <v>2441</v>
      </c>
      <c r="M522" t="s">
        <v>129</v>
      </c>
      <c r="N522" t="s">
        <v>46</v>
      </c>
      <c r="O522" s="1" t="s">
        <v>1681</v>
      </c>
      <c r="P522" s="1" t="s">
        <v>2447</v>
      </c>
    </row>
    <row r="523" spans="1:17" x14ac:dyDescent="0.25">
      <c r="A523" t="s">
        <v>2448</v>
      </c>
      <c r="B523" t="str">
        <f>HYPERLINK("https://staging-dtl-pattern-api.hfm-weimar.de/static/audio/solos/dtl/AQAGOlqUJUkUZTj84jgSXghx48yD5zia_0.01.12.000507-0.02.13.012000.mp3", "link")</f>
        <v>link</v>
      </c>
      <c r="C523" t="s">
        <v>1494</v>
      </c>
      <c r="D523" t="s">
        <v>2449</v>
      </c>
      <c r="F523" t="s">
        <v>579</v>
      </c>
      <c r="G523" t="s">
        <v>580</v>
      </c>
      <c r="H523" t="s">
        <v>1496</v>
      </c>
      <c r="I523">
        <v>83</v>
      </c>
      <c r="J523" t="s">
        <v>160</v>
      </c>
      <c r="K523" t="s">
        <v>2450</v>
      </c>
      <c r="L523" s="1" t="s">
        <v>1498</v>
      </c>
      <c r="M523" t="s">
        <v>129</v>
      </c>
      <c r="N523" t="s">
        <v>329</v>
      </c>
      <c r="O523" s="1" t="s">
        <v>2451</v>
      </c>
      <c r="P523" s="1" t="s">
        <v>2452</v>
      </c>
    </row>
    <row r="524" spans="1:17" x14ac:dyDescent="0.25">
      <c r="A524" t="s">
        <v>2453</v>
      </c>
      <c r="B524" t="str">
        <f>HYPERLINK("https://staging-dtl-pattern-api.hfm-weimar.de/static/audio/solos/dtl/AQAGOVLCLMkUTfjh13iP_8gv6DkupsET_0.01.21.037142-0.02.04.083047.mp3", "link")</f>
        <v>link</v>
      </c>
      <c r="C524" t="s">
        <v>7097</v>
      </c>
      <c r="D524" s="2" t="s">
        <v>2454</v>
      </c>
      <c r="F524" t="s">
        <v>227</v>
      </c>
      <c r="G524" t="s">
        <v>228</v>
      </c>
      <c r="H524" t="s">
        <v>2455</v>
      </c>
      <c r="I524">
        <v>85</v>
      </c>
      <c r="J524" t="s">
        <v>198</v>
      </c>
      <c r="K524" t="s">
        <v>2456</v>
      </c>
      <c r="L524" s="1" t="s">
        <v>2457</v>
      </c>
      <c r="M524" t="s">
        <v>129</v>
      </c>
      <c r="N524" t="s">
        <v>826</v>
      </c>
      <c r="O524" s="1" t="s">
        <v>2458</v>
      </c>
      <c r="P524" s="1" t="s">
        <v>1578</v>
      </c>
      <c r="Q524" s="1" t="s">
        <v>7242</v>
      </c>
    </row>
    <row r="525" spans="1:17" x14ac:dyDescent="0.25">
      <c r="A525" t="s">
        <v>2459</v>
      </c>
      <c r="B525" t="str">
        <f>HYPERLINK("https://staging-dtl-pattern-api.hfm-weimar.de/static/audio/solos/dtl/AQAGOVLCLMkUTfjh13iP_8gv6DkupsET_0.02.04.083047-0.02.31.067274.mp3", "link")</f>
        <v>link</v>
      </c>
      <c r="D525" t="s">
        <v>2454</v>
      </c>
      <c r="E525" t="s">
        <v>235</v>
      </c>
      <c r="F525" t="s">
        <v>227</v>
      </c>
      <c r="G525" t="s">
        <v>228</v>
      </c>
      <c r="H525" t="s">
        <v>2455</v>
      </c>
      <c r="I525">
        <v>85</v>
      </c>
      <c r="J525" t="s">
        <v>198</v>
      </c>
      <c r="K525" t="s">
        <v>2456</v>
      </c>
      <c r="L525" s="1" t="s">
        <v>2457</v>
      </c>
      <c r="M525" t="s">
        <v>129</v>
      </c>
      <c r="N525" t="s">
        <v>622</v>
      </c>
      <c r="O525" s="1" t="s">
        <v>1578</v>
      </c>
      <c r="P525" s="1" t="s">
        <v>2460</v>
      </c>
    </row>
    <row r="526" spans="1:17" x14ac:dyDescent="0.25">
      <c r="A526" t="s">
        <v>2461</v>
      </c>
      <c r="B526" t="str">
        <f>HYPERLINK("https://staging-dtl-pattern-api.hfm-weimar.de/static/audio/solos/dtl/AQAGOVLCLMkUTfjh13iP_8gv6DkupsET_0.02.31.067274-0.02.51.064190.mp3", "link")</f>
        <v>link</v>
      </c>
      <c r="D526" s="2" t="s">
        <v>2454</v>
      </c>
      <c r="E526" t="s">
        <v>2462</v>
      </c>
      <c r="F526" t="s">
        <v>227</v>
      </c>
      <c r="G526" t="s">
        <v>228</v>
      </c>
      <c r="H526" t="s">
        <v>2455</v>
      </c>
      <c r="I526">
        <v>85</v>
      </c>
      <c r="J526" t="s">
        <v>198</v>
      </c>
      <c r="K526" t="s">
        <v>2456</v>
      </c>
      <c r="L526" s="1" t="s">
        <v>2457</v>
      </c>
      <c r="M526" t="s">
        <v>129</v>
      </c>
      <c r="N526" t="s">
        <v>109</v>
      </c>
      <c r="O526" s="1" t="s">
        <v>2460</v>
      </c>
      <c r="P526" s="1" t="s">
        <v>2463</v>
      </c>
    </row>
    <row r="527" spans="1:17" x14ac:dyDescent="0.25">
      <c r="A527" t="s">
        <v>2464</v>
      </c>
      <c r="B527" t="str">
        <f>HYPERLINK("https://staging-dtl-pattern-api.hfm-weimar.de/static/audio/solos/dtl/AQAGp4nGZZGWRNA4hoLVDtfRXBwuloJ2_0.00.42.084081-0.01.22.065142.mp3", "link")</f>
        <v>link</v>
      </c>
      <c r="D527" t="s">
        <v>2465</v>
      </c>
      <c r="E527" t="s">
        <v>418</v>
      </c>
      <c r="F527" t="s">
        <v>2466</v>
      </c>
      <c r="G527" t="s">
        <v>418</v>
      </c>
      <c r="H527" t="s">
        <v>2467</v>
      </c>
      <c r="I527">
        <v>10</v>
      </c>
      <c r="J527" t="s">
        <v>616</v>
      </c>
      <c r="K527" t="s">
        <v>1356</v>
      </c>
      <c r="L527" s="1" t="s">
        <v>2468</v>
      </c>
      <c r="M527" t="s">
        <v>129</v>
      </c>
      <c r="N527" t="s">
        <v>172</v>
      </c>
      <c r="O527" s="1" t="s">
        <v>2469</v>
      </c>
      <c r="P527" s="1" t="s">
        <v>2470</v>
      </c>
    </row>
    <row r="528" spans="1:17" x14ac:dyDescent="0.25">
      <c r="A528" t="s">
        <v>2471</v>
      </c>
      <c r="B528" t="str">
        <f>HYPERLINK("https://staging-dtl-pattern-api.hfm-weimar.de/static/audio/solos/dtl/AQAGp4nGZZGWRNA4hoLVDtfRXBwuloJ2_0.02.00.054349-0.02.39.034984.mp3", "link")</f>
        <v>link</v>
      </c>
      <c r="D528" t="s">
        <v>2465</v>
      </c>
      <c r="E528" t="s">
        <v>418</v>
      </c>
      <c r="F528" t="s">
        <v>2466</v>
      </c>
      <c r="G528" t="s">
        <v>418</v>
      </c>
      <c r="H528" t="s">
        <v>2467</v>
      </c>
      <c r="I528">
        <v>10</v>
      </c>
      <c r="J528" t="s">
        <v>616</v>
      </c>
      <c r="K528" t="s">
        <v>1356</v>
      </c>
      <c r="L528" s="1" t="s">
        <v>2468</v>
      </c>
      <c r="M528" t="s">
        <v>129</v>
      </c>
      <c r="N528" t="s">
        <v>172</v>
      </c>
      <c r="O528" s="1" t="s">
        <v>2472</v>
      </c>
      <c r="P528" s="1" t="s">
        <v>2473</v>
      </c>
    </row>
    <row r="529" spans="1:17" x14ac:dyDescent="0.25">
      <c r="A529" t="s">
        <v>2474</v>
      </c>
      <c r="B529" t="str">
        <f>HYPERLINK("https://staging-dtl-pattern-api.hfm-weimar.de/static/audio/solos/dtl/AQAGp4nGZZGWRNA4hoLVDtfRXBwuloJ2_0.02.39.034984-0.02.44.040888.mp3", "link")</f>
        <v>link</v>
      </c>
      <c r="D529" t="s">
        <v>2465</v>
      </c>
      <c r="E529" t="s">
        <v>418</v>
      </c>
      <c r="F529" t="s">
        <v>2466</v>
      </c>
      <c r="G529" t="s">
        <v>418</v>
      </c>
      <c r="H529" t="s">
        <v>2467</v>
      </c>
      <c r="I529">
        <v>10</v>
      </c>
      <c r="J529" t="s">
        <v>616</v>
      </c>
      <c r="K529" t="s">
        <v>1356</v>
      </c>
      <c r="L529" s="1" t="s">
        <v>2468</v>
      </c>
      <c r="M529" t="s">
        <v>129</v>
      </c>
      <c r="N529" t="s">
        <v>172</v>
      </c>
      <c r="O529" s="1" t="s">
        <v>2473</v>
      </c>
      <c r="P529" s="1" t="s">
        <v>2475</v>
      </c>
    </row>
    <row r="530" spans="1:17" x14ac:dyDescent="0.25">
      <c r="A530" t="s">
        <v>2476</v>
      </c>
      <c r="B530" t="str">
        <f>HYPERLINK("https://staging-dtl-pattern-api.hfm-weimar.de/static/audio/solos/dtl/AQAGp4nGZZGWRNA4hoLVDtfRXBwuloJ2_0.02.48.071619-0.02.53.083619.mp3", "link")</f>
        <v>link</v>
      </c>
      <c r="D530" t="s">
        <v>2465</v>
      </c>
      <c r="E530" t="s">
        <v>418</v>
      </c>
      <c r="F530" t="s">
        <v>2466</v>
      </c>
      <c r="G530" t="s">
        <v>418</v>
      </c>
      <c r="H530" t="s">
        <v>2467</v>
      </c>
      <c r="I530">
        <v>10</v>
      </c>
      <c r="J530" t="s">
        <v>616</v>
      </c>
      <c r="K530" t="s">
        <v>1356</v>
      </c>
      <c r="L530" s="1" t="s">
        <v>2468</v>
      </c>
      <c r="M530" t="s">
        <v>129</v>
      </c>
      <c r="N530" t="s">
        <v>172</v>
      </c>
      <c r="O530" s="1" t="s">
        <v>2477</v>
      </c>
      <c r="P530" s="1" t="s">
        <v>2478</v>
      </c>
    </row>
    <row r="531" spans="1:17" x14ac:dyDescent="0.25">
      <c r="A531" t="s">
        <v>2479</v>
      </c>
      <c r="B531" t="str">
        <f>HYPERLINK("https://staging-dtl-pattern-api.hfm-weimar.de/static/audio/solos/dtl/AQAGPlq0ZNEYBW6OH80z4Hh6XI6m4NvR_0.01.09.077596-0.02.05.034018.mp3", "link")</f>
        <v>link</v>
      </c>
      <c r="D531" t="s">
        <v>2480</v>
      </c>
      <c r="E531" t="s">
        <v>2481</v>
      </c>
      <c r="F531" t="s">
        <v>2482</v>
      </c>
      <c r="G531" t="s">
        <v>543</v>
      </c>
      <c r="H531" t="s">
        <v>861</v>
      </c>
      <c r="I531">
        <v>64</v>
      </c>
      <c r="J531" t="s">
        <v>126</v>
      </c>
      <c r="K531" t="s">
        <v>2483</v>
      </c>
      <c r="L531" s="1" t="s">
        <v>2484</v>
      </c>
      <c r="M531" t="s">
        <v>129</v>
      </c>
      <c r="N531" t="s">
        <v>329</v>
      </c>
      <c r="O531" s="1" t="s">
        <v>2485</v>
      </c>
      <c r="P531" s="1" t="s">
        <v>2486</v>
      </c>
    </row>
    <row r="532" spans="1:17" x14ac:dyDescent="0.25">
      <c r="A532" t="s">
        <v>2487</v>
      </c>
      <c r="B532" t="str">
        <f>HYPERLINK("https://staging-dtl-pattern-api.hfm-weimar.de/static/audio/solos/dtl/AQAGPlq0ZNEYBW6OH80z4Hh6XI6m4NvR_0.02.05.034018-0.03.01.069614.mp3", "link")</f>
        <v>link</v>
      </c>
      <c r="D532" t="s">
        <v>2480</v>
      </c>
      <c r="E532" t="s">
        <v>2481</v>
      </c>
      <c r="F532" t="s">
        <v>2482</v>
      </c>
      <c r="G532" t="s">
        <v>543</v>
      </c>
      <c r="H532" t="s">
        <v>861</v>
      </c>
      <c r="I532">
        <v>64</v>
      </c>
      <c r="J532" t="s">
        <v>126</v>
      </c>
      <c r="K532" t="s">
        <v>2483</v>
      </c>
      <c r="L532" s="1" t="s">
        <v>2484</v>
      </c>
      <c r="M532" t="s">
        <v>129</v>
      </c>
      <c r="N532" t="s">
        <v>329</v>
      </c>
      <c r="O532" s="1" t="s">
        <v>2486</v>
      </c>
      <c r="P532" s="1" t="s">
        <v>2488</v>
      </c>
    </row>
    <row r="533" spans="1:17" x14ac:dyDescent="0.25">
      <c r="A533" t="s">
        <v>2489</v>
      </c>
      <c r="B533" t="str">
        <f>HYPERLINK("https://staging-dtl-pattern-api.hfm-weimar.de/static/audio/solos/dtl/AQAGPpKeRBETJXgkIs-cBH5-5NFxHjOT_0.02.25.072843-0.02.35.085233.mp3", "link")</f>
        <v>link</v>
      </c>
      <c r="C533" t="s">
        <v>2490</v>
      </c>
      <c r="D533" s="2" t="s">
        <v>2491</v>
      </c>
      <c r="F533" t="s">
        <v>2492</v>
      </c>
      <c r="G533" t="s">
        <v>738</v>
      </c>
      <c r="H533" t="s">
        <v>2493</v>
      </c>
      <c r="I533">
        <v>21</v>
      </c>
      <c r="J533" t="s">
        <v>198</v>
      </c>
      <c r="K533" t="s">
        <v>2494</v>
      </c>
      <c r="L533" s="1" t="s">
        <v>2495</v>
      </c>
      <c r="M533" t="s">
        <v>129</v>
      </c>
      <c r="N533" t="s">
        <v>172</v>
      </c>
      <c r="O533" s="1" t="s">
        <v>2496</v>
      </c>
      <c r="P533" s="1" t="s">
        <v>2497</v>
      </c>
    </row>
    <row r="534" spans="1:17" x14ac:dyDescent="0.25">
      <c r="A534" t="s">
        <v>2498</v>
      </c>
      <c r="B534" t="str">
        <f>HYPERLINK("https://staging-dtl-pattern-api.hfm-weimar.de/static/audio/solos/dtl/AQAGq1k0JUmUC7qO41mOwyuNA7AWHCei_0.00.46.043990-0.01.31.077687.mp3", "link")</f>
        <v>link</v>
      </c>
      <c r="C534" t="s">
        <v>7098</v>
      </c>
      <c r="D534" t="s">
        <v>2499</v>
      </c>
      <c r="E534" t="s">
        <v>7099</v>
      </c>
      <c r="F534" t="s">
        <v>2500</v>
      </c>
      <c r="G534" t="s">
        <v>2500</v>
      </c>
      <c r="J534" t="s">
        <v>2501</v>
      </c>
      <c r="K534" t="s">
        <v>2502</v>
      </c>
      <c r="L534" s="1" t="s">
        <v>2503</v>
      </c>
      <c r="M534" t="s">
        <v>2504</v>
      </c>
      <c r="N534" t="s">
        <v>23</v>
      </c>
      <c r="O534" s="1" t="s">
        <v>130</v>
      </c>
      <c r="P534" s="1" t="s">
        <v>2505</v>
      </c>
      <c r="Q534" s="1" t="s">
        <v>7243</v>
      </c>
    </row>
    <row r="535" spans="1:17" x14ac:dyDescent="0.25">
      <c r="A535" t="s">
        <v>2506</v>
      </c>
      <c r="B535" t="str">
        <f>HYPERLINK("https://staging-dtl-pattern-api.hfm-weimar.de/static/audio/solos/dtl/AQAGq1k0JUmUC7qO41mOwyuNA7AWHCei_0.01.31.077687-0.02.15.019673.mp3", "link")</f>
        <v>link</v>
      </c>
      <c r="C535" t="s">
        <v>7099</v>
      </c>
      <c r="D535" t="s">
        <v>2499</v>
      </c>
      <c r="E535" t="s">
        <v>7099</v>
      </c>
      <c r="F535" t="s">
        <v>2500</v>
      </c>
      <c r="G535" t="s">
        <v>2500</v>
      </c>
      <c r="J535" t="s">
        <v>2501</v>
      </c>
      <c r="K535" t="s">
        <v>2502</v>
      </c>
      <c r="L535" s="1" t="s">
        <v>2503</v>
      </c>
      <c r="M535" t="s">
        <v>2504</v>
      </c>
      <c r="N535" t="s">
        <v>23</v>
      </c>
      <c r="O535" s="1" t="s">
        <v>2505</v>
      </c>
      <c r="P535" s="1" t="s">
        <v>2507</v>
      </c>
      <c r="Q535" s="1" t="s">
        <v>7224</v>
      </c>
    </row>
    <row r="536" spans="1:17" x14ac:dyDescent="0.25">
      <c r="A536" t="s">
        <v>2508</v>
      </c>
      <c r="B536" t="str">
        <f>HYPERLINK("https://staging-dtl-pattern-api.hfm-weimar.de/static/audio/solos/dtl/AQAGQpKiKVU0PLiGKVYE3kGQRDOOhg9K_0.00.53.002857-0.01.11.005306.mp3", "link")</f>
        <v>link</v>
      </c>
      <c r="C536" t="s">
        <v>2509</v>
      </c>
      <c r="D536" t="s">
        <v>2510</v>
      </c>
      <c r="F536" t="s">
        <v>2511</v>
      </c>
      <c r="G536" t="s">
        <v>2512</v>
      </c>
      <c r="H536" t="s">
        <v>2513</v>
      </c>
      <c r="I536">
        <v>79</v>
      </c>
      <c r="J536" t="s">
        <v>198</v>
      </c>
      <c r="K536" t="s">
        <v>2514</v>
      </c>
      <c r="L536" s="1" t="s">
        <v>2515</v>
      </c>
      <c r="M536" t="s">
        <v>129</v>
      </c>
      <c r="N536" t="s">
        <v>109</v>
      </c>
      <c r="O536" s="1" t="s">
        <v>2516</v>
      </c>
      <c r="P536" s="1" t="s">
        <v>2517</v>
      </c>
    </row>
    <row r="537" spans="1:17" x14ac:dyDescent="0.25">
      <c r="A537" t="s">
        <v>2518</v>
      </c>
      <c r="B537" t="str">
        <f>HYPERLINK("https://staging-dtl-pattern-api.hfm-weimar.de/static/audio/solos/dtl/AQAGQpKiKVU0PLiGKVYE3kGQRDOOhg9K_0.01.11.005306-0.01.20.032653.mp3", "link")</f>
        <v>link</v>
      </c>
      <c r="D537" t="s">
        <v>2510</v>
      </c>
      <c r="E537" t="s">
        <v>7100</v>
      </c>
      <c r="F537" t="s">
        <v>2511</v>
      </c>
      <c r="G537" t="s">
        <v>2512</v>
      </c>
      <c r="H537" t="s">
        <v>2513</v>
      </c>
      <c r="I537">
        <v>79</v>
      </c>
      <c r="J537" t="s">
        <v>198</v>
      </c>
      <c r="K537" t="s">
        <v>2514</v>
      </c>
      <c r="L537" s="1" t="s">
        <v>2515</v>
      </c>
      <c r="M537" t="s">
        <v>129</v>
      </c>
      <c r="N537" t="s">
        <v>172</v>
      </c>
      <c r="O537" s="1" t="s">
        <v>2517</v>
      </c>
      <c r="P537" s="1" t="s">
        <v>2519</v>
      </c>
      <c r="Q537" s="1" t="s">
        <v>7244</v>
      </c>
    </row>
    <row r="538" spans="1:17" x14ac:dyDescent="0.25">
      <c r="A538" t="s">
        <v>2520</v>
      </c>
      <c r="B538" t="str">
        <f>HYPERLINK("https://staging-dtl-pattern-api.hfm-weimar.de/static/audio/solos/dtl/AQAGQpKiKVU0PLiGKVYE3kGQRDOOhg9K_0.01.20.032653-0.01.29.035038.mp3", "link")</f>
        <v>link</v>
      </c>
      <c r="C538" t="s">
        <v>2509</v>
      </c>
      <c r="D538" t="s">
        <v>2510</v>
      </c>
      <c r="F538" t="s">
        <v>2511</v>
      </c>
      <c r="G538" t="s">
        <v>2512</v>
      </c>
      <c r="H538" t="s">
        <v>2513</v>
      </c>
      <c r="I538">
        <v>79</v>
      </c>
      <c r="J538" t="s">
        <v>198</v>
      </c>
      <c r="K538" t="s">
        <v>2514</v>
      </c>
      <c r="L538" s="1" t="s">
        <v>2515</v>
      </c>
      <c r="M538" t="s">
        <v>129</v>
      </c>
      <c r="N538" t="s">
        <v>109</v>
      </c>
      <c r="O538" s="1" t="s">
        <v>2519</v>
      </c>
      <c r="P538" s="1" t="s">
        <v>2521</v>
      </c>
    </row>
    <row r="539" spans="1:17" x14ac:dyDescent="0.25">
      <c r="A539" t="s">
        <v>2522</v>
      </c>
      <c r="B539" t="str">
        <f>HYPERLINK("https://staging-dtl-pattern-api.hfm-weimar.de/static/audio/solos/dtl/AQAgQtGoRFqmKDju44aWo5-HHL5ynATL_0.05.47.042857-0.09.49.022956.mp3", "link")</f>
        <v>link</v>
      </c>
      <c r="D539" t="s">
        <v>2523</v>
      </c>
      <c r="E539" t="s">
        <v>42</v>
      </c>
      <c r="F539" t="s">
        <v>42</v>
      </c>
      <c r="G539" t="s">
        <v>42</v>
      </c>
      <c r="J539" t="s">
        <v>113</v>
      </c>
      <c r="K539" t="s">
        <v>2524</v>
      </c>
      <c r="L539" s="1" t="s">
        <v>2525</v>
      </c>
      <c r="M539" t="s">
        <v>2526</v>
      </c>
      <c r="N539" t="s">
        <v>46</v>
      </c>
      <c r="O539" s="1" t="s">
        <v>2527</v>
      </c>
      <c r="P539" s="1" t="s">
        <v>2528</v>
      </c>
    </row>
    <row r="540" spans="1:17" x14ac:dyDescent="0.25">
      <c r="A540" t="s">
        <v>2529</v>
      </c>
      <c r="B540" t="str">
        <f>HYPERLINK("https://staging-dtl-pattern-api.hfm-weimar.de/static/audio/solos/dtl/AQAgQtGoRFqmKDju44aWo5-HHL5ynATL_0.09.49.022956-0.14.14.049433.mp3", "link")</f>
        <v>link</v>
      </c>
      <c r="D540" t="s">
        <v>2523</v>
      </c>
      <c r="E540" t="s">
        <v>2530</v>
      </c>
      <c r="F540" t="s">
        <v>42</v>
      </c>
      <c r="G540" t="s">
        <v>42</v>
      </c>
      <c r="J540" t="s">
        <v>113</v>
      </c>
      <c r="K540" t="s">
        <v>2524</v>
      </c>
      <c r="L540" s="1" t="s">
        <v>2525</v>
      </c>
      <c r="M540" t="s">
        <v>2526</v>
      </c>
      <c r="N540" t="s">
        <v>202</v>
      </c>
      <c r="O540" s="1" t="s">
        <v>2528</v>
      </c>
      <c r="P540" s="1" t="s">
        <v>2531</v>
      </c>
    </row>
    <row r="541" spans="1:17" x14ac:dyDescent="0.25">
      <c r="A541" t="s">
        <v>2532</v>
      </c>
      <c r="B541" t="str">
        <f>HYPERLINK("https://staging-dtl-pattern-api.hfm-weimar.de/static/audio/solos/dtl/AQAGslKSKVkSJYJ__MKP1gLqw7gPXPBz_0.01.15.065061-0.02.31.018512.mp3", "link")</f>
        <v>link</v>
      </c>
      <c r="D541" t="s">
        <v>2533</v>
      </c>
      <c r="E541" t="s">
        <v>2534</v>
      </c>
      <c r="F541" t="s">
        <v>2535</v>
      </c>
      <c r="G541" t="s">
        <v>2535</v>
      </c>
      <c r="J541" t="s">
        <v>2536</v>
      </c>
      <c r="K541" t="s">
        <v>2537</v>
      </c>
      <c r="L541" s="1" t="s">
        <v>2538</v>
      </c>
      <c r="M541" t="s">
        <v>2129</v>
      </c>
      <c r="N541" t="s">
        <v>119</v>
      </c>
      <c r="O541" s="1" t="s">
        <v>2539</v>
      </c>
      <c r="P541" s="1" t="s">
        <v>2540</v>
      </c>
    </row>
    <row r="542" spans="1:17" x14ac:dyDescent="0.25">
      <c r="A542" t="s">
        <v>2541</v>
      </c>
      <c r="B542" t="str">
        <f>HYPERLINK("https://staging-dtl-pattern-api.hfm-weimar.de/static/audio/solos/dtl/AQAGSVGWJHQSEXmfog_CnMe1I3kd3JnQ_0.02.28.097922-0.02.38.077804.mp3", "link")</f>
        <v>link</v>
      </c>
      <c r="D542" t="s">
        <v>2542</v>
      </c>
      <c r="E542" t="s">
        <v>670</v>
      </c>
      <c r="F542" t="s">
        <v>2543</v>
      </c>
      <c r="H542" t="s">
        <v>1436</v>
      </c>
      <c r="I542">
        <v>84</v>
      </c>
      <c r="J542" t="s">
        <v>198</v>
      </c>
      <c r="K542" t="s">
        <v>2544</v>
      </c>
      <c r="L542" s="1" t="s">
        <v>2545</v>
      </c>
      <c r="M542" t="s">
        <v>129</v>
      </c>
      <c r="N542" t="s">
        <v>172</v>
      </c>
      <c r="O542" s="1" t="s">
        <v>2546</v>
      </c>
      <c r="P542" s="1" t="s">
        <v>2547</v>
      </c>
    </row>
    <row r="543" spans="1:17" x14ac:dyDescent="0.25">
      <c r="A543" t="s">
        <v>2548</v>
      </c>
      <c r="B543" t="str">
        <f>HYPERLINK("https://staging-dtl-pattern-api.hfm-weimar.de/static/audio/solos/dtl/AQAGSVGWJHQSEXmfog_CnMe1I3kd3JnQ_0.02.38.077804-0.02.43.074712.mp3", "link")</f>
        <v>link</v>
      </c>
      <c r="D543" t="s">
        <v>2542</v>
      </c>
      <c r="E543" t="s">
        <v>605</v>
      </c>
      <c r="F543" t="s">
        <v>2543</v>
      </c>
      <c r="H543" t="s">
        <v>1436</v>
      </c>
      <c r="I543">
        <v>84</v>
      </c>
      <c r="J543" t="s">
        <v>198</v>
      </c>
      <c r="K543" t="s">
        <v>2544</v>
      </c>
      <c r="L543" s="1" t="s">
        <v>2545</v>
      </c>
      <c r="M543" t="s">
        <v>129</v>
      </c>
      <c r="N543" t="s">
        <v>109</v>
      </c>
      <c r="O543" s="1" t="s">
        <v>2547</v>
      </c>
      <c r="P543" s="1" t="s">
        <v>2549</v>
      </c>
    </row>
    <row r="544" spans="1:17" x14ac:dyDescent="0.25">
      <c r="A544" t="s">
        <v>2550</v>
      </c>
      <c r="B544" t="str">
        <f>HYPERLINK("https://staging-dtl-pattern-api.hfm-weimar.de/static/audio/solos/dtl/AQAGSVGWJHQSEXmfog_CnMe1I3kd3JnQ_0.02.43.074712-0.02.56.088961.mp3", "link")</f>
        <v>link</v>
      </c>
      <c r="C544" t="s">
        <v>2551</v>
      </c>
      <c r="D544" t="s">
        <v>2542</v>
      </c>
      <c r="F544" t="s">
        <v>2543</v>
      </c>
      <c r="H544" t="s">
        <v>1436</v>
      </c>
      <c r="I544">
        <v>84</v>
      </c>
      <c r="J544" t="s">
        <v>198</v>
      </c>
      <c r="K544" t="s">
        <v>2544</v>
      </c>
      <c r="L544" s="1" t="s">
        <v>2545</v>
      </c>
      <c r="M544" t="s">
        <v>129</v>
      </c>
      <c r="N544" t="s">
        <v>46</v>
      </c>
      <c r="O544" s="1" t="s">
        <v>2549</v>
      </c>
      <c r="P544" s="1" t="s">
        <v>2552</v>
      </c>
      <c r="Q544" s="1" t="s">
        <v>7167</v>
      </c>
    </row>
    <row r="545" spans="1:17" x14ac:dyDescent="0.25">
      <c r="A545" t="s">
        <v>2553</v>
      </c>
      <c r="B545" t="str">
        <f>HYPERLINK("https://staging-dtl-pattern-api.hfm-weimar.de/static/audio/solos/dtl/AQAGu2SSpVGYoF9neMcPdz96BrUyIWkm_0.01.03.047755-0.02.01.016172.mp3", "link")</f>
        <v>link</v>
      </c>
      <c r="D545" t="s">
        <v>2554</v>
      </c>
      <c r="E545" t="s">
        <v>2555</v>
      </c>
      <c r="F545" t="s">
        <v>2556</v>
      </c>
      <c r="J545" t="s">
        <v>2557</v>
      </c>
      <c r="K545" t="s">
        <v>2558</v>
      </c>
      <c r="L545" s="1" t="s">
        <v>2559</v>
      </c>
      <c r="M545" t="s">
        <v>2560</v>
      </c>
      <c r="N545" t="s">
        <v>202</v>
      </c>
      <c r="O545" s="1" t="s">
        <v>2561</v>
      </c>
      <c r="P545" s="1" t="s">
        <v>2562</v>
      </c>
    </row>
    <row r="546" spans="1:17" x14ac:dyDescent="0.25">
      <c r="A546" t="s">
        <v>2563</v>
      </c>
      <c r="B546" t="str">
        <f>HYPERLINK("https://staging-dtl-pattern-api.hfm-weimar.de/static/audio/solos/dtl/AQAGu2SSpVGYoF9neMcPdz96BrUyIWkm_0.02.49.037142-0.03.23.095102.mp3", "link")</f>
        <v>link</v>
      </c>
      <c r="D546" t="s">
        <v>2554</v>
      </c>
      <c r="E546" t="s">
        <v>2555</v>
      </c>
      <c r="F546" t="s">
        <v>2556</v>
      </c>
      <c r="J546" t="s">
        <v>2557</v>
      </c>
      <c r="K546" t="s">
        <v>2558</v>
      </c>
      <c r="L546" s="1" t="s">
        <v>2559</v>
      </c>
      <c r="M546" t="s">
        <v>2560</v>
      </c>
      <c r="N546" t="s">
        <v>202</v>
      </c>
      <c r="O546" s="1" t="s">
        <v>2564</v>
      </c>
      <c r="P546" s="1" t="s">
        <v>2565</v>
      </c>
    </row>
    <row r="547" spans="1:17" x14ac:dyDescent="0.25">
      <c r="A547" t="s">
        <v>2566</v>
      </c>
      <c r="B547" t="str">
        <f>HYPERLINK("https://staging-dtl-pattern-api.hfm-weimar.de/static/audio/solos/dtl/AQAGUXIjJVIolDemLGOOzwF1FpNIPFyO_0.00.49.048752-0.01.23.044671.mp3", "link")</f>
        <v>link</v>
      </c>
      <c r="C547" t="s">
        <v>7101</v>
      </c>
      <c r="D547" t="s">
        <v>2567</v>
      </c>
      <c r="E547" t="s">
        <v>7245</v>
      </c>
      <c r="F547" t="s">
        <v>1706</v>
      </c>
      <c r="G547" t="s">
        <v>1705</v>
      </c>
      <c r="H547" t="s">
        <v>2568</v>
      </c>
      <c r="I547">
        <v>76</v>
      </c>
      <c r="J547" t="s">
        <v>198</v>
      </c>
      <c r="K547" t="s">
        <v>2569</v>
      </c>
      <c r="L547" s="1" t="s">
        <v>2570</v>
      </c>
      <c r="M547" t="s">
        <v>129</v>
      </c>
      <c r="N547" t="s">
        <v>202</v>
      </c>
      <c r="O547" s="1" t="s">
        <v>2571</v>
      </c>
      <c r="P547" s="1" t="s">
        <v>2572</v>
      </c>
      <c r="Q547" s="1" t="s">
        <v>7246</v>
      </c>
    </row>
    <row r="548" spans="1:17" x14ac:dyDescent="0.25">
      <c r="A548" t="s">
        <v>2573</v>
      </c>
      <c r="B548" t="str">
        <f>HYPERLINK("https://staging-dtl-pattern-api.hfm-weimar.de/static/audio/solos/dtl/AQAGUXIjJVIolDemLGOOzwF1FpNIPFyO_0.01.31.057369-0.02.03.090748.mp3", "link")</f>
        <v>link</v>
      </c>
      <c r="D548" t="s">
        <v>2567</v>
      </c>
      <c r="E548" t="s">
        <v>1705</v>
      </c>
      <c r="F548" t="s">
        <v>1706</v>
      </c>
      <c r="G548" t="s">
        <v>1705</v>
      </c>
      <c r="H548" t="s">
        <v>2568</v>
      </c>
      <c r="I548">
        <v>76</v>
      </c>
      <c r="J548" t="s">
        <v>198</v>
      </c>
      <c r="K548" t="s">
        <v>2569</v>
      </c>
      <c r="L548" s="1" t="s">
        <v>2570</v>
      </c>
      <c r="M548" t="s">
        <v>129</v>
      </c>
      <c r="N548" t="s">
        <v>329</v>
      </c>
      <c r="O548" s="1" t="s">
        <v>2574</v>
      </c>
      <c r="P548" s="1" t="s">
        <v>2575</v>
      </c>
    </row>
    <row r="549" spans="1:17" x14ac:dyDescent="0.25">
      <c r="A549" t="s">
        <v>2576</v>
      </c>
      <c r="B549" t="str">
        <f>HYPERLINK("https://staging-dtl-pattern-api.hfm-weimar.de/static/audio/solos/dtl/AQAGUXIjJVIolDemLGOOzwF1FpNIPFyO_0.02.36.067664-0.03.11.076780.mp3", "link")</f>
        <v>link</v>
      </c>
      <c r="C549" t="s">
        <v>7101</v>
      </c>
      <c r="D549" t="s">
        <v>2567</v>
      </c>
      <c r="E549" t="s">
        <v>7245</v>
      </c>
      <c r="F549" t="s">
        <v>1706</v>
      </c>
      <c r="G549" t="s">
        <v>1705</v>
      </c>
      <c r="H549" t="s">
        <v>2568</v>
      </c>
      <c r="I549">
        <v>76</v>
      </c>
      <c r="J549" t="s">
        <v>198</v>
      </c>
      <c r="K549" t="s">
        <v>2569</v>
      </c>
      <c r="L549" s="1" t="s">
        <v>2570</v>
      </c>
      <c r="M549" t="s">
        <v>129</v>
      </c>
      <c r="N549" t="s">
        <v>202</v>
      </c>
      <c r="O549" s="1" t="s">
        <v>2577</v>
      </c>
      <c r="P549" s="1" t="s">
        <v>2578</v>
      </c>
      <c r="Q549" s="1" t="s">
        <v>7246</v>
      </c>
    </row>
    <row r="550" spans="1:17" x14ac:dyDescent="0.25">
      <c r="A550" t="s">
        <v>2579</v>
      </c>
      <c r="B550" t="str">
        <f>HYPERLINK("https://staging-dtl-pattern-api.hfm-weimar.de/static/audio/solos/dtl/AQAGW4rSJMumKMFTbDv6UEiaLjviB6eM_0.01.45.011673-0.02.29.021142.mp3", "link")</f>
        <v>link</v>
      </c>
      <c r="D550" t="s">
        <v>2580</v>
      </c>
      <c r="F550" t="s">
        <v>305</v>
      </c>
      <c r="K550" t="s">
        <v>2581</v>
      </c>
      <c r="L550" s="1" t="s">
        <v>2582</v>
      </c>
      <c r="M550" t="s">
        <v>309</v>
      </c>
      <c r="N550" t="s">
        <v>23</v>
      </c>
      <c r="O550" s="1" t="s">
        <v>249</v>
      </c>
      <c r="P550" s="1" t="s">
        <v>2583</v>
      </c>
    </row>
    <row r="551" spans="1:17" x14ac:dyDescent="0.25">
      <c r="A551" t="s">
        <v>2584</v>
      </c>
      <c r="B551" t="str">
        <f>HYPERLINK("https://staging-dtl-pattern-api.hfm-weimar.de/static/audio/solos/dtl/AQAGWVmSKNoWRUP63fhxLfBRHzeOzj_-_0.00.58.035174-0.01.16.009179.mp3", "link")</f>
        <v>link</v>
      </c>
      <c r="D551" t="s">
        <v>2585</v>
      </c>
      <c r="E551" t="s">
        <v>2586</v>
      </c>
      <c r="F551" t="s">
        <v>2587</v>
      </c>
      <c r="G551" t="s">
        <v>738</v>
      </c>
      <c r="H551" t="s">
        <v>2588</v>
      </c>
      <c r="I551">
        <v>54</v>
      </c>
      <c r="J551" t="s">
        <v>198</v>
      </c>
      <c r="K551" t="s">
        <v>2589</v>
      </c>
      <c r="L551" s="1" t="s">
        <v>2590</v>
      </c>
      <c r="M551" t="s">
        <v>129</v>
      </c>
      <c r="N551" t="s">
        <v>172</v>
      </c>
      <c r="O551" s="1" t="s">
        <v>2591</v>
      </c>
      <c r="P551" s="1" t="s">
        <v>2592</v>
      </c>
    </row>
    <row r="552" spans="1:17" x14ac:dyDescent="0.25">
      <c r="A552" t="s">
        <v>2593</v>
      </c>
      <c r="B552" t="str">
        <f>HYPERLINK("https://staging-dtl-pattern-api.hfm-weimar.de/static/audio/solos/dtl/AQAGWVmSKNoWRUP63fhxLfBRHzeOzj_-_0.01.16.009179-0.01.33.099437.mp3", "link")</f>
        <v>link</v>
      </c>
      <c r="C552" t="s">
        <v>2594</v>
      </c>
      <c r="D552" t="s">
        <v>2585</v>
      </c>
      <c r="F552" t="s">
        <v>2587</v>
      </c>
      <c r="G552" t="s">
        <v>738</v>
      </c>
      <c r="H552" t="s">
        <v>2588</v>
      </c>
      <c r="I552">
        <v>54</v>
      </c>
      <c r="J552" t="s">
        <v>198</v>
      </c>
      <c r="K552" t="s">
        <v>2589</v>
      </c>
      <c r="L552" s="1" t="s">
        <v>2590</v>
      </c>
      <c r="M552" t="s">
        <v>129</v>
      </c>
      <c r="N552" t="s">
        <v>46</v>
      </c>
      <c r="O552" s="1" t="s">
        <v>2592</v>
      </c>
      <c r="P552" s="1" t="s">
        <v>2595</v>
      </c>
      <c r="Q552" s="1" t="s">
        <v>7167</v>
      </c>
    </row>
    <row r="553" spans="1:17" x14ac:dyDescent="0.25">
      <c r="A553" t="s">
        <v>2596</v>
      </c>
      <c r="B553" t="str">
        <f>HYPERLINK("https://staging-dtl-pattern-api.hfm-weimar.de/static/audio/solos/dtl/AQAGWVmSKNoWRUP63fhxLfBRHzeOzj_-_0.01.33.099437-0.02.09.026548.mp3", "link")</f>
        <v>link</v>
      </c>
      <c r="D553" t="s">
        <v>2585</v>
      </c>
      <c r="E553" t="s">
        <v>2597</v>
      </c>
      <c r="F553" t="s">
        <v>2587</v>
      </c>
      <c r="G553" t="s">
        <v>738</v>
      </c>
      <c r="H553" t="s">
        <v>2588</v>
      </c>
      <c r="I553">
        <v>54</v>
      </c>
      <c r="J553" t="s">
        <v>198</v>
      </c>
      <c r="K553" t="s">
        <v>2589</v>
      </c>
      <c r="L553" s="1" t="s">
        <v>2590</v>
      </c>
      <c r="M553" t="s">
        <v>129</v>
      </c>
      <c r="N553" t="s">
        <v>622</v>
      </c>
      <c r="O553" s="1" t="s">
        <v>2595</v>
      </c>
      <c r="P553" s="1" t="s">
        <v>2598</v>
      </c>
    </row>
    <row r="554" spans="1:17" x14ac:dyDescent="0.25">
      <c r="A554" t="s">
        <v>2599</v>
      </c>
      <c r="B554" t="str">
        <f>HYPERLINK("https://staging-dtl-pattern-api.hfm-weimar.de/static/audio/solos/dtl/AQAGWVmSKNoWRUP63fhxLfBRHzeOzj_-_0.02.09.026548-0.02.42.094603.mp3", "link")</f>
        <v>link</v>
      </c>
      <c r="C554" t="s">
        <v>2594</v>
      </c>
      <c r="D554" t="s">
        <v>2585</v>
      </c>
      <c r="F554" t="s">
        <v>2587</v>
      </c>
      <c r="G554" t="s">
        <v>738</v>
      </c>
      <c r="H554" t="s">
        <v>2588</v>
      </c>
      <c r="I554">
        <v>54</v>
      </c>
      <c r="J554" t="s">
        <v>198</v>
      </c>
      <c r="K554" t="s">
        <v>2589</v>
      </c>
      <c r="L554" s="1" t="s">
        <v>2590</v>
      </c>
      <c r="M554" t="s">
        <v>129</v>
      </c>
      <c r="N554" t="s">
        <v>46</v>
      </c>
      <c r="O554" s="1" t="s">
        <v>2598</v>
      </c>
      <c r="P554" s="1" t="s">
        <v>2600</v>
      </c>
      <c r="Q554" s="1" t="s">
        <v>7167</v>
      </c>
    </row>
    <row r="555" spans="1:17" x14ac:dyDescent="0.25">
      <c r="A555" t="s">
        <v>2601</v>
      </c>
      <c r="B555" t="str">
        <f>HYPERLINK("https://staging-dtl-pattern-api.hfm-weimar.de/static/audio/solos/dtl/AQAGX2qiLJIiCqctNPPQ6zhzNEujQjvx_0.01.57.015891-0.02.17.053251.mp3", "link")</f>
        <v>link</v>
      </c>
      <c r="D555" t="s">
        <v>2602</v>
      </c>
      <c r="E555" t="s">
        <v>692</v>
      </c>
      <c r="F555" t="s">
        <v>2603</v>
      </c>
      <c r="G555" t="s">
        <v>692</v>
      </c>
      <c r="H555" t="s">
        <v>2604</v>
      </c>
      <c r="I555">
        <v>22</v>
      </c>
      <c r="J555" t="s">
        <v>141</v>
      </c>
      <c r="K555" t="s">
        <v>2605</v>
      </c>
      <c r="L555" s="1" t="s">
        <v>2606</v>
      </c>
      <c r="M555" t="s">
        <v>129</v>
      </c>
      <c r="N555" t="s">
        <v>109</v>
      </c>
      <c r="O555" s="1" t="s">
        <v>2607</v>
      </c>
      <c r="P555" s="1" t="s">
        <v>2608</v>
      </c>
    </row>
    <row r="556" spans="1:17" x14ac:dyDescent="0.25">
      <c r="A556" t="s">
        <v>2609</v>
      </c>
      <c r="B556" t="str">
        <f>HYPERLINK("https://staging-dtl-pattern-api.hfm-weimar.de/static/audio/solos/dtl/AQAGX5J-MgqaSyRCXULiK8R_o_GV48dD_0.00.52.036099-0.01.33.064607.mp3", "link")</f>
        <v>link</v>
      </c>
      <c r="C556" t="s">
        <v>2610</v>
      </c>
      <c r="D556" t="s">
        <v>2611</v>
      </c>
      <c r="F556" t="s">
        <v>2612</v>
      </c>
      <c r="G556" t="s">
        <v>2613</v>
      </c>
      <c r="H556" t="s">
        <v>2614</v>
      </c>
      <c r="I556">
        <v>54</v>
      </c>
      <c r="J556" t="s">
        <v>141</v>
      </c>
      <c r="K556" t="s">
        <v>2615</v>
      </c>
      <c r="L556" s="1" t="s">
        <v>2616</v>
      </c>
      <c r="M556" t="s">
        <v>129</v>
      </c>
      <c r="N556" t="s">
        <v>329</v>
      </c>
      <c r="O556" s="1" t="s">
        <v>2617</v>
      </c>
      <c r="P556" s="1" t="s">
        <v>2618</v>
      </c>
    </row>
    <row r="557" spans="1:17" x14ac:dyDescent="0.25">
      <c r="A557" t="s">
        <v>2619</v>
      </c>
      <c r="B557" t="str">
        <f>HYPERLINK("https://staging-dtl-pattern-api.hfm-weimar.de/static/audio/solos/dtl/AQAGX5J-MgqaSyRCXULiK8R_o_GV48dD_0.01.33.064607-0.02.05.087537.mp3", "link")</f>
        <v>link</v>
      </c>
      <c r="C557" t="s">
        <v>2610</v>
      </c>
      <c r="D557" t="s">
        <v>2611</v>
      </c>
      <c r="F557" t="s">
        <v>2612</v>
      </c>
      <c r="G557" t="s">
        <v>2613</v>
      </c>
      <c r="H557" t="s">
        <v>2614</v>
      </c>
      <c r="I557">
        <v>54</v>
      </c>
      <c r="J557" t="s">
        <v>141</v>
      </c>
      <c r="K557" t="s">
        <v>2615</v>
      </c>
      <c r="L557" s="1" t="s">
        <v>2616</v>
      </c>
      <c r="M557" t="s">
        <v>129</v>
      </c>
      <c r="N557" t="s">
        <v>329</v>
      </c>
      <c r="O557" s="1" t="s">
        <v>2618</v>
      </c>
      <c r="P557" s="1" t="s">
        <v>2620</v>
      </c>
    </row>
    <row r="558" spans="1:17" x14ac:dyDescent="0.25">
      <c r="A558" t="s">
        <v>2621</v>
      </c>
      <c r="B558" t="str">
        <f>HYPERLINK("https://staging-dtl-pattern-api.hfm-weimar.de/static/audio/solos/dtl/AQAGX5J-MgqaSyRCXULiK8R_o_GV48dD_0.02.05.087537-0.02.21.075782.mp3", "link")</f>
        <v>link</v>
      </c>
      <c r="C558" t="s">
        <v>2610</v>
      </c>
      <c r="D558" t="s">
        <v>2611</v>
      </c>
      <c r="F558" t="s">
        <v>2612</v>
      </c>
      <c r="G558" t="s">
        <v>2613</v>
      </c>
      <c r="H558" t="s">
        <v>2614</v>
      </c>
      <c r="I558">
        <v>54</v>
      </c>
      <c r="J558" t="s">
        <v>141</v>
      </c>
      <c r="K558" t="s">
        <v>2615</v>
      </c>
      <c r="L558" s="1" t="s">
        <v>2616</v>
      </c>
      <c r="M558" t="s">
        <v>129</v>
      </c>
      <c r="N558" t="s">
        <v>329</v>
      </c>
      <c r="O558" s="1" t="s">
        <v>2620</v>
      </c>
      <c r="P558" s="1" t="s">
        <v>2622</v>
      </c>
    </row>
    <row r="559" spans="1:17" x14ac:dyDescent="0.25">
      <c r="A559" t="s">
        <v>2623</v>
      </c>
      <c r="B559" t="str">
        <f>HYPERLINK("https://staging-dtl-pattern-api.hfm-weimar.de/static/audio/solos/dtl/AQAGX5J-MgqaSyRCXULiK8R_o_GV48dD_0.02.21.075782-0.02.43.005052.mp3", "link")</f>
        <v>link</v>
      </c>
      <c r="C559" t="s">
        <v>2624</v>
      </c>
      <c r="D559" t="s">
        <v>2611</v>
      </c>
      <c r="E559" t="s">
        <v>670</v>
      </c>
      <c r="F559" t="s">
        <v>2612</v>
      </c>
      <c r="G559" t="s">
        <v>2613</v>
      </c>
      <c r="H559" t="s">
        <v>2614</v>
      </c>
      <c r="I559">
        <v>54</v>
      </c>
      <c r="J559" t="s">
        <v>141</v>
      </c>
      <c r="K559" t="s">
        <v>2615</v>
      </c>
      <c r="L559" s="1" t="s">
        <v>2616</v>
      </c>
      <c r="M559" t="s">
        <v>129</v>
      </c>
      <c r="N559" t="s">
        <v>172</v>
      </c>
      <c r="O559" s="1" t="s">
        <v>2622</v>
      </c>
      <c r="P559" s="1" t="s">
        <v>2625</v>
      </c>
      <c r="Q559" s="1" t="s">
        <v>7247</v>
      </c>
    </row>
    <row r="560" spans="1:17" x14ac:dyDescent="0.25">
      <c r="A560" t="s">
        <v>2626</v>
      </c>
      <c r="B560" t="str">
        <f>HYPERLINK("https://staging-dtl-pattern-api.hfm-weimar.de/static/audio/solos/dtl/AQAGXBIbShJ85Xg6Yz-aYeIffGOK58Zh_0.00.53.098639-0.01.07.070938.mp3", "link")</f>
        <v>link</v>
      </c>
      <c r="C560" t="s">
        <v>2627</v>
      </c>
      <c r="D560" t="s">
        <v>2628</v>
      </c>
      <c r="F560" t="s">
        <v>393</v>
      </c>
      <c r="G560" t="s">
        <v>394</v>
      </c>
      <c r="H560" t="s">
        <v>2629</v>
      </c>
      <c r="I560">
        <v>26</v>
      </c>
      <c r="J560" t="s">
        <v>141</v>
      </c>
      <c r="K560" t="s">
        <v>2630</v>
      </c>
      <c r="L560" s="1" t="s">
        <v>2631</v>
      </c>
      <c r="M560" t="s">
        <v>182</v>
      </c>
      <c r="N560" t="s">
        <v>202</v>
      </c>
      <c r="O560" s="1" t="s">
        <v>2632</v>
      </c>
      <c r="P560" s="1" t="s">
        <v>2633</v>
      </c>
    </row>
    <row r="561" spans="1:17" x14ac:dyDescent="0.25">
      <c r="A561" t="s">
        <v>2634</v>
      </c>
      <c r="B561" t="str">
        <f>HYPERLINK("https://staging-dtl-pattern-api.hfm-weimar.de/static/audio/solos/dtl/AQAGXBIbShJ85Xg6Yz-aYeIffGOK58Zh_0.02.15.006394-0.02.27.013469.mp3", "link")</f>
        <v>link</v>
      </c>
      <c r="D561" t="s">
        <v>2628</v>
      </c>
      <c r="E561" t="s">
        <v>394</v>
      </c>
      <c r="F561" t="s">
        <v>393</v>
      </c>
      <c r="G561" t="s">
        <v>394</v>
      </c>
      <c r="H561" t="s">
        <v>2629</v>
      </c>
      <c r="I561">
        <v>26</v>
      </c>
      <c r="J561" t="s">
        <v>141</v>
      </c>
      <c r="K561" t="s">
        <v>2630</v>
      </c>
      <c r="L561" s="1" t="s">
        <v>2631</v>
      </c>
      <c r="M561" t="s">
        <v>182</v>
      </c>
      <c r="N561" t="s">
        <v>329</v>
      </c>
      <c r="O561" s="1" t="s">
        <v>2635</v>
      </c>
      <c r="P561" s="1" t="s">
        <v>2636</v>
      </c>
    </row>
    <row r="562" spans="1:17" x14ac:dyDescent="0.25">
      <c r="A562" t="s">
        <v>2637</v>
      </c>
      <c r="B562" t="str">
        <f>HYPERLINK("https://staging-dtl-pattern-api.hfm-weimar.de/static/audio/solos/dtl/AQAGXBIbShJ85Xg6Yz-aYeIffGOK58Zh_0.02.27.013469-0.02.53.059673.mp3", "link")</f>
        <v>link</v>
      </c>
      <c r="D562" t="s">
        <v>2628</v>
      </c>
      <c r="E562" t="s">
        <v>2638</v>
      </c>
      <c r="F562" t="s">
        <v>393</v>
      </c>
      <c r="G562" t="s">
        <v>394</v>
      </c>
      <c r="H562" t="s">
        <v>2629</v>
      </c>
      <c r="I562">
        <v>26</v>
      </c>
      <c r="J562" t="s">
        <v>141</v>
      </c>
      <c r="K562" t="s">
        <v>2630</v>
      </c>
      <c r="L562" s="1" t="s">
        <v>2631</v>
      </c>
      <c r="M562" t="s">
        <v>182</v>
      </c>
      <c r="N562" t="s">
        <v>46</v>
      </c>
      <c r="O562" s="1" t="s">
        <v>2636</v>
      </c>
      <c r="P562" s="1" t="s">
        <v>2639</v>
      </c>
    </row>
    <row r="563" spans="1:17" x14ac:dyDescent="0.25">
      <c r="A563" t="s">
        <v>2640</v>
      </c>
      <c r="B563" t="str">
        <f>HYPERLINK("https://staging-dtl-pattern-api.hfm-weimar.de/static/audio/solos/dtl/AQAGXBIbShJ85Xg6Yz-aYeIffGOK58Zh_0.02.53.059673-0.03.07.049333.mp3", "link")</f>
        <v>link</v>
      </c>
      <c r="D563" t="s">
        <v>2628</v>
      </c>
      <c r="E563" t="s">
        <v>394</v>
      </c>
      <c r="F563" t="s">
        <v>393</v>
      </c>
      <c r="G563" t="s">
        <v>394</v>
      </c>
      <c r="H563" t="s">
        <v>2629</v>
      </c>
      <c r="I563">
        <v>26</v>
      </c>
      <c r="J563" t="s">
        <v>141</v>
      </c>
      <c r="K563" t="s">
        <v>2630</v>
      </c>
      <c r="L563" s="1" t="s">
        <v>2631</v>
      </c>
      <c r="M563" t="s">
        <v>182</v>
      </c>
      <c r="N563" t="s">
        <v>288</v>
      </c>
      <c r="O563" s="1" t="s">
        <v>2639</v>
      </c>
      <c r="P563" s="1" t="s">
        <v>2641</v>
      </c>
    </row>
    <row r="564" spans="1:17" x14ac:dyDescent="0.25">
      <c r="A564" t="s">
        <v>2642</v>
      </c>
      <c r="B564" t="str">
        <f>HYPERLINK("https://staging-dtl-pattern-api.hfm-weimar.de/static/audio/solos/dtl/AQAGXBIbShJ85Xg6Yz-aYeIffGOK58Zh_0.03.07.049333-0.03.24.024000.mp3", "link")</f>
        <v>link</v>
      </c>
      <c r="D564" t="s">
        <v>2628</v>
      </c>
      <c r="E564" t="s">
        <v>394</v>
      </c>
      <c r="F564" t="s">
        <v>393</v>
      </c>
      <c r="G564" t="s">
        <v>394</v>
      </c>
      <c r="H564" t="s">
        <v>2629</v>
      </c>
      <c r="I564">
        <v>26</v>
      </c>
      <c r="J564" t="s">
        <v>141</v>
      </c>
      <c r="K564" t="s">
        <v>2630</v>
      </c>
      <c r="L564" s="1" t="s">
        <v>2631</v>
      </c>
      <c r="M564" t="s">
        <v>182</v>
      </c>
      <c r="N564" t="s">
        <v>288</v>
      </c>
      <c r="O564" s="1" t="s">
        <v>2641</v>
      </c>
      <c r="P564" s="1" t="s">
        <v>2643</v>
      </c>
    </row>
    <row r="565" spans="1:17" x14ac:dyDescent="0.25">
      <c r="A565" t="s">
        <v>2644</v>
      </c>
      <c r="B565" t="str">
        <f>HYPERLINK("https://staging-dtl-pattern-api.hfm-weimar.de/static/audio/solos/dtl/AQAGXOrETJHQ6FYC1yny5Uj44y36fGil_0.01.33.046031-0.02.36.040961.mp3", "link")</f>
        <v>link</v>
      </c>
      <c r="D565" t="s">
        <v>2645</v>
      </c>
      <c r="E565" t="s">
        <v>54</v>
      </c>
      <c r="F565" t="s">
        <v>54</v>
      </c>
      <c r="G565" t="s">
        <v>54</v>
      </c>
      <c r="J565" t="s">
        <v>2646</v>
      </c>
      <c r="K565" t="s">
        <v>2647</v>
      </c>
      <c r="L565" s="1" t="s">
        <v>2648</v>
      </c>
      <c r="M565" t="s">
        <v>2649</v>
      </c>
      <c r="N565" t="s">
        <v>46</v>
      </c>
      <c r="O565" s="1" t="s">
        <v>2650</v>
      </c>
      <c r="P565" s="1" t="s">
        <v>2651</v>
      </c>
    </row>
    <row r="566" spans="1:17" x14ac:dyDescent="0.25">
      <c r="A566" t="s">
        <v>2652</v>
      </c>
      <c r="B566" t="str">
        <f>HYPERLINK("https://staging-dtl-pattern-api.hfm-weimar.de/static/audio/solos/dtl/AQAGXoySKBGTVChlXMQuEuEh6TyefJhO_0.01.36.096653-0.01.56.009396.mp3", "link")</f>
        <v>link</v>
      </c>
      <c r="D566" t="s">
        <v>2653</v>
      </c>
      <c r="E566" t="s">
        <v>2654</v>
      </c>
      <c r="F566" t="s">
        <v>2655</v>
      </c>
      <c r="H566" t="s">
        <v>2513</v>
      </c>
      <c r="I566">
        <v>79</v>
      </c>
      <c r="J566" t="s">
        <v>198</v>
      </c>
      <c r="K566" t="s">
        <v>2656</v>
      </c>
      <c r="L566" s="1" t="s">
        <v>2657</v>
      </c>
      <c r="M566" t="s">
        <v>438</v>
      </c>
      <c r="N566" t="s">
        <v>826</v>
      </c>
      <c r="O566" s="1" t="s">
        <v>2658</v>
      </c>
      <c r="P566" s="1" t="s">
        <v>2659</v>
      </c>
    </row>
    <row r="567" spans="1:17" x14ac:dyDescent="0.25">
      <c r="A567" t="s">
        <v>2660</v>
      </c>
      <c r="B567" t="str">
        <f>HYPERLINK("https://staging-dtl-pattern-api.hfm-weimar.de/static/audio/solos/dtl/AQAGXoySKBGTVChlXMQuEuEh6TyefJhO_0.01.56.009396-0.02.15.036653.mp3", "link")</f>
        <v>link</v>
      </c>
      <c r="D567" t="s">
        <v>2653</v>
      </c>
      <c r="E567" t="s">
        <v>523</v>
      </c>
      <c r="F567" t="s">
        <v>2655</v>
      </c>
      <c r="H567" t="s">
        <v>2513</v>
      </c>
      <c r="I567">
        <v>79</v>
      </c>
      <c r="J567" t="s">
        <v>198</v>
      </c>
      <c r="K567" t="s">
        <v>2656</v>
      </c>
      <c r="L567" s="1" t="s">
        <v>2657</v>
      </c>
      <c r="M567" t="s">
        <v>438</v>
      </c>
      <c r="N567" t="s">
        <v>172</v>
      </c>
      <c r="O567" s="1" t="s">
        <v>2659</v>
      </c>
      <c r="P567" s="1" t="s">
        <v>2661</v>
      </c>
    </row>
    <row r="568" spans="1:17" x14ac:dyDescent="0.25">
      <c r="A568" t="s">
        <v>2662</v>
      </c>
      <c r="B568" t="str">
        <f>HYPERLINK("https://staging-dtl-pattern-api.hfm-weimar.de/static/audio/solos/dtl/AQAGYIvEJVOURTie8AKTZeGMHkN4aBmr_0.01.20.009142-0.02.33.091455.mp3", "link")</f>
        <v>link</v>
      </c>
      <c r="D568" t="s">
        <v>2663</v>
      </c>
      <c r="E568" t="s">
        <v>394</v>
      </c>
      <c r="F568" t="s">
        <v>2664</v>
      </c>
      <c r="G568" t="s">
        <v>692</v>
      </c>
      <c r="H568" t="s">
        <v>2604</v>
      </c>
      <c r="I568">
        <v>22</v>
      </c>
      <c r="J568" t="s">
        <v>141</v>
      </c>
      <c r="K568" t="s">
        <v>2665</v>
      </c>
      <c r="L568" s="1" t="s">
        <v>2666</v>
      </c>
      <c r="M568" t="s">
        <v>1936</v>
      </c>
      <c r="N568" t="s">
        <v>288</v>
      </c>
      <c r="O568" s="1" t="s">
        <v>2667</v>
      </c>
      <c r="P568" s="1" t="s">
        <v>2668</v>
      </c>
    </row>
    <row r="569" spans="1:17" x14ac:dyDescent="0.25">
      <c r="A569" t="s">
        <v>2669</v>
      </c>
      <c r="B569" t="str">
        <f>HYPERLINK("https://staging-dtl-pattern-api.hfm-weimar.de/static/audio/solos/dtl/AQAGYIvEJVOURTie8AKTZeGMHkN4aBmr_0.02.33.091455-0.02.53.062285.mp3", "link")</f>
        <v>link</v>
      </c>
      <c r="D569" t="s">
        <v>2663</v>
      </c>
      <c r="E569" t="s">
        <v>692</v>
      </c>
      <c r="F569" t="s">
        <v>2664</v>
      </c>
      <c r="G569" t="s">
        <v>692</v>
      </c>
      <c r="H569" t="s">
        <v>2604</v>
      </c>
      <c r="I569">
        <v>22</v>
      </c>
      <c r="J569" t="s">
        <v>141</v>
      </c>
      <c r="K569" t="s">
        <v>2665</v>
      </c>
      <c r="L569" s="1" t="s">
        <v>2666</v>
      </c>
      <c r="M569" t="s">
        <v>1936</v>
      </c>
      <c r="N569" t="s">
        <v>109</v>
      </c>
      <c r="O569" s="1" t="s">
        <v>2668</v>
      </c>
      <c r="P569" s="1" t="s">
        <v>2670</v>
      </c>
    </row>
    <row r="570" spans="1:17" x14ac:dyDescent="0.25">
      <c r="A570" t="s">
        <v>2671</v>
      </c>
      <c r="B570" t="str">
        <f>HYPERLINK("https://staging-dtl-pattern-api.hfm-weimar.de/static/audio/solos/dtl/AQAGYkqSJMqYZRq2rI2Cciae41LO4HmH_0.02.10.003174-0.02.41.070376.mp3", "link")</f>
        <v>link</v>
      </c>
      <c r="D570" t="s">
        <v>2672</v>
      </c>
      <c r="E570" t="s">
        <v>42</v>
      </c>
      <c r="F570" t="s">
        <v>860</v>
      </c>
      <c r="G570" t="s">
        <v>42</v>
      </c>
      <c r="H570" t="s">
        <v>861</v>
      </c>
      <c r="I570">
        <v>64</v>
      </c>
      <c r="J570" t="s">
        <v>126</v>
      </c>
      <c r="K570" t="s">
        <v>2673</v>
      </c>
      <c r="L570" s="1" t="s">
        <v>2674</v>
      </c>
      <c r="M570" t="s">
        <v>129</v>
      </c>
      <c r="N570" t="s">
        <v>46</v>
      </c>
      <c r="O570" s="1" t="s">
        <v>2675</v>
      </c>
      <c r="P570" s="1" t="s">
        <v>2676</v>
      </c>
    </row>
    <row r="571" spans="1:17" x14ac:dyDescent="0.25">
      <c r="A571" t="s">
        <v>2677</v>
      </c>
      <c r="B571" t="str">
        <f>HYPERLINK("https://staging-dtl-pattern-api.hfm-weimar.de/static/audio/solos/dtl/AQAGyppME12Z4seJh0cvIj-DUyJOc8G6_0.00.54.028825-0.01.46.011519.mp3", "link")</f>
        <v>link</v>
      </c>
      <c r="D571" t="s">
        <v>2678</v>
      </c>
      <c r="E571" t="s">
        <v>2679</v>
      </c>
      <c r="F571" t="s">
        <v>2679</v>
      </c>
      <c r="G571" t="s">
        <v>2679</v>
      </c>
      <c r="J571" t="s">
        <v>2680</v>
      </c>
      <c r="K571" t="s">
        <v>2681</v>
      </c>
      <c r="L571" s="1" t="s">
        <v>2682</v>
      </c>
      <c r="M571" t="s">
        <v>129</v>
      </c>
      <c r="N571" t="s">
        <v>109</v>
      </c>
      <c r="O571" s="1" t="s">
        <v>2683</v>
      </c>
      <c r="P571" s="1" t="s">
        <v>2684</v>
      </c>
    </row>
    <row r="572" spans="1:17" x14ac:dyDescent="0.25">
      <c r="A572" t="s">
        <v>2685</v>
      </c>
      <c r="B572" t="str">
        <f>HYPERLINK("https://staging-dtl-pattern-api.hfm-weimar.de/static/audio/solos/dtl/AQAGyppME12Z4seJh0cvIj-DUyJOc8G6_0.02.11.098222-0.02.39.002040.mp3", "link")</f>
        <v>link</v>
      </c>
      <c r="D572" t="s">
        <v>2678</v>
      </c>
      <c r="E572" t="s">
        <v>2679</v>
      </c>
      <c r="F572" t="s">
        <v>2679</v>
      </c>
      <c r="G572" t="s">
        <v>2679</v>
      </c>
      <c r="J572" t="s">
        <v>2680</v>
      </c>
      <c r="K572" t="s">
        <v>2681</v>
      </c>
      <c r="L572" s="1" t="s">
        <v>2682</v>
      </c>
      <c r="M572" t="s">
        <v>129</v>
      </c>
      <c r="N572" t="s">
        <v>109</v>
      </c>
      <c r="O572" s="1" t="s">
        <v>2686</v>
      </c>
      <c r="P572" s="1" t="s">
        <v>2687</v>
      </c>
    </row>
    <row r="573" spans="1:17" x14ac:dyDescent="0.25">
      <c r="A573" t="s">
        <v>2688</v>
      </c>
      <c r="B573" t="str">
        <f>HYPERLINK("https://staging-dtl-pattern-api.hfm-weimar.de/static/audio/solos/dtl/AQAGZkkURYoySUU-8EeYjQn0w9dwbGdz_0.01.09.023115-0.01.42.089512.mp3", "link")</f>
        <v>link</v>
      </c>
      <c r="D573" t="s">
        <v>2689</v>
      </c>
      <c r="E573" t="s">
        <v>7102</v>
      </c>
      <c r="F573" t="s">
        <v>2690</v>
      </c>
      <c r="G573" t="s">
        <v>2690</v>
      </c>
      <c r="J573" t="s">
        <v>2691</v>
      </c>
      <c r="K573" t="s">
        <v>2692</v>
      </c>
      <c r="L573" s="1" t="s">
        <v>2693</v>
      </c>
      <c r="M573" t="s">
        <v>2694</v>
      </c>
      <c r="N573" t="s">
        <v>826</v>
      </c>
      <c r="O573" s="1" t="s">
        <v>2695</v>
      </c>
      <c r="P573" s="1" t="s">
        <v>2696</v>
      </c>
      <c r="Q573" s="1" t="s">
        <v>7248</v>
      </c>
    </row>
    <row r="574" spans="1:17" x14ac:dyDescent="0.25">
      <c r="A574" t="s">
        <v>2697</v>
      </c>
      <c r="B574" t="str">
        <f>HYPERLINK("https://staging-dtl-pattern-api.hfm-weimar.de/static/audio/solos/dtl/AQAGZkkURYoySUU-8EeYjQn0w9dwbGdz_0.01.42.089512-0.01.58.090823.mp3", "link")</f>
        <v>link</v>
      </c>
      <c r="D574" t="s">
        <v>2689</v>
      </c>
      <c r="E574" t="s">
        <v>2698</v>
      </c>
      <c r="F574" t="s">
        <v>2690</v>
      </c>
      <c r="G574" t="s">
        <v>2690</v>
      </c>
      <c r="J574" t="s">
        <v>2691</v>
      </c>
      <c r="K574" t="s">
        <v>2692</v>
      </c>
      <c r="L574" s="1" t="s">
        <v>2693</v>
      </c>
      <c r="M574" t="s">
        <v>2694</v>
      </c>
      <c r="N574" t="s">
        <v>23</v>
      </c>
      <c r="O574" s="1" t="s">
        <v>2696</v>
      </c>
      <c r="P574" s="1" t="s">
        <v>2699</v>
      </c>
    </row>
    <row r="575" spans="1:17" x14ac:dyDescent="0.25">
      <c r="A575" t="s">
        <v>2700</v>
      </c>
      <c r="B575" t="str">
        <f>HYPERLINK("https://staging-dtl-pattern-api.hfm-weimar.de/static/audio/solos/dtl/AQAGZkkURYoySUU-8EeYjQn0w9dwbGdz_0.01.58.090823-0.02.14.067573.mp3", "link")</f>
        <v>link</v>
      </c>
      <c r="D575" t="s">
        <v>2689</v>
      </c>
      <c r="E575" t="s">
        <v>7102</v>
      </c>
      <c r="F575" t="s">
        <v>2690</v>
      </c>
      <c r="G575" t="s">
        <v>2690</v>
      </c>
      <c r="J575" t="s">
        <v>2691</v>
      </c>
      <c r="K575" t="s">
        <v>2692</v>
      </c>
      <c r="L575" s="1" t="s">
        <v>2693</v>
      </c>
      <c r="M575" t="s">
        <v>2694</v>
      </c>
      <c r="N575" t="s">
        <v>826</v>
      </c>
      <c r="O575" s="1" t="s">
        <v>2699</v>
      </c>
      <c r="P575" s="1" t="s">
        <v>2701</v>
      </c>
      <c r="Q575" s="1" t="s">
        <v>7251</v>
      </c>
    </row>
    <row r="576" spans="1:17" x14ac:dyDescent="0.25">
      <c r="A576" t="s">
        <v>2702</v>
      </c>
      <c r="B576" t="str">
        <f>HYPERLINK("https://staging-dtl-pattern-api.hfm-weimar.de/static/audio/solos/dtl/AQAGZkkURYoySUU-8EeYjQn0w9dwbGdz_0.02.14.067573-0.02.47.033548.mp3", "link")</f>
        <v>link</v>
      </c>
      <c r="D576" t="s">
        <v>2689</v>
      </c>
      <c r="E576" t="s">
        <v>2690</v>
      </c>
      <c r="F576" t="s">
        <v>2690</v>
      </c>
      <c r="G576" t="s">
        <v>2690</v>
      </c>
      <c r="J576" t="s">
        <v>2691</v>
      </c>
      <c r="K576" t="s">
        <v>2692</v>
      </c>
      <c r="L576" s="1" t="s">
        <v>2693</v>
      </c>
      <c r="M576" t="s">
        <v>2694</v>
      </c>
      <c r="N576" t="s">
        <v>288</v>
      </c>
      <c r="O576" s="1" t="s">
        <v>2701</v>
      </c>
      <c r="P576" s="1" t="s">
        <v>2703</v>
      </c>
    </row>
    <row r="577" spans="1:17" x14ac:dyDescent="0.25">
      <c r="A577" t="s">
        <v>2704</v>
      </c>
      <c r="B577" t="str">
        <f>HYPERLINK("https://staging-dtl-pattern-api.hfm-weimar.de/static/audio/solos/dtl/AQAGZkkURYoySUU-8EeYjQn0w9dwbGdz_0.02.47.033548-0.03.02.098455.mp3", "link")</f>
        <v>link</v>
      </c>
      <c r="D577" t="s">
        <v>2689</v>
      </c>
      <c r="E577" t="s">
        <v>2705</v>
      </c>
      <c r="F577" t="s">
        <v>2690</v>
      </c>
      <c r="G577" t="s">
        <v>2690</v>
      </c>
      <c r="J577" t="s">
        <v>2691</v>
      </c>
      <c r="K577" t="s">
        <v>2692</v>
      </c>
      <c r="L577" s="1" t="s">
        <v>2693</v>
      </c>
      <c r="M577" t="s">
        <v>2694</v>
      </c>
      <c r="N577" t="s">
        <v>172</v>
      </c>
      <c r="O577" s="1" t="s">
        <v>2703</v>
      </c>
      <c r="P577" s="1" t="s">
        <v>2706</v>
      </c>
    </row>
    <row r="578" spans="1:17" x14ac:dyDescent="0.25">
      <c r="A578" t="s">
        <v>2707</v>
      </c>
      <c r="B578" t="str">
        <f>HYPERLINK("https://staging-dtl-pattern-api.hfm-weimar.de/static/audio/solos/dtl/AQAGZZKeKJ2SoI5yODysP0SviEL1oFmS_0.01.07.047428-0.02.29.079192.mp3", "link")</f>
        <v>link</v>
      </c>
      <c r="D578" t="s">
        <v>2708</v>
      </c>
      <c r="E578" t="s">
        <v>5326</v>
      </c>
      <c r="F578" t="s">
        <v>2709</v>
      </c>
      <c r="J578" t="s">
        <v>2710</v>
      </c>
      <c r="K578" t="s">
        <v>2711</v>
      </c>
      <c r="L578" s="1" t="s">
        <v>2712</v>
      </c>
      <c r="M578" t="s">
        <v>2713</v>
      </c>
      <c r="N578" t="s">
        <v>172</v>
      </c>
      <c r="O578" s="1" t="s">
        <v>2714</v>
      </c>
      <c r="P578" s="1" t="s">
        <v>2715</v>
      </c>
      <c r="Q578" s="1" t="s">
        <v>7250</v>
      </c>
    </row>
    <row r="579" spans="1:17" x14ac:dyDescent="0.25">
      <c r="A579" t="s">
        <v>2716</v>
      </c>
      <c r="B579" t="str">
        <f>HYPERLINK("https://staging-dtl-pattern-api.hfm-weimar.de/static/audio/solos/dtl/AQAH-QmnZFSK66i4Q39HWB-D8Md5zMHB_0.00.59.037342-0.01.49.006412.mp3", "link")</f>
        <v>link</v>
      </c>
      <c r="C579" t="s">
        <v>2717</v>
      </c>
      <c r="D579" t="s">
        <v>2718</v>
      </c>
      <c r="E579" t="s">
        <v>1517</v>
      </c>
      <c r="F579" t="s">
        <v>2719</v>
      </c>
      <c r="G579" t="s">
        <v>235</v>
      </c>
      <c r="H579" t="s">
        <v>2720</v>
      </c>
      <c r="I579">
        <v>65</v>
      </c>
      <c r="J579" t="s">
        <v>141</v>
      </c>
      <c r="K579" t="s">
        <v>2721</v>
      </c>
      <c r="L579" s="1" t="s">
        <v>2722</v>
      </c>
      <c r="M579" t="s">
        <v>129</v>
      </c>
      <c r="N579" t="s">
        <v>23</v>
      </c>
      <c r="O579" s="1" t="s">
        <v>843</v>
      </c>
      <c r="P579" s="1" t="s">
        <v>2723</v>
      </c>
      <c r="Q579" s="1" t="s">
        <v>7306</v>
      </c>
    </row>
    <row r="580" spans="1:17" x14ac:dyDescent="0.25">
      <c r="A580" t="s">
        <v>2724</v>
      </c>
      <c r="B580" t="str">
        <f>HYPERLINK("https://staging-dtl-pattern-api.hfm-weimar.de/static/audio/solos/dtl/AQAH-QmnZFSK66i4Q39HWB-D8Md5zMHB_0.02.37.045451-0.03.30.000126.mp3", "link")</f>
        <v>link</v>
      </c>
      <c r="C580" t="s">
        <v>2717</v>
      </c>
      <c r="D580" t="s">
        <v>2718</v>
      </c>
      <c r="E580" t="s">
        <v>235</v>
      </c>
      <c r="F580" t="s">
        <v>2719</v>
      </c>
      <c r="G580" t="s">
        <v>235</v>
      </c>
      <c r="H580" t="s">
        <v>2720</v>
      </c>
      <c r="I580">
        <v>65</v>
      </c>
      <c r="J580" t="s">
        <v>141</v>
      </c>
      <c r="K580" t="s">
        <v>2721</v>
      </c>
      <c r="L580" s="1" t="s">
        <v>2722</v>
      </c>
      <c r="M580" t="s">
        <v>129</v>
      </c>
      <c r="N580" t="s">
        <v>23</v>
      </c>
      <c r="O580" s="1" t="s">
        <v>2725</v>
      </c>
      <c r="P580" s="1" t="s">
        <v>2726</v>
      </c>
      <c r="Q580" s="1" t="s">
        <v>7217</v>
      </c>
    </row>
    <row r="581" spans="1:17" x14ac:dyDescent="0.25">
      <c r="A581" t="s">
        <v>2727</v>
      </c>
      <c r="B581" t="str">
        <f>HYPERLINK("https://staging-dtl-pattern-api.hfm-weimar.de/static/audio/solos/dtl/AQAH-QmnZFSK66i4Q39HWB-D8Md5zMHB_0.03.30.000126-0.03.47.030013.mp3", "link")</f>
        <v>link</v>
      </c>
      <c r="C581" t="s">
        <v>2717</v>
      </c>
      <c r="D581" t="s">
        <v>2718</v>
      </c>
      <c r="E581" t="s">
        <v>1517</v>
      </c>
      <c r="F581" t="s">
        <v>2719</v>
      </c>
      <c r="G581" t="s">
        <v>235</v>
      </c>
      <c r="H581" t="s">
        <v>2720</v>
      </c>
      <c r="I581">
        <v>65</v>
      </c>
      <c r="J581" t="s">
        <v>141</v>
      </c>
      <c r="K581" t="s">
        <v>2721</v>
      </c>
      <c r="L581" s="1" t="s">
        <v>2722</v>
      </c>
      <c r="M581" t="s">
        <v>129</v>
      </c>
      <c r="N581" t="s">
        <v>23</v>
      </c>
      <c r="O581" s="1" t="s">
        <v>2726</v>
      </c>
      <c r="P581" s="1" t="s">
        <v>2728</v>
      </c>
      <c r="Q581" s="1" t="s">
        <v>7306</v>
      </c>
    </row>
    <row r="582" spans="1:17" x14ac:dyDescent="0.25">
      <c r="A582" t="s">
        <v>2729</v>
      </c>
      <c r="B582" t="str">
        <f>HYPERLINK("https://staging-dtl-pattern-api.hfm-weimar.de/static/audio/solos/dtl/AQAH-ZKS6kqSBJciWniiH8d5Ij1DYQ-X_0.01.26.079619-0.01.35.096807.mp3", "link")</f>
        <v>link</v>
      </c>
      <c r="D582" t="s">
        <v>2730</v>
      </c>
      <c r="E582" t="s">
        <v>251</v>
      </c>
      <c r="F582" t="s">
        <v>2731</v>
      </c>
      <c r="H582" t="s">
        <v>2732</v>
      </c>
      <c r="I582">
        <v>14</v>
      </c>
      <c r="J582" t="s">
        <v>126</v>
      </c>
      <c r="K582" t="s">
        <v>2733</v>
      </c>
      <c r="L582" s="1" t="s">
        <v>2734</v>
      </c>
      <c r="M582" t="s">
        <v>129</v>
      </c>
      <c r="N582" t="s">
        <v>202</v>
      </c>
      <c r="O582" s="1" t="s">
        <v>2735</v>
      </c>
      <c r="P582" s="1" t="s">
        <v>2736</v>
      </c>
    </row>
    <row r="583" spans="1:17" x14ac:dyDescent="0.25">
      <c r="A583" t="s">
        <v>2737</v>
      </c>
      <c r="B583" t="str">
        <f>HYPERLINK("https://staging-dtl-pattern-api.hfm-weimar.de/static/audio/solos/dtl/AQAH-ZKS6kqSBJciWniiH8d5Ij1DYQ-X_0.01.35.096807-0.01.42.023746.mp3", "link")</f>
        <v>link</v>
      </c>
      <c r="D583" t="s">
        <v>2730</v>
      </c>
      <c r="E583" t="s">
        <v>2738</v>
      </c>
      <c r="F583" t="s">
        <v>2731</v>
      </c>
      <c r="H583" t="s">
        <v>2732</v>
      </c>
      <c r="I583">
        <v>14</v>
      </c>
      <c r="J583" t="s">
        <v>126</v>
      </c>
      <c r="K583" t="s">
        <v>2733</v>
      </c>
      <c r="L583" s="1" t="s">
        <v>2734</v>
      </c>
      <c r="M583" t="s">
        <v>129</v>
      </c>
      <c r="N583" t="s">
        <v>46</v>
      </c>
      <c r="O583" s="1" t="s">
        <v>2736</v>
      </c>
      <c r="P583" s="1" t="s">
        <v>2739</v>
      </c>
    </row>
    <row r="584" spans="1:17" x14ac:dyDescent="0.25">
      <c r="A584" t="s">
        <v>2740</v>
      </c>
      <c r="B584" t="str">
        <f>HYPERLINK("https://staging-dtl-pattern-api.hfm-weimar.de/static/audio/solos/dtl/AQAH-ZKS6kqSBJciWniiH8d5Ij1DYQ-X_0.01.42.023746-0.01.44.048979.mp3", "link")</f>
        <v>link</v>
      </c>
      <c r="D584" t="s">
        <v>2730</v>
      </c>
      <c r="E584" t="s">
        <v>251</v>
      </c>
      <c r="F584" t="s">
        <v>2731</v>
      </c>
      <c r="H584" t="s">
        <v>2732</v>
      </c>
      <c r="I584">
        <v>14</v>
      </c>
      <c r="J584" t="s">
        <v>126</v>
      </c>
      <c r="K584" t="s">
        <v>2733</v>
      </c>
      <c r="L584" s="1" t="s">
        <v>2734</v>
      </c>
      <c r="M584" t="s">
        <v>129</v>
      </c>
      <c r="N584" t="s">
        <v>202</v>
      </c>
      <c r="O584" s="1" t="s">
        <v>2739</v>
      </c>
      <c r="P584" s="1" t="s">
        <v>2741</v>
      </c>
    </row>
    <row r="585" spans="1:17" x14ac:dyDescent="0.25">
      <c r="A585" t="s">
        <v>2742</v>
      </c>
      <c r="B585" t="str">
        <f>HYPERLINK("https://staging-dtl-pattern-api.hfm-weimar.de/static/audio/solos/dtl/AQAH-ZKS6kqSBJciWniiH8d5Ij1DYQ-X_0.01.44.048979-0.01.54.047437.mp3", "link")</f>
        <v>link</v>
      </c>
      <c r="D585" t="s">
        <v>2730</v>
      </c>
      <c r="E585" t="s">
        <v>2738</v>
      </c>
      <c r="F585" t="s">
        <v>2731</v>
      </c>
      <c r="H585" t="s">
        <v>2732</v>
      </c>
      <c r="I585">
        <v>14</v>
      </c>
      <c r="J585" t="s">
        <v>126</v>
      </c>
      <c r="K585" t="s">
        <v>2733</v>
      </c>
      <c r="L585" s="1" t="s">
        <v>2734</v>
      </c>
      <c r="M585" t="s">
        <v>129</v>
      </c>
      <c r="N585" t="s">
        <v>46</v>
      </c>
      <c r="O585" s="1" t="s">
        <v>2741</v>
      </c>
      <c r="P585" s="1" t="s">
        <v>2743</v>
      </c>
    </row>
    <row r="586" spans="1:17" x14ac:dyDescent="0.25">
      <c r="A586" t="s">
        <v>2744</v>
      </c>
      <c r="B586" t="str">
        <f>HYPERLINK("https://staging-dtl-pattern-api.hfm-weimar.de/static/audio/solos/dtl/AQAH-ZKS6kqSBJciWniiH8d5Ij1DYQ-X_0.01.54.047437-0.01.59.044344.mp3", "link")</f>
        <v>link</v>
      </c>
      <c r="D586" t="s">
        <v>2730</v>
      </c>
      <c r="E586" t="s">
        <v>251</v>
      </c>
      <c r="F586" t="s">
        <v>2731</v>
      </c>
      <c r="H586" t="s">
        <v>2732</v>
      </c>
      <c r="I586">
        <v>14</v>
      </c>
      <c r="J586" t="s">
        <v>126</v>
      </c>
      <c r="K586" t="s">
        <v>2733</v>
      </c>
      <c r="L586" s="1" t="s">
        <v>2734</v>
      </c>
      <c r="M586" t="s">
        <v>129</v>
      </c>
      <c r="N586" t="s">
        <v>202</v>
      </c>
      <c r="O586" s="1" t="s">
        <v>2743</v>
      </c>
      <c r="P586" s="1" t="s">
        <v>2745</v>
      </c>
    </row>
    <row r="587" spans="1:17" x14ac:dyDescent="0.25">
      <c r="A587" t="s">
        <v>2746</v>
      </c>
      <c r="B587" t="str">
        <f>HYPERLINK("https://staging-dtl-pattern-api.hfm-weimar.de/static/audio/solos/dtl/AQAH-ZKS6kqSBJciWniiH8d5Ij1DYQ-X_0.01.59.044344-0.02.06.040943.mp3", "link")</f>
        <v>link</v>
      </c>
      <c r="D587" t="s">
        <v>2730</v>
      </c>
      <c r="E587" t="s">
        <v>2738</v>
      </c>
      <c r="F587" t="s">
        <v>2731</v>
      </c>
      <c r="H587" t="s">
        <v>2732</v>
      </c>
      <c r="I587">
        <v>14</v>
      </c>
      <c r="J587" t="s">
        <v>126</v>
      </c>
      <c r="K587" t="s">
        <v>2733</v>
      </c>
      <c r="L587" s="1" t="s">
        <v>2734</v>
      </c>
      <c r="M587" t="s">
        <v>129</v>
      </c>
      <c r="N587" t="s">
        <v>46</v>
      </c>
      <c r="O587" s="1" t="s">
        <v>2745</v>
      </c>
      <c r="P587" s="1" t="s">
        <v>2747</v>
      </c>
    </row>
    <row r="588" spans="1:17" x14ac:dyDescent="0.25">
      <c r="A588" t="s">
        <v>2748</v>
      </c>
      <c r="B588" t="str">
        <f>HYPERLINK("https://staging-dtl-pattern-api.hfm-weimar.de/static/audio/solos/dtl/AQAH-ZKS6kqSBJciWniiH8d5Ij1DYQ-X_0.02.06.040943-0.02.12.002866.mp3", "link")</f>
        <v>link</v>
      </c>
      <c r="D588" t="s">
        <v>2730</v>
      </c>
      <c r="E588" t="s">
        <v>251</v>
      </c>
      <c r="F588" t="s">
        <v>2731</v>
      </c>
      <c r="H588" t="s">
        <v>2732</v>
      </c>
      <c r="I588">
        <v>14</v>
      </c>
      <c r="J588" t="s">
        <v>126</v>
      </c>
      <c r="K588" t="s">
        <v>2733</v>
      </c>
      <c r="L588" s="1" t="s">
        <v>2734</v>
      </c>
      <c r="M588" t="s">
        <v>129</v>
      </c>
      <c r="N588" t="s">
        <v>202</v>
      </c>
      <c r="O588" s="1" t="s">
        <v>2747</v>
      </c>
      <c r="P588" s="1" t="s">
        <v>2749</v>
      </c>
    </row>
    <row r="589" spans="1:17" x14ac:dyDescent="0.25">
      <c r="A589" t="s">
        <v>2750</v>
      </c>
      <c r="B589" t="str">
        <f>HYPERLINK("https://staging-dtl-pattern-api.hfm-weimar.de/static/audio/solos/dtl/AQAH-ZKS6kqSBJciWniiH8d5Ij1DYQ-X_0.02.12.002866-0.02.16.030113.mp3", "link")</f>
        <v>link</v>
      </c>
      <c r="D589" t="s">
        <v>2730</v>
      </c>
      <c r="E589" t="s">
        <v>2738</v>
      </c>
      <c r="F589" t="s">
        <v>2731</v>
      </c>
      <c r="H589" t="s">
        <v>2732</v>
      </c>
      <c r="I589">
        <v>14</v>
      </c>
      <c r="J589" t="s">
        <v>126</v>
      </c>
      <c r="K589" t="s">
        <v>2733</v>
      </c>
      <c r="L589" s="1" t="s">
        <v>2734</v>
      </c>
      <c r="M589" t="s">
        <v>129</v>
      </c>
      <c r="N589" t="s">
        <v>46</v>
      </c>
      <c r="O589" s="1" t="s">
        <v>2749</v>
      </c>
      <c r="P589" s="1" t="s">
        <v>2751</v>
      </c>
    </row>
    <row r="590" spans="1:17" x14ac:dyDescent="0.25">
      <c r="A590" t="s">
        <v>2752</v>
      </c>
      <c r="B590" t="str">
        <f>HYPERLINK("https://staging-dtl-pattern-api.hfm-weimar.de/static/audio/solos/dtl/AQAH-ZKS6kqSBJciWniiH8d5Ij1DYQ-X_0.02.16.030113-0.02.17.039247.mp3", "link")</f>
        <v>link</v>
      </c>
      <c r="D590" t="s">
        <v>2730</v>
      </c>
      <c r="E590" t="s">
        <v>251</v>
      </c>
      <c r="F590" t="s">
        <v>2731</v>
      </c>
      <c r="H590" t="s">
        <v>2732</v>
      </c>
      <c r="I590">
        <v>14</v>
      </c>
      <c r="J590" t="s">
        <v>126</v>
      </c>
      <c r="K590" t="s">
        <v>2733</v>
      </c>
      <c r="L590" s="1" t="s">
        <v>2734</v>
      </c>
      <c r="M590" t="s">
        <v>129</v>
      </c>
      <c r="N590" t="s">
        <v>202</v>
      </c>
      <c r="O590" s="1" t="s">
        <v>2751</v>
      </c>
      <c r="P590" s="1" t="s">
        <v>2753</v>
      </c>
    </row>
    <row r="591" spans="1:17" x14ac:dyDescent="0.25">
      <c r="A591" t="s">
        <v>2754</v>
      </c>
      <c r="B591" t="str">
        <f>HYPERLINK("https://staging-dtl-pattern-api.hfm-weimar.de/static/audio/solos/dtl/AQAH-ZKS6kqSBJciWniiH8d5Ij1DYQ-X_0.02.17.039247-0.02.19.011074.mp3", "link")</f>
        <v>link</v>
      </c>
      <c r="D591" t="s">
        <v>2730</v>
      </c>
      <c r="E591" t="s">
        <v>2738</v>
      </c>
      <c r="F591" t="s">
        <v>2731</v>
      </c>
      <c r="H591" t="s">
        <v>2732</v>
      </c>
      <c r="I591">
        <v>14</v>
      </c>
      <c r="J591" t="s">
        <v>126</v>
      </c>
      <c r="K591" t="s">
        <v>2733</v>
      </c>
      <c r="L591" s="1" t="s">
        <v>2734</v>
      </c>
      <c r="M591" t="s">
        <v>129</v>
      </c>
      <c r="N591" t="s">
        <v>46</v>
      </c>
      <c r="O591" s="1" t="s">
        <v>2753</v>
      </c>
      <c r="P591" s="1" t="s">
        <v>2755</v>
      </c>
    </row>
    <row r="592" spans="1:17" x14ac:dyDescent="0.25">
      <c r="A592" t="s">
        <v>2756</v>
      </c>
      <c r="B592" t="str">
        <f>HYPERLINK("https://staging-dtl-pattern-api.hfm-weimar.de/static/audio/solos/dtl/AQAH-ZKS6kqSBJciWniiH8d5Ij1DYQ-X_0.02.19.011074-0.02.20.027174.mp3", "link")</f>
        <v>link</v>
      </c>
      <c r="D592" t="s">
        <v>2730</v>
      </c>
      <c r="E592" t="s">
        <v>251</v>
      </c>
      <c r="F592" t="s">
        <v>2731</v>
      </c>
      <c r="H592" t="s">
        <v>2732</v>
      </c>
      <c r="I592">
        <v>14</v>
      </c>
      <c r="J592" t="s">
        <v>126</v>
      </c>
      <c r="K592" t="s">
        <v>2733</v>
      </c>
      <c r="L592" s="1" t="s">
        <v>2734</v>
      </c>
      <c r="M592" t="s">
        <v>129</v>
      </c>
      <c r="N592" t="s">
        <v>202</v>
      </c>
      <c r="O592" s="1" t="s">
        <v>2755</v>
      </c>
      <c r="P592" s="1" t="s">
        <v>2757</v>
      </c>
    </row>
    <row r="593" spans="1:17" x14ac:dyDescent="0.25">
      <c r="A593" t="s">
        <v>2758</v>
      </c>
      <c r="B593" t="str">
        <f>HYPERLINK("https://staging-dtl-pattern-api.hfm-weimar.de/static/audio/solos/dtl/AQAH-ZKS6kqSBJciWniiH8d5Ij1DYQ-X_0.02.20.027174-0.02.22.022222.mp3", "link")</f>
        <v>link</v>
      </c>
      <c r="D593" t="s">
        <v>2730</v>
      </c>
      <c r="E593" t="s">
        <v>2738</v>
      </c>
      <c r="F593" t="s">
        <v>2731</v>
      </c>
      <c r="H593" t="s">
        <v>2732</v>
      </c>
      <c r="I593">
        <v>14</v>
      </c>
      <c r="J593" t="s">
        <v>126</v>
      </c>
      <c r="K593" t="s">
        <v>2733</v>
      </c>
      <c r="L593" s="1" t="s">
        <v>2734</v>
      </c>
      <c r="M593" t="s">
        <v>129</v>
      </c>
      <c r="N593" t="s">
        <v>46</v>
      </c>
      <c r="O593" s="1" t="s">
        <v>2757</v>
      </c>
      <c r="P593" s="1" t="s">
        <v>2759</v>
      </c>
    </row>
    <row r="594" spans="1:17" x14ac:dyDescent="0.25">
      <c r="A594" t="s">
        <v>2760</v>
      </c>
      <c r="B594" s="3" t="str">
        <f>HYPERLINK("https://staging-dtl-pattern-api.hfm-weimar.de/static/audio/solos/dtl/AQAH-ZKS6kqSBJciWniiH8d5Ij1DYQ-X_0.02.22.022222-0.02.22.096526.mp3", "link")</f>
        <v>link</v>
      </c>
      <c r="C594" s="3"/>
      <c r="D594" s="3" t="s">
        <v>2730</v>
      </c>
      <c r="E594" s="3" t="s">
        <v>251</v>
      </c>
      <c r="F594" s="3" t="s">
        <v>2731</v>
      </c>
      <c r="G594" s="3"/>
      <c r="H594" s="3" t="s">
        <v>2732</v>
      </c>
      <c r="I594" s="3">
        <v>14</v>
      </c>
      <c r="J594" s="3" t="s">
        <v>126</v>
      </c>
      <c r="K594" s="3" t="s">
        <v>2733</v>
      </c>
      <c r="L594" s="4" t="s">
        <v>2734</v>
      </c>
      <c r="M594" s="3" t="s">
        <v>129</v>
      </c>
      <c r="N594" s="3" t="s">
        <v>202</v>
      </c>
      <c r="O594" s="4" t="s">
        <v>2759</v>
      </c>
      <c r="P594" s="4" t="s">
        <v>2761</v>
      </c>
      <c r="Q594" s="4" t="s">
        <v>7252</v>
      </c>
    </row>
    <row r="595" spans="1:17" x14ac:dyDescent="0.25">
      <c r="A595" t="s">
        <v>2762</v>
      </c>
      <c r="B595" t="str">
        <f>HYPERLINK("https://staging-dtl-pattern-api.hfm-weimar.de/static/audio/solos/dtl/AQAH-ZKS6kqSBJciWniiH8d5Ij1DYQ-X_0.02.22.096526-0.02.24.070675.mp3", "link")</f>
        <v>link</v>
      </c>
      <c r="D595" t="s">
        <v>2730</v>
      </c>
      <c r="E595" t="s">
        <v>2738</v>
      </c>
      <c r="F595" t="s">
        <v>2731</v>
      </c>
      <c r="H595" t="s">
        <v>2732</v>
      </c>
      <c r="I595">
        <v>14</v>
      </c>
      <c r="J595" t="s">
        <v>126</v>
      </c>
      <c r="K595" t="s">
        <v>2733</v>
      </c>
      <c r="L595" s="1" t="s">
        <v>2734</v>
      </c>
      <c r="M595" t="s">
        <v>129</v>
      </c>
      <c r="N595" t="s">
        <v>46</v>
      </c>
      <c r="O595" s="1" t="s">
        <v>2761</v>
      </c>
      <c r="P595" s="1" t="s">
        <v>2763</v>
      </c>
    </row>
    <row r="596" spans="1:17" x14ac:dyDescent="0.25">
      <c r="A596" t="s">
        <v>2764</v>
      </c>
      <c r="B596" t="str">
        <f>HYPERLINK("https://staging-dtl-pattern-api.hfm-weimar.de/static/audio/solos/dtl/AQAH-ZKS6kqSBJciWniiH8d5Ij1DYQ-X_0.02.24.070675-0.02.26.049469.mp3", "link")</f>
        <v>link</v>
      </c>
      <c r="D596" t="s">
        <v>2730</v>
      </c>
      <c r="E596" t="s">
        <v>251</v>
      </c>
      <c r="F596" t="s">
        <v>2731</v>
      </c>
      <c r="H596" t="s">
        <v>2732</v>
      </c>
      <c r="I596">
        <v>14</v>
      </c>
      <c r="J596" t="s">
        <v>126</v>
      </c>
      <c r="K596" t="s">
        <v>2733</v>
      </c>
      <c r="L596" s="1" t="s">
        <v>2734</v>
      </c>
      <c r="M596" t="s">
        <v>129</v>
      </c>
      <c r="N596" t="s">
        <v>202</v>
      </c>
      <c r="O596" s="1" t="s">
        <v>2763</v>
      </c>
      <c r="P596" s="1" t="s">
        <v>2765</v>
      </c>
    </row>
    <row r="597" spans="1:17" x14ac:dyDescent="0.25">
      <c r="A597" t="s">
        <v>2766</v>
      </c>
      <c r="B597" t="str">
        <f>HYPERLINK("https://staging-dtl-pattern-api.hfm-weimar.de/static/audio/solos/dtl/AQAH-ZKS6kqSBJciWniiH8d5Ij1DYQ-X_0.02.26.049469-0.02.28.002721.mp3", "link")</f>
        <v>link</v>
      </c>
      <c r="D597" t="s">
        <v>2730</v>
      </c>
      <c r="E597" t="s">
        <v>2738</v>
      </c>
      <c r="F597" t="s">
        <v>2731</v>
      </c>
      <c r="H597" t="s">
        <v>2732</v>
      </c>
      <c r="I597">
        <v>14</v>
      </c>
      <c r="J597" t="s">
        <v>126</v>
      </c>
      <c r="K597" t="s">
        <v>2733</v>
      </c>
      <c r="L597" s="1" t="s">
        <v>2734</v>
      </c>
      <c r="M597" t="s">
        <v>129</v>
      </c>
      <c r="N597" t="s">
        <v>46</v>
      </c>
      <c r="O597" s="1" t="s">
        <v>2765</v>
      </c>
      <c r="P597" s="1" t="s">
        <v>2767</v>
      </c>
    </row>
    <row r="598" spans="1:17" x14ac:dyDescent="0.25">
      <c r="A598" t="s">
        <v>2768</v>
      </c>
      <c r="B598" t="str">
        <f>HYPERLINK("https://staging-dtl-pattern-api.hfm-weimar.de/static/audio/solos/dtl/AQAH-ZKS6kqSBJciWniiH8d5Ij1DYQ-X_0.02.28.002721-0.02.29.023464.mp3", "link")</f>
        <v>link</v>
      </c>
      <c r="D598" t="s">
        <v>2730</v>
      </c>
      <c r="E598" t="s">
        <v>251</v>
      </c>
      <c r="F598" t="s">
        <v>2731</v>
      </c>
      <c r="H598" t="s">
        <v>2732</v>
      </c>
      <c r="I598">
        <v>14</v>
      </c>
      <c r="J598" t="s">
        <v>126</v>
      </c>
      <c r="K598" t="s">
        <v>2733</v>
      </c>
      <c r="L598" s="1" t="s">
        <v>2734</v>
      </c>
      <c r="M598" t="s">
        <v>129</v>
      </c>
      <c r="N598" t="s">
        <v>202</v>
      </c>
      <c r="O598" s="1" t="s">
        <v>2767</v>
      </c>
      <c r="P598" s="1" t="s">
        <v>2769</v>
      </c>
    </row>
    <row r="599" spans="1:17" x14ac:dyDescent="0.25">
      <c r="A599" t="s">
        <v>2770</v>
      </c>
      <c r="B599" t="str">
        <f>HYPERLINK("https://staging-dtl-pattern-api.hfm-weimar.de/static/audio/solos/dtl/AQAH-ZKS6kqSBJciWniiH8d5Ij1DYQ-X_0.02.29.023464-0.02.30.058140.mp3", "link")</f>
        <v>link</v>
      </c>
      <c r="D599" t="s">
        <v>2730</v>
      </c>
      <c r="E599" t="s">
        <v>54</v>
      </c>
      <c r="F599" t="s">
        <v>2731</v>
      </c>
      <c r="H599" t="s">
        <v>2732</v>
      </c>
      <c r="I599">
        <v>14</v>
      </c>
      <c r="J599" t="s">
        <v>126</v>
      </c>
      <c r="K599" t="s">
        <v>2733</v>
      </c>
      <c r="L599" s="1" t="s">
        <v>2734</v>
      </c>
      <c r="M599" t="s">
        <v>129</v>
      </c>
      <c r="N599" t="s">
        <v>46</v>
      </c>
      <c r="O599" s="1" t="s">
        <v>2769</v>
      </c>
      <c r="P599" s="1" t="s">
        <v>2771</v>
      </c>
    </row>
    <row r="600" spans="1:17" x14ac:dyDescent="0.25">
      <c r="A600" t="s">
        <v>2772</v>
      </c>
      <c r="B600" t="str">
        <f>HYPERLINK("https://staging-dtl-pattern-api.hfm-weimar.de/static/audio/solos/dtl/AQAH-ZKS6kqSBJciWniiH8d5Ij1DYQ-X_0.02.30.058140-0.02.31.097460.mp3", "link")</f>
        <v>link</v>
      </c>
      <c r="D600" t="s">
        <v>2730</v>
      </c>
      <c r="E600" t="s">
        <v>54</v>
      </c>
      <c r="F600" t="s">
        <v>2731</v>
      </c>
      <c r="H600" t="s">
        <v>2732</v>
      </c>
      <c r="I600">
        <v>14</v>
      </c>
      <c r="J600" t="s">
        <v>126</v>
      </c>
      <c r="K600" t="s">
        <v>2733</v>
      </c>
      <c r="L600" s="1" t="s">
        <v>2734</v>
      </c>
      <c r="M600" t="s">
        <v>129</v>
      </c>
      <c r="N600" t="s">
        <v>46</v>
      </c>
      <c r="O600" s="1" t="s">
        <v>2771</v>
      </c>
      <c r="P600" s="1" t="s">
        <v>2773</v>
      </c>
      <c r="Q600" s="1" t="s">
        <v>7253</v>
      </c>
    </row>
    <row r="601" spans="1:17" x14ac:dyDescent="0.25">
      <c r="A601" t="s">
        <v>2774</v>
      </c>
      <c r="B601" t="str">
        <f>HYPERLINK("https://staging-dtl-pattern-api.hfm-weimar.de/static/audio/solos/dtl/AQAH-ZKS6kqSBJciWniiH8d5Ij1DYQ-X_0.02.31.097460-0.02.33.008916.mp3", "link")</f>
        <v>link</v>
      </c>
      <c r="D601" t="s">
        <v>2730</v>
      </c>
      <c r="E601" t="s">
        <v>2738</v>
      </c>
      <c r="F601" t="s">
        <v>2731</v>
      </c>
      <c r="H601" t="s">
        <v>2732</v>
      </c>
      <c r="I601">
        <v>14</v>
      </c>
      <c r="J601" t="s">
        <v>126</v>
      </c>
      <c r="K601" t="s">
        <v>2733</v>
      </c>
      <c r="L601" s="1" t="s">
        <v>2734</v>
      </c>
      <c r="M601" t="s">
        <v>129</v>
      </c>
      <c r="N601" t="s">
        <v>46</v>
      </c>
      <c r="O601" s="1" t="s">
        <v>2773</v>
      </c>
      <c r="P601" s="1" t="s">
        <v>2775</v>
      </c>
    </row>
    <row r="602" spans="1:17" x14ac:dyDescent="0.25">
      <c r="A602" t="s">
        <v>2776</v>
      </c>
      <c r="B602" s="3" t="str">
        <f>HYPERLINK("https://staging-dtl-pattern-api.hfm-weimar.de/static/audio/solos/dtl/AQAH-ZKS6kqSBJciWniiH8d5Ij1DYQ-X_0.02.33.008916-0.02.36.096689.mp3", "link")</f>
        <v>link</v>
      </c>
      <c r="C602" s="3"/>
      <c r="D602" s="3" t="s">
        <v>2730</v>
      </c>
      <c r="E602" s="3" t="s">
        <v>251</v>
      </c>
      <c r="F602" s="3" t="s">
        <v>2731</v>
      </c>
      <c r="G602" s="3"/>
      <c r="H602" s="3" t="s">
        <v>2732</v>
      </c>
      <c r="I602" s="3">
        <v>14</v>
      </c>
      <c r="J602" s="3" t="s">
        <v>126</v>
      </c>
      <c r="K602" s="3" t="s">
        <v>2733</v>
      </c>
      <c r="L602" s="4" t="s">
        <v>2734</v>
      </c>
      <c r="M602" s="3" t="s">
        <v>129</v>
      </c>
      <c r="N602" s="3" t="s">
        <v>202</v>
      </c>
      <c r="O602" s="4" t="s">
        <v>2775</v>
      </c>
      <c r="P602" s="4" t="s">
        <v>2777</v>
      </c>
      <c r="Q602" s="4" t="s">
        <v>7254</v>
      </c>
    </row>
    <row r="603" spans="1:17" x14ac:dyDescent="0.25">
      <c r="A603" t="s">
        <v>2778</v>
      </c>
      <c r="B603" t="str">
        <f>HYPERLINK("https://staging-dtl-pattern-api.hfm-weimar.de/static/audio/solos/dtl/AQAH-ZKS6kqSBJciWniiH8d5Ij1DYQ-X_0.03.00.016362-0.03.23.089442.mp3", "link")</f>
        <v>link</v>
      </c>
      <c r="D603" t="s">
        <v>2730</v>
      </c>
      <c r="E603" t="s">
        <v>294</v>
      </c>
      <c r="F603" t="s">
        <v>2731</v>
      </c>
      <c r="H603" t="s">
        <v>2732</v>
      </c>
      <c r="I603">
        <v>14</v>
      </c>
      <c r="J603" t="s">
        <v>126</v>
      </c>
      <c r="K603" t="s">
        <v>2733</v>
      </c>
      <c r="L603" s="1" t="s">
        <v>2734</v>
      </c>
      <c r="M603" t="s">
        <v>129</v>
      </c>
      <c r="N603" t="s">
        <v>109</v>
      </c>
      <c r="O603" s="1" t="s">
        <v>2779</v>
      </c>
      <c r="P603" s="1" t="s">
        <v>2780</v>
      </c>
    </row>
    <row r="604" spans="1:17" x14ac:dyDescent="0.25">
      <c r="A604" t="s">
        <v>2781</v>
      </c>
      <c r="B604" t="str">
        <f>HYPERLINK("https://staging-dtl-pattern-api.hfm-weimar.de/static/audio/solos/dtl/AQAH0EymJJKiSFFQ6zizTHh6HPXxDOGR_0.01.20.015528-0.02.30.026938.mp3", "link")</f>
        <v>link</v>
      </c>
      <c r="C604" t="s">
        <v>2782</v>
      </c>
      <c r="D604" t="s">
        <v>2783</v>
      </c>
      <c r="F604" t="s">
        <v>2125</v>
      </c>
      <c r="G604" t="s">
        <v>2125</v>
      </c>
      <c r="J604" t="s">
        <v>2126</v>
      </c>
      <c r="K604" t="s">
        <v>2784</v>
      </c>
      <c r="L604" s="1" t="s">
        <v>2128</v>
      </c>
      <c r="M604" t="s">
        <v>2129</v>
      </c>
      <c r="N604" t="s">
        <v>172</v>
      </c>
      <c r="O604" s="1" t="s">
        <v>2785</v>
      </c>
      <c r="P604" s="1" t="s">
        <v>2786</v>
      </c>
    </row>
    <row r="605" spans="1:17" x14ac:dyDescent="0.25">
      <c r="A605" t="s">
        <v>2787</v>
      </c>
      <c r="B605" t="str">
        <f>HYPERLINK("https://staging-dtl-pattern-api.hfm-weimar.de/static/audio/solos/dtl/AQAH1JGSREqkJEoS4jzCZyIe9LAbhN_x_0.00.41.074367-0.01.17.021795.mp3", "link")</f>
        <v>link</v>
      </c>
      <c r="D605" t="s">
        <v>2788</v>
      </c>
      <c r="E605" t="s">
        <v>266</v>
      </c>
      <c r="F605" t="s">
        <v>2789</v>
      </c>
      <c r="H605" t="s">
        <v>2790</v>
      </c>
      <c r="I605">
        <v>77</v>
      </c>
      <c r="J605" t="s">
        <v>141</v>
      </c>
      <c r="K605" t="s">
        <v>2789</v>
      </c>
      <c r="L605" s="1" t="s">
        <v>2791</v>
      </c>
      <c r="M605" t="s">
        <v>1936</v>
      </c>
      <c r="N605" t="s">
        <v>23</v>
      </c>
      <c r="O605" s="1" t="s">
        <v>2792</v>
      </c>
      <c r="P605" s="1" t="s">
        <v>2793</v>
      </c>
      <c r="Q605" s="1" t="s">
        <v>7255</v>
      </c>
    </row>
    <row r="606" spans="1:17" x14ac:dyDescent="0.25">
      <c r="A606" t="s">
        <v>2794</v>
      </c>
      <c r="B606" t="str">
        <f>HYPERLINK("https://staging-dtl-pattern-api.hfm-weimar.de/static/audio/solos/dtl/AQAH1JGSREqkJEoS4jzCZyIe9LAbhN_x_0.01.40.078040-0.02.16.020244.mp3", "link")</f>
        <v>link</v>
      </c>
      <c r="D606" t="s">
        <v>2788</v>
      </c>
      <c r="E606" t="s">
        <v>2795</v>
      </c>
      <c r="F606" t="s">
        <v>2789</v>
      </c>
      <c r="H606" t="s">
        <v>2790</v>
      </c>
      <c r="I606">
        <v>77</v>
      </c>
      <c r="J606" t="s">
        <v>141</v>
      </c>
      <c r="K606" t="s">
        <v>2789</v>
      </c>
      <c r="L606" s="1" t="s">
        <v>2791</v>
      </c>
      <c r="M606" t="s">
        <v>1936</v>
      </c>
      <c r="N606" t="s">
        <v>46</v>
      </c>
      <c r="O606" s="1" t="s">
        <v>2796</v>
      </c>
      <c r="P606" s="1" t="s">
        <v>2797</v>
      </c>
    </row>
    <row r="607" spans="1:17" x14ac:dyDescent="0.25">
      <c r="A607" t="s">
        <v>2798</v>
      </c>
      <c r="B607" t="str">
        <f>HYPERLINK("https://staging-dtl-pattern-api.hfm-weimar.de/static/audio/solos/dtl/AQAH1JGSREqkJEoS4jzCZyIe9LAbhN_x_0.02.49.058693-0.03.35.045795.mp3", "link")</f>
        <v>link</v>
      </c>
      <c r="D607" t="s">
        <v>2788</v>
      </c>
      <c r="E607" t="s">
        <v>7256</v>
      </c>
      <c r="F607" t="s">
        <v>2789</v>
      </c>
      <c r="H607" t="s">
        <v>2790</v>
      </c>
      <c r="I607">
        <v>77</v>
      </c>
      <c r="J607" t="s">
        <v>141</v>
      </c>
      <c r="K607" t="s">
        <v>2789</v>
      </c>
      <c r="L607" s="1" t="s">
        <v>2791</v>
      </c>
      <c r="M607" t="s">
        <v>1936</v>
      </c>
      <c r="N607" t="s">
        <v>23</v>
      </c>
      <c r="O607" s="1" t="s">
        <v>2799</v>
      </c>
      <c r="P607" s="1" t="s">
        <v>2800</v>
      </c>
      <c r="Q607" s="1" t="s">
        <v>7257</v>
      </c>
    </row>
    <row r="608" spans="1:17" x14ac:dyDescent="0.25">
      <c r="A608" t="s">
        <v>2801</v>
      </c>
      <c r="B608" t="str">
        <f>HYPERLINK("https://staging-dtl-pattern-api.hfm-weimar.de/static/audio/solos/dtl/AQAH22qyTMmG78h3aN4YI9fxHWj-Inm2_0.01.04.078367-0.02.08.073142.mp3", "link")</f>
        <v>link</v>
      </c>
      <c r="C608" t="s">
        <v>7258</v>
      </c>
      <c r="D608" t="s">
        <v>2802</v>
      </c>
      <c r="F608" t="s">
        <v>2803</v>
      </c>
      <c r="G608" t="s">
        <v>2803</v>
      </c>
      <c r="J608" t="s">
        <v>2804</v>
      </c>
      <c r="K608" t="s">
        <v>2805</v>
      </c>
      <c r="L608" s="1" t="s">
        <v>2806</v>
      </c>
      <c r="M608" t="s">
        <v>129</v>
      </c>
      <c r="N608" t="s">
        <v>46</v>
      </c>
      <c r="O608" s="1" t="s">
        <v>2807</v>
      </c>
      <c r="P608" s="1" t="s">
        <v>2808</v>
      </c>
    </row>
    <row r="609" spans="1:17" x14ac:dyDescent="0.25">
      <c r="A609" t="s">
        <v>2809</v>
      </c>
      <c r="B609" t="str">
        <f>HYPERLINK("https://staging-dtl-pattern-api.hfm-weimar.de/static/audio/solos/dtl/AQAH2Y6Wy7gJ7PiKXMUf_NCuw9LOISes_0.01.20.006530-0.02.11.014630.mp3", "link")</f>
        <v>link</v>
      </c>
      <c r="D609" t="s">
        <v>2810</v>
      </c>
      <c r="E609" t="s">
        <v>2811</v>
      </c>
      <c r="F609" t="s">
        <v>2811</v>
      </c>
      <c r="G609" t="s">
        <v>2811</v>
      </c>
      <c r="J609" t="s">
        <v>2812</v>
      </c>
      <c r="K609" t="s">
        <v>2813</v>
      </c>
      <c r="L609" s="1" t="s">
        <v>2814</v>
      </c>
      <c r="M609" t="s">
        <v>2815</v>
      </c>
      <c r="N609" t="s">
        <v>23</v>
      </c>
      <c r="O609" s="1" t="s">
        <v>2816</v>
      </c>
      <c r="P609" s="1" t="s">
        <v>2817</v>
      </c>
      <c r="Q609" s="1" t="s">
        <v>7259</v>
      </c>
    </row>
    <row r="610" spans="1:17" x14ac:dyDescent="0.25">
      <c r="A610" t="s">
        <v>2818</v>
      </c>
      <c r="B610" t="str">
        <f>HYPERLINK("https://staging-dtl-pattern-api.hfm-weimar.de/static/audio/solos/dtl/AQAh49eSKTpM5MdOBTqaY_rxJA-Ohjuq_0.08.54.080199-0.11.06.069133.mp3", "link")</f>
        <v>link</v>
      </c>
      <c r="D610" t="s">
        <v>2819</v>
      </c>
      <c r="E610" t="s">
        <v>2820</v>
      </c>
      <c r="F610" t="s">
        <v>2820</v>
      </c>
      <c r="J610" t="s">
        <v>2821</v>
      </c>
      <c r="K610" t="s">
        <v>2822</v>
      </c>
      <c r="L610" s="1" t="s">
        <v>2823</v>
      </c>
      <c r="M610" t="s">
        <v>2824</v>
      </c>
      <c r="N610" t="s">
        <v>202</v>
      </c>
      <c r="O610" s="1" t="s">
        <v>2825</v>
      </c>
      <c r="P610" s="1" t="s">
        <v>2826</v>
      </c>
    </row>
    <row r="611" spans="1:17" x14ac:dyDescent="0.25">
      <c r="A611" t="s">
        <v>2827</v>
      </c>
      <c r="B611" t="str">
        <f>HYPERLINK("https://staging-dtl-pattern-api.hfm-weimar.de/static/audio/solos/dtl/AQAh49eSKTpM5MdOBTqaY_rxJA-Ohjuq_0.15.02.000816-0.17.32.021224.mp3", "link")</f>
        <v>link</v>
      </c>
      <c r="D611" t="s">
        <v>2819</v>
      </c>
      <c r="E611" t="s">
        <v>2828</v>
      </c>
      <c r="F611" t="s">
        <v>2820</v>
      </c>
      <c r="J611" t="s">
        <v>2821</v>
      </c>
      <c r="K611" t="s">
        <v>2822</v>
      </c>
      <c r="L611" s="1" t="s">
        <v>2823</v>
      </c>
      <c r="M611" t="s">
        <v>2824</v>
      </c>
      <c r="N611" t="s">
        <v>172</v>
      </c>
      <c r="O611" s="1" t="s">
        <v>2829</v>
      </c>
      <c r="P611" s="1" t="s">
        <v>2830</v>
      </c>
    </row>
    <row r="612" spans="1:17" x14ac:dyDescent="0.25">
      <c r="A612" t="s">
        <v>2831</v>
      </c>
      <c r="B612" t="str">
        <f>HYPERLINK("https://staging-dtl-pattern-api.hfm-weimar.de/static/audio/solos/dtl/AQAH4BdVKTj3I0-So6kOrT9OXAnEJmGR_0.00.00.000000-0.02.43.052653.mp3", "link")</f>
        <v>link</v>
      </c>
      <c r="D612" t="s">
        <v>2832</v>
      </c>
      <c r="E612" t="s">
        <v>2833</v>
      </c>
      <c r="F612" t="s">
        <v>2833</v>
      </c>
      <c r="G612" t="s">
        <v>2833</v>
      </c>
      <c r="J612" t="s">
        <v>2834</v>
      </c>
      <c r="K612" t="s">
        <v>2835</v>
      </c>
      <c r="L612" s="1" t="s">
        <v>2836</v>
      </c>
      <c r="M612" t="s">
        <v>2837</v>
      </c>
      <c r="N612" t="s">
        <v>202</v>
      </c>
      <c r="O612" s="1" t="s">
        <v>271</v>
      </c>
      <c r="P612" s="1" t="s">
        <v>2838</v>
      </c>
    </row>
    <row r="613" spans="1:17" x14ac:dyDescent="0.25">
      <c r="A613" t="s">
        <v>2839</v>
      </c>
      <c r="B613" t="str">
        <f>HYPERLINK("https://staging-dtl-pattern-api.hfm-weimar.de/static/audio/solos/dtl/AQAH4BdVKTj3I0-So6kOrT9OXAnEJmGR_0.03.39.029795-0.04.07.051020.mp3", "link")</f>
        <v>link</v>
      </c>
      <c r="D613" t="s">
        <v>2832</v>
      </c>
      <c r="E613" t="s">
        <v>2833</v>
      </c>
      <c r="F613" t="s">
        <v>2833</v>
      </c>
      <c r="G613" t="s">
        <v>2833</v>
      </c>
      <c r="J613" t="s">
        <v>2834</v>
      </c>
      <c r="K613" t="s">
        <v>2835</v>
      </c>
      <c r="L613" s="1" t="s">
        <v>2836</v>
      </c>
      <c r="M613" t="s">
        <v>2837</v>
      </c>
      <c r="N613" t="s">
        <v>202</v>
      </c>
      <c r="O613" s="1" t="s">
        <v>2840</v>
      </c>
      <c r="P613" s="1" t="s">
        <v>2841</v>
      </c>
    </row>
    <row r="614" spans="1:17" x14ac:dyDescent="0.25">
      <c r="A614" t="s">
        <v>2842</v>
      </c>
      <c r="B614" t="str">
        <f>HYPERLINK("https://staging-dtl-pattern-api.hfm-weimar.de/static/audio/solos/dtl/AQAH50qU5IuSDv2DSyFqDs-P_kOz46bA_0.01.08.070204-0.02.11.079646.mp3", "link")</f>
        <v>link</v>
      </c>
      <c r="D614" t="s">
        <v>2843</v>
      </c>
      <c r="E614" t="s">
        <v>2844</v>
      </c>
      <c r="F614" t="s">
        <v>2845</v>
      </c>
      <c r="J614" t="s">
        <v>2846</v>
      </c>
      <c r="K614" t="s">
        <v>2847</v>
      </c>
      <c r="L614" s="1" t="s">
        <v>2848</v>
      </c>
      <c r="M614" t="s">
        <v>2849</v>
      </c>
      <c r="N614" t="s">
        <v>172</v>
      </c>
      <c r="O614" s="1" t="s">
        <v>2850</v>
      </c>
      <c r="P614" s="1" t="s">
        <v>2851</v>
      </c>
    </row>
    <row r="615" spans="1:17" x14ac:dyDescent="0.25">
      <c r="A615" t="s">
        <v>2852</v>
      </c>
      <c r="B615" t="str">
        <f>HYPERLINK("https://staging-dtl-pattern-api.hfm-weimar.de/static/audio/solos/dtl/AQAH5FEkpaGTJLik487xBHqiC-EP_vCl_0.02.15.070612-0.02.59.033061.mp3", "link")</f>
        <v>link</v>
      </c>
      <c r="D615" t="s">
        <v>2853</v>
      </c>
      <c r="E615" t="s">
        <v>2854</v>
      </c>
      <c r="F615" t="s">
        <v>2855</v>
      </c>
      <c r="J615" t="s">
        <v>2856</v>
      </c>
      <c r="K615" t="s">
        <v>2857</v>
      </c>
      <c r="L615" s="1" t="s">
        <v>2858</v>
      </c>
      <c r="M615" t="s">
        <v>2859</v>
      </c>
      <c r="N615" t="s">
        <v>449</v>
      </c>
      <c r="O615" s="1" t="s">
        <v>2860</v>
      </c>
      <c r="P615" s="1" t="s">
        <v>2861</v>
      </c>
    </row>
    <row r="616" spans="1:17" x14ac:dyDescent="0.25">
      <c r="A616" t="s">
        <v>2862</v>
      </c>
      <c r="B616" t="str">
        <f>HYPERLINK("https://staging-dtl-pattern-api.hfm-weimar.de/static/audio/solos/dtl/AQAH6EsUJZFGDTWuRjb-CD165EjGH00T_0.01.14.058249-0.02.23.036000.mp3", "link")</f>
        <v>link</v>
      </c>
      <c r="D616" t="s">
        <v>2863</v>
      </c>
      <c r="E616" t="s">
        <v>2211</v>
      </c>
      <c r="F616" t="s">
        <v>2864</v>
      </c>
      <c r="G616" t="s">
        <v>2211</v>
      </c>
      <c r="H616" t="s">
        <v>1518</v>
      </c>
      <c r="I616">
        <v>89</v>
      </c>
      <c r="J616" t="s">
        <v>141</v>
      </c>
      <c r="K616" t="s">
        <v>2865</v>
      </c>
      <c r="L616" s="1" t="s">
        <v>2866</v>
      </c>
      <c r="M616" t="s">
        <v>129</v>
      </c>
      <c r="N616" t="s">
        <v>109</v>
      </c>
      <c r="O616" s="1" t="s">
        <v>2867</v>
      </c>
      <c r="P616" s="1" t="s">
        <v>2868</v>
      </c>
    </row>
    <row r="617" spans="1:17" x14ac:dyDescent="0.25">
      <c r="A617" t="s">
        <v>2869</v>
      </c>
      <c r="B617" t="str">
        <f>HYPERLINK("https://staging-dtl-pattern-api.hfm-weimar.de/static/audio/solos/dtl/AQAH6EsUJZFGDTWuRjb-CD165EjGH00T_0.02.23.036000-0.03.33.071646.mp3", "link")</f>
        <v>link</v>
      </c>
      <c r="D617" t="s">
        <v>2863</v>
      </c>
      <c r="E617" t="s">
        <v>2597</v>
      </c>
      <c r="F617" t="s">
        <v>2864</v>
      </c>
      <c r="G617" t="s">
        <v>2211</v>
      </c>
      <c r="H617" t="s">
        <v>1518</v>
      </c>
      <c r="I617">
        <v>89</v>
      </c>
      <c r="J617" t="s">
        <v>141</v>
      </c>
      <c r="K617" t="s">
        <v>2865</v>
      </c>
      <c r="L617" s="1" t="s">
        <v>2866</v>
      </c>
      <c r="M617" t="s">
        <v>129</v>
      </c>
      <c r="N617" t="s">
        <v>622</v>
      </c>
      <c r="O617" s="1" t="s">
        <v>2868</v>
      </c>
      <c r="P617" s="1" t="s">
        <v>2870</v>
      </c>
    </row>
    <row r="618" spans="1:17" x14ac:dyDescent="0.25">
      <c r="A618" t="s">
        <v>2871</v>
      </c>
      <c r="B618" t="str">
        <f>HYPERLINK("https://staging-dtl-pattern-api.hfm-weimar.de/static/audio/solos/dtl/AQAH6WKSJUkUHg_x42eO6_DxKfhc5NsR_0.03.30.014734-0.04.10.024000.mp3", "link")</f>
        <v>link</v>
      </c>
      <c r="D618" t="s">
        <v>2872</v>
      </c>
      <c r="E618" t="s">
        <v>2211</v>
      </c>
      <c r="F618" t="s">
        <v>2873</v>
      </c>
      <c r="G618" t="s">
        <v>2211</v>
      </c>
      <c r="H618" t="s">
        <v>2874</v>
      </c>
      <c r="I618">
        <v>8</v>
      </c>
      <c r="J618" t="s">
        <v>141</v>
      </c>
      <c r="K618" t="s">
        <v>2875</v>
      </c>
      <c r="L618" s="1" t="s">
        <v>2876</v>
      </c>
      <c r="M618" t="s">
        <v>129</v>
      </c>
      <c r="N618" t="s">
        <v>109</v>
      </c>
      <c r="O618" s="1" t="s">
        <v>2877</v>
      </c>
      <c r="P618" s="1" t="s">
        <v>2878</v>
      </c>
    </row>
    <row r="619" spans="1:17" x14ac:dyDescent="0.25">
      <c r="A619" t="s">
        <v>2879</v>
      </c>
      <c r="B619" t="str">
        <f>HYPERLINK("https://staging-dtl-pattern-api.hfm-weimar.de/static/audio/solos/dtl/AQAHA4qiJI-aCBOTT7gr_EL4Bcny7EFN_0.00.38.013877-0.01.13.079591.mp3", "link")</f>
        <v>link</v>
      </c>
      <c r="D619" t="s">
        <v>2880</v>
      </c>
      <c r="E619" t="s">
        <v>304</v>
      </c>
      <c r="F619" t="s">
        <v>305</v>
      </c>
      <c r="J619" t="s">
        <v>306</v>
      </c>
      <c r="K619" t="s">
        <v>2881</v>
      </c>
      <c r="L619" s="1" t="s">
        <v>308</v>
      </c>
      <c r="M619" t="s">
        <v>309</v>
      </c>
      <c r="N619" t="s">
        <v>23</v>
      </c>
      <c r="O619" s="1" t="s">
        <v>2882</v>
      </c>
      <c r="P619" s="1" t="s">
        <v>2883</v>
      </c>
      <c r="Q619" s="1" t="s">
        <v>7224</v>
      </c>
    </row>
    <row r="620" spans="1:17" x14ac:dyDescent="0.25">
      <c r="A620" t="s">
        <v>2884</v>
      </c>
      <c r="B620" t="str">
        <f>HYPERLINK("https://staging-dtl-pattern-api.hfm-weimar.de/static/audio/solos/dtl/AQAHA4qiJI-aCBOTT7gr_EL4Bcny7EFN_0.01.13.079591-0.01.49.081224.mp3", "link")</f>
        <v>link</v>
      </c>
      <c r="D620" t="s">
        <v>2880</v>
      </c>
      <c r="E620" t="s">
        <v>2885</v>
      </c>
      <c r="F620" t="s">
        <v>305</v>
      </c>
      <c r="J620" t="s">
        <v>306</v>
      </c>
      <c r="K620" t="s">
        <v>2881</v>
      </c>
      <c r="L620" s="1" t="s">
        <v>308</v>
      </c>
      <c r="M620" t="s">
        <v>309</v>
      </c>
      <c r="N620" t="s">
        <v>172</v>
      </c>
      <c r="O620" s="1" t="s">
        <v>2883</v>
      </c>
      <c r="P620" s="1" t="s">
        <v>2886</v>
      </c>
    </row>
    <row r="621" spans="1:17" x14ac:dyDescent="0.25">
      <c r="A621" t="s">
        <v>2887</v>
      </c>
      <c r="B621" t="str">
        <f>HYPERLINK("https://staging-dtl-pattern-api.hfm-weimar.de/static/audio/solos/dtl/AQAHA4qiJI-aCBOTT7gr_EL4Bcny7EFN_0.02.23.011836-0.02.32.006530.mp3", "link")</f>
        <v>link</v>
      </c>
      <c r="D621" t="s">
        <v>2880</v>
      </c>
      <c r="E621" t="s">
        <v>304</v>
      </c>
      <c r="F621" t="s">
        <v>305</v>
      </c>
      <c r="J621" t="s">
        <v>306</v>
      </c>
      <c r="K621" t="s">
        <v>2881</v>
      </c>
      <c r="L621" s="1" t="s">
        <v>308</v>
      </c>
      <c r="M621" t="s">
        <v>309</v>
      </c>
      <c r="N621" t="s">
        <v>23</v>
      </c>
      <c r="O621" s="1" t="s">
        <v>2888</v>
      </c>
      <c r="P621" s="1" t="s">
        <v>2889</v>
      </c>
      <c r="Q621" s="1" t="s">
        <v>7224</v>
      </c>
    </row>
    <row r="622" spans="1:17" x14ac:dyDescent="0.25">
      <c r="A622" t="s">
        <v>2890</v>
      </c>
      <c r="B622" t="str">
        <f>HYPERLINK("https://staging-dtl-pattern-api.hfm-weimar.de/static/audio/solos/dtl/AQAHA4qiJI-aCBOTT7gr_EL4Bcny7EFN_0.02.32.006530-0.02.40.084897.mp3", "link")</f>
        <v>link</v>
      </c>
      <c r="D622" t="s">
        <v>2880</v>
      </c>
      <c r="E622" t="s">
        <v>2885</v>
      </c>
      <c r="F622" t="s">
        <v>305</v>
      </c>
      <c r="J622" t="s">
        <v>306</v>
      </c>
      <c r="K622" t="s">
        <v>2881</v>
      </c>
      <c r="L622" s="1" t="s">
        <v>308</v>
      </c>
      <c r="M622" t="s">
        <v>309</v>
      </c>
      <c r="N622" t="s">
        <v>172</v>
      </c>
      <c r="O622" s="1" t="s">
        <v>2889</v>
      </c>
      <c r="P622" s="1" t="s">
        <v>2891</v>
      </c>
    </row>
    <row r="623" spans="1:17" x14ac:dyDescent="0.25">
      <c r="A623" t="s">
        <v>2892</v>
      </c>
      <c r="B623" t="str">
        <f>HYPERLINK("https://staging-dtl-pattern-api.hfm-weimar.de/static/audio/solos/dtl/AQAHA4qiJI-aCBOTT7gr_EL4Bcny7EFN_0.02.49.063265-0.02.58.071020.mp3", "link")</f>
        <v>link</v>
      </c>
      <c r="D623" t="s">
        <v>2880</v>
      </c>
      <c r="E623" t="s">
        <v>304</v>
      </c>
      <c r="F623" t="s">
        <v>305</v>
      </c>
      <c r="J623" t="s">
        <v>306</v>
      </c>
      <c r="K623" t="s">
        <v>2881</v>
      </c>
      <c r="L623" s="1" t="s">
        <v>308</v>
      </c>
      <c r="M623" t="s">
        <v>309</v>
      </c>
      <c r="N623" t="s">
        <v>23</v>
      </c>
      <c r="O623" s="1" t="s">
        <v>2893</v>
      </c>
      <c r="P623" s="1" t="s">
        <v>2894</v>
      </c>
      <c r="Q623" s="1" t="s">
        <v>7224</v>
      </c>
    </row>
    <row r="624" spans="1:17" x14ac:dyDescent="0.25">
      <c r="A624" t="s">
        <v>2895</v>
      </c>
      <c r="B624" t="str">
        <f>HYPERLINK("https://staging-dtl-pattern-api.hfm-weimar.de/static/audio/solos/dtl/AQAHC8uSilGUJMLzHP0FJtfxDPmaEGoj_0.01.05.076326-0.02.14.007201.mp3", "link")</f>
        <v>link</v>
      </c>
      <c r="D624" t="s">
        <v>2896</v>
      </c>
      <c r="E624" t="s">
        <v>2897</v>
      </c>
      <c r="F624" t="s">
        <v>2898</v>
      </c>
      <c r="J624" t="s">
        <v>2899</v>
      </c>
      <c r="K624" t="s">
        <v>2900</v>
      </c>
      <c r="L624" s="1" t="s">
        <v>2901</v>
      </c>
      <c r="M624" t="s">
        <v>129</v>
      </c>
      <c r="N624" t="s">
        <v>23</v>
      </c>
      <c r="O624" s="1" t="s">
        <v>2902</v>
      </c>
      <c r="P624" s="1" t="s">
        <v>2903</v>
      </c>
    </row>
    <row r="625" spans="1:17" x14ac:dyDescent="0.25">
      <c r="A625" t="s">
        <v>2904</v>
      </c>
      <c r="B625" t="str">
        <f>HYPERLINK("https://staging-dtl-pattern-api.hfm-weimar.de/static/audio/solos/dtl/AQAHco-qJNqEMyETwYmzC99y5McP_XBV_0.01.33.020489-0.02.08.038312.mp3", "link")</f>
        <v>link</v>
      </c>
      <c r="C625" t="s">
        <v>2905</v>
      </c>
      <c r="D625" t="s">
        <v>2906</v>
      </c>
      <c r="F625" t="s">
        <v>2907</v>
      </c>
      <c r="G625" t="s">
        <v>580</v>
      </c>
      <c r="H625" t="s">
        <v>2908</v>
      </c>
      <c r="I625">
        <v>9</v>
      </c>
      <c r="J625" t="s">
        <v>126</v>
      </c>
      <c r="K625" t="s">
        <v>2909</v>
      </c>
      <c r="L625" s="1" t="s">
        <v>2910</v>
      </c>
      <c r="M625" t="s">
        <v>129</v>
      </c>
      <c r="N625" t="s">
        <v>46</v>
      </c>
      <c r="O625" s="1" t="s">
        <v>2911</v>
      </c>
      <c r="P625" s="1" t="s">
        <v>2912</v>
      </c>
      <c r="Q625" s="1" t="s">
        <v>7167</v>
      </c>
    </row>
    <row r="626" spans="1:17" x14ac:dyDescent="0.25">
      <c r="A626" t="s">
        <v>2913</v>
      </c>
      <c r="B626" t="str">
        <f>HYPERLINK("https://staging-dtl-pattern-api.hfm-weimar.de/static/audio/solos/dtl/AQAHco-qJNqEMyETwYmzC99y5McP_XBV_0.02.41.077342-0.03.22.056507.mp3", "link")</f>
        <v>link</v>
      </c>
      <c r="C626" t="s">
        <v>2914</v>
      </c>
      <c r="D626" t="s">
        <v>2906</v>
      </c>
      <c r="F626" t="s">
        <v>2907</v>
      </c>
      <c r="G626" t="s">
        <v>580</v>
      </c>
      <c r="H626" t="s">
        <v>2908</v>
      </c>
      <c r="I626">
        <v>9</v>
      </c>
      <c r="J626" t="s">
        <v>126</v>
      </c>
      <c r="K626" t="s">
        <v>2909</v>
      </c>
      <c r="L626" s="1" t="s">
        <v>2910</v>
      </c>
      <c r="M626" t="s">
        <v>129</v>
      </c>
      <c r="N626" t="s">
        <v>109</v>
      </c>
      <c r="O626" s="1" t="s">
        <v>2915</v>
      </c>
      <c r="P626" s="1" t="s">
        <v>2916</v>
      </c>
    </row>
    <row r="627" spans="1:17" x14ac:dyDescent="0.25">
      <c r="A627" t="s">
        <v>2917</v>
      </c>
      <c r="B627" t="str">
        <f>HYPERLINK("https://staging-dtl-pattern-api.hfm-weimar.de/static/audio/solos/dtl/AQAHDNIcKcsmOOaQ5MkR8CgXrUKlUB9O_0.01.39.005632-0.02.36.093061.mp3", "link")</f>
        <v>link</v>
      </c>
      <c r="D627" t="s">
        <v>2918</v>
      </c>
      <c r="E627" t="s">
        <v>692</v>
      </c>
      <c r="F627" t="s">
        <v>692</v>
      </c>
      <c r="G627" t="s">
        <v>692</v>
      </c>
      <c r="J627" t="s">
        <v>2919</v>
      </c>
      <c r="K627" t="s">
        <v>2920</v>
      </c>
      <c r="L627" s="1" t="s">
        <v>2921</v>
      </c>
      <c r="M627" t="s">
        <v>2922</v>
      </c>
      <c r="N627" t="s">
        <v>109</v>
      </c>
      <c r="O627" s="1" t="s">
        <v>2923</v>
      </c>
      <c r="P627" s="1" t="s">
        <v>2924</v>
      </c>
    </row>
    <row r="628" spans="1:17" x14ac:dyDescent="0.25">
      <c r="A628" t="s">
        <v>2925</v>
      </c>
      <c r="B628" t="str">
        <f>HYPERLINK("https://staging-dtl-pattern-api.hfm-weimar.de/static/audio/solos/dtl/AQAHDNIcKcsmOOaQ5MkR8CgXrUKlUB9O_0.03.05.024879-0.03.45.097659.mp3", "link")</f>
        <v>link</v>
      </c>
      <c r="D628" t="s">
        <v>2918</v>
      </c>
      <c r="E628" t="s">
        <v>692</v>
      </c>
      <c r="F628" t="s">
        <v>692</v>
      </c>
      <c r="G628" t="s">
        <v>692</v>
      </c>
      <c r="J628" t="s">
        <v>2919</v>
      </c>
      <c r="K628" t="s">
        <v>2920</v>
      </c>
      <c r="L628" s="1" t="s">
        <v>2921</v>
      </c>
      <c r="M628" t="s">
        <v>2922</v>
      </c>
      <c r="N628" t="s">
        <v>109</v>
      </c>
      <c r="O628" s="1" t="s">
        <v>2926</v>
      </c>
      <c r="P628" s="1" t="s">
        <v>2927</v>
      </c>
    </row>
    <row r="629" spans="1:17" x14ac:dyDescent="0.25">
      <c r="A629" t="s">
        <v>2928</v>
      </c>
      <c r="B629" t="str">
        <f>HYPERLINK("https://staging-dtl-pattern-api.hfm-weimar.de/static/audio/solos/dtl/AQAHEFLSRJnCJMNhHz2Dr8Ev4j3CROSR_0.00.59.030376-0.01.23.031319.mp3", "link")</f>
        <v>link</v>
      </c>
      <c r="D629" t="s">
        <v>2929</v>
      </c>
      <c r="E629" t="s">
        <v>2930</v>
      </c>
      <c r="F629" t="s">
        <v>2930</v>
      </c>
      <c r="G629" t="s">
        <v>2930</v>
      </c>
      <c r="J629" t="s">
        <v>2931</v>
      </c>
      <c r="K629" t="s">
        <v>2932</v>
      </c>
      <c r="L629" s="1" t="s">
        <v>2933</v>
      </c>
      <c r="M629" t="s">
        <v>2934</v>
      </c>
      <c r="N629" t="s">
        <v>109</v>
      </c>
      <c r="O629" s="1" t="s">
        <v>2935</v>
      </c>
      <c r="P629" s="1" t="s">
        <v>2936</v>
      </c>
    </row>
    <row r="630" spans="1:17" x14ac:dyDescent="0.25">
      <c r="A630" t="s">
        <v>2937</v>
      </c>
      <c r="B630" t="str">
        <f>HYPERLINK("https://staging-dtl-pattern-api.hfm-weimar.de/static/audio/solos/dtl/AQAHEFLSRJnCJMNhHz2Dr8Ev4j3CROSR_0.02.09.098530-0.02.57.067909.mp3", "link")</f>
        <v>link</v>
      </c>
      <c r="D630" t="s">
        <v>2929</v>
      </c>
      <c r="E630" t="s">
        <v>2930</v>
      </c>
      <c r="F630" t="s">
        <v>2930</v>
      </c>
      <c r="G630" t="s">
        <v>2930</v>
      </c>
      <c r="J630" t="s">
        <v>2931</v>
      </c>
      <c r="K630" t="s">
        <v>2932</v>
      </c>
      <c r="L630" s="1" t="s">
        <v>2933</v>
      </c>
      <c r="M630" t="s">
        <v>2934</v>
      </c>
      <c r="N630" t="s">
        <v>109</v>
      </c>
      <c r="O630" s="1" t="s">
        <v>2938</v>
      </c>
      <c r="P630" s="1" t="s">
        <v>2939</v>
      </c>
    </row>
    <row r="631" spans="1:17" x14ac:dyDescent="0.25">
      <c r="A631" t="s">
        <v>2940</v>
      </c>
      <c r="B631" t="str">
        <f>HYPERLINK("https://staging-dtl-pattern-api.hfm-weimar.de/static/audio/solos/dtl/AQAHEFLSRJnCJMNhHz2Dr8Ev4j3CROSR_0.02.57.067909-0.03.30.046566.mp3", "link")</f>
        <v>link</v>
      </c>
      <c r="C631" t="s">
        <v>2941</v>
      </c>
      <c r="D631" t="s">
        <v>2929</v>
      </c>
      <c r="F631" t="s">
        <v>2930</v>
      </c>
      <c r="G631" t="s">
        <v>2930</v>
      </c>
      <c r="J631" t="s">
        <v>2931</v>
      </c>
      <c r="K631" t="s">
        <v>2932</v>
      </c>
      <c r="L631" s="1" t="s">
        <v>2933</v>
      </c>
      <c r="M631" t="s">
        <v>2934</v>
      </c>
      <c r="N631" t="s">
        <v>46</v>
      </c>
      <c r="O631" s="1" t="s">
        <v>2939</v>
      </c>
      <c r="P631" s="1" t="s">
        <v>2942</v>
      </c>
    </row>
    <row r="632" spans="1:17" x14ac:dyDescent="0.25">
      <c r="A632" t="s">
        <v>2943</v>
      </c>
      <c r="B632" t="str">
        <f>HYPERLINK("https://staging-dtl-pattern-api.hfm-weimar.de/static/audio/solos/dtl/AQAHeosXLeLwLAr846ky_PiDPRqabTqS_0.00.28.089142-0.01.22.024507.mp3", "link")</f>
        <v>link</v>
      </c>
      <c r="D632" t="s">
        <v>2133</v>
      </c>
      <c r="E632" t="s">
        <v>258</v>
      </c>
      <c r="F632" t="s">
        <v>2134</v>
      </c>
      <c r="G632" t="s">
        <v>258</v>
      </c>
      <c r="H632" t="s">
        <v>2135</v>
      </c>
      <c r="I632">
        <v>12</v>
      </c>
      <c r="J632" t="s">
        <v>126</v>
      </c>
      <c r="K632" t="s">
        <v>2944</v>
      </c>
      <c r="L632" s="1" t="s">
        <v>2137</v>
      </c>
      <c r="M632" t="s">
        <v>129</v>
      </c>
      <c r="N632" t="s">
        <v>288</v>
      </c>
      <c r="O632" s="1" t="s">
        <v>2945</v>
      </c>
      <c r="P632" s="1" t="s">
        <v>2946</v>
      </c>
    </row>
    <row r="633" spans="1:17" x14ac:dyDescent="0.25">
      <c r="A633" t="s">
        <v>2947</v>
      </c>
      <c r="B633" t="str">
        <f>HYPERLINK("https://staging-dtl-pattern-api.hfm-weimar.de/static/audio/solos/dtl/AQAHeosXLeLwLAr846ky_PiDPRqabTqS_0.01.22.024507-0.01.48.043428.mp3", "link")</f>
        <v>link</v>
      </c>
      <c r="D633" t="s">
        <v>2133</v>
      </c>
      <c r="E633" t="s">
        <v>2141</v>
      </c>
      <c r="F633" t="s">
        <v>2134</v>
      </c>
      <c r="G633" t="s">
        <v>258</v>
      </c>
      <c r="H633" t="s">
        <v>2135</v>
      </c>
      <c r="I633">
        <v>12</v>
      </c>
      <c r="J633" t="s">
        <v>126</v>
      </c>
      <c r="K633" t="s">
        <v>2944</v>
      </c>
      <c r="L633" s="1" t="s">
        <v>2137</v>
      </c>
      <c r="M633" t="s">
        <v>129</v>
      </c>
      <c r="N633" t="s">
        <v>23</v>
      </c>
      <c r="O633" s="1" t="s">
        <v>2946</v>
      </c>
      <c r="P633" s="1" t="s">
        <v>2948</v>
      </c>
    </row>
    <row r="634" spans="1:17" x14ac:dyDescent="0.25">
      <c r="A634" t="s">
        <v>2949</v>
      </c>
      <c r="B634" t="str">
        <f>HYPERLINK("https://staging-dtl-pattern-api.hfm-weimar.de/static/audio/solos/dtl/AQAHeosXLeLwLAr846ky_PiDPRqabTqS_0.02.14.042031-0.02.40.081269.mp3", "link")</f>
        <v>link</v>
      </c>
      <c r="D634" t="s">
        <v>2133</v>
      </c>
      <c r="E634" t="s">
        <v>54</v>
      </c>
      <c r="F634" t="s">
        <v>2134</v>
      </c>
      <c r="G634" t="s">
        <v>258</v>
      </c>
      <c r="H634" t="s">
        <v>2135</v>
      </c>
      <c r="I634">
        <v>12</v>
      </c>
      <c r="J634" t="s">
        <v>126</v>
      </c>
      <c r="K634" t="s">
        <v>2944</v>
      </c>
      <c r="L634" s="1" t="s">
        <v>2137</v>
      </c>
      <c r="M634" t="s">
        <v>129</v>
      </c>
      <c r="N634" t="s">
        <v>46</v>
      </c>
      <c r="O634" s="1" t="s">
        <v>2950</v>
      </c>
      <c r="P634" s="1" t="s">
        <v>2951</v>
      </c>
    </row>
    <row r="635" spans="1:17" x14ac:dyDescent="0.25">
      <c r="A635" t="s">
        <v>2952</v>
      </c>
      <c r="B635" s="3" t="str">
        <f>HYPERLINK("https://staging-dtl-pattern-api.hfm-weimar.de/static/audio/solos/dtl/AQAHeosXLeLwLAr846ky_PiDPRqabTqS_0.02.40.081269-0.03.04.084825.mp3", "link")</f>
        <v>link</v>
      </c>
      <c r="C635" s="3"/>
      <c r="D635" s="3" t="s">
        <v>2133</v>
      </c>
      <c r="E635" s="3" t="s">
        <v>7103</v>
      </c>
      <c r="F635" s="3" t="s">
        <v>2134</v>
      </c>
      <c r="G635" s="3" t="s">
        <v>258</v>
      </c>
      <c r="H635" s="3" t="s">
        <v>2135</v>
      </c>
      <c r="I635" s="3">
        <v>12</v>
      </c>
      <c r="J635" s="3" t="s">
        <v>126</v>
      </c>
      <c r="K635" s="3" t="s">
        <v>2944</v>
      </c>
      <c r="L635" s="4" t="s">
        <v>2137</v>
      </c>
      <c r="M635" s="3" t="s">
        <v>129</v>
      </c>
      <c r="N635" s="3" t="s">
        <v>329</v>
      </c>
      <c r="O635" s="4" t="s">
        <v>2951</v>
      </c>
      <c r="P635" s="4" t="s">
        <v>2953</v>
      </c>
      <c r="Q635" s="4" t="s">
        <v>7260</v>
      </c>
    </row>
    <row r="636" spans="1:17" x14ac:dyDescent="0.25">
      <c r="A636" t="s">
        <v>2954</v>
      </c>
      <c r="B636" t="str">
        <f>HYPERLINK("https://staging-dtl-pattern-api.hfm-weimar.de/static/audio/solos/dtl/AQAHeosXLeLwLAr846ky_PiDPRqabTqS_0.03.04.084825-0.03.31.009841.mp3", "link")</f>
        <v>link</v>
      </c>
      <c r="D636" t="s">
        <v>2133</v>
      </c>
      <c r="E636" t="s">
        <v>251</v>
      </c>
      <c r="F636" t="s">
        <v>2134</v>
      </c>
      <c r="G636" t="s">
        <v>258</v>
      </c>
      <c r="H636" t="s">
        <v>2135</v>
      </c>
      <c r="I636">
        <v>12</v>
      </c>
      <c r="J636" t="s">
        <v>126</v>
      </c>
      <c r="K636" t="s">
        <v>2944</v>
      </c>
      <c r="L636" s="1" t="s">
        <v>2137</v>
      </c>
      <c r="M636" t="s">
        <v>129</v>
      </c>
      <c r="N636" t="s">
        <v>202</v>
      </c>
      <c r="O636" s="1" t="s">
        <v>2953</v>
      </c>
      <c r="P636" s="1" t="s">
        <v>2955</v>
      </c>
    </row>
    <row r="637" spans="1:17" x14ac:dyDescent="0.25">
      <c r="A637" t="s">
        <v>2956</v>
      </c>
      <c r="B637" t="str">
        <f>HYPERLINK("https://staging-dtl-pattern-api.hfm-weimar.de/static/audio/solos/dtl/AQAHeSKXakqg6ziaoxcVPIoxi8rxLQ-Y_0.02.16.006893-0.03.17.009097.mp3", "link")</f>
        <v>link</v>
      </c>
      <c r="D637" t="s">
        <v>2957</v>
      </c>
      <c r="E637" t="s">
        <v>2958</v>
      </c>
      <c r="F637" t="s">
        <v>2958</v>
      </c>
      <c r="G637" t="s">
        <v>2958</v>
      </c>
      <c r="J637" t="s">
        <v>2959</v>
      </c>
      <c r="K637" t="s">
        <v>2960</v>
      </c>
      <c r="L637" s="1" t="s">
        <v>2961</v>
      </c>
      <c r="M637" t="s">
        <v>2962</v>
      </c>
      <c r="N637" t="s">
        <v>46</v>
      </c>
      <c r="O637" s="1" t="s">
        <v>2963</v>
      </c>
      <c r="P637" s="1" t="s">
        <v>2964</v>
      </c>
    </row>
    <row r="638" spans="1:17" x14ac:dyDescent="0.25">
      <c r="A638" t="s">
        <v>2965</v>
      </c>
      <c r="B638" t="str">
        <f>HYPERLINK("https://staging-dtl-pattern-api.hfm-weimar.de/static/audio/solos/dtl/AQAHF0qcqEuDnHiIpzruFZF7tJouNDNy_0.00.36.050176-0.01.54.015510.mp3", "link")</f>
        <v>link</v>
      </c>
      <c r="D638" t="s">
        <v>7092</v>
      </c>
      <c r="E638" t="s">
        <v>1339</v>
      </c>
      <c r="F638" t="s">
        <v>1339</v>
      </c>
      <c r="G638" t="s">
        <v>1339</v>
      </c>
      <c r="J638" t="s">
        <v>2220</v>
      </c>
      <c r="K638" t="s">
        <v>2966</v>
      </c>
      <c r="L638" s="1" t="s">
        <v>2222</v>
      </c>
      <c r="M638" t="s">
        <v>129</v>
      </c>
      <c r="N638" t="s">
        <v>23</v>
      </c>
      <c r="O638" s="1" t="s">
        <v>2967</v>
      </c>
      <c r="P638" s="1" t="s">
        <v>2968</v>
      </c>
      <c r="Q638" s="1" t="s">
        <v>7224</v>
      </c>
    </row>
    <row r="639" spans="1:17" x14ac:dyDescent="0.25">
      <c r="A639" t="s">
        <v>2969</v>
      </c>
      <c r="B639" t="str">
        <f>HYPERLINK("https://staging-dtl-pattern-api.hfm-weimar.de/static/audio/solos/dtl/AQAHF0qcqEuDnHiIpzruFZF7tJouNDNy_0.03.09.038775-0.03.44.071836.mp3", "link")</f>
        <v>link</v>
      </c>
      <c r="D639" t="s">
        <v>7092</v>
      </c>
      <c r="E639" t="s">
        <v>1339</v>
      </c>
      <c r="F639" t="s">
        <v>1339</v>
      </c>
      <c r="G639" t="s">
        <v>1339</v>
      </c>
      <c r="J639" t="s">
        <v>2220</v>
      </c>
      <c r="K639" t="s">
        <v>2966</v>
      </c>
      <c r="L639" s="1" t="s">
        <v>2222</v>
      </c>
      <c r="M639" t="s">
        <v>129</v>
      </c>
      <c r="N639" t="s">
        <v>23</v>
      </c>
      <c r="O639" s="1" t="s">
        <v>2970</v>
      </c>
      <c r="P639" s="1" t="s">
        <v>2971</v>
      </c>
      <c r="Q639" s="1" t="s">
        <v>7224</v>
      </c>
    </row>
    <row r="640" spans="1:17" x14ac:dyDescent="0.25">
      <c r="A640" t="s">
        <v>2972</v>
      </c>
      <c r="B640" t="str">
        <f>HYPERLINK("https://staging-dtl-pattern-api.hfm-weimar.de/static/audio/solos/dtl/AQAHfIokRWukJbCOSUd9hDmPK9CcHteK_0.01.19.004072-0.01.58.005024.mp3", "link")</f>
        <v>link</v>
      </c>
      <c r="D640" t="s">
        <v>2973</v>
      </c>
      <c r="E640" t="s">
        <v>2974</v>
      </c>
      <c r="F640" t="s">
        <v>2975</v>
      </c>
      <c r="J640" t="s">
        <v>2976</v>
      </c>
      <c r="K640" t="s">
        <v>2977</v>
      </c>
      <c r="L640" s="1" t="s">
        <v>2978</v>
      </c>
      <c r="M640" t="s">
        <v>2979</v>
      </c>
      <c r="N640" t="s">
        <v>46</v>
      </c>
      <c r="O640" s="1" t="s">
        <v>2980</v>
      </c>
      <c r="P640" s="1" t="s">
        <v>2981</v>
      </c>
    </row>
    <row r="641" spans="1:17" x14ac:dyDescent="0.25">
      <c r="A641" t="s">
        <v>2982</v>
      </c>
      <c r="B641" t="str">
        <f>HYPERLINK("https://staging-dtl-pattern-api.hfm-weimar.de/static/audio/solos/dtl/AQAHH9EohcnGoPzRhHzwJFmO82j0HCX0_0.01.11.037959-0.02.03.068979.mp3", "link")</f>
        <v>link</v>
      </c>
      <c r="F641" t="s">
        <v>2983</v>
      </c>
      <c r="K641" t="s">
        <v>2984</v>
      </c>
      <c r="L641" s="1" t="s">
        <v>2985</v>
      </c>
      <c r="M641" t="s">
        <v>129</v>
      </c>
      <c r="N641" t="s">
        <v>23</v>
      </c>
      <c r="O641" s="1" t="s">
        <v>2986</v>
      </c>
      <c r="P641" s="1" t="s">
        <v>2987</v>
      </c>
    </row>
    <row r="642" spans="1:17" x14ac:dyDescent="0.25">
      <c r="A642" t="s">
        <v>2988</v>
      </c>
      <c r="B642" t="str">
        <f>HYPERLINK("https://staging-dtl-pattern-api.hfm-weimar.de/static/audio/solos/dtl/AQAHH9EohcnGoPzRhHzwJFmO82j0HCX0_0.02.44.070204-0.03.38.097142.mp3", "link")</f>
        <v>link</v>
      </c>
      <c r="F642" t="s">
        <v>2983</v>
      </c>
      <c r="K642" t="s">
        <v>2984</v>
      </c>
      <c r="L642" s="1" t="s">
        <v>2985</v>
      </c>
      <c r="M642" t="s">
        <v>129</v>
      </c>
      <c r="N642" t="s">
        <v>23</v>
      </c>
      <c r="O642" s="1" t="s">
        <v>2989</v>
      </c>
      <c r="P642" s="1" t="s">
        <v>2990</v>
      </c>
    </row>
    <row r="643" spans="1:17" x14ac:dyDescent="0.25">
      <c r="A643" t="s">
        <v>2991</v>
      </c>
      <c r="B643" t="str">
        <f>HYPERLINK("https://staging-dtl-pattern-api.hfm-weimar.de/static/audio/solos/dtl/AQAHHGki6cuhh6WgP9Hwo2_RfPiRVxvy_0.01.54.035102-0.02.45.015918.mp3", "link")</f>
        <v>link</v>
      </c>
      <c r="D643" t="s">
        <v>2992</v>
      </c>
      <c r="E643" t="s">
        <v>2993</v>
      </c>
      <c r="F643" t="s">
        <v>2993</v>
      </c>
      <c r="G643" t="s">
        <v>2993</v>
      </c>
      <c r="J643" t="s">
        <v>2994</v>
      </c>
      <c r="K643" t="s">
        <v>2995</v>
      </c>
      <c r="L643" s="1" t="s">
        <v>2996</v>
      </c>
      <c r="M643" t="s">
        <v>2997</v>
      </c>
      <c r="N643" t="s">
        <v>109</v>
      </c>
      <c r="O643" s="1" t="s">
        <v>2998</v>
      </c>
      <c r="P643" s="1" t="s">
        <v>2999</v>
      </c>
    </row>
    <row r="644" spans="1:17" x14ac:dyDescent="0.25">
      <c r="A644" t="s">
        <v>3000</v>
      </c>
      <c r="B644" t="str">
        <f>HYPERLINK("https://staging-dtl-pattern-api.hfm-weimar.de/static/audio/solos/dtl/AQAHhVrSJRopbE-Poy9C78MjHReRFz74_0.02.23.002040-0.03.56.066938.mp3", "link")</f>
        <v>link</v>
      </c>
      <c r="D644" t="s">
        <v>3001</v>
      </c>
      <c r="E644" t="s">
        <v>3002</v>
      </c>
      <c r="F644" t="s">
        <v>3002</v>
      </c>
      <c r="G644" t="s">
        <v>3002</v>
      </c>
      <c r="J644" t="s">
        <v>3003</v>
      </c>
      <c r="K644" t="s">
        <v>3004</v>
      </c>
      <c r="L644" s="1" t="s">
        <v>3005</v>
      </c>
      <c r="M644" t="s">
        <v>2934</v>
      </c>
      <c r="N644" t="s">
        <v>46</v>
      </c>
      <c r="O644" s="1" t="s">
        <v>3006</v>
      </c>
      <c r="P644" s="1" t="s">
        <v>3007</v>
      </c>
    </row>
    <row r="645" spans="1:17" x14ac:dyDescent="0.25">
      <c r="A645" t="s">
        <v>3008</v>
      </c>
      <c r="B645" t="str">
        <f>HYPERLINK("https://staging-dtl-pattern-api.hfm-weimar.de/static/audio/solos/dtl/AQAHiImULImyJIqEH8054TjxwR-Ky8Af_0.00.44.093061-0.01.22.002448.mp3", "link")</f>
        <v>link</v>
      </c>
      <c r="D645" t="s">
        <v>3009</v>
      </c>
      <c r="E645" t="s">
        <v>3010</v>
      </c>
      <c r="F645" t="s">
        <v>2845</v>
      </c>
      <c r="J645" t="s">
        <v>3011</v>
      </c>
      <c r="K645" t="s">
        <v>3012</v>
      </c>
      <c r="L645" s="1" t="s">
        <v>3013</v>
      </c>
      <c r="M645" t="s">
        <v>3014</v>
      </c>
      <c r="N645" t="s">
        <v>46</v>
      </c>
      <c r="O645" s="1" t="s">
        <v>3015</v>
      </c>
      <c r="P645" s="1" t="s">
        <v>3016</v>
      </c>
    </row>
    <row r="646" spans="1:17" x14ac:dyDescent="0.25">
      <c r="A646" t="s">
        <v>3017</v>
      </c>
      <c r="B646" t="str">
        <f>HYPERLINK("https://staging-dtl-pattern-api.hfm-weimar.de/static/audio/solos/dtl/AQAHJEmiaGGShAtyhL9gNk-C48YP50P9_0.01.48.040816-0.03.48.096326.mp3", "link")</f>
        <v>link</v>
      </c>
      <c r="D646" t="s">
        <v>7104</v>
      </c>
      <c r="E646" t="s">
        <v>2327</v>
      </c>
      <c r="F646" t="s">
        <v>2328</v>
      </c>
      <c r="J646" t="s">
        <v>2329</v>
      </c>
      <c r="K646" t="s">
        <v>3018</v>
      </c>
      <c r="L646" s="1" t="s">
        <v>2331</v>
      </c>
      <c r="N646" t="s">
        <v>119</v>
      </c>
      <c r="O646" s="1" t="s">
        <v>3019</v>
      </c>
      <c r="P646" s="1" t="s">
        <v>3020</v>
      </c>
      <c r="Q646" s="1" t="s">
        <v>7261</v>
      </c>
    </row>
    <row r="647" spans="1:17" x14ac:dyDescent="0.25">
      <c r="A647" t="s">
        <v>3021</v>
      </c>
      <c r="B647" t="str">
        <f>HYPERLINK("https://staging-dtl-pattern-api.hfm-weimar.de/static/audio/solos/dtl/AQAHLFsjLYuU4AH3oDvCpBEeaPkRcuTw_0.03.00.027972-0.03.16.095165.mp3", "link")</f>
        <v>link</v>
      </c>
      <c r="C647" t="s">
        <v>362</v>
      </c>
      <c r="D647" t="s">
        <v>363</v>
      </c>
      <c r="F647" t="s">
        <v>364</v>
      </c>
      <c r="G647" t="s">
        <v>364</v>
      </c>
      <c r="J647" t="s">
        <v>365</v>
      </c>
      <c r="K647" t="s">
        <v>3022</v>
      </c>
      <c r="L647" s="1" t="s">
        <v>367</v>
      </c>
      <c r="M647" t="s">
        <v>368</v>
      </c>
      <c r="N647" t="s">
        <v>23</v>
      </c>
      <c r="O647" s="1" t="s">
        <v>3023</v>
      </c>
      <c r="P647" s="1" t="s">
        <v>3024</v>
      </c>
    </row>
    <row r="648" spans="1:17" x14ac:dyDescent="0.25">
      <c r="A648" t="s">
        <v>3025</v>
      </c>
      <c r="B648" t="str">
        <f>HYPERLINK("https://staging-dtl-pattern-api.hfm-weimar.de/static/audio/solos/dtl/AQAHMZMiMUl0jCm-B09OeA_KHNEPXUNG_0.02.30.086040-0.03.50.058666.mp3", "link")</f>
        <v>link</v>
      </c>
      <c r="D648" t="s">
        <v>3026</v>
      </c>
      <c r="E648" t="s">
        <v>486</v>
      </c>
      <c r="F648" t="s">
        <v>485</v>
      </c>
      <c r="G648" t="s">
        <v>486</v>
      </c>
      <c r="H648" t="s">
        <v>3027</v>
      </c>
      <c r="I648">
        <v>15</v>
      </c>
      <c r="J648" t="s">
        <v>141</v>
      </c>
      <c r="K648" t="s">
        <v>3028</v>
      </c>
      <c r="L648" s="1" t="s">
        <v>3029</v>
      </c>
      <c r="M648" t="s">
        <v>309</v>
      </c>
      <c r="N648" t="s">
        <v>46</v>
      </c>
      <c r="O648" s="1" t="s">
        <v>3030</v>
      </c>
      <c r="P648" s="1" t="s">
        <v>3031</v>
      </c>
    </row>
    <row r="649" spans="1:17" x14ac:dyDescent="0.25">
      <c r="A649" t="s">
        <v>3032</v>
      </c>
      <c r="B649" t="str">
        <f>HYPERLINK("https://staging-dtl-pattern-api.hfm-weimar.de/static/audio/solos/dtl/AQAHn2kiJckmJsIf6LLw4w9x5Q76LBPC_0.00.52.019845-0.02.19.062448.mp3", "link")</f>
        <v>link</v>
      </c>
      <c r="D649" t="s">
        <v>3033</v>
      </c>
      <c r="E649" t="s">
        <v>3034</v>
      </c>
      <c r="F649" t="s">
        <v>3034</v>
      </c>
      <c r="G649" t="s">
        <v>3034</v>
      </c>
      <c r="J649" t="s">
        <v>3035</v>
      </c>
      <c r="K649" t="s">
        <v>3036</v>
      </c>
      <c r="L649" s="1" t="s">
        <v>3037</v>
      </c>
      <c r="M649" t="s">
        <v>705</v>
      </c>
      <c r="N649" t="s">
        <v>202</v>
      </c>
      <c r="O649" s="1" t="s">
        <v>3038</v>
      </c>
      <c r="P649" s="1" t="s">
        <v>3039</v>
      </c>
    </row>
    <row r="650" spans="1:17" x14ac:dyDescent="0.25">
      <c r="A650" t="s">
        <v>3040</v>
      </c>
      <c r="B650" t="str">
        <f>HYPERLINK("https://staging-dtl-pattern-api.hfm-weimar.de/static/audio/solos/dtl/AQAHqMrCSIsSJUQfHv4HfipCHnqy4zoC_0.01.07.001278-0.01.35.052689.mp3", "link")</f>
        <v>link</v>
      </c>
      <c r="F650" t="s">
        <v>1144</v>
      </c>
      <c r="G650" t="s">
        <v>1144</v>
      </c>
      <c r="J650" t="s">
        <v>3041</v>
      </c>
      <c r="K650" t="s">
        <v>3042</v>
      </c>
      <c r="L650" s="1" t="s">
        <v>1147</v>
      </c>
      <c r="M650" t="s">
        <v>1148</v>
      </c>
      <c r="N650" t="s">
        <v>23</v>
      </c>
      <c r="O650" s="1" t="s">
        <v>3043</v>
      </c>
      <c r="P650" s="1" t="s">
        <v>3044</v>
      </c>
    </row>
    <row r="651" spans="1:17" x14ac:dyDescent="0.25">
      <c r="A651" t="s">
        <v>3045</v>
      </c>
      <c r="B651" t="str">
        <f>HYPERLINK("https://staging-dtl-pattern-api.hfm-weimar.de/static/audio/solos/dtl/AQAHqMrCSIsSJUQfHv4HfipCHnqy4zoC_0.01.50.024834-0.02.26.044897.mp3", "link")</f>
        <v>link</v>
      </c>
      <c r="F651" t="s">
        <v>1144</v>
      </c>
      <c r="G651" t="s">
        <v>1144</v>
      </c>
      <c r="J651" t="s">
        <v>3041</v>
      </c>
      <c r="K651" t="s">
        <v>3042</v>
      </c>
      <c r="L651" s="1" t="s">
        <v>1147</v>
      </c>
      <c r="M651" t="s">
        <v>1148</v>
      </c>
      <c r="N651" t="s">
        <v>23</v>
      </c>
      <c r="O651" s="1" t="s">
        <v>3046</v>
      </c>
      <c r="P651" s="1" t="s">
        <v>3047</v>
      </c>
    </row>
    <row r="652" spans="1:17" x14ac:dyDescent="0.25">
      <c r="A652" t="s">
        <v>3048</v>
      </c>
      <c r="B652" t="str">
        <f>HYPERLINK("https://staging-dtl-pattern-api.hfm-weimar.de/static/audio/solos/dtl/AQAHqMrCSIsSJUQfHv4HfipCHnqy4zoC_0.02.40.079818-0.02.54.036734.mp3", "link")</f>
        <v>link</v>
      </c>
      <c r="F652" t="s">
        <v>1144</v>
      </c>
      <c r="G652" t="s">
        <v>1144</v>
      </c>
      <c r="J652" t="s">
        <v>3041</v>
      </c>
      <c r="K652" t="s">
        <v>3042</v>
      </c>
      <c r="L652" s="1" t="s">
        <v>1147</v>
      </c>
      <c r="M652" t="s">
        <v>1148</v>
      </c>
      <c r="N652" t="s">
        <v>23</v>
      </c>
      <c r="O652" s="1" t="s">
        <v>3049</v>
      </c>
      <c r="P652" s="1" t="s">
        <v>3050</v>
      </c>
    </row>
    <row r="653" spans="1:17" x14ac:dyDescent="0.25">
      <c r="A653" t="s">
        <v>3051</v>
      </c>
      <c r="B653" t="str">
        <f>HYPERLINK("https://staging-dtl-pattern-api.hfm-weimar.de/static/audio/solos/dtl/AQAHr0oSJnK2REFzIMyPK8dJhE-Poyea_0.00.28.051410-0.02.01.057968.mp3", "link")</f>
        <v>link</v>
      </c>
      <c r="D653" t="s">
        <v>3052</v>
      </c>
      <c r="E653" t="s">
        <v>3053</v>
      </c>
      <c r="F653" t="s">
        <v>3054</v>
      </c>
      <c r="J653" t="s">
        <v>3055</v>
      </c>
      <c r="K653" t="s">
        <v>3056</v>
      </c>
      <c r="L653" s="1" t="s">
        <v>3057</v>
      </c>
      <c r="M653" t="s">
        <v>3058</v>
      </c>
      <c r="N653" t="s">
        <v>202</v>
      </c>
      <c r="O653" s="1" t="s">
        <v>3059</v>
      </c>
      <c r="P653" s="1" t="s">
        <v>3060</v>
      </c>
    </row>
    <row r="654" spans="1:17" x14ac:dyDescent="0.25">
      <c r="A654" t="s">
        <v>3061</v>
      </c>
      <c r="B654" t="str">
        <f>HYPERLINK("https://staging-dtl-pattern-api.hfm-weimar.de/static/audio/solos/dtl/AQAHr0oSJnK2REFzIMyPK8dJhE-Poyea_0.02.59.072244-0.03.28.097959.mp3", "link")</f>
        <v>link</v>
      </c>
      <c r="D654" t="s">
        <v>3052</v>
      </c>
      <c r="E654" t="s">
        <v>3053</v>
      </c>
      <c r="F654" t="s">
        <v>3054</v>
      </c>
      <c r="J654" t="s">
        <v>3055</v>
      </c>
      <c r="K654" t="s">
        <v>3056</v>
      </c>
      <c r="L654" s="1" t="s">
        <v>3057</v>
      </c>
      <c r="M654" t="s">
        <v>3058</v>
      </c>
      <c r="N654" t="s">
        <v>202</v>
      </c>
      <c r="O654" s="1" t="s">
        <v>3062</v>
      </c>
      <c r="P654" s="1" t="s">
        <v>3063</v>
      </c>
    </row>
    <row r="655" spans="1:17" x14ac:dyDescent="0.25">
      <c r="A655" t="s">
        <v>3064</v>
      </c>
      <c r="B655" t="str">
        <f>HYPERLINK("https://staging-dtl-pattern-api.hfm-weimar.de/static/audio/solos/dtl/AQAHSIuyRUySKMSuF1c--MfZ483QH49Q_0.00.39.005306-0.01.59.044489.mp3", "link")</f>
        <v>link</v>
      </c>
      <c r="D655" t="s">
        <v>3065</v>
      </c>
      <c r="E655" t="s">
        <v>3066</v>
      </c>
      <c r="F655" t="s">
        <v>3066</v>
      </c>
      <c r="G655" t="s">
        <v>3066</v>
      </c>
      <c r="J655" t="s">
        <v>3067</v>
      </c>
      <c r="K655" t="s">
        <v>3068</v>
      </c>
      <c r="L655" s="1" t="s">
        <v>3069</v>
      </c>
      <c r="M655" t="s">
        <v>3070</v>
      </c>
      <c r="N655" t="s">
        <v>172</v>
      </c>
      <c r="O655" s="1" t="s">
        <v>3071</v>
      </c>
      <c r="P655" s="1" t="s">
        <v>3072</v>
      </c>
    </row>
    <row r="656" spans="1:17" x14ac:dyDescent="0.25">
      <c r="A656" t="s">
        <v>3073</v>
      </c>
      <c r="B656" t="str">
        <f>HYPERLINK("https://staging-dtl-pattern-api.hfm-weimar.de/static/audio/solos/dtl/AQAHtEnkcREVaEwexDq4lDkmpkepSMeX_0.01.53.054557-0.02.37.033841.mp3", "link")</f>
        <v>link</v>
      </c>
      <c r="D656" t="s">
        <v>2992</v>
      </c>
      <c r="E656" t="s">
        <v>4388</v>
      </c>
      <c r="F656" t="s">
        <v>2993</v>
      </c>
      <c r="G656" t="s">
        <v>2993</v>
      </c>
      <c r="J656" t="s">
        <v>2994</v>
      </c>
      <c r="K656" t="s">
        <v>3074</v>
      </c>
      <c r="L656" s="1" t="s">
        <v>2996</v>
      </c>
      <c r="M656" t="s">
        <v>2997</v>
      </c>
      <c r="N656" t="s">
        <v>119</v>
      </c>
      <c r="O656" s="1" t="s">
        <v>3075</v>
      </c>
      <c r="P656" s="1" t="s">
        <v>3076</v>
      </c>
      <c r="Q656" s="1" t="s">
        <v>7262</v>
      </c>
    </row>
    <row r="657" spans="1:17" x14ac:dyDescent="0.25">
      <c r="A657" t="s">
        <v>3077</v>
      </c>
      <c r="B657" t="str">
        <f>HYPERLINK("https://staging-dtl-pattern-api.hfm-weimar.de/static/audio/solos/dtl/AQAHTEoiSUq0JFmCG6m-49BxPD_w4xDO_0.00.30.067356-0.01.46.048671.mp3", "link")</f>
        <v>link</v>
      </c>
      <c r="D657" t="s">
        <v>3078</v>
      </c>
      <c r="E657" t="s">
        <v>3079</v>
      </c>
      <c r="F657" t="s">
        <v>3080</v>
      </c>
      <c r="H657" t="s">
        <v>3081</v>
      </c>
      <c r="I657">
        <v>66</v>
      </c>
      <c r="J657" t="s">
        <v>616</v>
      </c>
      <c r="K657" t="s">
        <v>3082</v>
      </c>
      <c r="L657" s="1" t="s">
        <v>3083</v>
      </c>
      <c r="M657" t="s">
        <v>129</v>
      </c>
      <c r="N657" t="s">
        <v>202</v>
      </c>
      <c r="O657" s="1" t="s">
        <v>3084</v>
      </c>
      <c r="P657" s="1" t="s">
        <v>3085</v>
      </c>
    </row>
    <row r="658" spans="1:17" x14ac:dyDescent="0.25">
      <c r="A658" t="s">
        <v>3086</v>
      </c>
      <c r="B658" t="str">
        <f>HYPERLINK("https://staging-dtl-pattern-api.hfm-weimar.de/static/audio/solos/dtl/AQAHTEoiSUq0JFmCG6m-49BxPD_w4xDO_0.01.46.048671-0.02.35.068979.mp3", "link")</f>
        <v>link</v>
      </c>
      <c r="D658" t="s">
        <v>3078</v>
      </c>
      <c r="E658" t="s">
        <v>3087</v>
      </c>
      <c r="F658" t="s">
        <v>3080</v>
      </c>
      <c r="H658" t="s">
        <v>3081</v>
      </c>
      <c r="I658">
        <v>66</v>
      </c>
      <c r="J658" t="s">
        <v>616</v>
      </c>
      <c r="K658" t="s">
        <v>3082</v>
      </c>
      <c r="L658" s="1" t="s">
        <v>3083</v>
      </c>
      <c r="M658" t="s">
        <v>129</v>
      </c>
      <c r="N658" t="s">
        <v>826</v>
      </c>
      <c r="O658" s="1" t="s">
        <v>3085</v>
      </c>
      <c r="P658" s="1" t="s">
        <v>3088</v>
      </c>
    </row>
    <row r="659" spans="1:17" x14ac:dyDescent="0.25">
      <c r="A659" t="s">
        <v>3089</v>
      </c>
      <c r="B659" t="str">
        <f>HYPERLINK("https://staging-dtl-pattern-api.hfm-weimar.de/static/audio/solos/dtl/AQAHu4qWTRFVJBfy7Pjx5XByL3hdBekb_0.01.57.095736-0.02.33.062321.mp3", "link")</f>
        <v>link</v>
      </c>
      <c r="F659" t="s">
        <v>2845</v>
      </c>
      <c r="J659" t="s">
        <v>3090</v>
      </c>
      <c r="K659" t="s">
        <v>3091</v>
      </c>
      <c r="L659" s="1" t="s">
        <v>3092</v>
      </c>
      <c r="M659" t="s">
        <v>3093</v>
      </c>
      <c r="N659" t="s">
        <v>46</v>
      </c>
      <c r="O659" s="1" t="s">
        <v>3094</v>
      </c>
      <c r="P659" s="1" t="s">
        <v>3095</v>
      </c>
    </row>
    <row r="660" spans="1:17" x14ac:dyDescent="0.25">
      <c r="A660" t="s">
        <v>3096</v>
      </c>
      <c r="B660" t="str">
        <f>HYPERLINK("https://staging-dtl-pattern-api.hfm-weimar.de/static/audio/solos/dtl/AQAHW1Si5FKShAip5IKccDliE9vBpYfj_0.00.39.089188-0.01.55.068181.mp3", "link")</f>
        <v>link</v>
      </c>
      <c r="D660" t="s">
        <v>3097</v>
      </c>
      <c r="E660" t="s">
        <v>3098</v>
      </c>
      <c r="F660" t="s">
        <v>3099</v>
      </c>
      <c r="G660" t="s">
        <v>3098</v>
      </c>
      <c r="H660" t="s">
        <v>3100</v>
      </c>
      <c r="I660">
        <v>38</v>
      </c>
      <c r="J660" t="s">
        <v>616</v>
      </c>
      <c r="K660" t="s">
        <v>3101</v>
      </c>
      <c r="L660" s="1" t="s">
        <v>3102</v>
      </c>
      <c r="M660" t="s">
        <v>129</v>
      </c>
      <c r="N660" t="s">
        <v>46</v>
      </c>
      <c r="O660" s="1" t="s">
        <v>3103</v>
      </c>
      <c r="P660" s="1" t="s">
        <v>3104</v>
      </c>
    </row>
    <row r="661" spans="1:17" x14ac:dyDescent="0.25">
      <c r="A661" t="s">
        <v>3105</v>
      </c>
      <c r="B661" t="str">
        <f>HYPERLINK("https://staging-dtl-pattern-api.hfm-weimar.de/static/audio/solos/dtl/AQAHW1Si5FKShAip5IKccDliE9vBpYfj_0.01.55.068181-0.02.49.045922.mp3", "link")</f>
        <v>link</v>
      </c>
      <c r="D661" t="s">
        <v>3097</v>
      </c>
      <c r="E661" t="s">
        <v>5714</v>
      </c>
      <c r="F661" t="s">
        <v>3099</v>
      </c>
      <c r="G661" t="s">
        <v>3098</v>
      </c>
      <c r="H661" t="s">
        <v>3100</v>
      </c>
      <c r="I661">
        <v>38</v>
      </c>
      <c r="J661" t="s">
        <v>616</v>
      </c>
      <c r="K661" t="s">
        <v>3101</v>
      </c>
      <c r="L661" s="1" t="s">
        <v>3102</v>
      </c>
      <c r="M661" t="s">
        <v>129</v>
      </c>
      <c r="N661" t="s">
        <v>202</v>
      </c>
      <c r="O661" s="1" t="s">
        <v>3104</v>
      </c>
      <c r="P661" s="1" t="s">
        <v>3106</v>
      </c>
      <c r="Q661" s="1" t="s">
        <v>7263</v>
      </c>
    </row>
    <row r="662" spans="1:17" x14ac:dyDescent="0.25">
      <c r="A662" t="s">
        <v>3107</v>
      </c>
      <c r="B662" t="str">
        <f>HYPERLINK("https://staging-dtl-pattern-api.hfm-weimar.de/static/audio/solos/dtl/AQAHW1Si5FKShAip5IKccDliE9vBpYfj_0.02.49.045922-0.03.14.079219.mp3", "link")</f>
        <v>link</v>
      </c>
      <c r="D662" t="s">
        <v>3097</v>
      </c>
      <c r="E662" t="s">
        <v>3098</v>
      </c>
      <c r="F662" t="s">
        <v>3099</v>
      </c>
      <c r="G662" t="s">
        <v>3098</v>
      </c>
      <c r="H662" t="s">
        <v>3100</v>
      </c>
      <c r="I662">
        <v>38</v>
      </c>
      <c r="J662" t="s">
        <v>616</v>
      </c>
      <c r="K662" t="s">
        <v>3101</v>
      </c>
      <c r="L662" s="1" t="s">
        <v>3102</v>
      </c>
      <c r="M662" t="s">
        <v>129</v>
      </c>
      <c r="N662" t="s">
        <v>46</v>
      </c>
      <c r="O662" s="1" t="s">
        <v>3106</v>
      </c>
      <c r="P662" s="1" t="s">
        <v>3108</v>
      </c>
    </row>
    <row r="663" spans="1:17" x14ac:dyDescent="0.25">
      <c r="A663" t="s">
        <v>3109</v>
      </c>
      <c r="B663" t="str">
        <f>HYPERLINK("https://staging-dtl-pattern-api.hfm-weimar.de/static/audio/solos/dtl/AQAHwJmiJVKSdMIHLX9UhI-Fxym-aM6R_0.02.07.005959-0.03.35.029541.mp3", "link")</f>
        <v>link</v>
      </c>
      <c r="D663" t="s">
        <v>3110</v>
      </c>
      <c r="E663" t="s">
        <v>2820</v>
      </c>
      <c r="F663" t="s">
        <v>2820</v>
      </c>
      <c r="J663" t="s">
        <v>3111</v>
      </c>
      <c r="K663" t="s">
        <v>3112</v>
      </c>
      <c r="L663" s="1" t="s">
        <v>3113</v>
      </c>
      <c r="M663" t="s">
        <v>129</v>
      </c>
      <c r="N663" t="s">
        <v>23</v>
      </c>
      <c r="O663" s="1" t="s">
        <v>3114</v>
      </c>
      <c r="P663" s="1" t="s">
        <v>3115</v>
      </c>
    </row>
    <row r="664" spans="1:17" x14ac:dyDescent="0.25">
      <c r="A664" t="s">
        <v>3116</v>
      </c>
      <c r="B664" t="str">
        <f>HYPERLINK("https://staging-dtl-pattern-api.hfm-weimar.de/static/audio/solos/dtl/AQAHX1EULcmSFsG5A_0R7UePCxe0Czj6_0.00.00.013061-0.02.01.076544.mp3", "link")</f>
        <v>link</v>
      </c>
      <c r="D664" t="s">
        <v>3117</v>
      </c>
      <c r="E664" t="s">
        <v>3118</v>
      </c>
      <c r="F664" t="s">
        <v>3119</v>
      </c>
      <c r="G664" t="s">
        <v>3119</v>
      </c>
      <c r="J664" t="s">
        <v>3120</v>
      </c>
      <c r="K664" t="s">
        <v>3121</v>
      </c>
      <c r="L664" s="1" t="s">
        <v>3122</v>
      </c>
      <c r="M664" t="s">
        <v>129</v>
      </c>
      <c r="N664" t="s">
        <v>23</v>
      </c>
      <c r="O664" s="1" t="s">
        <v>3123</v>
      </c>
      <c r="P664" s="1" t="s">
        <v>3124</v>
      </c>
    </row>
    <row r="665" spans="1:17" x14ac:dyDescent="0.25">
      <c r="A665" t="s">
        <v>3125</v>
      </c>
      <c r="B665" t="str">
        <f>HYPERLINK("https://staging-dtl-pattern-api.hfm-weimar.de/static/audio/solos/dtl/AQAHXUpSRSFDqMe1weoF6imG40FaFclv_0.00.38.087020-0.01.12.072489.mp3", "link")</f>
        <v>link</v>
      </c>
      <c r="D665" t="s">
        <v>2992</v>
      </c>
      <c r="E665" t="s">
        <v>4388</v>
      </c>
      <c r="F665" t="s">
        <v>2993</v>
      </c>
      <c r="G665" t="s">
        <v>2993</v>
      </c>
      <c r="J665" t="s">
        <v>2994</v>
      </c>
      <c r="K665" t="s">
        <v>3126</v>
      </c>
      <c r="L665" s="1" t="s">
        <v>2996</v>
      </c>
      <c r="M665" t="s">
        <v>2997</v>
      </c>
      <c r="N665" t="s">
        <v>119</v>
      </c>
      <c r="O665" s="1" t="s">
        <v>3127</v>
      </c>
      <c r="P665" s="1" t="s">
        <v>1575</v>
      </c>
      <c r="Q665" s="1" t="s">
        <v>7262</v>
      </c>
    </row>
    <row r="666" spans="1:17" x14ac:dyDescent="0.25">
      <c r="A666" t="s">
        <v>3128</v>
      </c>
      <c r="B666" s="3" t="str">
        <f>HYPERLINK("https://staging-dtl-pattern-api.hfm-weimar.de/static/audio/solos/dtl/AQAHXUpSRSFDqMe1weoF6imG40FaFclv_0.01.12.072489-0.01.44.039691.mp3", "link")</f>
        <v>link</v>
      </c>
      <c r="C666" s="3"/>
      <c r="D666" s="3" t="s">
        <v>2992</v>
      </c>
      <c r="E666" s="3" t="s">
        <v>2993</v>
      </c>
      <c r="F666" s="3" t="s">
        <v>2993</v>
      </c>
      <c r="G666" s="3" t="s">
        <v>2993</v>
      </c>
      <c r="H666" s="3"/>
      <c r="I666" s="3"/>
      <c r="J666" s="3" t="s">
        <v>2994</v>
      </c>
      <c r="K666" s="3" t="s">
        <v>3126</v>
      </c>
      <c r="L666" s="4" t="s">
        <v>2996</v>
      </c>
      <c r="M666" s="3" t="s">
        <v>2997</v>
      </c>
      <c r="N666" s="3" t="s">
        <v>23</v>
      </c>
      <c r="O666" s="4" t="s">
        <v>1575</v>
      </c>
      <c r="P666" s="4" t="s">
        <v>3129</v>
      </c>
      <c r="Q666" s="4" t="s">
        <v>7264</v>
      </c>
    </row>
    <row r="667" spans="1:17" x14ac:dyDescent="0.25">
      <c r="A667" t="s">
        <v>3130</v>
      </c>
      <c r="B667" t="str">
        <f>HYPERLINK("https://staging-dtl-pattern-api.hfm-weimar.de/static/audio/solos/dtl/AQAHXUpSRSFDqMe1weoF6imG40FaFclv_0.01.44.039691-0.02.15.083673.mp3", "link")</f>
        <v>link</v>
      </c>
      <c r="D667" t="s">
        <v>7106</v>
      </c>
      <c r="E667" t="s">
        <v>7105</v>
      </c>
      <c r="F667" t="s">
        <v>2993</v>
      </c>
      <c r="G667" t="s">
        <v>2993</v>
      </c>
      <c r="J667" t="s">
        <v>2994</v>
      </c>
      <c r="K667" t="s">
        <v>3126</v>
      </c>
      <c r="L667" s="1" t="s">
        <v>2996</v>
      </c>
      <c r="M667" t="s">
        <v>2997</v>
      </c>
      <c r="N667" t="s">
        <v>826</v>
      </c>
      <c r="O667" s="1" t="s">
        <v>3129</v>
      </c>
      <c r="P667" s="1" t="s">
        <v>3131</v>
      </c>
      <c r="Q667" s="1" t="s">
        <v>7265</v>
      </c>
    </row>
    <row r="668" spans="1:17" x14ac:dyDescent="0.25">
      <c r="A668" t="s">
        <v>3132</v>
      </c>
      <c r="B668" t="str">
        <f>HYPERLINK("https://staging-dtl-pattern-api.hfm-weimar.de/static/audio/solos/dtl/AQAHYEoSJUmiJUpxw6iEbkcufIR2Vsh9_0.01.22.061224-0.02.04.079999.mp3", "link")</f>
        <v>link</v>
      </c>
      <c r="D668" t="s">
        <v>3133</v>
      </c>
      <c r="E668" t="s">
        <v>3134</v>
      </c>
      <c r="F668" t="s">
        <v>3134</v>
      </c>
      <c r="G668" t="s">
        <v>3134</v>
      </c>
      <c r="J668" t="s">
        <v>3135</v>
      </c>
      <c r="K668" t="s">
        <v>3136</v>
      </c>
      <c r="L668" s="1" t="s">
        <v>3137</v>
      </c>
      <c r="M668" t="s">
        <v>2713</v>
      </c>
      <c r="N668" t="s">
        <v>109</v>
      </c>
      <c r="O668" s="1" t="s">
        <v>998</v>
      </c>
      <c r="P668" s="1" t="s">
        <v>3138</v>
      </c>
    </row>
    <row r="669" spans="1:17" x14ac:dyDescent="0.25">
      <c r="A669" t="s">
        <v>3139</v>
      </c>
      <c r="B669" t="str">
        <f>HYPERLINK("https://staging-dtl-pattern-api.hfm-weimar.de/static/audio/solos/dtl/AQAHZ7uSTJKFTzgO_8WDK9B__Kh8WD2c_0.01.09.068163-0.01.39.036326.mp3", "link")</f>
        <v>link</v>
      </c>
      <c r="C669" t="s">
        <v>3140</v>
      </c>
      <c r="D669" t="s">
        <v>3141</v>
      </c>
      <c r="E669" t="s">
        <v>7093</v>
      </c>
      <c r="F669" t="s">
        <v>1144</v>
      </c>
      <c r="G669" t="s">
        <v>1144</v>
      </c>
      <c r="J669" t="s">
        <v>3142</v>
      </c>
      <c r="K669" t="s">
        <v>3143</v>
      </c>
      <c r="L669" s="1" t="s">
        <v>3144</v>
      </c>
      <c r="M669" t="s">
        <v>129</v>
      </c>
      <c r="N669" t="s">
        <v>46</v>
      </c>
      <c r="O669" s="1" t="s">
        <v>3145</v>
      </c>
      <c r="P669" s="1" t="s">
        <v>3146</v>
      </c>
      <c r="Q669" s="1" t="s">
        <v>7237</v>
      </c>
    </row>
    <row r="670" spans="1:17" x14ac:dyDescent="0.25">
      <c r="A670" t="s">
        <v>3147</v>
      </c>
      <c r="B670" t="str">
        <f>HYPERLINK("https://staging-dtl-pattern-api.hfm-weimar.de/static/audio/solos/dtl/AQAHZ7uSTJKFTzgO_8WDK9B__Kh8WD2c_0.01.39.036326-0.02.07.077941.mp3", "link")</f>
        <v>link</v>
      </c>
      <c r="D670" t="s">
        <v>3141</v>
      </c>
      <c r="E670" t="s">
        <v>3148</v>
      </c>
      <c r="F670" t="s">
        <v>1144</v>
      </c>
      <c r="G670" t="s">
        <v>1144</v>
      </c>
      <c r="J670" t="s">
        <v>3142</v>
      </c>
      <c r="K670" t="s">
        <v>3143</v>
      </c>
      <c r="L670" s="1" t="s">
        <v>3144</v>
      </c>
      <c r="M670" t="s">
        <v>129</v>
      </c>
      <c r="N670" t="s">
        <v>23</v>
      </c>
      <c r="O670" s="1" t="s">
        <v>3146</v>
      </c>
      <c r="P670" s="1" t="s">
        <v>211</v>
      </c>
    </row>
    <row r="671" spans="1:17" x14ac:dyDescent="0.25">
      <c r="A671" t="s">
        <v>3149</v>
      </c>
      <c r="B671" t="str">
        <f>HYPERLINK("https://staging-dtl-pattern-api.hfm-weimar.de/static/audio/solos/dtl/AQAI_UrSpVEWos8BL2yHXzg_NM9yTHoe_0.00.19.053689-0.03.49.066185.mp3", "link")</f>
        <v>link</v>
      </c>
      <c r="D671" t="s">
        <v>3150</v>
      </c>
      <c r="E671" t="s">
        <v>3151</v>
      </c>
      <c r="F671" t="s">
        <v>3151</v>
      </c>
      <c r="G671" t="s">
        <v>3151</v>
      </c>
      <c r="J671" t="s">
        <v>3152</v>
      </c>
      <c r="K671" t="s">
        <v>3153</v>
      </c>
      <c r="L671" s="1" t="s">
        <v>3154</v>
      </c>
      <c r="M671" t="s">
        <v>129</v>
      </c>
      <c r="N671" t="s">
        <v>109</v>
      </c>
      <c r="O671" s="1" t="s">
        <v>3155</v>
      </c>
      <c r="P671" s="1" t="s">
        <v>3156</v>
      </c>
    </row>
    <row r="672" spans="1:17" x14ac:dyDescent="0.25">
      <c r="A672" t="s">
        <v>3157</v>
      </c>
      <c r="B672" t="str">
        <f>HYPERLINK("https://staging-dtl-pattern-api.hfm-weimar.de/static/audio/solos/dtl/AQAI-6K4UNki_MGPPvnQBGeqI7k2B3nS_0.00.43.023265-0.01.58.066122.mp3", "link")</f>
        <v>link</v>
      </c>
      <c r="D672" t="s">
        <v>3158</v>
      </c>
      <c r="E672" t="s">
        <v>1055</v>
      </c>
      <c r="F672" t="s">
        <v>1055</v>
      </c>
      <c r="G672" t="s">
        <v>1055</v>
      </c>
      <c r="J672" t="s">
        <v>1056</v>
      </c>
      <c r="K672" t="s">
        <v>3159</v>
      </c>
      <c r="L672" s="1" t="s">
        <v>3160</v>
      </c>
      <c r="M672" t="s">
        <v>3161</v>
      </c>
      <c r="N672" t="s">
        <v>202</v>
      </c>
      <c r="O672" s="1" t="s">
        <v>3162</v>
      </c>
      <c r="P672" s="1" t="s">
        <v>1359</v>
      </c>
    </row>
    <row r="673" spans="1:16" x14ac:dyDescent="0.25">
      <c r="A673" t="s">
        <v>3163</v>
      </c>
      <c r="B673" t="str">
        <f>HYPERLINK("https://staging-dtl-pattern-api.hfm-weimar.de/static/audio/solos/dtl/AQAI-6K4UNki_MGPPvnQBGeqI7k2B3nS_0.03.10.082448-0.03.21.059999.mp3", "link")</f>
        <v>link</v>
      </c>
      <c r="D673" t="s">
        <v>3158</v>
      </c>
      <c r="E673" t="s">
        <v>1055</v>
      </c>
      <c r="F673" t="s">
        <v>1055</v>
      </c>
      <c r="G673" t="s">
        <v>1055</v>
      </c>
      <c r="J673" t="s">
        <v>1056</v>
      </c>
      <c r="K673" t="s">
        <v>3159</v>
      </c>
      <c r="L673" s="1" t="s">
        <v>3160</v>
      </c>
      <c r="M673" t="s">
        <v>3161</v>
      </c>
      <c r="N673" t="s">
        <v>202</v>
      </c>
      <c r="O673" s="1" t="s">
        <v>3164</v>
      </c>
      <c r="P673" s="1" t="s">
        <v>3165</v>
      </c>
    </row>
    <row r="674" spans="1:16" x14ac:dyDescent="0.25">
      <c r="A674" t="s">
        <v>3166</v>
      </c>
      <c r="B674" t="str">
        <f>HYPERLINK("https://staging-dtl-pattern-api.hfm-weimar.de/static/audio/solos/dtl/AQAI-6K4UNki_MGPPvnQBGeqI7k2B3nS_0.03.34.007346-0.03.44.067628.mp3", "link")</f>
        <v>link</v>
      </c>
      <c r="D674" t="s">
        <v>3158</v>
      </c>
      <c r="E674" t="s">
        <v>1055</v>
      </c>
      <c r="F674" t="s">
        <v>1055</v>
      </c>
      <c r="G674" t="s">
        <v>1055</v>
      </c>
      <c r="J674" t="s">
        <v>1056</v>
      </c>
      <c r="K674" t="s">
        <v>3159</v>
      </c>
      <c r="L674" s="1" t="s">
        <v>3160</v>
      </c>
      <c r="M674" t="s">
        <v>3161</v>
      </c>
      <c r="N674" t="s">
        <v>202</v>
      </c>
      <c r="O674" s="1" t="s">
        <v>3167</v>
      </c>
      <c r="P674" s="1" t="s">
        <v>3168</v>
      </c>
    </row>
    <row r="675" spans="1:16" x14ac:dyDescent="0.25">
      <c r="A675" t="s">
        <v>3169</v>
      </c>
      <c r="B675" t="str">
        <f>HYPERLINK("https://staging-dtl-pattern-api.hfm-weimar.de/static/audio/solos/dtl/AQAI-z-n4GbgbscXvXhi59j3DX7i4omR_0.01.17.017986-0.02.23.070902.mp3", "link")</f>
        <v>link</v>
      </c>
      <c r="D675" t="s">
        <v>3170</v>
      </c>
      <c r="E675" t="s">
        <v>1690</v>
      </c>
      <c r="F675" t="s">
        <v>3171</v>
      </c>
      <c r="H675" t="s">
        <v>3172</v>
      </c>
      <c r="I675">
        <v>5</v>
      </c>
      <c r="J675" t="s">
        <v>141</v>
      </c>
      <c r="K675" t="s">
        <v>3173</v>
      </c>
      <c r="L675" s="1" t="s">
        <v>3029</v>
      </c>
      <c r="M675" t="s">
        <v>309</v>
      </c>
      <c r="N675" t="s">
        <v>172</v>
      </c>
      <c r="O675" s="1" t="s">
        <v>3174</v>
      </c>
      <c r="P675" s="1" t="s">
        <v>3175</v>
      </c>
    </row>
    <row r="676" spans="1:16" x14ac:dyDescent="0.25">
      <c r="A676" t="s">
        <v>3176</v>
      </c>
      <c r="B676" t="str">
        <f>HYPERLINK("https://staging-dtl-pattern-api.hfm-weimar.de/static/audio/solos/dtl/AQAI-z-n4GbgbscXvXhi59j3DX7i4omR_0.02.23.070902-0.03.30.053387.mp3", "link")</f>
        <v>link</v>
      </c>
      <c r="D676" t="s">
        <v>3170</v>
      </c>
      <c r="E676" t="s">
        <v>401</v>
      </c>
      <c r="F676" t="s">
        <v>3171</v>
      </c>
      <c r="H676" t="s">
        <v>3172</v>
      </c>
      <c r="I676">
        <v>5</v>
      </c>
      <c r="J676" t="s">
        <v>141</v>
      </c>
      <c r="K676" t="s">
        <v>3173</v>
      </c>
      <c r="L676" s="1" t="s">
        <v>3029</v>
      </c>
      <c r="M676" t="s">
        <v>309</v>
      </c>
      <c r="N676" t="s">
        <v>202</v>
      </c>
      <c r="O676" s="1" t="s">
        <v>3175</v>
      </c>
      <c r="P676" s="1" t="s">
        <v>3177</v>
      </c>
    </row>
    <row r="677" spans="1:16" x14ac:dyDescent="0.25">
      <c r="A677" t="s">
        <v>3178</v>
      </c>
      <c r="B677" t="str">
        <f>HYPERLINK("https://staging-dtl-pattern-api.hfm-weimar.de/static/audio/solos/dtl/AQAI-z-n4GbgbscXvXhi59j3DX7i4omR_0.03.39.042276-0.03.47.074784.mp3", "link")</f>
        <v>link</v>
      </c>
      <c r="D677" t="s">
        <v>3170</v>
      </c>
      <c r="E677" t="s">
        <v>1690</v>
      </c>
      <c r="F677" t="s">
        <v>3171</v>
      </c>
      <c r="H677" t="s">
        <v>3172</v>
      </c>
      <c r="I677">
        <v>5</v>
      </c>
      <c r="J677" t="s">
        <v>141</v>
      </c>
      <c r="K677" t="s">
        <v>3173</v>
      </c>
      <c r="L677" s="1" t="s">
        <v>3029</v>
      </c>
      <c r="M677" t="s">
        <v>309</v>
      </c>
      <c r="N677" t="s">
        <v>172</v>
      </c>
      <c r="O677" s="1" t="s">
        <v>3179</v>
      </c>
      <c r="P677" s="1" t="s">
        <v>3180</v>
      </c>
    </row>
    <row r="678" spans="1:16" x14ac:dyDescent="0.25">
      <c r="A678" t="s">
        <v>3181</v>
      </c>
      <c r="B678" t="str">
        <f>HYPERLINK("https://staging-dtl-pattern-api.hfm-weimar.de/static/audio/solos/dtl/AQAI-z-n4GbgbscXvXhi59j3DX7i4omR_0.03.55.068979-0.04.04.041142.mp3", "link")</f>
        <v>link</v>
      </c>
      <c r="D678" t="s">
        <v>3170</v>
      </c>
      <c r="E678" t="s">
        <v>401</v>
      </c>
      <c r="F678" t="s">
        <v>3171</v>
      </c>
      <c r="H678" t="s">
        <v>3172</v>
      </c>
      <c r="I678">
        <v>5</v>
      </c>
      <c r="J678" t="s">
        <v>141</v>
      </c>
      <c r="K678" t="s">
        <v>3173</v>
      </c>
      <c r="L678" s="1" t="s">
        <v>3029</v>
      </c>
      <c r="M678" t="s">
        <v>309</v>
      </c>
      <c r="N678" t="s">
        <v>202</v>
      </c>
      <c r="O678" s="1" t="s">
        <v>3182</v>
      </c>
      <c r="P678" s="1" t="s">
        <v>3183</v>
      </c>
    </row>
    <row r="679" spans="1:16" x14ac:dyDescent="0.25">
      <c r="A679" t="s">
        <v>3184</v>
      </c>
      <c r="B679" t="str">
        <f>HYPERLINK("https://staging-dtl-pattern-api.hfm-weimar.de/static/audio/solos/dtl/AQAI08_CSEsiob6QngqS5kF_fAxOHA9x_0.02.48.001959-0.03.18.018231.mp3", "link")</f>
        <v>link</v>
      </c>
      <c r="D679" t="s">
        <v>3185</v>
      </c>
      <c r="E679" t="s">
        <v>1314</v>
      </c>
      <c r="F679" t="s">
        <v>3186</v>
      </c>
      <c r="G679" t="s">
        <v>3187</v>
      </c>
      <c r="H679" t="s">
        <v>3188</v>
      </c>
      <c r="I679">
        <v>60</v>
      </c>
      <c r="J679" t="s">
        <v>141</v>
      </c>
      <c r="K679" t="s">
        <v>3189</v>
      </c>
      <c r="L679" s="1" t="s">
        <v>3190</v>
      </c>
      <c r="M679" t="s">
        <v>129</v>
      </c>
      <c r="N679" t="s">
        <v>46</v>
      </c>
      <c r="O679" s="1" t="s">
        <v>3191</v>
      </c>
      <c r="P679" s="1" t="s">
        <v>3192</v>
      </c>
    </row>
    <row r="680" spans="1:16" x14ac:dyDescent="0.25">
      <c r="A680" t="s">
        <v>3193</v>
      </c>
      <c r="B680" t="str">
        <f>HYPERLINK("https://staging-dtl-pattern-api.hfm-weimar.de/static/audio/solos/dtl/AQAI08_CSEsiob6QngqS5kF_fAxOHA9x_0.03.45.097659-0.04.29.017732.mp3", "link")</f>
        <v>link</v>
      </c>
      <c r="D680" t="s">
        <v>3185</v>
      </c>
      <c r="E680" t="s">
        <v>1517</v>
      </c>
      <c r="F680" t="s">
        <v>3186</v>
      </c>
      <c r="G680" t="s">
        <v>3187</v>
      </c>
      <c r="H680" t="s">
        <v>3188</v>
      </c>
      <c r="I680">
        <v>60</v>
      </c>
      <c r="J680" t="s">
        <v>141</v>
      </c>
      <c r="K680" t="s">
        <v>3189</v>
      </c>
      <c r="L680" s="1" t="s">
        <v>3190</v>
      </c>
      <c r="M680" t="s">
        <v>129</v>
      </c>
      <c r="N680" t="s">
        <v>23</v>
      </c>
      <c r="O680" s="1" t="s">
        <v>2927</v>
      </c>
      <c r="P680" s="1" t="s">
        <v>3194</v>
      </c>
    </row>
    <row r="681" spans="1:16" x14ac:dyDescent="0.25">
      <c r="A681" t="s">
        <v>3195</v>
      </c>
      <c r="B681" t="str">
        <f>HYPERLINK("https://staging-dtl-pattern-api.hfm-weimar.de/static/audio/solos/dtl/AQAI1W-kHf-B6_iDI0fzQLuQ6_jx5sjR_0.01.38.082412-0.02.18.085532.mp3", "link")</f>
        <v>link</v>
      </c>
      <c r="D681" t="s">
        <v>3196</v>
      </c>
      <c r="E681" t="s">
        <v>3197</v>
      </c>
      <c r="F681" t="s">
        <v>3198</v>
      </c>
      <c r="J681" t="s">
        <v>3199</v>
      </c>
      <c r="K681" t="s">
        <v>3200</v>
      </c>
      <c r="L681" s="1" t="s">
        <v>3201</v>
      </c>
      <c r="M681" t="s">
        <v>129</v>
      </c>
      <c r="N681" t="s">
        <v>46</v>
      </c>
      <c r="O681" s="1" t="s">
        <v>3202</v>
      </c>
      <c r="P681" s="1" t="s">
        <v>1580</v>
      </c>
    </row>
    <row r="682" spans="1:16" x14ac:dyDescent="0.25">
      <c r="A682" t="s">
        <v>3203</v>
      </c>
      <c r="B682" t="str">
        <f>HYPERLINK("https://staging-dtl-pattern-api.hfm-weimar.de/static/audio/solos/dtl/AQAI1W-kHf-B6_iDI0fzQLuQ6_jx5sjR_0.03.11.051818-0.03.48.057723.mp3", "link")</f>
        <v>link</v>
      </c>
      <c r="D682" t="s">
        <v>3196</v>
      </c>
      <c r="E682" t="s">
        <v>3197</v>
      </c>
      <c r="F682" t="s">
        <v>3198</v>
      </c>
      <c r="J682" t="s">
        <v>3199</v>
      </c>
      <c r="K682" t="s">
        <v>3200</v>
      </c>
      <c r="L682" s="1" t="s">
        <v>3201</v>
      </c>
      <c r="M682" t="s">
        <v>129</v>
      </c>
      <c r="N682" t="s">
        <v>46</v>
      </c>
      <c r="O682" s="1" t="s">
        <v>3204</v>
      </c>
      <c r="P682" s="1" t="s">
        <v>3205</v>
      </c>
    </row>
    <row r="683" spans="1:16" x14ac:dyDescent="0.25">
      <c r="A683" t="s">
        <v>3206</v>
      </c>
      <c r="B683" t="str">
        <f>HYPERLINK("https://staging-dtl-pattern-api.hfm-weimar.de/static/audio/solos/dtl/AQAI5OKahRbKJNqNNOlGCfqyByF-HH86_0.02.21.012834-0.03.54.011102.mp3", "link")</f>
        <v>link</v>
      </c>
      <c r="D683" t="s">
        <v>3207</v>
      </c>
      <c r="E683" t="s">
        <v>235</v>
      </c>
      <c r="F683" t="s">
        <v>3208</v>
      </c>
      <c r="G683" t="s">
        <v>235</v>
      </c>
      <c r="H683" t="s">
        <v>3209</v>
      </c>
      <c r="I683">
        <v>34</v>
      </c>
      <c r="J683" t="s">
        <v>141</v>
      </c>
      <c r="K683" t="s">
        <v>3210</v>
      </c>
      <c r="L683" s="1" t="s">
        <v>3211</v>
      </c>
      <c r="M683" t="s">
        <v>129</v>
      </c>
      <c r="N683" t="s">
        <v>23</v>
      </c>
      <c r="O683" s="1" t="s">
        <v>3212</v>
      </c>
      <c r="P683" s="1" t="s">
        <v>3213</v>
      </c>
    </row>
    <row r="684" spans="1:16" x14ac:dyDescent="0.25">
      <c r="A684" t="s">
        <v>3214</v>
      </c>
      <c r="B684" t="str">
        <f>HYPERLINK("https://staging-dtl-pattern-api.hfm-weimar.de/static/audio/solos/dtl/AQAI5OKahRbKJNqNNOlGCfqyByF-HH86_0.04.17.055428-0.04.44.043999.mp3", "link")</f>
        <v>link</v>
      </c>
      <c r="D684" t="s">
        <v>3207</v>
      </c>
      <c r="E684" t="s">
        <v>235</v>
      </c>
      <c r="F684" t="s">
        <v>3208</v>
      </c>
      <c r="G684" t="s">
        <v>235</v>
      </c>
      <c r="H684" t="s">
        <v>3209</v>
      </c>
      <c r="I684">
        <v>34</v>
      </c>
      <c r="J684" t="s">
        <v>141</v>
      </c>
      <c r="K684" t="s">
        <v>3210</v>
      </c>
      <c r="L684" s="1" t="s">
        <v>3211</v>
      </c>
      <c r="M684" t="s">
        <v>129</v>
      </c>
      <c r="N684" t="s">
        <v>23</v>
      </c>
      <c r="O684" s="1" t="s">
        <v>3215</v>
      </c>
      <c r="P684" s="1" t="s">
        <v>3216</v>
      </c>
    </row>
    <row r="685" spans="1:16" x14ac:dyDescent="0.25">
      <c r="A685" t="s">
        <v>3217</v>
      </c>
      <c r="B685" t="str">
        <f>HYPERLINK("https://staging-dtl-pattern-api.hfm-weimar.de/static/audio/solos/dtl/AQAI7YqWKIoqSYE5Ew9rvCp8_PAR_niG_0.00.53.035510-0.02.16.025469.mp3", "link")</f>
        <v>link</v>
      </c>
      <c r="D685" t="s">
        <v>3218</v>
      </c>
      <c r="E685" t="s">
        <v>3219</v>
      </c>
      <c r="F685" t="s">
        <v>3220</v>
      </c>
      <c r="G685" t="s">
        <v>3220</v>
      </c>
      <c r="J685" t="s">
        <v>3221</v>
      </c>
      <c r="K685" t="s">
        <v>3222</v>
      </c>
      <c r="L685" s="1" t="s">
        <v>3223</v>
      </c>
      <c r="M685" t="s">
        <v>3224</v>
      </c>
      <c r="N685" t="s">
        <v>23</v>
      </c>
      <c r="O685" s="1" t="s">
        <v>3225</v>
      </c>
      <c r="P685" s="1" t="s">
        <v>3226</v>
      </c>
    </row>
    <row r="686" spans="1:16" x14ac:dyDescent="0.25">
      <c r="A686" t="s">
        <v>3227</v>
      </c>
      <c r="B686" t="str">
        <f>HYPERLINK("https://staging-dtl-pattern-api.hfm-weimar.de/static/audio/solos/dtl/AQAIAhlpRQv05sitoqGPUGJIqOmRZ8OP_0.00.33.022775-0.02.27.014485.mp3", "link")</f>
        <v>link</v>
      </c>
      <c r="D686" t="s">
        <v>3228</v>
      </c>
      <c r="E686" t="s">
        <v>251</v>
      </c>
      <c r="F686" t="s">
        <v>656</v>
      </c>
      <c r="G686" t="s">
        <v>251</v>
      </c>
      <c r="H686" t="s">
        <v>657</v>
      </c>
      <c r="I686">
        <v>86</v>
      </c>
      <c r="J686" t="s">
        <v>126</v>
      </c>
      <c r="K686" t="s">
        <v>3229</v>
      </c>
      <c r="L686" s="1" t="s">
        <v>3230</v>
      </c>
      <c r="M686" t="s">
        <v>129</v>
      </c>
      <c r="N686" t="s">
        <v>202</v>
      </c>
      <c r="O686" s="1" t="s">
        <v>3231</v>
      </c>
      <c r="P686" s="1" t="s">
        <v>3232</v>
      </c>
    </row>
    <row r="687" spans="1:16" x14ac:dyDescent="0.25">
      <c r="A687" t="s">
        <v>3233</v>
      </c>
      <c r="B687" t="str">
        <f>HYPERLINK("https://staging-dtl-pattern-api.hfm-weimar.de/static/audio/solos/dtl/AQAIAhlpRQv05sitoqGPUGJIqOmRZ8OP_0.02.27.014485-0.02.32.076408.mp3", "link")</f>
        <v>link</v>
      </c>
      <c r="D687" t="s">
        <v>3228</v>
      </c>
      <c r="E687" t="s">
        <v>1661</v>
      </c>
      <c r="F687" t="s">
        <v>656</v>
      </c>
      <c r="G687" t="s">
        <v>251</v>
      </c>
      <c r="H687" t="s">
        <v>657</v>
      </c>
      <c r="I687">
        <v>86</v>
      </c>
      <c r="J687" t="s">
        <v>126</v>
      </c>
      <c r="K687" t="s">
        <v>3229</v>
      </c>
      <c r="L687" s="1" t="s">
        <v>3230</v>
      </c>
      <c r="M687" t="s">
        <v>129</v>
      </c>
      <c r="N687" t="s">
        <v>46</v>
      </c>
      <c r="O687" s="1" t="s">
        <v>3232</v>
      </c>
      <c r="P687" s="1" t="s">
        <v>3234</v>
      </c>
    </row>
    <row r="688" spans="1:16" x14ac:dyDescent="0.25">
      <c r="A688" t="s">
        <v>3235</v>
      </c>
      <c r="B688" t="str">
        <f>HYPERLINK("https://staging-dtl-pattern-api.hfm-weimar.de/static/audio/solos/dtl/AQAIAhlpRQv05sitoqGPUGJIqOmRZ8OP_0.02.32.076408-0.02.37.059383.mp3", "link")</f>
        <v>link</v>
      </c>
      <c r="D688" t="s">
        <v>3228</v>
      </c>
      <c r="E688" t="s">
        <v>251</v>
      </c>
      <c r="F688" t="s">
        <v>656</v>
      </c>
      <c r="G688" t="s">
        <v>251</v>
      </c>
      <c r="H688" t="s">
        <v>657</v>
      </c>
      <c r="I688">
        <v>86</v>
      </c>
      <c r="J688" t="s">
        <v>126</v>
      </c>
      <c r="K688" t="s">
        <v>3229</v>
      </c>
      <c r="L688" s="1" t="s">
        <v>3230</v>
      </c>
      <c r="M688" t="s">
        <v>129</v>
      </c>
      <c r="N688" t="s">
        <v>202</v>
      </c>
      <c r="O688" s="1" t="s">
        <v>3234</v>
      </c>
      <c r="P688" s="1" t="s">
        <v>3236</v>
      </c>
    </row>
    <row r="689" spans="1:16" x14ac:dyDescent="0.25">
      <c r="A689" t="s">
        <v>3237</v>
      </c>
      <c r="B689" t="str">
        <f>HYPERLINK("https://staging-dtl-pattern-api.hfm-weimar.de/static/audio/solos/dtl/AQAIAhlpRQv05sitoqGPUGJIqOmRZ8OP_0.02.37.059383-0.02.42.081832.mp3", "link")</f>
        <v>link</v>
      </c>
      <c r="D689" t="s">
        <v>3228</v>
      </c>
      <c r="E689" t="s">
        <v>1661</v>
      </c>
      <c r="F689" t="s">
        <v>656</v>
      </c>
      <c r="G689" t="s">
        <v>251</v>
      </c>
      <c r="H689" t="s">
        <v>657</v>
      </c>
      <c r="I689">
        <v>86</v>
      </c>
      <c r="J689" t="s">
        <v>126</v>
      </c>
      <c r="K689" t="s">
        <v>3229</v>
      </c>
      <c r="L689" s="1" t="s">
        <v>3230</v>
      </c>
      <c r="M689" t="s">
        <v>129</v>
      </c>
      <c r="N689" t="s">
        <v>46</v>
      </c>
      <c r="O689" s="1" t="s">
        <v>3236</v>
      </c>
      <c r="P689" s="1" t="s">
        <v>3238</v>
      </c>
    </row>
    <row r="690" spans="1:16" x14ac:dyDescent="0.25">
      <c r="A690" t="s">
        <v>3239</v>
      </c>
      <c r="B690" t="str">
        <f>HYPERLINK("https://staging-dtl-pattern-api.hfm-weimar.de/static/audio/solos/dtl/AQAIAhlpRQv05sitoqGPUGJIqOmRZ8OP_0.02.42.081832-0.02.47.076417.mp3", "link")</f>
        <v>link</v>
      </c>
      <c r="D690" t="s">
        <v>3228</v>
      </c>
      <c r="E690" t="s">
        <v>251</v>
      </c>
      <c r="F690" t="s">
        <v>656</v>
      </c>
      <c r="G690" t="s">
        <v>251</v>
      </c>
      <c r="H690" t="s">
        <v>657</v>
      </c>
      <c r="I690">
        <v>86</v>
      </c>
      <c r="J690" t="s">
        <v>126</v>
      </c>
      <c r="K690" t="s">
        <v>3229</v>
      </c>
      <c r="L690" s="1" t="s">
        <v>3230</v>
      </c>
      <c r="M690" t="s">
        <v>129</v>
      </c>
      <c r="N690" t="s">
        <v>202</v>
      </c>
      <c r="O690" s="1" t="s">
        <v>3238</v>
      </c>
      <c r="P690" s="1" t="s">
        <v>3240</v>
      </c>
    </row>
    <row r="691" spans="1:16" x14ac:dyDescent="0.25">
      <c r="A691" t="s">
        <v>3241</v>
      </c>
      <c r="B691" t="str">
        <f>HYPERLINK("https://staging-dtl-pattern-api.hfm-weimar.de/static/audio/solos/dtl/AQAIAhlpRQv05sitoqGPUGJIqOmRZ8OP_0.02.47.076417-0.02.53.003510.mp3", "link")</f>
        <v>link</v>
      </c>
      <c r="D691" t="s">
        <v>3228</v>
      </c>
      <c r="E691" t="s">
        <v>1661</v>
      </c>
      <c r="F691" t="s">
        <v>656</v>
      </c>
      <c r="G691" t="s">
        <v>251</v>
      </c>
      <c r="H691" t="s">
        <v>657</v>
      </c>
      <c r="I691">
        <v>86</v>
      </c>
      <c r="J691" t="s">
        <v>126</v>
      </c>
      <c r="K691" t="s">
        <v>3229</v>
      </c>
      <c r="L691" s="1" t="s">
        <v>3230</v>
      </c>
      <c r="M691" t="s">
        <v>129</v>
      </c>
      <c r="N691" t="s">
        <v>46</v>
      </c>
      <c r="O691" s="1" t="s">
        <v>3240</v>
      </c>
      <c r="P691" s="1" t="s">
        <v>3242</v>
      </c>
    </row>
    <row r="692" spans="1:16" x14ac:dyDescent="0.25">
      <c r="A692" t="s">
        <v>3243</v>
      </c>
      <c r="B692" t="str">
        <f>HYPERLINK("https://staging-dtl-pattern-api.hfm-weimar.de/static/audio/solos/dtl/AQAIAhlpRQv05sitoqGPUGJIqOmRZ8OP_0.02.53.003510-0.02.58.035247.mp3", "link")</f>
        <v>link</v>
      </c>
      <c r="D692" t="s">
        <v>3228</v>
      </c>
      <c r="E692" t="s">
        <v>251</v>
      </c>
      <c r="F692" t="s">
        <v>656</v>
      </c>
      <c r="G692" t="s">
        <v>251</v>
      </c>
      <c r="H692" t="s">
        <v>657</v>
      </c>
      <c r="I692">
        <v>86</v>
      </c>
      <c r="J692" t="s">
        <v>126</v>
      </c>
      <c r="K692" t="s">
        <v>3229</v>
      </c>
      <c r="L692" s="1" t="s">
        <v>3230</v>
      </c>
      <c r="M692" t="s">
        <v>129</v>
      </c>
      <c r="N692" t="s">
        <v>202</v>
      </c>
      <c r="O692" s="1" t="s">
        <v>3242</v>
      </c>
      <c r="P692" s="1" t="s">
        <v>3244</v>
      </c>
    </row>
    <row r="693" spans="1:16" x14ac:dyDescent="0.25">
      <c r="A693" t="s">
        <v>3245</v>
      </c>
      <c r="B693" t="str">
        <f>HYPERLINK("https://staging-dtl-pattern-api.hfm-weimar.de/static/audio/solos/dtl/AQAIAhlpRQv05sitoqGPUGJIqOmRZ8OP_0.02.58.035247-0.03.04.004136.mp3", "link")</f>
        <v>link</v>
      </c>
      <c r="D693" t="s">
        <v>3228</v>
      </c>
      <c r="E693" t="s">
        <v>1661</v>
      </c>
      <c r="F693" t="s">
        <v>656</v>
      </c>
      <c r="G693" t="s">
        <v>251</v>
      </c>
      <c r="H693" t="s">
        <v>657</v>
      </c>
      <c r="I693">
        <v>86</v>
      </c>
      <c r="J693" t="s">
        <v>126</v>
      </c>
      <c r="K693" t="s">
        <v>3229</v>
      </c>
      <c r="L693" s="1" t="s">
        <v>3230</v>
      </c>
      <c r="M693" t="s">
        <v>129</v>
      </c>
      <c r="N693" t="s">
        <v>46</v>
      </c>
      <c r="O693" s="1" t="s">
        <v>3244</v>
      </c>
      <c r="P693" s="1" t="s">
        <v>3246</v>
      </c>
    </row>
    <row r="694" spans="1:16" x14ac:dyDescent="0.25">
      <c r="A694" t="s">
        <v>3247</v>
      </c>
      <c r="B694" t="str">
        <f>HYPERLINK("https://staging-dtl-pattern-api.hfm-weimar.de/static/audio/solos/dtl/AQAIAhlpRQv05sitoqGPUGJIqOmRZ8OP_0.03.04.004136-0.03.09.026585.mp3", "link")</f>
        <v>link</v>
      </c>
      <c r="D694" t="s">
        <v>3228</v>
      </c>
      <c r="E694" t="s">
        <v>251</v>
      </c>
      <c r="F694" t="s">
        <v>656</v>
      </c>
      <c r="G694" t="s">
        <v>251</v>
      </c>
      <c r="H694" t="s">
        <v>657</v>
      </c>
      <c r="I694">
        <v>86</v>
      </c>
      <c r="J694" t="s">
        <v>126</v>
      </c>
      <c r="K694" t="s">
        <v>3229</v>
      </c>
      <c r="L694" s="1" t="s">
        <v>3230</v>
      </c>
      <c r="M694" t="s">
        <v>129</v>
      </c>
      <c r="N694" t="s">
        <v>202</v>
      </c>
      <c r="O694" s="1" t="s">
        <v>3246</v>
      </c>
      <c r="P694" s="1" t="s">
        <v>3248</v>
      </c>
    </row>
    <row r="695" spans="1:16" x14ac:dyDescent="0.25">
      <c r="A695" t="s">
        <v>3249</v>
      </c>
      <c r="B695" t="str">
        <f>HYPERLINK("https://staging-dtl-pattern-api.hfm-weimar.de/static/audio/solos/dtl/AQAIAhlpRQv05sitoqGPUGJIqOmRZ8OP_0.03.09.026585-0.03.14.088507.mp3", "link")</f>
        <v>link</v>
      </c>
      <c r="D695" t="s">
        <v>3228</v>
      </c>
      <c r="E695" t="s">
        <v>1661</v>
      </c>
      <c r="F695" t="s">
        <v>656</v>
      </c>
      <c r="G695" t="s">
        <v>251</v>
      </c>
      <c r="H695" t="s">
        <v>657</v>
      </c>
      <c r="I695">
        <v>86</v>
      </c>
      <c r="J695" t="s">
        <v>126</v>
      </c>
      <c r="K695" t="s">
        <v>3229</v>
      </c>
      <c r="L695" s="1" t="s">
        <v>3230</v>
      </c>
      <c r="M695" t="s">
        <v>129</v>
      </c>
      <c r="N695" t="s">
        <v>46</v>
      </c>
      <c r="O695" s="1" t="s">
        <v>3248</v>
      </c>
      <c r="P695" s="1" t="s">
        <v>3250</v>
      </c>
    </row>
    <row r="696" spans="1:16" x14ac:dyDescent="0.25">
      <c r="A696" t="s">
        <v>3251</v>
      </c>
      <c r="B696" t="str">
        <f>HYPERLINK("https://staging-dtl-pattern-api.hfm-weimar.de/static/audio/solos/dtl/AQAIAhlpRQv05sitoqGPUGJIqOmRZ8OP_0.03.14.088507-0.03.19.048263.mp3", "link")</f>
        <v>link</v>
      </c>
      <c r="D696" t="s">
        <v>3228</v>
      </c>
      <c r="E696" t="s">
        <v>251</v>
      </c>
      <c r="F696" t="s">
        <v>656</v>
      </c>
      <c r="G696" t="s">
        <v>251</v>
      </c>
      <c r="H696" t="s">
        <v>657</v>
      </c>
      <c r="I696">
        <v>86</v>
      </c>
      <c r="J696" t="s">
        <v>126</v>
      </c>
      <c r="K696" t="s">
        <v>3229</v>
      </c>
      <c r="L696" s="1" t="s">
        <v>3230</v>
      </c>
      <c r="M696" t="s">
        <v>129</v>
      </c>
      <c r="N696" t="s">
        <v>202</v>
      </c>
      <c r="O696" s="1" t="s">
        <v>3250</v>
      </c>
      <c r="P696" s="1" t="s">
        <v>3252</v>
      </c>
    </row>
    <row r="697" spans="1:16" x14ac:dyDescent="0.25">
      <c r="A697" t="s">
        <v>3253</v>
      </c>
      <c r="B697" t="str">
        <f>HYPERLINK("https://staging-dtl-pattern-api.hfm-weimar.de/static/audio/solos/dtl/AQAIAhlpRQv05sitoqGPUGJIqOmRZ8OP_0.03.19.048263-0.03.24.080000.mp3", "link")</f>
        <v>link</v>
      </c>
      <c r="D697" t="s">
        <v>3228</v>
      </c>
      <c r="E697" t="s">
        <v>1661</v>
      </c>
      <c r="F697" t="s">
        <v>656</v>
      </c>
      <c r="G697" t="s">
        <v>251</v>
      </c>
      <c r="H697" t="s">
        <v>657</v>
      </c>
      <c r="I697">
        <v>86</v>
      </c>
      <c r="J697" t="s">
        <v>126</v>
      </c>
      <c r="K697" t="s">
        <v>3229</v>
      </c>
      <c r="L697" s="1" t="s">
        <v>3230</v>
      </c>
      <c r="M697" t="s">
        <v>129</v>
      </c>
      <c r="N697" t="s">
        <v>46</v>
      </c>
      <c r="O697" s="1" t="s">
        <v>3252</v>
      </c>
      <c r="P697" s="1" t="s">
        <v>3254</v>
      </c>
    </row>
    <row r="698" spans="1:16" x14ac:dyDescent="0.25">
      <c r="A698" t="s">
        <v>3255</v>
      </c>
      <c r="B698" t="str">
        <f>HYPERLINK("https://staging-dtl-pattern-api.hfm-weimar.de/static/audio/solos/dtl/AQAIAhlpRQv05sitoqGPUGJIqOmRZ8OP_0.03.24.080000-0.03.29.081551.mp3", "link")</f>
        <v>link</v>
      </c>
      <c r="D698" t="s">
        <v>3228</v>
      </c>
      <c r="E698" t="s">
        <v>251</v>
      </c>
      <c r="F698" t="s">
        <v>656</v>
      </c>
      <c r="G698" t="s">
        <v>251</v>
      </c>
      <c r="H698" t="s">
        <v>657</v>
      </c>
      <c r="I698">
        <v>86</v>
      </c>
      <c r="J698" t="s">
        <v>126</v>
      </c>
      <c r="K698" t="s">
        <v>3229</v>
      </c>
      <c r="L698" s="1" t="s">
        <v>3230</v>
      </c>
      <c r="M698" t="s">
        <v>129</v>
      </c>
      <c r="N698" t="s">
        <v>202</v>
      </c>
      <c r="O698" s="1" t="s">
        <v>3254</v>
      </c>
      <c r="P698" s="1" t="s">
        <v>3256</v>
      </c>
    </row>
    <row r="699" spans="1:16" x14ac:dyDescent="0.25">
      <c r="A699" t="s">
        <v>3257</v>
      </c>
      <c r="B699" t="str">
        <f>HYPERLINK("https://staging-dtl-pattern-api.hfm-weimar.de/static/audio/solos/dtl/AQAIAhlpRQv05sitoqGPUGJIqOmRZ8OP_0.03.29.081551-0.03.34.078458.mp3", "link")</f>
        <v>link</v>
      </c>
      <c r="D699" t="s">
        <v>3228</v>
      </c>
      <c r="E699" t="s">
        <v>1661</v>
      </c>
      <c r="F699" t="s">
        <v>656</v>
      </c>
      <c r="G699" t="s">
        <v>251</v>
      </c>
      <c r="H699" t="s">
        <v>657</v>
      </c>
      <c r="I699">
        <v>86</v>
      </c>
      <c r="J699" t="s">
        <v>126</v>
      </c>
      <c r="K699" t="s">
        <v>3229</v>
      </c>
      <c r="L699" s="1" t="s">
        <v>3230</v>
      </c>
      <c r="M699" t="s">
        <v>129</v>
      </c>
      <c r="N699" t="s">
        <v>46</v>
      </c>
      <c r="O699" s="1" t="s">
        <v>3256</v>
      </c>
      <c r="P699" s="1" t="s">
        <v>3258</v>
      </c>
    </row>
    <row r="700" spans="1:16" x14ac:dyDescent="0.25">
      <c r="A700" t="s">
        <v>3259</v>
      </c>
      <c r="B700" t="str">
        <f>HYPERLINK("https://staging-dtl-pattern-api.hfm-weimar.de/static/audio/solos/dtl/AQAIAhlpRQv05sitoqGPUGJIqOmRZ8OP_0.03.34.078458-0.03.40.010195.mp3", "link")</f>
        <v>link</v>
      </c>
      <c r="D700" t="s">
        <v>3228</v>
      </c>
      <c r="E700" t="s">
        <v>251</v>
      </c>
      <c r="F700" t="s">
        <v>656</v>
      </c>
      <c r="G700" t="s">
        <v>251</v>
      </c>
      <c r="H700" t="s">
        <v>657</v>
      </c>
      <c r="I700">
        <v>86</v>
      </c>
      <c r="J700" t="s">
        <v>126</v>
      </c>
      <c r="K700" t="s">
        <v>3229</v>
      </c>
      <c r="L700" s="1" t="s">
        <v>3230</v>
      </c>
      <c r="M700" t="s">
        <v>129</v>
      </c>
      <c r="N700" t="s">
        <v>202</v>
      </c>
      <c r="O700" s="1" t="s">
        <v>3258</v>
      </c>
      <c r="P700" s="1" t="s">
        <v>3260</v>
      </c>
    </row>
    <row r="701" spans="1:16" x14ac:dyDescent="0.25">
      <c r="A701" t="s">
        <v>3261</v>
      </c>
      <c r="B701" t="str">
        <f>HYPERLINK("https://staging-dtl-pattern-api.hfm-weimar.de/static/audio/solos/dtl/AQAIAIqaZOGiKMGPTD9Uoysd8Ct0Jjke_0.00.23.024897-0.01.41.056408.mp3", "link")</f>
        <v>link</v>
      </c>
      <c r="D701" t="s">
        <v>3262</v>
      </c>
      <c r="E701" t="s">
        <v>3263</v>
      </c>
      <c r="F701" t="s">
        <v>3263</v>
      </c>
      <c r="G701" t="s">
        <v>3263</v>
      </c>
      <c r="J701" t="s">
        <v>3264</v>
      </c>
      <c r="K701" t="s">
        <v>3265</v>
      </c>
      <c r="L701" s="1" t="s">
        <v>3266</v>
      </c>
      <c r="M701" t="s">
        <v>3267</v>
      </c>
      <c r="N701" t="s">
        <v>23</v>
      </c>
      <c r="O701" s="1" t="s">
        <v>3268</v>
      </c>
      <c r="P701" s="1" t="s">
        <v>3269</v>
      </c>
    </row>
    <row r="702" spans="1:16" x14ac:dyDescent="0.25">
      <c r="A702" t="s">
        <v>3270</v>
      </c>
      <c r="B702" t="str">
        <f>HYPERLINK("https://staging-dtl-pattern-api.hfm-weimar.de/static/audio/solos/dtl/AQAIAIqaZOGiKMGPTD9Uoysd8Ct0Jjke_0.02.24.052244-0.03.27.080408.mp3", "link")</f>
        <v>link</v>
      </c>
      <c r="D702" t="s">
        <v>3262</v>
      </c>
      <c r="E702" t="s">
        <v>3263</v>
      </c>
      <c r="F702" t="s">
        <v>3263</v>
      </c>
      <c r="G702" t="s">
        <v>3263</v>
      </c>
      <c r="J702" t="s">
        <v>3264</v>
      </c>
      <c r="K702" t="s">
        <v>3265</v>
      </c>
      <c r="L702" s="1" t="s">
        <v>3266</v>
      </c>
      <c r="M702" t="s">
        <v>3267</v>
      </c>
      <c r="N702" t="s">
        <v>23</v>
      </c>
      <c r="O702" s="1" t="s">
        <v>3271</v>
      </c>
      <c r="P702" s="1" t="s">
        <v>3272</v>
      </c>
    </row>
    <row r="703" spans="1:16" x14ac:dyDescent="0.25">
      <c r="A703" t="s">
        <v>3273</v>
      </c>
      <c r="B703" t="str">
        <f>HYPERLINK("https://staging-dtl-pattern-api.hfm-weimar.de/static/audio/solos/dtl/AQAIAIqaZOGiKMGPTD9Uoysd8Ct0Jjke_0.03.27.080408-0.03.49.015918.mp3", "link")</f>
        <v>link</v>
      </c>
      <c r="D703" t="s">
        <v>3262</v>
      </c>
      <c r="E703" t="s">
        <v>3263</v>
      </c>
      <c r="F703" t="s">
        <v>3263</v>
      </c>
      <c r="G703" t="s">
        <v>3263</v>
      </c>
      <c r="J703" t="s">
        <v>3264</v>
      </c>
      <c r="K703" t="s">
        <v>3265</v>
      </c>
      <c r="L703" s="1" t="s">
        <v>3266</v>
      </c>
      <c r="M703" t="s">
        <v>3267</v>
      </c>
      <c r="N703" t="s">
        <v>23</v>
      </c>
      <c r="O703" s="1" t="s">
        <v>3272</v>
      </c>
      <c r="P703" s="1" t="s">
        <v>3274</v>
      </c>
    </row>
    <row r="704" spans="1:16" x14ac:dyDescent="0.25">
      <c r="A704" t="s">
        <v>3275</v>
      </c>
      <c r="B704" t="str">
        <f>HYPERLINK("https://staging-dtl-pattern-api.hfm-weimar.de/static/audio/solos/dtl/AQAIBIuSJEksJQl-XEJSm0J6WsJdHL0W_0.00.42.002811-0.01.15.055773.mp3", "link")</f>
        <v>link</v>
      </c>
      <c r="D704" t="s">
        <v>3276</v>
      </c>
      <c r="E704" t="s">
        <v>258</v>
      </c>
      <c r="F704" t="s">
        <v>3277</v>
      </c>
      <c r="G704" t="s">
        <v>258</v>
      </c>
      <c r="H704" t="s">
        <v>3278</v>
      </c>
      <c r="I704">
        <v>10</v>
      </c>
      <c r="J704" t="s">
        <v>126</v>
      </c>
      <c r="K704" t="s">
        <v>3279</v>
      </c>
      <c r="L704" s="1" t="s">
        <v>3280</v>
      </c>
      <c r="M704" t="s">
        <v>129</v>
      </c>
      <c r="N704" t="s">
        <v>288</v>
      </c>
      <c r="O704" s="1" t="s">
        <v>3281</v>
      </c>
      <c r="P704" s="1" t="s">
        <v>3282</v>
      </c>
    </row>
    <row r="705" spans="1:16" x14ac:dyDescent="0.25">
      <c r="A705" t="s">
        <v>3283</v>
      </c>
      <c r="B705" t="str">
        <f>HYPERLINK("https://staging-dtl-pattern-api.hfm-weimar.de/static/audio/solos/dtl/AQAIBIuSJEksJQl-XEJSm0J6WsJdHL0W_0.01.15.055773-0.01.47.053160.mp3", "link")</f>
        <v>link</v>
      </c>
      <c r="D705" t="s">
        <v>3276</v>
      </c>
      <c r="E705" t="s">
        <v>258</v>
      </c>
      <c r="F705" t="s">
        <v>3277</v>
      </c>
      <c r="G705" t="s">
        <v>258</v>
      </c>
      <c r="H705" t="s">
        <v>3278</v>
      </c>
      <c r="I705">
        <v>10</v>
      </c>
      <c r="J705" t="s">
        <v>126</v>
      </c>
      <c r="K705" t="s">
        <v>3279</v>
      </c>
      <c r="L705" s="1" t="s">
        <v>3280</v>
      </c>
      <c r="M705" t="s">
        <v>129</v>
      </c>
      <c r="N705" t="s">
        <v>288</v>
      </c>
      <c r="O705" s="1" t="s">
        <v>3282</v>
      </c>
      <c r="P705" s="1" t="s">
        <v>3284</v>
      </c>
    </row>
    <row r="706" spans="1:16" x14ac:dyDescent="0.25">
      <c r="A706" t="s">
        <v>3285</v>
      </c>
      <c r="B706" t="str">
        <f>HYPERLINK("https://staging-dtl-pattern-api.hfm-weimar.de/static/audio/solos/dtl/AQAICNGjJEoSRkngK9CTEZGPSYd1Z0Wf_0.01.00.097560-0.01.56.093569.mp3", "link")</f>
        <v>link</v>
      </c>
      <c r="D706" t="s">
        <v>3286</v>
      </c>
      <c r="E706" t="s">
        <v>3287</v>
      </c>
      <c r="F706" t="s">
        <v>2125</v>
      </c>
      <c r="G706" t="s">
        <v>2125</v>
      </c>
      <c r="J706" t="s">
        <v>2126</v>
      </c>
      <c r="K706" t="s">
        <v>3288</v>
      </c>
      <c r="L706" s="1" t="s">
        <v>2128</v>
      </c>
      <c r="M706" t="s">
        <v>2129</v>
      </c>
      <c r="N706" t="s">
        <v>23</v>
      </c>
      <c r="O706" s="1" t="s">
        <v>3289</v>
      </c>
      <c r="P706" s="1" t="s">
        <v>263</v>
      </c>
    </row>
    <row r="707" spans="1:16" x14ac:dyDescent="0.25">
      <c r="A707" t="s">
        <v>3290</v>
      </c>
      <c r="B707" t="str">
        <f>HYPERLINK("https://staging-dtl-pattern-api.hfm-weimar.de/static/audio/solos/dtl/AQAICNGjJEoSRkngK9CTEZGPSYd1Z0Wf_0.01.56.093569-0.02.53.063882.mp3", "link")</f>
        <v>link</v>
      </c>
      <c r="C707" t="s">
        <v>3291</v>
      </c>
      <c r="D707" t="s">
        <v>3286</v>
      </c>
      <c r="F707" t="s">
        <v>2125</v>
      </c>
      <c r="G707" t="s">
        <v>2125</v>
      </c>
      <c r="J707" t="s">
        <v>2126</v>
      </c>
      <c r="K707" t="s">
        <v>3288</v>
      </c>
      <c r="L707" s="1" t="s">
        <v>2128</v>
      </c>
      <c r="M707" t="s">
        <v>2129</v>
      </c>
      <c r="N707" t="s">
        <v>172</v>
      </c>
      <c r="O707" s="1" t="s">
        <v>263</v>
      </c>
      <c r="P707" s="1" t="s">
        <v>3292</v>
      </c>
    </row>
    <row r="708" spans="1:16" x14ac:dyDescent="0.25">
      <c r="A708" t="s">
        <v>3293</v>
      </c>
      <c r="B708" t="str">
        <f>HYPERLINK("https://staging-dtl-pattern-api.hfm-weimar.de/static/audio/solos/dtl/AQAIeEuWKNSSaPhjvDiOXCIqHY-eQjvS_0.01.24.028843-0.02.25.072020.mp3", "link")</f>
        <v>link</v>
      </c>
      <c r="D708" t="s">
        <v>3294</v>
      </c>
      <c r="E708" t="s">
        <v>3295</v>
      </c>
      <c r="F708" t="s">
        <v>3296</v>
      </c>
      <c r="G708" t="s">
        <v>3296</v>
      </c>
      <c r="J708" t="s">
        <v>3297</v>
      </c>
      <c r="K708" t="s">
        <v>3298</v>
      </c>
      <c r="L708" s="1" t="s">
        <v>3299</v>
      </c>
      <c r="M708" t="s">
        <v>129</v>
      </c>
      <c r="N708" t="s">
        <v>288</v>
      </c>
      <c r="O708" s="1" t="s">
        <v>3300</v>
      </c>
      <c r="P708" s="1" t="s">
        <v>3301</v>
      </c>
    </row>
    <row r="709" spans="1:16" x14ac:dyDescent="0.25">
      <c r="A709" t="s">
        <v>3302</v>
      </c>
      <c r="B709" t="str">
        <f>HYPERLINK("https://staging-dtl-pattern-api.hfm-weimar.de/static/audio/solos/dtl/AQAIf5HThIoShF_RJDcuPMd348mF0M3h_0.00.00.000000-0.00.16.095594.mp3", "link")</f>
        <v>link</v>
      </c>
      <c r="D709" t="s">
        <v>3303</v>
      </c>
      <c r="E709" t="s">
        <v>3304</v>
      </c>
      <c r="F709" t="s">
        <v>3304</v>
      </c>
      <c r="G709" t="s">
        <v>3304</v>
      </c>
      <c r="J709" t="s">
        <v>3305</v>
      </c>
      <c r="K709" t="s">
        <v>2431</v>
      </c>
      <c r="L709" s="1" t="s">
        <v>3306</v>
      </c>
      <c r="M709" t="s">
        <v>2824</v>
      </c>
      <c r="N709" t="s">
        <v>202</v>
      </c>
      <c r="O709" s="1" t="s">
        <v>271</v>
      </c>
      <c r="P709" s="1" t="s">
        <v>3307</v>
      </c>
    </row>
    <row r="710" spans="1:16" x14ac:dyDescent="0.25">
      <c r="A710" t="s">
        <v>3308</v>
      </c>
      <c r="B710" t="str">
        <f>HYPERLINK("https://staging-dtl-pattern-api.hfm-weimar.de/static/audio/solos/dtl/AQAIG1KSLNolwddRPNGD60QPX0mRf0h6_0.01.17.012979-0.01.57.099655.mp3", "link")</f>
        <v>link</v>
      </c>
      <c r="D710" t="s">
        <v>2872</v>
      </c>
      <c r="E710" t="s">
        <v>2211</v>
      </c>
      <c r="F710" t="s">
        <v>2873</v>
      </c>
      <c r="G710" t="s">
        <v>2211</v>
      </c>
      <c r="H710" t="s">
        <v>2874</v>
      </c>
      <c r="I710">
        <v>8</v>
      </c>
      <c r="J710" t="s">
        <v>141</v>
      </c>
      <c r="K710" t="s">
        <v>3309</v>
      </c>
      <c r="L710" s="1" t="s">
        <v>2876</v>
      </c>
      <c r="M710" t="s">
        <v>129</v>
      </c>
      <c r="N710" t="s">
        <v>109</v>
      </c>
      <c r="O710" s="1" t="s">
        <v>3310</v>
      </c>
      <c r="P710" s="1" t="s">
        <v>3311</v>
      </c>
    </row>
    <row r="711" spans="1:16" x14ac:dyDescent="0.25">
      <c r="A711" t="s">
        <v>3312</v>
      </c>
      <c r="B711" t="str">
        <f>HYPERLINK("https://staging-dtl-pattern-api.hfm-weimar.de/static/audio/solos/dtl/AQAIG1KSLNolwddRPNGD60QPX0mRf0h6_0.03.34.075283-0.04.19.056000.mp3", "link")</f>
        <v>link</v>
      </c>
      <c r="D711" t="s">
        <v>2872</v>
      </c>
      <c r="E711" t="s">
        <v>2211</v>
      </c>
      <c r="F711" t="s">
        <v>2873</v>
      </c>
      <c r="G711" t="s">
        <v>2211</v>
      </c>
      <c r="H711" t="s">
        <v>2874</v>
      </c>
      <c r="I711">
        <v>8</v>
      </c>
      <c r="J711" t="s">
        <v>141</v>
      </c>
      <c r="K711" t="s">
        <v>3309</v>
      </c>
      <c r="L711" s="1" t="s">
        <v>2876</v>
      </c>
      <c r="M711" t="s">
        <v>129</v>
      </c>
      <c r="N711" t="s">
        <v>109</v>
      </c>
      <c r="O711" s="1" t="s">
        <v>3313</v>
      </c>
      <c r="P711" s="1" t="s">
        <v>3314</v>
      </c>
    </row>
    <row r="712" spans="1:16" x14ac:dyDescent="0.25">
      <c r="A712" t="s">
        <v>3315</v>
      </c>
      <c r="B712" t="str">
        <f>HYPERLINK("https://staging-dtl-pattern-api.hfm-weimar.de/static/audio/solos/dtl/AQAIgbSUSEqaBD8cM8XHCdeFXPCUInmi_0.02.33.025013-0.03.05.029421.mp3", "link")</f>
        <v>link</v>
      </c>
      <c r="D712" t="s">
        <v>3316</v>
      </c>
      <c r="E712" t="s">
        <v>3317</v>
      </c>
      <c r="F712" t="s">
        <v>3318</v>
      </c>
      <c r="G712" t="s">
        <v>3318</v>
      </c>
      <c r="J712" t="s">
        <v>3319</v>
      </c>
      <c r="K712" t="s">
        <v>3320</v>
      </c>
      <c r="L712" s="1" t="s">
        <v>3321</v>
      </c>
      <c r="M712" t="s">
        <v>3322</v>
      </c>
      <c r="N712" t="s">
        <v>622</v>
      </c>
      <c r="O712" s="1" t="s">
        <v>3323</v>
      </c>
      <c r="P712" s="1" t="s">
        <v>3324</v>
      </c>
    </row>
    <row r="713" spans="1:16" x14ac:dyDescent="0.25">
      <c r="A713" t="s">
        <v>3325</v>
      </c>
      <c r="B713" t="str">
        <f>HYPERLINK("https://staging-dtl-pattern-api.hfm-weimar.de/static/audio/solos/dtl/AQAIgbSUSEqaBD8cM8XHCdeFXPCUInmi_0.03.38.046845-0.04.16.040818.mp3", "link")</f>
        <v>link</v>
      </c>
      <c r="D713" t="s">
        <v>3316</v>
      </c>
      <c r="E713" t="s">
        <v>3317</v>
      </c>
      <c r="F713" t="s">
        <v>3318</v>
      </c>
      <c r="G713" t="s">
        <v>3318</v>
      </c>
      <c r="J713" t="s">
        <v>3319</v>
      </c>
      <c r="K713" t="s">
        <v>3320</v>
      </c>
      <c r="L713" s="1" t="s">
        <v>3321</v>
      </c>
      <c r="M713" t="s">
        <v>3322</v>
      </c>
      <c r="N713" t="s">
        <v>622</v>
      </c>
      <c r="O713" s="1" t="s">
        <v>3326</v>
      </c>
      <c r="P713" s="1" t="s">
        <v>3327</v>
      </c>
    </row>
    <row r="714" spans="1:16" x14ac:dyDescent="0.25">
      <c r="A714" t="s">
        <v>3328</v>
      </c>
      <c r="B714" t="str">
        <f>HYPERLINK("https://staging-dtl-pattern-api.hfm-weimar.de/static/audio/solos/dtl/AQAIgtEaJdmKdBKD42JiHOciIkzzIDnY_0.00.40.026503-0.02.41.007702.mp3", "link")</f>
        <v>link</v>
      </c>
      <c r="D714" t="s">
        <v>2810</v>
      </c>
      <c r="E714" t="s">
        <v>2811</v>
      </c>
      <c r="F714" t="s">
        <v>2811</v>
      </c>
      <c r="G714" t="s">
        <v>2811</v>
      </c>
      <c r="J714" t="s">
        <v>2812</v>
      </c>
      <c r="K714" t="s">
        <v>3329</v>
      </c>
      <c r="L714" s="1" t="s">
        <v>2814</v>
      </c>
      <c r="M714" t="s">
        <v>2815</v>
      </c>
      <c r="N714" t="s">
        <v>23</v>
      </c>
      <c r="O714" s="1" t="s">
        <v>3330</v>
      </c>
      <c r="P714" s="1" t="s">
        <v>3331</v>
      </c>
    </row>
    <row r="715" spans="1:16" x14ac:dyDescent="0.25">
      <c r="A715" t="s">
        <v>3332</v>
      </c>
      <c r="B715" t="str">
        <f>HYPERLINK("https://staging-dtl-pattern-api.hfm-weimar.de/static/audio/solos/dtl/AQAIgtEaJdmKdBKD42JiHOciIkzzIDnY_0.03.48.062367-0.04.05.066712.mp3", "link")</f>
        <v>link</v>
      </c>
      <c r="D715" t="s">
        <v>2810</v>
      </c>
      <c r="E715" t="s">
        <v>2811</v>
      </c>
      <c r="F715" t="s">
        <v>2811</v>
      </c>
      <c r="G715" t="s">
        <v>2811</v>
      </c>
      <c r="J715" t="s">
        <v>2812</v>
      </c>
      <c r="K715" t="s">
        <v>3329</v>
      </c>
      <c r="L715" s="1" t="s">
        <v>2814</v>
      </c>
      <c r="M715" t="s">
        <v>2815</v>
      </c>
      <c r="N715" t="s">
        <v>23</v>
      </c>
      <c r="O715" s="1" t="s">
        <v>3333</v>
      </c>
      <c r="P715" s="1" t="s">
        <v>3334</v>
      </c>
    </row>
    <row r="716" spans="1:16" x14ac:dyDescent="0.25">
      <c r="A716" t="s">
        <v>3335</v>
      </c>
      <c r="B716" t="str">
        <f>HYPERLINK("https://staging-dtl-pattern-api.hfm-weimar.de/static/audio/solos/dtl/AQAIHNSibBsj5GGOR61wOkisZQ-8J7gv_0.00.36.060408-0.01.08.099591.mp3", "link")</f>
        <v>link</v>
      </c>
      <c r="D716" t="s">
        <v>3336</v>
      </c>
      <c r="E716" t="s">
        <v>3337</v>
      </c>
      <c r="F716" t="s">
        <v>3338</v>
      </c>
      <c r="J716" t="s">
        <v>3339</v>
      </c>
      <c r="K716" t="s">
        <v>3340</v>
      </c>
      <c r="L716" s="1" t="s">
        <v>3341</v>
      </c>
      <c r="M716" t="s">
        <v>129</v>
      </c>
      <c r="N716" t="s">
        <v>23</v>
      </c>
      <c r="O716" s="1" t="s">
        <v>3342</v>
      </c>
      <c r="P716" s="1" t="s">
        <v>3343</v>
      </c>
    </row>
    <row r="717" spans="1:16" x14ac:dyDescent="0.25">
      <c r="A717" t="s">
        <v>3344</v>
      </c>
      <c r="B717" t="str">
        <f>HYPERLINK("https://staging-dtl-pattern-api.hfm-weimar.de/static/audio/solos/dtl/AQAIHNSibBsj5GGOR61wOkisZQ-8J7gv_0.01.08.099591-0.01.39.062448.mp3", "link")</f>
        <v>link</v>
      </c>
      <c r="D717" t="s">
        <v>3336</v>
      </c>
      <c r="E717" t="s">
        <v>3345</v>
      </c>
      <c r="F717" t="s">
        <v>3338</v>
      </c>
      <c r="J717" t="s">
        <v>3339</v>
      </c>
      <c r="K717" t="s">
        <v>3340</v>
      </c>
      <c r="L717" s="1" t="s">
        <v>3341</v>
      </c>
      <c r="M717" t="s">
        <v>129</v>
      </c>
      <c r="N717" t="s">
        <v>46</v>
      </c>
      <c r="O717" s="1" t="s">
        <v>3343</v>
      </c>
      <c r="P717" s="1" t="s">
        <v>3346</v>
      </c>
    </row>
    <row r="718" spans="1:16" x14ac:dyDescent="0.25">
      <c r="A718" t="s">
        <v>3347</v>
      </c>
      <c r="B718" t="str">
        <f>HYPERLINK("https://staging-dtl-pattern-api.hfm-weimar.de/static/audio/solos/dtl/AQAIHNSibBsj5GGOR61wOkisZQ-8J7gv_0.01.39.062448-0.02.09.027346.mp3", "link")</f>
        <v>link</v>
      </c>
      <c r="D718" t="s">
        <v>3336</v>
      </c>
      <c r="E718" t="s">
        <v>3345</v>
      </c>
      <c r="F718" t="s">
        <v>3338</v>
      </c>
      <c r="J718" t="s">
        <v>3339</v>
      </c>
      <c r="K718" t="s">
        <v>3340</v>
      </c>
      <c r="L718" s="1" t="s">
        <v>3341</v>
      </c>
      <c r="M718" t="s">
        <v>129</v>
      </c>
      <c r="N718" t="s">
        <v>3348</v>
      </c>
      <c r="O718" s="1" t="s">
        <v>3346</v>
      </c>
      <c r="P718" s="1" t="s">
        <v>3349</v>
      </c>
    </row>
    <row r="719" spans="1:16" x14ac:dyDescent="0.25">
      <c r="A719" t="s">
        <v>3350</v>
      </c>
      <c r="B719" t="str">
        <f>HYPERLINK("https://staging-dtl-pattern-api.hfm-weimar.de/static/audio/solos/dtl/AQAIHNSibBsj5GGOR61wOkisZQ-8J7gv_0.03.07.075510-0.04.19.065714.mp3", "link")</f>
        <v>link</v>
      </c>
      <c r="D719" t="s">
        <v>3336</v>
      </c>
      <c r="E719" t="s">
        <v>3337</v>
      </c>
      <c r="F719" t="s">
        <v>3338</v>
      </c>
      <c r="J719" t="s">
        <v>3339</v>
      </c>
      <c r="K719" t="s">
        <v>3340</v>
      </c>
      <c r="L719" s="1" t="s">
        <v>3341</v>
      </c>
      <c r="M719" t="s">
        <v>129</v>
      </c>
      <c r="N719" t="s">
        <v>23</v>
      </c>
      <c r="O719" s="1" t="s">
        <v>3351</v>
      </c>
      <c r="P719" s="1" t="s">
        <v>3352</v>
      </c>
    </row>
    <row r="720" spans="1:16" x14ac:dyDescent="0.25">
      <c r="A720" t="s">
        <v>3353</v>
      </c>
      <c r="B720" t="str">
        <f>HYPERLINK("https://staging-dtl-pattern-api.hfm-weimar.de/static/audio/solos/dtl/AQAIJkkSa5ISZQn6WAtYPcjPgpGkqnhC_0.01.28.042158-0.02.01.092798.mp3", "link")</f>
        <v>link</v>
      </c>
      <c r="D720" t="s">
        <v>3354</v>
      </c>
      <c r="E720" t="s">
        <v>3355</v>
      </c>
      <c r="F720" t="s">
        <v>2052</v>
      </c>
      <c r="G720" t="s">
        <v>54</v>
      </c>
      <c r="H720" t="s">
        <v>3356</v>
      </c>
      <c r="I720">
        <v>72</v>
      </c>
      <c r="J720" t="s">
        <v>126</v>
      </c>
      <c r="K720" t="s">
        <v>2335</v>
      </c>
      <c r="L720" s="1" t="s">
        <v>3357</v>
      </c>
      <c r="M720" t="s">
        <v>448</v>
      </c>
      <c r="N720" t="s">
        <v>622</v>
      </c>
      <c r="O720" s="1" t="s">
        <v>3358</v>
      </c>
      <c r="P720" s="1" t="s">
        <v>3359</v>
      </c>
    </row>
    <row r="721" spans="1:17" x14ac:dyDescent="0.25">
      <c r="A721" t="s">
        <v>3360</v>
      </c>
      <c r="B721" t="str">
        <f>HYPERLINK("https://staging-dtl-pattern-api.hfm-weimar.de/static/audio/solos/dtl/AQAIJkkSa5ISZQn6WAtYPcjPgpGkqnhC_0.02.01.092798-0.03.02.059591.mp3", "link")</f>
        <v>link</v>
      </c>
      <c r="D721" t="s">
        <v>3354</v>
      </c>
      <c r="E721" t="s">
        <v>54</v>
      </c>
      <c r="F721" t="s">
        <v>2052</v>
      </c>
      <c r="G721" t="s">
        <v>54</v>
      </c>
      <c r="H721" t="s">
        <v>3356</v>
      </c>
      <c r="I721">
        <v>72</v>
      </c>
      <c r="J721" t="s">
        <v>126</v>
      </c>
      <c r="K721" t="s">
        <v>2335</v>
      </c>
      <c r="L721" s="1" t="s">
        <v>3357</v>
      </c>
      <c r="M721" t="s">
        <v>448</v>
      </c>
      <c r="N721" t="s">
        <v>46</v>
      </c>
      <c r="O721" s="1" t="s">
        <v>3359</v>
      </c>
      <c r="P721" s="1" t="s">
        <v>3361</v>
      </c>
    </row>
    <row r="722" spans="1:17" x14ac:dyDescent="0.25">
      <c r="A722" t="s">
        <v>3362</v>
      </c>
      <c r="B722" t="str">
        <f>HYPERLINK("https://staging-dtl-pattern-api.hfm-weimar.de/static/audio/solos/dtl/AQAIJWJCJVosXA96onlyHIf3HHmizEiW_0.02.18.099464-0.02.42.044680.mp3", "link")</f>
        <v>link</v>
      </c>
      <c r="D722" t="s">
        <v>3363</v>
      </c>
      <c r="E722" t="s">
        <v>3364</v>
      </c>
      <c r="F722" t="s">
        <v>3365</v>
      </c>
      <c r="G722" t="s">
        <v>3365</v>
      </c>
      <c r="J722" t="s">
        <v>3366</v>
      </c>
      <c r="K722" t="s">
        <v>3367</v>
      </c>
      <c r="L722" s="1" t="s">
        <v>3368</v>
      </c>
      <c r="M722" t="s">
        <v>3369</v>
      </c>
      <c r="N722" t="s">
        <v>449</v>
      </c>
      <c r="O722" s="1" t="s">
        <v>3370</v>
      </c>
      <c r="P722" s="1" t="s">
        <v>3371</v>
      </c>
    </row>
    <row r="723" spans="1:17" x14ac:dyDescent="0.25">
      <c r="A723" t="s">
        <v>3372</v>
      </c>
      <c r="B723" t="str">
        <f>HYPERLINK("https://staging-dtl-pattern-api.hfm-weimar.de/static/audio/solos/dtl/AQAIkdqTURI-EnWDNxeeI7-RoJ-Hhmqo_0.01.59.095428-0.02.55.021777.mp3", "link")</f>
        <v>link</v>
      </c>
      <c r="D723" t="s">
        <v>3373</v>
      </c>
      <c r="E723" t="s">
        <v>3374</v>
      </c>
      <c r="F723" t="s">
        <v>3374</v>
      </c>
      <c r="G723" t="s">
        <v>3374</v>
      </c>
      <c r="J723" t="s">
        <v>3375</v>
      </c>
      <c r="K723" t="s">
        <v>3376</v>
      </c>
      <c r="L723" s="1" t="s">
        <v>3377</v>
      </c>
      <c r="M723" t="s">
        <v>3378</v>
      </c>
      <c r="N723" t="s">
        <v>288</v>
      </c>
      <c r="O723" s="1" t="s">
        <v>3379</v>
      </c>
      <c r="P723" s="1" t="s">
        <v>3380</v>
      </c>
    </row>
    <row r="724" spans="1:17" x14ac:dyDescent="0.25">
      <c r="A724" t="s">
        <v>3381</v>
      </c>
      <c r="B724" t="str">
        <f>HYPERLINK("https://staging-dtl-pattern-api.hfm-weimar.de/static/audio/solos/dtl/AQAIkdqTURI-EnWDNxeeI7-RoJ-Hhmqo_0.03.23.012816-0.03.31.053378.mp3", "link")</f>
        <v>link</v>
      </c>
      <c r="D724" t="s">
        <v>3373</v>
      </c>
      <c r="E724" t="s">
        <v>3374</v>
      </c>
      <c r="F724" t="s">
        <v>3374</v>
      </c>
      <c r="G724" t="s">
        <v>3374</v>
      </c>
      <c r="J724" t="s">
        <v>3375</v>
      </c>
      <c r="K724" t="s">
        <v>3376</v>
      </c>
      <c r="L724" s="1" t="s">
        <v>3377</v>
      </c>
      <c r="M724" t="s">
        <v>3378</v>
      </c>
      <c r="N724" t="s">
        <v>288</v>
      </c>
      <c r="O724" s="1" t="s">
        <v>3382</v>
      </c>
      <c r="P724" s="1" t="s">
        <v>3383</v>
      </c>
    </row>
    <row r="725" spans="1:17" x14ac:dyDescent="0.25">
      <c r="A725" t="s">
        <v>3384</v>
      </c>
      <c r="B725" t="str">
        <f>HYPERLINK("https://staging-dtl-pattern-api.hfm-weimar.de/static/audio/solos/dtl/AQAIkdqTURI-EnWDNxeeI7-RoJ-Hhmqo_0.03.41.028616-0.03.48.094875.mp3", "link")</f>
        <v>link</v>
      </c>
      <c r="D725" t="s">
        <v>3373</v>
      </c>
      <c r="E725" t="s">
        <v>3374</v>
      </c>
      <c r="F725" t="s">
        <v>3374</v>
      </c>
      <c r="G725" t="s">
        <v>3374</v>
      </c>
      <c r="J725" t="s">
        <v>3375</v>
      </c>
      <c r="K725" t="s">
        <v>3376</v>
      </c>
      <c r="L725" s="1" t="s">
        <v>3377</v>
      </c>
      <c r="M725" t="s">
        <v>3378</v>
      </c>
      <c r="N725" t="s">
        <v>288</v>
      </c>
      <c r="O725" s="1" t="s">
        <v>3385</v>
      </c>
      <c r="P725" s="1" t="s">
        <v>3386</v>
      </c>
    </row>
    <row r="726" spans="1:17" x14ac:dyDescent="0.25">
      <c r="A726" t="s">
        <v>3387</v>
      </c>
      <c r="B726" t="str">
        <f>HYPERLINK("https://staging-dtl-pattern-api.hfm-weimar.de/static/audio/solos/dtl/AQAIkdqTURI-EnWDNxeeI7-RoJ-Hhmqo_0.03.59.007265-0.04.08.068571.mp3", "link")</f>
        <v>link</v>
      </c>
      <c r="D726" t="s">
        <v>3373</v>
      </c>
      <c r="E726" t="s">
        <v>3374</v>
      </c>
      <c r="F726" t="s">
        <v>3374</v>
      </c>
      <c r="G726" t="s">
        <v>3374</v>
      </c>
      <c r="J726" t="s">
        <v>3375</v>
      </c>
      <c r="K726" t="s">
        <v>3376</v>
      </c>
      <c r="L726" s="1" t="s">
        <v>3377</v>
      </c>
      <c r="M726" t="s">
        <v>3378</v>
      </c>
      <c r="N726" t="s">
        <v>288</v>
      </c>
      <c r="O726" s="1" t="s">
        <v>3388</v>
      </c>
      <c r="P726" s="1" t="s">
        <v>3389</v>
      </c>
    </row>
    <row r="727" spans="1:17" x14ac:dyDescent="0.25">
      <c r="A727" t="s">
        <v>3390</v>
      </c>
      <c r="B727" t="str">
        <f>HYPERLINK("https://staging-dtl-pattern-api.hfm-weimar.de/static/audio/solos/dtl/AQAIkIwSJcsqBudxol-RQx9-PIdmDmme_0.00.47.080408-0.01.57.009387.mp3", "link")</f>
        <v>link</v>
      </c>
      <c r="D727" t="s">
        <v>3391</v>
      </c>
      <c r="E727" t="s">
        <v>7107</v>
      </c>
      <c r="F727" t="s">
        <v>3392</v>
      </c>
      <c r="G727" t="s">
        <v>3392</v>
      </c>
      <c r="J727" t="s">
        <v>3393</v>
      </c>
      <c r="K727" t="s">
        <v>3394</v>
      </c>
      <c r="L727" s="1" t="s">
        <v>3395</v>
      </c>
      <c r="M727" t="s">
        <v>3396</v>
      </c>
      <c r="N727" t="s">
        <v>23</v>
      </c>
      <c r="O727" s="1" t="s">
        <v>3397</v>
      </c>
      <c r="P727" s="1" t="s">
        <v>3398</v>
      </c>
      <c r="Q727" s="1" t="s">
        <v>7266</v>
      </c>
    </row>
    <row r="728" spans="1:17" x14ac:dyDescent="0.25">
      <c r="A728" t="s">
        <v>3399</v>
      </c>
      <c r="B728" t="str">
        <f>HYPERLINK("https://staging-dtl-pattern-api.hfm-weimar.de/static/audio/solos/dtl/AQAIklGSSVHSZEmQ_jCP8gR32kIjc0Wo_0.02.00.055510-0.04.05.081224.mp3", "link")</f>
        <v>link</v>
      </c>
      <c r="D728" t="s">
        <v>3400</v>
      </c>
      <c r="F728" t="s">
        <v>3401</v>
      </c>
      <c r="G728" t="s">
        <v>3401</v>
      </c>
      <c r="J728" t="s">
        <v>3402</v>
      </c>
      <c r="K728" t="s">
        <v>3403</v>
      </c>
      <c r="L728" s="1" t="s">
        <v>3404</v>
      </c>
      <c r="M728" t="s">
        <v>2824</v>
      </c>
      <c r="N728" t="s">
        <v>23</v>
      </c>
      <c r="O728" s="1" t="s">
        <v>3405</v>
      </c>
      <c r="P728" s="1" t="s">
        <v>3406</v>
      </c>
    </row>
    <row r="729" spans="1:17" x14ac:dyDescent="0.25">
      <c r="A729" t="s">
        <v>3407</v>
      </c>
      <c r="B729" t="str">
        <f>HYPERLINK("https://staging-dtl-pattern-api.hfm-weimar.de/static/audio/solos/dtl/AQAIkpIkJYseNCuehIVr5wh7BsnzDBWS_0.01.14.081469-0.02.18.018195.mp3", "link")</f>
        <v>link</v>
      </c>
      <c r="D729" t="s">
        <v>3408</v>
      </c>
      <c r="E729" t="s">
        <v>663</v>
      </c>
      <c r="F729" t="s">
        <v>3409</v>
      </c>
      <c r="G729" t="s">
        <v>3410</v>
      </c>
      <c r="H729" t="s">
        <v>3411</v>
      </c>
      <c r="I729">
        <v>68</v>
      </c>
      <c r="J729" t="s">
        <v>616</v>
      </c>
      <c r="K729" t="s">
        <v>3412</v>
      </c>
      <c r="L729" s="1" t="s">
        <v>3413</v>
      </c>
      <c r="M729" t="s">
        <v>129</v>
      </c>
      <c r="N729" t="s">
        <v>46</v>
      </c>
      <c r="O729" s="1" t="s">
        <v>3414</v>
      </c>
      <c r="P729" s="1" t="s">
        <v>3415</v>
      </c>
    </row>
    <row r="730" spans="1:17" x14ac:dyDescent="0.25">
      <c r="A730" t="s">
        <v>3416</v>
      </c>
      <c r="B730" t="str">
        <f>HYPERLINK("https://staging-dtl-pattern-api.hfm-weimar.de/static/audio/solos/dtl/AQAIkpIkJYseNCuehIVr5wh7BsnzDBWS_0.02.18.018195-0.03.24.038204.mp3", "link")</f>
        <v>link</v>
      </c>
      <c r="D730" t="s">
        <v>3408</v>
      </c>
      <c r="E730" t="s">
        <v>3417</v>
      </c>
      <c r="F730" t="s">
        <v>3409</v>
      </c>
      <c r="G730" t="s">
        <v>3410</v>
      </c>
      <c r="H730" t="s">
        <v>3411</v>
      </c>
      <c r="I730">
        <v>68</v>
      </c>
      <c r="J730" t="s">
        <v>616</v>
      </c>
      <c r="K730" t="s">
        <v>3412</v>
      </c>
      <c r="L730" s="1" t="s">
        <v>3413</v>
      </c>
      <c r="M730" t="s">
        <v>129</v>
      </c>
      <c r="N730" t="s">
        <v>23</v>
      </c>
      <c r="O730" s="1" t="s">
        <v>3415</v>
      </c>
      <c r="P730" s="1" t="s">
        <v>3418</v>
      </c>
    </row>
    <row r="731" spans="1:17" x14ac:dyDescent="0.25">
      <c r="A731" t="s">
        <v>3419</v>
      </c>
      <c r="B731" t="str">
        <f>HYPERLINK("https://staging-dtl-pattern-api.hfm-weimar.de/static/audio/solos/dtl/AQAIlose9cIDXsWTHPvxHk19PAxzXHtw_0.01.38.048163-0.01.49.019183.mp3", "link")</f>
        <v>link</v>
      </c>
      <c r="D731" t="s">
        <v>3420</v>
      </c>
      <c r="F731" t="s">
        <v>3421</v>
      </c>
      <c r="G731" t="s">
        <v>3421</v>
      </c>
      <c r="J731" t="s">
        <v>3422</v>
      </c>
      <c r="K731" t="s">
        <v>3423</v>
      </c>
      <c r="L731" s="1" t="s">
        <v>3424</v>
      </c>
      <c r="M731" t="s">
        <v>3425</v>
      </c>
      <c r="N731" t="s">
        <v>172</v>
      </c>
      <c r="O731" s="1" t="s">
        <v>999</v>
      </c>
      <c r="P731" s="1" t="s">
        <v>3426</v>
      </c>
    </row>
    <row r="732" spans="1:17" x14ac:dyDescent="0.25">
      <c r="A732" t="s">
        <v>3427</v>
      </c>
      <c r="B732" t="str">
        <f>HYPERLINK("https://staging-dtl-pattern-api.hfm-weimar.de/static/audio/solos/dtl/AQAIlose9cIDXsWTHPvxHk19PAxzXHtw_0.02.16.075102-0.02.34.084081.mp3", "link")</f>
        <v>link</v>
      </c>
      <c r="D732" t="s">
        <v>3420</v>
      </c>
      <c r="F732" t="s">
        <v>3421</v>
      </c>
      <c r="G732" t="s">
        <v>3421</v>
      </c>
      <c r="J732" t="s">
        <v>3422</v>
      </c>
      <c r="K732" t="s">
        <v>3423</v>
      </c>
      <c r="L732" s="1" t="s">
        <v>3424</v>
      </c>
      <c r="M732" t="s">
        <v>3425</v>
      </c>
      <c r="N732" t="s">
        <v>172</v>
      </c>
      <c r="O732" s="1" t="s">
        <v>3428</v>
      </c>
      <c r="P732" s="1" t="s">
        <v>3429</v>
      </c>
    </row>
    <row r="733" spans="1:17" x14ac:dyDescent="0.25">
      <c r="A733" t="s">
        <v>3430</v>
      </c>
      <c r="B733" t="str">
        <f>HYPERLINK("https://staging-dtl-pattern-api.hfm-weimar.de/static/audio/solos/dtl/AQAIMlIihYqSRgn6yDjf4j8e5niOikfj_0.00.36.078040-0.01.14.030385.mp3", "link")</f>
        <v>link</v>
      </c>
      <c r="D733" t="s">
        <v>3431</v>
      </c>
      <c r="E733" t="s">
        <v>3345</v>
      </c>
      <c r="F733" t="s">
        <v>3338</v>
      </c>
      <c r="J733" t="s">
        <v>3339</v>
      </c>
      <c r="K733" t="s">
        <v>3432</v>
      </c>
      <c r="L733" s="1" t="s">
        <v>3341</v>
      </c>
      <c r="M733" t="s">
        <v>129</v>
      </c>
      <c r="N733" t="s">
        <v>46</v>
      </c>
      <c r="O733" s="1" t="s">
        <v>3433</v>
      </c>
      <c r="P733" s="1" t="s">
        <v>3434</v>
      </c>
    </row>
    <row r="734" spans="1:17" x14ac:dyDescent="0.25">
      <c r="A734" t="s">
        <v>3435</v>
      </c>
      <c r="B734" t="str">
        <f>HYPERLINK("https://staging-dtl-pattern-api.hfm-weimar.de/static/audio/solos/dtl/AQAIMlIihYqSRgn6yDjf4j8e5niOikfj_0.01.14.030385-0.01.51.022358.mp3", "link")</f>
        <v>link</v>
      </c>
      <c r="D734" t="s">
        <v>3431</v>
      </c>
      <c r="E734" t="s">
        <v>3337</v>
      </c>
      <c r="F734" t="s">
        <v>3338</v>
      </c>
      <c r="J734" t="s">
        <v>3339</v>
      </c>
      <c r="K734" t="s">
        <v>3432</v>
      </c>
      <c r="L734" s="1" t="s">
        <v>3341</v>
      </c>
      <c r="M734" t="s">
        <v>129</v>
      </c>
      <c r="N734" t="s">
        <v>23</v>
      </c>
      <c r="O734" s="1" t="s">
        <v>3434</v>
      </c>
      <c r="P734" s="1" t="s">
        <v>1972</v>
      </c>
    </row>
    <row r="735" spans="1:17" x14ac:dyDescent="0.25">
      <c r="A735" t="s">
        <v>3436</v>
      </c>
      <c r="B735" t="str">
        <f>HYPERLINK("https://staging-dtl-pattern-api.hfm-weimar.de/static/audio/solos/dtl/AQAIMlIihYqSRgn6yDjf4j8e5niOikfj_0.01.51.022358-0.02.27.012163.mp3", "link")</f>
        <v>link</v>
      </c>
      <c r="D735" t="s">
        <v>3431</v>
      </c>
      <c r="E735" t="s">
        <v>3345</v>
      </c>
      <c r="F735" t="s">
        <v>3338</v>
      </c>
      <c r="J735" t="s">
        <v>3339</v>
      </c>
      <c r="K735" t="s">
        <v>3432</v>
      </c>
      <c r="L735" s="1" t="s">
        <v>3341</v>
      </c>
      <c r="M735" t="s">
        <v>129</v>
      </c>
      <c r="N735" t="s">
        <v>46</v>
      </c>
      <c r="O735" s="1" t="s">
        <v>1972</v>
      </c>
      <c r="P735" s="1" t="s">
        <v>3437</v>
      </c>
    </row>
    <row r="736" spans="1:17" x14ac:dyDescent="0.25">
      <c r="A736" t="s">
        <v>3438</v>
      </c>
      <c r="B736" t="str">
        <f>HYPERLINK("https://staging-dtl-pattern-api.hfm-weimar.de/static/audio/solos/dtl/AQAIoU6WNcoSBWHuoHYy6Frw7MipB6eY_0.00.33.095918-0.01.36.091428.mp3", "link")</f>
        <v>link</v>
      </c>
      <c r="D736" t="s">
        <v>3439</v>
      </c>
      <c r="E736" t="s">
        <v>3440</v>
      </c>
      <c r="F736" t="s">
        <v>3441</v>
      </c>
      <c r="J736" t="s">
        <v>3442</v>
      </c>
      <c r="K736" t="s">
        <v>3443</v>
      </c>
      <c r="L736" s="1" t="s">
        <v>3444</v>
      </c>
      <c r="M736" t="s">
        <v>3445</v>
      </c>
      <c r="N736" t="s">
        <v>202</v>
      </c>
      <c r="O736" s="1" t="s">
        <v>3446</v>
      </c>
      <c r="P736" s="1" t="s">
        <v>3447</v>
      </c>
    </row>
    <row r="737" spans="1:17" x14ac:dyDescent="0.25">
      <c r="A737" t="s">
        <v>3448</v>
      </c>
      <c r="B737" t="str">
        <f>HYPERLINK("https://staging-dtl-pattern-api.hfm-weimar.de/static/audio/solos/dtl/AQAIoU6WNcoSBWHuoHYy6Frw7MipB6eY_0.02.34.012244-0.03.35.024897.mp3", "link")</f>
        <v>link</v>
      </c>
      <c r="D737" t="s">
        <v>3439</v>
      </c>
      <c r="E737" t="s">
        <v>3440</v>
      </c>
      <c r="F737" t="s">
        <v>3441</v>
      </c>
      <c r="J737" t="s">
        <v>3442</v>
      </c>
      <c r="K737" t="s">
        <v>3443</v>
      </c>
      <c r="L737" s="1" t="s">
        <v>3444</v>
      </c>
      <c r="M737" t="s">
        <v>3445</v>
      </c>
      <c r="N737" t="s">
        <v>202</v>
      </c>
      <c r="O737" s="1" t="s">
        <v>3449</v>
      </c>
      <c r="P737" s="1" t="s">
        <v>3450</v>
      </c>
    </row>
    <row r="738" spans="1:17" x14ac:dyDescent="0.25">
      <c r="A738" t="s">
        <v>3451</v>
      </c>
      <c r="B738" t="str">
        <f>HYPERLINK("https://staging-dtl-pattern-api.hfm-weimar.de/static/audio/solos/dtl/AQAIP0mSbEkSLWJwQriC58E941CO9MK3_0.00.56.049414-0.01.08.047564.mp3", "link")</f>
        <v>link</v>
      </c>
      <c r="D738" t="s">
        <v>3452</v>
      </c>
      <c r="E738" t="s">
        <v>3453</v>
      </c>
      <c r="F738" t="s">
        <v>2466</v>
      </c>
      <c r="G738" t="s">
        <v>418</v>
      </c>
      <c r="H738" t="s">
        <v>2467</v>
      </c>
      <c r="I738">
        <v>10</v>
      </c>
      <c r="J738" t="s">
        <v>616</v>
      </c>
      <c r="K738" t="s">
        <v>3454</v>
      </c>
      <c r="L738" s="1" t="s">
        <v>3455</v>
      </c>
      <c r="M738" t="s">
        <v>129</v>
      </c>
      <c r="N738" t="s">
        <v>23</v>
      </c>
      <c r="O738" s="1" t="s">
        <v>3456</v>
      </c>
      <c r="P738" s="1" t="s">
        <v>3457</v>
      </c>
    </row>
    <row r="739" spans="1:17" x14ac:dyDescent="0.25">
      <c r="A739" t="s">
        <v>3458</v>
      </c>
      <c r="B739" t="str">
        <f>HYPERLINK("https://staging-dtl-pattern-api.hfm-weimar.de/static/audio/solos/dtl/AQAIP0mSbEkSLWJwQriC58E941CO9MK3_0.01.08.047564-0.01.55.087047.mp3", "link")</f>
        <v>link</v>
      </c>
      <c r="D739" t="s">
        <v>3452</v>
      </c>
      <c r="E739" t="s">
        <v>418</v>
      </c>
      <c r="F739" t="s">
        <v>2466</v>
      </c>
      <c r="G739" t="s">
        <v>418</v>
      </c>
      <c r="H739" t="s">
        <v>2467</v>
      </c>
      <c r="I739">
        <v>10</v>
      </c>
      <c r="J739" t="s">
        <v>616</v>
      </c>
      <c r="K739" t="s">
        <v>3454</v>
      </c>
      <c r="L739" s="1" t="s">
        <v>3455</v>
      </c>
      <c r="M739" t="s">
        <v>129</v>
      </c>
      <c r="N739" t="s">
        <v>172</v>
      </c>
      <c r="O739" s="1" t="s">
        <v>3457</v>
      </c>
      <c r="P739" s="1" t="s">
        <v>3459</v>
      </c>
    </row>
    <row r="740" spans="1:17" x14ac:dyDescent="0.25">
      <c r="A740" t="s">
        <v>3460</v>
      </c>
      <c r="B740" t="str">
        <f>HYPERLINK("https://staging-dtl-pattern-api.hfm-weimar.de/static/audio/solos/dtl/AQAIP0mSbEkSLWJwQriC58E941CO9MK3_0.01.55.087047-0.02.44.020571.mp3", "link")</f>
        <v>link</v>
      </c>
      <c r="D740" t="s">
        <v>3452</v>
      </c>
      <c r="E740" t="s">
        <v>3453</v>
      </c>
      <c r="F740" t="s">
        <v>2466</v>
      </c>
      <c r="G740" t="s">
        <v>418</v>
      </c>
      <c r="H740" t="s">
        <v>2467</v>
      </c>
      <c r="I740">
        <v>10</v>
      </c>
      <c r="J740" t="s">
        <v>616</v>
      </c>
      <c r="K740" t="s">
        <v>3454</v>
      </c>
      <c r="L740" s="1" t="s">
        <v>3455</v>
      </c>
      <c r="M740" t="s">
        <v>129</v>
      </c>
      <c r="N740" t="s">
        <v>23</v>
      </c>
      <c r="O740" s="1" t="s">
        <v>3459</v>
      </c>
      <c r="P740" s="1" t="s">
        <v>3461</v>
      </c>
    </row>
    <row r="741" spans="1:17" x14ac:dyDescent="0.25">
      <c r="A741" t="s">
        <v>3462</v>
      </c>
      <c r="B741" s="3" t="str">
        <f>HYPERLINK("https://staging-dtl-pattern-api.hfm-weimar.de/static/audio/solos/dtl/AQAIP0mSbEkSLWJwQriC58E941CO9MK3_0.03.31.015936-0.03.49.026222.mp3", "link")</f>
        <v>link</v>
      </c>
      <c r="C741" s="3"/>
      <c r="D741" s="3" t="s">
        <v>3452</v>
      </c>
      <c r="E741" s="3" t="s">
        <v>418</v>
      </c>
      <c r="F741" s="3" t="s">
        <v>2466</v>
      </c>
      <c r="G741" s="3" t="s">
        <v>418</v>
      </c>
      <c r="H741" s="3" t="s">
        <v>2467</v>
      </c>
      <c r="I741" s="3">
        <v>10</v>
      </c>
      <c r="J741" s="3" t="s">
        <v>616</v>
      </c>
      <c r="K741" s="3" t="s">
        <v>3454</v>
      </c>
      <c r="L741" s="4" t="s">
        <v>3455</v>
      </c>
      <c r="M741" s="3" t="s">
        <v>129</v>
      </c>
      <c r="N741" s="3" t="s">
        <v>172</v>
      </c>
      <c r="O741" s="4" t="s">
        <v>3463</v>
      </c>
      <c r="P741" s="4" t="s">
        <v>3464</v>
      </c>
      <c r="Q741" s="4" t="s">
        <v>7268</v>
      </c>
    </row>
    <row r="742" spans="1:17" x14ac:dyDescent="0.25">
      <c r="A742" t="s">
        <v>3465</v>
      </c>
      <c r="B742" t="str">
        <f>HYPERLINK("https://staging-dtl-pattern-api.hfm-weimar.de/static/audio/solos/dtl/AQAIP0mSbEkSLWJwQriC58E941CO9MK3_0.03.49.026222-0.03.54.086984.mp3", "link")</f>
        <v>link</v>
      </c>
      <c r="D742" t="s">
        <v>3452</v>
      </c>
      <c r="E742" t="s">
        <v>3453</v>
      </c>
      <c r="F742" t="s">
        <v>2466</v>
      </c>
      <c r="G742" t="s">
        <v>418</v>
      </c>
      <c r="H742" t="s">
        <v>2467</v>
      </c>
      <c r="I742">
        <v>10</v>
      </c>
      <c r="J742" t="s">
        <v>616</v>
      </c>
      <c r="K742" t="s">
        <v>3454</v>
      </c>
      <c r="L742" s="1" t="s">
        <v>3455</v>
      </c>
      <c r="M742" t="s">
        <v>129</v>
      </c>
      <c r="N742" t="s">
        <v>23</v>
      </c>
      <c r="O742" s="1" t="s">
        <v>3464</v>
      </c>
      <c r="P742" s="1" t="s">
        <v>3466</v>
      </c>
    </row>
    <row r="743" spans="1:17" x14ac:dyDescent="0.25">
      <c r="A743" t="s">
        <v>3467</v>
      </c>
      <c r="B743" t="str">
        <f>HYPERLINK("https://staging-dtl-pattern-api.hfm-weimar.de/static/audio/solos/dtl/AQAIpUkyUcmUJFqgaEV6vMeN6xlxmDvx_0.01.37.082857-0.02.11.052653.mp3", "link")</f>
        <v>link</v>
      </c>
      <c r="D743" t="s">
        <v>3468</v>
      </c>
      <c r="E743" t="s">
        <v>3469</v>
      </c>
      <c r="F743" t="s">
        <v>3470</v>
      </c>
      <c r="J743" t="s">
        <v>3471</v>
      </c>
      <c r="K743" t="s">
        <v>3472</v>
      </c>
      <c r="L743" s="1" t="s">
        <v>3473</v>
      </c>
      <c r="M743" t="s">
        <v>2824</v>
      </c>
      <c r="N743" t="s">
        <v>23</v>
      </c>
      <c r="O743" s="1" t="s">
        <v>3474</v>
      </c>
      <c r="P743" s="1" t="s">
        <v>2447</v>
      </c>
    </row>
    <row r="744" spans="1:17" x14ac:dyDescent="0.25">
      <c r="A744" t="s">
        <v>3475</v>
      </c>
      <c r="B744" t="str">
        <f>HYPERLINK("https://staging-dtl-pattern-api.hfm-weimar.de/static/audio/solos/dtl/AQAIpUkyUcmUJFqgaEV6vMeN6xlxmDvx_0.03.19.097024-0.03.54.070730.mp3", "link")</f>
        <v>link</v>
      </c>
      <c r="D744" t="s">
        <v>3468</v>
      </c>
      <c r="E744" t="s">
        <v>3469</v>
      </c>
      <c r="F744" t="s">
        <v>3470</v>
      </c>
      <c r="J744" t="s">
        <v>3471</v>
      </c>
      <c r="K744" t="s">
        <v>3472</v>
      </c>
      <c r="L744" s="1" t="s">
        <v>3473</v>
      </c>
      <c r="M744" t="s">
        <v>2824</v>
      </c>
      <c r="N744" t="s">
        <v>23</v>
      </c>
      <c r="O744" s="1" t="s">
        <v>3476</v>
      </c>
      <c r="P744" s="1" t="s">
        <v>3477</v>
      </c>
    </row>
    <row r="745" spans="1:17" x14ac:dyDescent="0.25">
      <c r="A745" t="s">
        <v>3478</v>
      </c>
      <c r="B745" t="str">
        <f>HYPERLINK("https://staging-dtl-pattern-api.hfm-weimar.de/static/audio/solos/dtl/AQAIQ3pIJUyEZyOJm8JDIzn-IFT6oYnK_0.00.34.092281-0.01.59.079174.mp3", "link")</f>
        <v>link</v>
      </c>
      <c r="D745" t="s">
        <v>3479</v>
      </c>
      <c r="E745" t="s">
        <v>266</v>
      </c>
      <c r="F745" t="s">
        <v>3480</v>
      </c>
      <c r="H745" t="s">
        <v>762</v>
      </c>
      <c r="I745">
        <v>75</v>
      </c>
      <c r="J745" t="s">
        <v>141</v>
      </c>
      <c r="K745" t="s">
        <v>3481</v>
      </c>
      <c r="L745" s="1" t="s">
        <v>3482</v>
      </c>
      <c r="M745" t="s">
        <v>129</v>
      </c>
      <c r="N745" t="s">
        <v>23</v>
      </c>
      <c r="O745" s="1" t="s">
        <v>3483</v>
      </c>
      <c r="P745" s="1" t="s">
        <v>3484</v>
      </c>
    </row>
    <row r="746" spans="1:17" x14ac:dyDescent="0.25">
      <c r="A746" t="s">
        <v>3485</v>
      </c>
      <c r="B746" t="str">
        <f>HYPERLINK("https://staging-dtl-pattern-api.hfm-weimar.de/static/audio/solos/dtl/AQAIQ3pIJUyEZyOJm8JDIzn-IFT6oYnK_0.02.56.047165-0.03.01.006920.mp3", "link")</f>
        <v>link</v>
      </c>
      <c r="D746" t="s">
        <v>3479</v>
      </c>
      <c r="E746" t="s">
        <v>266</v>
      </c>
      <c r="F746" t="s">
        <v>3480</v>
      </c>
      <c r="H746" t="s">
        <v>762</v>
      </c>
      <c r="I746">
        <v>75</v>
      </c>
      <c r="J746" t="s">
        <v>141</v>
      </c>
      <c r="K746" t="s">
        <v>3481</v>
      </c>
      <c r="L746" s="1" t="s">
        <v>3482</v>
      </c>
      <c r="M746" t="s">
        <v>129</v>
      </c>
      <c r="N746" t="s">
        <v>23</v>
      </c>
      <c r="O746" s="1" t="s">
        <v>3486</v>
      </c>
      <c r="P746" s="1" t="s">
        <v>3487</v>
      </c>
    </row>
    <row r="747" spans="1:17" x14ac:dyDescent="0.25">
      <c r="A747" t="s">
        <v>3488</v>
      </c>
      <c r="B747" t="str">
        <f>HYPERLINK("https://staging-dtl-pattern-api.hfm-weimar.de/static/audio/solos/dtl/AQAIQ3pIJUyEZyOJm8JDIzn-IFT6oYnK_0.03.05.078285-0.03.10.047328.mp3", "link")</f>
        <v>link</v>
      </c>
      <c r="D747" t="s">
        <v>3479</v>
      </c>
      <c r="E747" t="s">
        <v>266</v>
      </c>
      <c r="F747" t="s">
        <v>3480</v>
      </c>
      <c r="H747" t="s">
        <v>762</v>
      </c>
      <c r="I747">
        <v>75</v>
      </c>
      <c r="J747" t="s">
        <v>141</v>
      </c>
      <c r="K747" t="s">
        <v>3481</v>
      </c>
      <c r="L747" s="1" t="s">
        <v>3482</v>
      </c>
      <c r="M747" t="s">
        <v>129</v>
      </c>
      <c r="N747" t="s">
        <v>23</v>
      </c>
      <c r="O747" s="1" t="s">
        <v>3489</v>
      </c>
      <c r="P747" s="1" t="s">
        <v>3490</v>
      </c>
    </row>
    <row r="748" spans="1:17" x14ac:dyDescent="0.25">
      <c r="A748" t="s">
        <v>3491</v>
      </c>
      <c r="B748" t="str">
        <f>HYPERLINK("https://staging-dtl-pattern-api.hfm-weimar.de/static/audio/solos/dtl/AQAIQ3pIJUyEZyOJm8JDIzn-IFT6oYnK_0.03.15.025659-0.03.19.066839.mp3", "link")</f>
        <v>link</v>
      </c>
      <c r="D748" t="s">
        <v>3479</v>
      </c>
      <c r="E748" t="s">
        <v>266</v>
      </c>
      <c r="F748" t="s">
        <v>3480</v>
      </c>
      <c r="H748" t="s">
        <v>762</v>
      </c>
      <c r="I748">
        <v>75</v>
      </c>
      <c r="J748" t="s">
        <v>141</v>
      </c>
      <c r="K748" t="s">
        <v>3481</v>
      </c>
      <c r="L748" s="1" t="s">
        <v>3482</v>
      </c>
      <c r="M748" t="s">
        <v>129</v>
      </c>
      <c r="N748" t="s">
        <v>23</v>
      </c>
      <c r="O748" s="1" t="s">
        <v>3492</v>
      </c>
      <c r="P748" s="1" t="s">
        <v>3493</v>
      </c>
    </row>
    <row r="749" spans="1:17" x14ac:dyDescent="0.25">
      <c r="A749" t="s">
        <v>3494</v>
      </c>
      <c r="B749" t="str">
        <f>HYPERLINK("https://staging-dtl-pattern-api.hfm-weimar.de/static/audio/solos/dtl/AQAIQ3pIJUyEZyOJm8JDIzn-IFT6oYnK_0.03.24.082321-0.03.29.060653.mp3", "link")</f>
        <v>link</v>
      </c>
      <c r="D749" t="s">
        <v>3479</v>
      </c>
      <c r="E749" t="s">
        <v>266</v>
      </c>
      <c r="F749" t="s">
        <v>3480</v>
      </c>
      <c r="H749" t="s">
        <v>762</v>
      </c>
      <c r="I749">
        <v>75</v>
      </c>
      <c r="J749" t="s">
        <v>141</v>
      </c>
      <c r="K749" t="s">
        <v>3481</v>
      </c>
      <c r="L749" s="1" t="s">
        <v>3482</v>
      </c>
      <c r="M749" t="s">
        <v>129</v>
      </c>
      <c r="N749" t="s">
        <v>23</v>
      </c>
      <c r="O749" s="1" t="s">
        <v>3495</v>
      </c>
      <c r="P749" s="1" t="s">
        <v>3496</v>
      </c>
    </row>
    <row r="750" spans="1:17" x14ac:dyDescent="0.25">
      <c r="A750" t="s">
        <v>3497</v>
      </c>
      <c r="B750" t="str">
        <f>HYPERLINK("https://staging-dtl-pattern-api.hfm-weimar.de/static/audio/solos/dtl/AQAIQ3pIJUyEZyOJm8JDIzn-IFT6oYnK_0.03.34.057560-0.03.39.049823.mp3", "link")</f>
        <v>link</v>
      </c>
      <c r="D750" t="s">
        <v>3479</v>
      </c>
      <c r="E750" t="s">
        <v>266</v>
      </c>
      <c r="F750" t="s">
        <v>3480</v>
      </c>
      <c r="H750" t="s">
        <v>762</v>
      </c>
      <c r="I750">
        <v>75</v>
      </c>
      <c r="J750" t="s">
        <v>141</v>
      </c>
      <c r="K750" t="s">
        <v>3481</v>
      </c>
      <c r="L750" s="1" t="s">
        <v>3482</v>
      </c>
      <c r="M750" t="s">
        <v>129</v>
      </c>
      <c r="N750" t="s">
        <v>23</v>
      </c>
      <c r="O750" s="1" t="s">
        <v>3498</v>
      </c>
      <c r="P750" s="1" t="s">
        <v>3499</v>
      </c>
    </row>
    <row r="751" spans="1:17" x14ac:dyDescent="0.25">
      <c r="A751" t="s">
        <v>3500</v>
      </c>
      <c r="B751" t="str">
        <f>HYPERLINK("https://staging-dtl-pattern-api.hfm-weimar.de/static/audio/solos/dtl/AQAIqNciZVKUBD2aZA_etDJ-7AqeScKV_0.00.36.087328-0.02.26.087346.mp3", "link")</f>
        <v>link</v>
      </c>
      <c r="D751" t="s">
        <v>3501</v>
      </c>
      <c r="E751" t="s">
        <v>3502</v>
      </c>
      <c r="F751" t="s">
        <v>3503</v>
      </c>
      <c r="J751" t="s">
        <v>3504</v>
      </c>
      <c r="K751" t="s">
        <v>3505</v>
      </c>
      <c r="L751" s="1" t="s">
        <v>3506</v>
      </c>
      <c r="M751" t="s">
        <v>3507</v>
      </c>
      <c r="N751" t="s">
        <v>23</v>
      </c>
      <c r="O751" s="1" t="s">
        <v>3508</v>
      </c>
      <c r="P751" s="1" t="s">
        <v>3509</v>
      </c>
    </row>
    <row r="752" spans="1:17" x14ac:dyDescent="0.25">
      <c r="A752" t="s">
        <v>3510</v>
      </c>
      <c r="B752" t="str">
        <f>HYPERLINK("https://staging-dtl-pattern-api.hfm-weimar.de/static/audio/solos/dtl/AQAIqNciZVKUBD2aZA_etDJ-7AqeScKV_0.02.26.087346-0.03.03.057551.mp3", "link")</f>
        <v>link</v>
      </c>
      <c r="D752" t="s">
        <v>3501</v>
      </c>
      <c r="E752" t="s">
        <v>3317</v>
      </c>
      <c r="F752" t="s">
        <v>3503</v>
      </c>
      <c r="J752" t="s">
        <v>3504</v>
      </c>
      <c r="K752" t="s">
        <v>3505</v>
      </c>
      <c r="L752" s="1" t="s">
        <v>3506</v>
      </c>
      <c r="M752" t="s">
        <v>3507</v>
      </c>
      <c r="N752" t="s">
        <v>622</v>
      </c>
      <c r="O752" s="1" t="s">
        <v>3509</v>
      </c>
      <c r="P752" s="1" t="s">
        <v>3511</v>
      </c>
    </row>
    <row r="753" spans="1:17" x14ac:dyDescent="0.25">
      <c r="A753" t="s">
        <v>3512</v>
      </c>
      <c r="B753" t="str">
        <f>HYPERLINK("https://staging-dtl-pattern-api.hfm-weimar.de/static/audio/solos/dtl/AQAItYmkZGMipfiT4Dya6whFh8OzZMeR_0.00.44.081451-0.01.02.083319.mp3", "link")</f>
        <v>link</v>
      </c>
      <c r="D753" t="s">
        <v>3513</v>
      </c>
      <c r="F753" t="s">
        <v>3514</v>
      </c>
      <c r="G753" t="s">
        <v>3514</v>
      </c>
      <c r="J753" t="s">
        <v>3515</v>
      </c>
      <c r="K753" t="s">
        <v>3516</v>
      </c>
      <c r="L753" s="1" t="s">
        <v>3517</v>
      </c>
      <c r="M753" t="s">
        <v>3518</v>
      </c>
      <c r="N753" t="s">
        <v>23</v>
      </c>
      <c r="O753" s="1" t="s">
        <v>3519</v>
      </c>
      <c r="P753" s="1" t="s">
        <v>3520</v>
      </c>
    </row>
    <row r="754" spans="1:17" x14ac:dyDescent="0.25">
      <c r="A754" t="s">
        <v>3521</v>
      </c>
      <c r="B754" t="str">
        <f>HYPERLINK("https://staging-dtl-pattern-api.hfm-weimar.de/static/audio/solos/dtl/AQAItYmkZGMipfiT4Dya6whFh8OzZMeR_0.02.51.036326-0.03.13.046866.mp3", "link")</f>
        <v>link</v>
      </c>
      <c r="D754" t="s">
        <v>3513</v>
      </c>
      <c r="E754" t="s">
        <v>3522</v>
      </c>
      <c r="F754" t="s">
        <v>3514</v>
      </c>
      <c r="G754" t="s">
        <v>3514</v>
      </c>
      <c r="J754" t="s">
        <v>3515</v>
      </c>
      <c r="K754" t="s">
        <v>3516</v>
      </c>
      <c r="L754" s="1" t="s">
        <v>3517</v>
      </c>
      <c r="M754" t="s">
        <v>3518</v>
      </c>
      <c r="N754" t="s">
        <v>449</v>
      </c>
      <c r="O754" s="1" t="s">
        <v>3523</v>
      </c>
      <c r="P754" s="1" t="s">
        <v>3524</v>
      </c>
    </row>
    <row r="755" spans="1:17" x14ac:dyDescent="0.25">
      <c r="A755" t="s">
        <v>3525</v>
      </c>
      <c r="B755" t="str">
        <f>HYPERLINK("https://staging-dtl-pattern-api.hfm-weimar.de/static/audio/solos/dtl/AQAIu0q0UNOSIvmHWLiMrklITMmPo0l0_0.02.18.051428-0.02.29.068163.mp3", "link")</f>
        <v>link</v>
      </c>
      <c r="D755" t="s">
        <v>3526</v>
      </c>
      <c r="E755" t="s">
        <v>3527</v>
      </c>
      <c r="F755" t="s">
        <v>3528</v>
      </c>
      <c r="J755" t="s">
        <v>3529</v>
      </c>
      <c r="K755" t="s">
        <v>3530</v>
      </c>
      <c r="L755" s="1" t="s">
        <v>2858</v>
      </c>
      <c r="M755" t="s">
        <v>3531</v>
      </c>
      <c r="N755" t="s">
        <v>23</v>
      </c>
      <c r="O755" s="1" t="s">
        <v>3532</v>
      </c>
      <c r="P755" s="1" t="s">
        <v>3533</v>
      </c>
    </row>
    <row r="756" spans="1:17" x14ac:dyDescent="0.25">
      <c r="A756" t="s">
        <v>3534</v>
      </c>
      <c r="B756" t="str">
        <f>HYPERLINK("https://staging-dtl-pattern-api.hfm-weimar.de/static/audio/solos/dtl/AQAIu0q0UNOSIvmHWLiMrklITMmPo0l0_0.03.06.025306-0.03.18.049795.mp3", "link")</f>
        <v>link</v>
      </c>
      <c r="D756" t="s">
        <v>3526</v>
      </c>
      <c r="E756" t="s">
        <v>3535</v>
      </c>
      <c r="F756" t="s">
        <v>3528</v>
      </c>
      <c r="J756" t="s">
        <v>3529</v>
      </c>
      <c r="K756" t="s">
        <v>3530</v>
      </c>
      <c r="L756" s="1" t="s">
        <v>2858</v>
      </c>
      <c r="M756" t="s">
        <v>3531</v>
      </c>
      <c r="N756" t="s">
        <v>329</v>
      </c>
      <c r="O756" s="1" t="s">
        <v>3536</v>
      </c>
      <c r="P756" s="1" t="s">
        <v>3537</v>
      </c>
    </row>
    <row r="757" spans="1:17" x14ac:dyDescent="0.25">
      <c r="A757" t="s">
        <v>3538</v>
      </c>
      <c r="B757" t="str">
        <f>HYPERLINK("https://staging-dtl-pattern-api.hfm-weimar.de/static/audio/solos/dtl/AQAIvEmSJEmkREmiJBm0UMXz4Tq68tBE_0.01.09.075274-0.02.00.029387.mp3", "link")</f>
        <v>link</v>
      </c>
      <c r="D757" t="s">
        <v>3001</v>
      </c>
      <c r="E757" t="s">
        <v>3002</v>
      </c>
      <c r="F757" t="s">
        <v>3002</v>
      </c>
      <c r="G757" t="s">
        <v>3002</v>
      </c>
      <c r="J757" t="s">
        <v>3003</v>
      </c>
      <c r="K757" t="s">
        <v>3539</v>
      </c>
      <c r="L757" s="1" t="s">
        <v>3005</v>
      </c>
      <c r="M757" t="s">
        <v>2934</v>
      </c>
      <c r="N757" t="s">
        <v>46</v>
      </c>
      <c r="O757" s="1" t="s">
        <v>3540</v>
      </c>
      <c r="P757" s="1" t="s">
        <v>3541</v>
      </c>
    </row>
    <row r="758" spans="1:17" x14ac:dyDescent="0.25">
      <c r="A758" t="s">
        <v>3542</v>
      </c>
      <c r="B758" t="str">
        <f>HYPERLINK("https://staging-dtl-pattern-api.hfm-weimar.de/static/audio/solos/dtl/AQAIvEmSJEmkREmiJBm0UMXz4Tq68tBE_0.02.48.048979-0.03.36.029387.mp3", "link")</f>
        <v>link</v>
      </c>
      <c r="D758" t="s">
        <v>3001</v>
      </c>
      <c r="E758" t="s">
        <v>3002</v>
      </c>
      <c r="F758" t="s">
        <v>3002</v>
      </c>
      <c r="G758" t="s">
        <v>3002</v>
      </c>
      <c r="J758" t="s">
        <v>3003</v>
      </c>
      <c r="K758" t="s">
        <v>3539</v>
      </c>
      <c r="L758" s="1" t="s">
        <v>3005</v>
      </c>
      <c r="M758" t="s">
        <v>2934</v>
      </c>
      <c r="N758" t="s">
        <v>46</v>
      </c>
      <c r="O758" s="1" t="s">
        <v>3543</v>
      </c>
      <c r="P758" s="1" t="s">
        <v>3544</v>
      </c>
    </row>
    <row r="759" spans="1:17" x14ac:dyDescent="0.25">
      <c r="A759" t="s">
        <v>3545</v>
      </c>
      <c r="B759" t="str">
        <f>HYPERLINK("https://staging-dtl-pattern-api.hfm-weimar.de/static/audio/solos/dtl/AQAIvMpkqsWPyxae2Ei6HflhRTn4DbfC_0.01.25.074693-0.02.26.074285.mp3", "link")</f>
        <v>link</v>
      </c>
      <c r="D759" t="s">
        <v>3546</v>
      </c>
      <c r="E759" t="s">
        <v>3469</v>
      </c>
      <c r="F759" t="s">
        <v>3469</v>
      </c>
      <c r="G759" t="s">
        <v>3469</v>
      </c>
      <c r="J759" t="s">
        <v>3547</v>
      </c>
      <c r="K759" t="s">
        <v>3548</v>
      </c>
      <c r="L759" s="1" t="s">
        <v>3549</v>
      </c>
      <c r="M759" t="s">
        <v>129</v>
      </c>
      <c r="N759" t="s">
        <v>23</v>
      </c>
      <c r="O759" s="1" t="s">
        <v>3550</v>
      </c>
      <c r="P759" s="1" t="s">
        <v>3551</v>
      </c>
    </row>
    <row r="760" spans="1:17" x14ac:dyDescent="0.25">
      <c r="A760" t="s">
        <v>3552</v>
      </c>
      <c r="B760" t="str">
        <f>HYPERLINK("https://staging-dtl-pattern-api.hfm-weimar.de/static/audio/solos/dtl/AQAIxpKSZUyTJAkchzt-5FEkSsZNlGiq_0.00.57.046938-0.03.17.035510.mp3", "link")</f>
        <v>link</v>
      </c>
      <c r="D760" t="s">
        <v>3553</v>
      </c>
      <c r="E760" t="s">
        <v>3554</v>
      </c>
      <c r="F760" t="s">
        <v>3555</v>
      </c>
      <c r="G760" t="s">
        <v>3555</v>
      </c>
      <c r="J760" t="s">
        <v>3556</v>
      </c>
      <c r="K760" t="s">
        <v>3557</v>
      </c>
      <c r="L760" s="1" t="s">
        <v>3558</v>
      </c>
      <c r="M760" t="s">
        <v>182</v>
      </c>
      <c r="N760" t="s">
        <v>23</v>
      </c>
      <c r="O760" s="1" t="s">
        <v>3559</v>
      </c>
      <c r="P760" s="1" t="s">
        <v>3560</v>
      </c>
    </row>
    <row r="761" spans="1:17" x14ac:dyDescent="0.25">
      <c r="A761" t="s">
        <v>3561</v>
      </c>
      <c r="B761" t="str">
        <f>HYPERLINK("https://staging-dtl-pattern-api.hfm-weimar.de/static/audio/solos/dtl/AQAIZkrIhGEc3IjJHHKiFLH0oId_4aip_0.02.27.010517-0.03.11.096086.mp3", "link")</f>
        <v>link</v>
      </c>
      <c r="D761" t="s">
        <v>3294</v>
      </c>
      <c r="E761" t="s">
        <v>3295</v>
      </c>
      <c r="F761" t="s">
        <v>3296</v>
      </c>
      <c r="G761" t="s">
        <v>3296</v>
      </c>
      <c r="J761" t="s">
        <v>3297</v>
      </c>
      <c r="K761" t="s">
        <v>3562</v>
      </c>
      <c r="L761" s="1" t="s">
        <v>3299</v>
      </c>
      <c r="M761" t="s">
        <v>129</v>
      </c>
      <c r="N761" t="s">
        <v>288</v>
      </c>
      <c r="O761" s="1" t="s">
        <v>3563</v>
      </c>
      <c r="P761" s="1" t="s">
        <v>3564</v>
      </c>
    </row>
    <row r="762" spans="1:17" x14ac:dyDescent="0.25">
      <c r="A762" t="s">
        <v>3565</v>
      </c>
      <c r="B762" t="str">
        <f>HYPERLINK("https://staging-dtl-pattern-api.hfm-weimar.de/static/audio/solos/dtl/AQAJ_lKSKdk6CZXC43yCC_XRNJDbHPfx_0.03.06.046204-0.04.24.022857.mp3", "link")</f>
        <v>link</v>
      </c>
      <c r="D762" t="s">
        <v>3566</v>
      </c>
      <c r="E762" t="s">
        <v>3148</v>
      </c>
      <c r="F762" t="s">
        <v>1144</v>
      </c>
      <c r="G762" t="s">
        <v>1144</v>
      </c>
      <c r="J762" t="s">
        <v>3142</v>
      </c>
      <c r="K762" t="s">
        <v>3567</v>
      </c>
      <c r="L762" s="1" t="s">
        <v>3144</v>
      </c>
      <c r="M762" t="s">
        <v>129</v>
      </c>
      <c r="N762" t="s">
        <v>23</v>
      </c>
      <c r="O762" s="1" t="s">
        <v>3568</v>
      </c>
      <c r="P762" s="1" t="s">
        <v>3569</v>
      </c>
      <c r="Q762" s="1" t="s">
        <v>7269</v>
      </c>
    </row>
    <row r="763" spans="1:17" x14ac:dyDescent="0.25">
      <c r="A763" t="s">
        <v>3570</v>
      </c>
      <c r="B763" t="str">
        <f>HYPERLINK("https://staging-dtl-pattern-api.hfm-weimar.de/static/audio/solos/dtl/AQAJ0lIecTo-Y9uyo9bRMniQ34bYI_tV_0.00.36.075718-0.01.46.011519.mp3", "link")</f>
        <v>link</v>
      </c>
      <c r="D763" t="s">
        <v>3439</v>
      </c>
      <c r="E763" t="s">
        <v>3440</v>
      </c>
      <c r="F763" t="s">
        <v>3441</v>
      </c>
      <c r="J763" t="s">
        <v>3442</v>
      </c>
      <c r="K763" t="s">
        <v>3571</v>
      </c>
      <c r="L763" s="1" t="s">
        <v>3444</v>
      </c>
      <c r="M763" t="s">
        <v>3445</v>
      </c>
      <c r="N763" t="s">
        <v>202</v>
      </c>
      <c r="O763" s="1" t="s">
        <v>3572</v>
      </c>
      <c r="P763" s="1" t="s">
        <v>2684</v>
      </c>
    </row>
    <row r="764" spans="1:17" x14ac:dyDescent="0.25">
      <c r="A764" t="s">
        <v>3573</v>
      </c>
      <c r="B764" t="str">
        <f>HYPERLINK("https://staging-dtl-pattern-api.hfm-weimar.de/static/audio/solos/dtl/AQAJ0lIecTo-Y9uyo9bRMniQ34bYI_tV_0.02.53.068526-0.04.02.004480.mp3", "link")</f>
        <v>link</v>
      </c>
      <c r="D764" t="s">
        <v>3439</v>
      </c>
      <c r="E764" t="s">
        <v>3440</v>
      </c>
      <c r="F764" t="s">
        <v>3441</v>
      </c>
      <c r="J764" t="s">
        <v>3442</v>
      </c>
      <c r="K764" t="s">
        <v>3571</v>
      </c>
      <c r="L764" s="1" t="s">
        <v>3444</v>
      </c>
      <c r="M764" t="s">
        <v>3445</v>
      </c>
      <c r="N764" t="s">
        <v>202</v>
      </c>
      <c r="O764" s="1" t="s">
        <v>3574</v>
      </c>
      <c r="P764" s="1" t="s">
        <v>3575</v>
      </c>
    </row>
    <row r="765" spans="1:17" x14ac:dyDescent="0.25">
      <c r="A765" t="s">
        <v>3576</v>
      </c>
      <c r="B765" t="str">
        <f>HYPERLINK("https://staging-dtl-pattern-api.hfm-weimar.de/static/audio/solos/dtl/AQAJ11GUWE8GfheU5oiVSYcfHE_yJGj2_0.02.16.088163-0.03.00.055836.mp3", "link")</f>
        <v>link</v>
      </c>
      <c r="D765" t="s">
        <v>3577</v>
      </c>
      <c r="E765" t="s">
        <v>3578</v>
      </c>
      <c r="F765" t="s">
        <v>3579</v>
      </c>
      <c r="G765" t="s">
        <v>1014</v>
      </c>
      <c r="H765" t="s">
        <v>3580</v>
      </c>
      <c r="I765">
        <v>50</v>
      </c>
      <c r="J765" t="s">
        <v>126</v>
      </c>
      <c r="K765" t="s">
        <v>3581</v>
      </c>
      <c r="L765" s="1" t="s">
        <v>3582</v>
      </c>
      <c r="M765" t="s">
        <v>3583</v>
      </c>
      <c r="N765" t="s">
        <v>23</v>
      </c>
      <c r="O765" s="1" t="s">
        <v>3584</v>
      </c>
      <c r="P765" s="1" t="s">
        <v>3585</v>
      </c>
    </row>
    <row r="766" spans="1:17" x14ac:dyDescent="0.25">
      <c r="A766" t="s">
        <v>3586</v>
      </c>
      <c r="B766" t="str">
        <f>HYPERLINK("https://staging-dtl-pattern-api.hfm-weimar.de/static/audio/solos/dtl/AQAJ11GUWE8GfheU5oiVSYcfHE_yJGj2_0.03.00.055836-0.03.43.081714.mp3", "link")</f>
        <v>link</v>
      </c>
      <c r="D766" t="s">
        <v>3577</v>
      </c>
      <c r="E766" t="s">
        <v>3587</v>
      </c>
      <c r="F766" t="s">
        <v>3579</v>
      </c>
      <c r="G766" t="s">
        <v>1014</v>
      </c>
      <c r="H766" t="s">
        <v>3580</v>
      </c>
      <c r="I766">
        <v>50</v>
      </c>
      <c r="J766" t="s">
        <v>126</v>
      </c>
      <c r="K766" t="s">
        <v>3581</v>
      </c>
      <c r="L766" s="1" t="s">
        <v>3582</v>
      </c>
      <c r="M766" t="s">
        <v>3583</v>
      </c>
      <c r="N766" t="s">
        <v>46</v>
      </c>
      <c r="O766" s="1" t="s">
        <v>3585</v>
      </c>
      <c r="P766" s="1" t="s">
        <v>3588</v>
      </c>
    </row>
    <row r="767" spans="1:17" x14ac:dyDescent="0.25">
      <c r="A767" t="s">
        <v>3589</v>
      </c>
      <c r="B767" t="str">
        <f>HYPERLINK("https://staging-dtl-pattern-api.hfm-weimar.de/static/audio/solos/dtl/AQAJ11GUWE8GfheU5oiVSYcfHE_yJGj2_0.03.43.081714-0.04.27.054031.mp3", "link")</f>
        <v>link</v>
      </c>
      <c r="D767" t="s">
        <v>3577</v>
      </c>
      <c r="E767" t="s">
        <v>3578</v>
      </c>
      <c r="F767" t="s">
        <v>3579</v>
      </c>
      <c r="G767" t="s">
        <v>1014</v>
      </c>
      <c r="H767" t="s">
        <v>3580</v>
      </c>
      <c r="I767">
        <v>50</v>
      </c>
      <c r="J767" t="s">
        <v>126</v>
      </c>
      <c r="K767" t="s">
        <v>3581</v>
      </c>
      <c r="L767" s="1" t="s">
        <v>3582</v>
      </c>
      <c r="M767" t="s">
        <v>3583</v>
      </c>
      <c r="N767" t="s">
        <v>23</v>
      </c>
      <c r="O767" s="1" t="s">
        <v>3588</v>
      </c>
      <c r="P767" s="1" t="s">
        <v>3590</v>
      </c>
    </row>
    <row r="768" spans="1:17" x14ac:dyDescent="0.25">
      <c r="A768" t="s">
        <v>3591</v>
      </c>
      <c r="B768" t="str">
        <f>HYPERLINK("https://staging-dtl-pattern-api.hfm-weimar.de/static/audio/solos/dtl/AQAJ6KISmomGT10WvBVs-cWlLMGF5klG_0.02.33.020816-0.04.13.064897.mp3", "link")</f>
        <v>link</v>
      </c>
      <c r="D768" t="s">
        <v>3592</v>
      </c>
      <c r="E768" t="s">
        <v>3593</v>
      </c>
      <c r="F768" t="s">
        <v>3593</v>
      </c>
      <c r="G768" t="s">
        <v>3593</v>
      </c>
      <c r="J768" t="s">
        <v>3594</v>
      </c>
      <c r="K768" t="s">
        <v>3595</v>
      </c>
      <c r="L768" s="1" t="s">
        <v>3596</v>
      </c>
      <c r="M768" t="s">
        <v>2824</v>
      </c>
      <c r="N768" t="s">
        <v>119</v>
      </c>
      <c r="O768" s="1" t="s">
        <v>3597</v>
      </c>
      <c r="P768" s="1" t="s">
        <v>3598</v>
      </c>
    </row>
    <row r="769" spans="1:17" x14ac:dyDescent="0.25">
      <c r="A769" t="s">
        <v>3599</v>
      </c>
      <c r="B769" t="str">
        <f>HYPERLINK("https://staging-dtl-pattern-api.hfm-weimar.de/static/audio/solos/dtl/AQAJ6ZKyb01QkTuaKUpG4Z-Q_EIenHhi_0.00.54.041015-0.02.04.059827.mp3", "link")</f>
        <v>link</v>
      </c>
      <c r="D769" t="s">
        <v>3600</v>
      </c>
      <c r="E769" t="s">
        <v>304</v>
      </c>
      <c r="F769" t="s">
        <v>305</v>
      </c>
      <c r="J769" t="s">
        <v>1006</v>
      </c>
      <c r="K769" t="s">
        <v>3601</v>
      </c>
      <c r="L769" s="1" t="s">
        <v>3602</v>
      </c>
      <c r="M769" t="s">
        <v>309</v>
      </c>
      <c r="N769" t="s">
        <v>23</v>
      </c>
      <c r="O769" s="1" t="s">
        <v>3603</v>
      </c>
      <c r="P769" s="1" t="s">
        <v>3604</v>
      </c>
    </row>
    <row r="770" spans="1:17" x14ac:dyDescent="0.25">
      <c r="A770" t="s">
        <v>3605</v>
      </c>
      <c r="B770" t="str">
        <f>HYPERLINK("https://staging-dtl-pattern-api.hfm-weimar.de/static/audio/solos/dtl/AQAJ6ZKyb01QkTuaKUpG4Z-Q_EIenHhi_0.02.04.059827-0.03.11.028598.mp3", "link")</f>
        <v>link</v>
      </c>
      <c r="D770" t="s">
        <v>3600</v>
      </c>
      <c r="E770" t="s">
        <v>2885</v>
      </c>
      <c r="F770" t="s">
        <v>305</v>
      </c>
      <c r="J770" t="s">
        <v>1006</v>
      </c>
      <c r="K770" t="s">
        <v>3601</v>
      </c>
      <c r="L770" s="1" t="s">
        <v>3602</v>
      </c>
      <c r="M770" t="s">
        <v>309</v>
      </c>
      <c r="N770" t="s">
        <v>172</v>
      </c>
      <c r="O770" s="1" t="s">
        <v>3604</v>
      </c>
      <c r="P770" s="1" t="s">
        <v>3606</v>
      </c>
      <c r="Q770" s="1" t="s">
        <v>7270</v>
      </c>
    </row>
    <row r="771" spans="1:17" x14ac:dyDescent="0.25">
      <c r="A771" t="s">
        <v>3607</v>
      </c>
      <c r="B771" t="str">
        <f>HYPERLINK("https://staging-dtl-pattern-api.hfm-weimar.de/static/audio/solos/dtl/AQAJ8dKmMJkSSTi-6CjzolH-4T7OE0tS_0.01.33.019619-0.03.06.045333.mp3", "link")</f>
        <v>link</v>
      </c>
      <c r="D771" t="s">
        <v>3608</v>
      </c>
      <c r="E771" t="s">
        <v>3609</v>
      </c>
      <c r="F771" t="s">
        <v>3609</v>
      </c>
      <c r="G771" t="s">
        <v>3609</v>
      </c>
      <c r="J771" t="s">
        <v>3610</v>
      </c>
      <c r="K771" t="s">
        <v>3611</v>
      </c>
      <c r="L771" s="1" t="s">
        <v>3612</v>
      </c>
      <c r="M771" t="s">
        <v>2824</v>
      </c>
      <c r="N771" t="s">
        <v>46</v>
      </c>
      <c r="O771" s="1" t="s">
        <v>3613</v>
      </c>
      <c r="P771" s="1" t="s">
        <v>3614</v>
      </c>
    </row>
    <row r="772" spans="1:17" x14ac:dyDescent="0.25">
      <c r="A772" t="s">
        <v>3615</v>
      </c>
      <c r="B772" t="str">
        <f>HYPERLINK("https://staging-dtl-pattern-api.hfm-weimar.de/static/audio/solos/dtl/AQAJ8dKmMJkSSTi-6CjzolH-4T7OE0tS_0.03.06.045333-0.03.53.006158.mp3", "link")</f>
        <v>link</v>
      </c>
      <c r="D772" t="s">
        <v>3608</v>
      </c>
      <c r="E772" t="s">
        <v>3616</v>
      </c>
      <c r="F772" t="s">
        <v>3609</v>
      </c>
      <c r="G772" t="s">
        <v>3609</v>
      </c>
      <c r="J772" t="s">
        <v>3610</v>
      </c>
      <c r="K772" t="s">
        <v>3611</v>
      </c>
      <c r="L772" s="1" t="s">
        <v>3612</v>
      </c>
      <c r="M772" t="s">
        <v>2824</v>
      </c>
      <c r="N772" t="s">
        <v>23</v>
      </c>
      <c r="O772" s="1" t="s">
        <v>3614</v>
      </c>
      <c r="P772" s="1" t="s">
        <v>3617</v>
      </c>
    </row>
    <row r="773" spans="1:17" x14ac:dyDescent="0.25">
      <c r="A773" t="s">
        <v>3618</v>
      </c>
      <c r="B773" t="str">
        <f>HYPERLINK("https://staging-dtl-pattern-api.hfm-weimar.de/static/audio/solos/dtl/AQAJA2GkJUmkJVEQPsGspMeVyaD5YMon_0.01.39.070938-0.02.51.007591.mp3", "link")</f>
        <v>link</v>
      </c>
      <c r="D773" t="s">
        <v>3619</v>
      </c>
      <c r="E773" t="s">
        <v>7108</v>
      </c>
      <c r="F773" t="s">
        <v>3620</v>
      </c>
      <c r="G773" t="s">
        <v>3620</v>
      </c>
      <c r="J773" t="s">
        <v>3621</v>
      </c>
      <c r="K773" t="s">
        <v>3622</v>
      </c>
      <c r="L773" s="1" t="s">
        <v>3623</v>
      </c>
      <c r="M773" t="s">
        <v>3624</v>
      </c>
      <c r="N773" t="s">
        <v>891</v>
      </c>
      <c r="O773" s="1" t="s">
        <v>3625</v>
      </c>
      <c r="P773" s="1" t="s">
        <v>3626</v>
      </c>
      <c r="Q773" s="1" t="s">
        <v>7271</v>
      </c>
    </row>
    <row r="774" spans="1:17" x14ac:dyDescent="0.25">
      <c r="A774" t="s">
        <v>3627</v>
      </c>
      <c r="B774" t="str">
        <f>HYPERLINK("https://staging-dtl-pattern-api.hfm-weimar.de/static/audio/solos/dtl/AQAJCpGjRJISBT_OEw0PhswO7Tz8dOhR_0.02.43.035238-0.03.36.066539.mp3", "link")</f>
        <v>link</v>
      </c>
      <c r="D774" t="s">
        <v>3628</v>
      </c>
      <c r="E774" t="s">
        <v>3629</v>
      </c>
      <c r="F774" t="s">
        <v>2413</v>
      </c>
      <c r="J774" t="s">
        <v>3630</v>
      </c>
      <c r="K774" t="s">
        <v>3631</v>
      </c>
      <c r="L774" s="1" t="s">
        <v>3632</v>
      </c>
      <c r="M774" t="s">
        <v>129</v>
      </c>
      <c r="N774" t="s">
        <v>46</v>
      </c>
      <c r="O774" s="1" t="s">
        <v>3633</v>
      </c>
      <c r="P774" s="1" t="s">
        <v>3634</v>
      </c>
    </row>
    <row r="775" spans="1:17" x14ac:dyDescent="0.25">
      <c r="A775" t="s">
        <v>3635</v>
      </c>
      <c r="B775" t="str">
        <f>HYPERLINK("https://staging-dtl-pattern-api.hfm-weimar.de/static/audio/solos/dtl/AQAJDUmSSIuiSE1wJDjqND3-4CQeMngO_0.00.11.004070-0.01.41.092768.mp3", "link")</f>
        <v>link</v>
      </c>
      <c r="D775" t="s">
        <v>2689</v>
      </c>
      <c r="E775" t="s">
        <v>2698</v>
      </c>
      <c r="F775" t="s">
        <v>2690</v>
      </c>
      <c r="G775" t="s">
        <v>2690</v>
      </c>
      <c r="J775" t="s">
        <v>2691</v>
      </c>
      <c r="K775" t="s">
        <v>3636</v>
      </c>
      <c r="L775" s="1" t="s">
        <v>2693</v>
      </c>
      <c r="M775" t="s">
        <v>2694</v>
      </c>
      <c r="N775" t="s">
        <v>23</v>
      </c>
      <c r="O775" s="1" t="s">
        <v>3637</v>
      </c>
      <c r="P775" s="1" t="s">
        <v>3638</v>
      </c>
    </row>
    <row r="776" spans="1:17" x14ac:dyDescent="0.25">
      <c r="A776" t="s">
        <v>3639</v>
      </c>
      <c r="B776" t="str">
        <f>HYPERLINK("https://staging-dtl-pattern-api.hfm-weimar.de/static/audio/solos/dtl/AQAJDUmSSIuiSE1wJDjqND3-4CQeMngO_0.02.56.047916-0.04.29.039437.mp3", "link")</f>
        <v>link</v>
      </c>
      <c r="D776" t="s">
        <v>2689</v>
      </c>
      <c r="E776" t="s">
        <v>2698</v>
      </c>
      <c r="F776" t="s">
        <v>2690</v>
      </c>
      <c r="G776" t="s">
        <v>2690</v>
      </c>
      <c r="J776" t="s">
        <v>2691</v>
      </c>
      <c r="K776" t="s">
        <v>3636</v>
      </c>
      <c r="L776" s="1" t="s">
        <v>2693</v>
      </c>
      <c r="M776" t="s">
        <v>2694</v>
      </c>
      <c r="N776" t="s">
        <v>23</v>
      </c>
      <c r="O776" s="1" t="s">
        <v>3640</v>
      </c>
      <c r="P776" s="1" t="s">
        <v>3641</v>
      </c>
    </row>
    <row r="777" spans="1:17" x14ac:dyDescent="0.25">
      <c r="A777" t="s">
        <v>3642</v>
      </c>
      <c r="B777" t="str">
        <f>HYPERLINK("https://staging-dtl-pattern-api.hfm-weimar.de/static/audio/solos/dtl/AQAJekq0RGHWCY9y_FtwPD2mH2kyH5oY_0.00.31.071845-0.01.47.027619.mp3", "link")</f>
        <v>link</v>
      </c>
      <c r="D777" t="s">
        <v>3643</v>
      </c>
      <c r="E777" t="s">
        <v>1339</v>
      </c>
      <c r="F777" t="s">
        <v>1339</v>
      </c>
      <c r="G777" t="s">
        <v>1339</v>
      </c>
      <c r="J777" t="s">
        <v>3644</v>
      </c>
      <c r="K777" t="s">
        <v>3645</v>
      </c>
      <c r="L777" s="1" t="s">
        <v>3646</v>
      </c>
      <c r="M777" t="s">
        <v>129</v>
      </c>
      <c r="N777" t="s">
        <v>23</v>
      </c>
      <c r="O777" s="1" t="s">
        <v>3647</v>
      </c>
      <c r="P777" s="1" t="s">
        <v>1576</v>
      </c>
    </row>
    <row r="778" spans="1:17" x14ac:dyDescent="0.25">
      <c r="A778" t="s">
        <v>3648</v>
      </c>
      <c r="B778" t="str">
        <f>HYPERLINK("https://staging-dtl-pattern-api.hfm-weimar.de/static/audio/solos/dtl/AQAJekq0RGHWCY9y_FtwPD2mH2kyH5oY_0.01.47.027619-0.02.15.081351.mp3", "link")</f>
        <v>link</v>
      </c>
      <c r="D778" t="s">
        <v>3643</v>
      </c>
      <c r="E778" t="s">
        <v>1339</v>
      </c>
      <c r="F778" t="s">
        <v>1339</v>
      </c>
      <c r="G778" t="s">
        <v>1339</v>
      </c>
      <c r="J778" t="s">
        <v>3644</v>
      </c>
      <c r="K778" t="s">
        <v>3645</v>
      </c>
      <c r="L778" s="1" t="s">
        <v>3646</v>
      </c>
      <c r="M778" t="s">
        <v>129</v>
      </c>
      <c r="N778" t="s">
        <v>23</v>
      </c>
      <c r="O778" s="1" t="s">
        <v>1576</v>
      </c>
      <c r="P778" s="1" t="s">
        <v>3649</v>
      </c>
      <c r="Q778" s="1" t="s">
        <v>7224</v>
      </c>
    </row>
    <row r="779" spans="1:17" x14ac:dyDescent="0.25">
      <c r="A779" t="s">
        <v>3650</v>
      </c>
      <c r="B779" t="str">
        <f>HYPERLINK("https://staging-dtl-pattern-api.hfm-weimar.de/static/audio/solos/dtl/AQAJekq0RGHWCY9y_FtwPD2mH2kyH5oY_0.03.58.000453-0.04.02.095038.mp3", "link")</f>
        <v>link</v>
      </c>
      <c r="D779" t="s">
        <v>3643</v>
      </c>
      <c r="E779" t="s">
        <v>1339</v>
      </c>
      <c r="F779" t="s">
        <v>1339</v>
      </c>
      <c r="G779" t="s">
        <v>1339</v>
      </c>
      <c r="J779" t="s">
        <v>3644</v>
      </c>
      <c r="K779" t="s">
        <v>3645</v>
      </c>
      <c r="L779" s="1" t="s">
        <v>3646</v>
      </c>
      <c r="M779" t="s">
        <v>129</v>
      </c>
      <c r="N779" t="s">
        <v>23</v>
      </c>
      <c r="O779" s="1" t="s">
        <v>3651</v>
      </c>
      <c r="P779" s="1" t="s">
        <v>3652</v>
      </c>
    </row>
    <row r="780" spans="1:17" x14ac:dyDescent="0.25">
      <c r="A780" t="s">
        <v>3653</v>
      </c>
      <c r="B780" t="str">
        <f>HYPERLINK("https://staging-dtl-pattern-api.hfm-weimar.de/static/audio/solos/dtl/AQAJekq0RGHWCY9y_FtwPD2mH2kyH5oY_0.04.06.094421-0.04.12.012226.mp3", "link")</f>
        <v>link</v>
      </c>
      <c r="D780" t="s">
        <v>3643</v>
      </c>
      <c r="E780" t="s">
        <v>1339</v>
      </c>
      <c r="F780" t="s">
        <v>1339</v>
      </c>
      <c r="G780" t="s">
        <v>1339</v>
      </c>
      <c r="J780" t="s">
        <v>3644</v>
      </c>
      <c r="K780" t="s">
        <v>3645</v>
      </c>
      <c r="L780" s="1" t="s">
        <v>3646</v>
      </c>
      <c r="M780" t="s">
        <v>129</v>
      </c>
      <c r="N780" t="s">
        <v>23</v>
      </c>
      <c r="O780" s="1" t="s">
        <v>3654</v>
      </c>
      <c r="P780" s="1" t="s">
        <v>3655</v>
      </c>
    </row>
    <row r="781" spans="1:17" x14ac:dyDescent="0.25">
      <c r="A781" t="s">
        <v>3656</v>
      </c>
      <c r="B781" t="str">
        <f>HYPERLINK("https://staging-dtl-pattern-api.hfm-weimar.de/static/audio/solos/dtl/AQAJekq0RGHWCY9y_FtwPD2mH2kyH5oY_0.04.16.030185-0.04.21.045668.mp3", "link")</f>
        <v>link</v>
      </c>
      <c r="D781" t="s">
        <v>3643</v>
      </c>
      <c r="E781" t="s">
        <v>1339</v>
      </c>
      <c r="F781" t="s">
        <v>1339</v>
      </c>
      <c r="G781" t="s">
        <v>1339</v>
      </c>
      <c r="J781" t="s">
        <v>3644</v>
      </c>
      <c r="K781" t="s">
        <v>3645</v>
      </c>
      <c r="L781" s="1" t="s">
        <v>3646</v>
      </c>
      <c r="M781" t="s">
        <v>129</v>
      </c>
      <c r="N781" t="s">
        <v>23</v>
      </c>
      <c r="O781" s="1" t="s">
        <v>3657</v>
      </c>
      <c r="P781" s="1" t="s">
        <v>3658</v>
      </c>
    </row>
    <row r="782" spans="1:17" x14ac:dyDescent="0.25">
      <c r="A782" t="s">
        <v>3659</v>
      </c>
      <c r="B782" t="str">
        <f>HYPERLINK("https://staging-dtl-pattern-api.hfm-weimar.de/static/audio/solos/dtl/AQAJh8oSKdGiTkCvw_ghHz3a47hnHL6g_0.01.25.038360-0.03.00.086603.mp3", "link")</f>
        <v>link</v>
      </c>
      <c r="E782" t="s">
        <v>7109</v>
      </c>
      <c r="F782" t="s">
        <v>42</v>
      </c>
      <c r="G782" t="s">
        <v>42</v>
      </c>
      <c r="J782" t="s">
        <v>113</v>
      </c>
      <c r="K782" t="s">
        <v>3660</v>
      </c>
      <c r="L782" s="1" t="s">
        <v>3661</v>
      </c>
      <c r="M782" t="s">
        <v>45</v>
      </c>
      <c r="N782" t="s">
        <v>7110</v>
      </c>
      <c r="O782" s="1" t="s">
        <v>3662</v>
      </c>
      <c r="P782" s="1" t="s">
        <v>3663</v>
      </c>
      <c r="Q782" s="1" t="s">
        <v>7272</v>
      </c>
    </row>
    <row r="783" spans="1:17" x14ac:dyDescent="0.25">
      <c r="A783" t="s">
        <v>3664</v>
      </c>
      <c r="B783" t="str">
        <f>HYPERLINK("https://staging-dtl-pattern-api.hfm-weimar.de/static/audio/solos/dtl/AQAJhZokJYmiJDGOBz_y4zwO7QceHJo__0.00.51.085015-0.01.40.079782.mp3", "link")</f>
        <v>link</v>
      </c>
      <c r="D783" t="s">
        <v>3665</v>
      </c>
      <c r="E783" t="s">
        <v>3666</v>
      </c>
      <c r="F783" t="s">
        <v>3666</v>
      </c>
      <c r="G783" t="s">
        <v>3666</v>
      </c>
      <c r="J783" t="s">
        <v>3667</v>
      </c>
      <c r="K783" t="s">
        <v>3668</v>
      </c>
      <c r="L783" s="1" t="s">
        <v>3669</v>
      </c>
      <c r="M783" t="s">
        <v>2129</v>
      </c>
      <c r="N783" t="s">
        <v>46</v>
      </c>
      <c r="O783" s="1" t="s">
        <v>3670</v>
      </c>
      <c r="P783" s="1" t="s">
        <v>3671</v>
      </c>
    </row>
    <row r="784" spans="1:17" x14ac:dyDescent="0.25">
      <c r="A784" t="s">
        <v>3672</v>
      </c>
      <c r="B784" t="str">
        <f>HYPERLINK("https://staging-dtl-pattern-api.hfm-weimar.de/static/audio/solos/dtl/AQAJi1KSSLHGJGhe4ckjnBOPXN2RPDl6_0.00.50.066594-0.02.30.018666.mp3", "link")</f>
        <v>link</v>
      </c>
      <c r="D784" t="s">
        <v>3673</v>
      </c>
      <c r="E784" t="s">
        <v>1339</v>
      </c>
      <c r="F784" t="s">
        <v>1339</v>
      </c>
      <c r="G784" t="s">
        <v>1339</v>
      </c>
      <c r="J784" t="s">
        <v>3674</v>
      </c>
      <c r="K784" t="s">
        <v>3675</v>
      </c>
      <c r="L784" s="1" t="s">
        <v>2222</v>
      </c>
      <c r="M784" t="s">
        <v>129</v>
      </c>
      <c r="N784" t="s">
        <v>202</v>
      </c>
      <c r="O784" s="1" t="s">
        <v>3676</v>
      </c>
      <c r="P784" s="1" t="s">
        <v>3677</v>
      </c>
    </row>
    <row r="785" spans="1:17" x14ac:dyDescent="0.25">
      <c r="A785" t="s">
        <v>3678</v>
      </c>
      <c r="B785" t="str">
        <f>HYPERLINK("https://staging-dtl-pattern-api.hfm-weimar.de/static/audio/solos/dtl/AQAJIlInJYmyBWcmE1cQPDgFTTmaHw-e_0.03.14.034104-0.04.02.058321.mp3", "link")</f>
        <v>link</v>
      </c>
      <c r="D785" t="s">
        <v>3207</v>
      </c>
      <c r="E785" t="s">
        <v>235</v>
      </c>
      <c r="F785" t="s">
        <v>3208</v>
      </c>
      <c r="G785" t="s">
        <v>235</v>
      </c>
      <c r="H785" t="s">
        <v>3209</v>
      </c>
      <c r="I785">
        <v>34</v>
      </c>
      <c r="J785" t="s">
        <v>141</v>
      </c>
      <c r="K785" t="s">
        <v>3679</v>
      </c>
      <c r="L785" s="1" t="s">
        <v>3211</v>
      </c>
      <c r="M785" t="s">
        <v>129</v>
      </c>
      <c r="N785" t="s">
        <v>23</v>
      </c>
      <c r="O785" s="1" t="s">
        <v>3680</v>
      </c>
      <c r="P785" s="1" t="s">
        <v>3681</v>
      </c>
    </row>
    <row r="786" spans="1:17" x14ac:dyDescent="0.25">
      <c r="A786" t="s">
        <v>3682</v>
      </c>
      <c r="B786" t="str">
        <f>HYPERLINK("https://staging-dtl-pattern-api.hfm-weimar.de/static/audio/solos/dtl/AQAJIlInJYmyBWcmE1cQPDgFTTmaHw-e_0.04.23.066040-0.04.52.013333.mp3", "link")</f>
        <v>link</v>
      </c>
      <c r="D786" t="s">
        <v>3207</v>
      </c>
      <c r="E786" t="s">
        <v>235</v>
      </c>
      <c r="F786" t="s">
        <v>3208</v>
      </c>
      <c r="G786" t="s">
        <v>235</v>
      </c>
      <c r="H786" t="s">
        <v>3209</v>
      </c>
      <c r="I786">
        <v>34</v>
      </c>
      <c r="J786" t="s">
        <v>141</v>
      </c>
      <c r="K786" t="s">
        <v>3679</v>
      </c>
      <c r="L786" s="1" t="s">
        <v>3211</v>
      </c>
      <c r="M786" t="s">
        <v>129</v>
      </c>
      <c r="N786" t="s">
        <v>23</v>
      </c>
      <c r="O786" s="1" t="s">
        <v>3683</v>
      </c>
      <c r="P786" s="1" t="s">
        <v>3684</v>
      </c>
    </row>
    <row r="787" spans="1:17" x14ac:dyDescent="0.25">
      <c r="A787" t="s">
        <v>3685</v>
      </c>
      <c r="B787" t="str">
        <f>HYPERLINK("https://staging-dtl-pattern-api.hfm-weimar.de/static/audio/solos/dtl/AQAJJ0miJIpCcUmCvOiFXAr65EetQkx8_0.01.18.013514-0.01.51.017714.mp3", "link")</f>
        <v>link</v>
      </c>
      <c r="D787" t="s">
        <v>3686</v>
      </c>
      <c r="E787" t="s">
        <v>3687</v>
      </c>
      <c r="F787" t="s">
        <v>2845</v>
      </c>
      <c r="J787" t="s">
        <v>3688</v>
      </c>
      <c r="K787" t="s">
        <v>3689</v>
      </c>
      <c r="L787" s="1" t="s">
        <v>3092</v>
      </c>
      <c r="M787" t="s">
        <v>3093</v>
      </c>
      <c r="N787" t="s">
        <v>202</v>
      </c>
      <c r="O787" s="1" t="s">
        <v>3690</v>
      </c>
      <c r="P787" s="1" t="s">
        <v>3691</v>
      </c>
    </row>
    <row r="788" spans="1:17" x14ac:dyDescent="0.25">
      <c r="A788" t="s">
        <v>3692</v>
      </c>
      <c r="B788" t="str">
        <f>HYPERLINK("https://staging-dtl-pattern-api.hfm-weimar.de/static/audio/solos/dtl/AQAJJ0miJIpCcUmCvOiFXAr65EetQkx8_0.01.51.017714-0.02.27.081823.mp3", "link")</f>
        <v>link</v>
      </c>
      <c r="D788" t="s">
        <v>3686</v>
      </c>
      <c r="E788" t="s">
        <v>3693</v>
      </c>
      <c r="F788" t="s">
        <v>2845</v>
      </c>
      <c r="J788" t="s">
        <v>3688</v>
      </c>
      <c r="K788" t="s">
        <v>3689</v>
      </c>
      <c r="L788" s="1" t="s">
        <v>3092</v>
      </c>
      <c r="M788" t="s">
        <v>3093</v>
      </c>
      <c r="N788" t="s">
        <v>46</v>
      </c>
      <c r="O788" s="1" t="s">
        <v>3691</v>
      </c>
      <c r="P788" s="1" t="s">
        <v>3694</v>
      </c>
    </row>
    <row r="789" spans="1:17" x14ac:dyDescent="0.25">
      <c r="A789" t="s">
        <v>3695</v>
      </c>
      <c r="B789" t="str">
        <f>HYPERLINK("https://staging-dtl-pattern-api.hfm-weimar.de/static/audio/solos/dtl/AQAJJInKRAmNnviL-xB_nIaPE4946DuO_0.01.03.015827-0.01.56.023909.mp3", "link")</f>
        <v>link</v>
      </c>
      <c r="C789" t="s">
        <v>3696</v>
      </c>
      <c r="D789" t="s">
        <v>3697</v>
      </c>
      <c r="F789" t="s">
        <v>3698</v>
      </c>
      <c r="G789" t="s">
        <v>3698</v>
      </c>
      <c r="J789" t="s">
        <v>3699</v>
      </c>
      <c r="K789" t="s">
        <v>3700</v>
      </c>
      <c r="L789" s="1" t="s">
        <v>3701</v>
      </c>
      <c r="M789" t="s">
        <v>3702</v>
      </c>
      <c r="N789" t="s">
        <v>172</v>
      </c>
      <c r="O789" s="1" t="s">
        <v>3703</v>
      </c>
      <c r="P789" s="1" t="s">
        <v>3704</v>
      </c>
    </row>
    <row r="790" spans="1:17" x14ac:dyDescent="0.25">
      <c r="A790" t="s">
        <v>3705</v>
      </c>
      <c r="B790" t="str">
        <f>HYPERLINK("https://staging-dtl-pattern-api.hfm-weimar.de/static/audio/solos/dtl/AQAJL8oViQS_I5dwHs0OjdGe4coyCSV5_0.02.05.020489-0.02.38.079836.mp3", "link")</f>
        <v>link</v>
      </c>
      <c r="D790" t="s">
        <v>3706</v>
      </c>
      <c r="E790" t="s">
        <v>3707</v>
      </c>
      <c r="F790" t="s">
        <v>3708</v>
      </c>
      <c r="G790" t="s">
        <v>3708</v>
      </c>
      <c r="J790" t="s">
        <v>3709</v>
      </c>
      <c r="K790" t="s">
        <v>3710</v>
      </c>
      <c r="L790" s="1" t="s">
        <v>3711</v>
      </c>
      <c r="M790" t="s">
        <v>3712</v>
      </c>
      <c r="N790" t="s">
        <v>109</v>
      </c>
      <c r="O790" s="1" t="s">
        <v>3713</v>
      </c>
      <c r="P790" s="1" t="s">
        <v>3714</v>
      </c>
    </row>
    <row r="791" spans="1:17" x14ac:dyDescent="0.25">
      <c r="A791" t="s">
        <v>3715</v>
      </c>
      <c r="B791" t="str">
        <f>HYPERLINK("https://staging-dtl-pattern-api.hfm-weimar.de/static/audio/solos/dtl/AQAJmVHyJtGDq9iXHw_zDH52lDx0ouQV_0.00.50.059628-0.02.13.039863.mp3", "link")</f>
        <v>link</v>
      </c>
      <c r="D791" t="s">
        <v>2689</v>
      </c>
      <c r="E791" t="s">
        <v>2705</v>
      </c>
      <c r="F791" t="s">
        <v>2690</v>
      </c>
      <c r="G791" t="s">
        <v>2690</v>
      </c>
      <c r="J791" t="s">
        <v>2691</v>
      </c>
      <c r="K791" t="s">
        <v>3716</v>
      </c>
      <c r="L791" s="1" t="s">
        <v>2693</v>
      </c>
      <c r="M791" t="s">
        <v>2694</v>
      </c>
      <c r="N791" t="s">
        <v>172</v>
      </c>
      <c r="O791" s="1" t="s">
        <v>3717</v>
      </c>
      <c r="P791" s="1" t="s">
        <v>3718</v>
      </c>
      <c r="Q791" s="1" t="s">
        <v>7249</v>
      </c>
    </row>
    <row r="792" spans="1:17" x14ac:dyDescent="0.25">
      <c r="A792" t="s">
        <v>3719</v>
      </c>
      <c r="B792" t="str">
        <f>HYPERLINK("https://staging-dtl-pattern-api.hfm-weimar.de/static/audio/solos/dtl/AQAJN2PIJVSG78-Q51B9ZA-aJ-gnPNmD_0.01.25.033333-0.03.35.036507.mp3", "link")</f>
        <v>link</v>
      </c>
      <c r="D792" t="s">
        <v>3720</v>
      </c>
      <c r="E792" t="s">
        <v>3721</v>
      </c>
      <c r="F792" t="s">
        <v>2413</v>
      </c>
      <c r="J792" t="s">
        <v>3722</v>
      </c>
      <c r="K792" t="s">
        <v>3723</v>
      </c>
      <c r="L792" s="1" t="s">
        <v>3724</v>
      </c>
      <c r="M792" t="s">
        <v>3725</v>
      </c>
      <c r="N792" t="s">
        <v>23</v>
      </c>
      <c r="O792" s="1" t="s">
        <v>3726</v>
      </c>
      <c r="P792" s="1" t="s">
        <v>3727</v>
      </c>
    </row>
    <row r="793" spans="1:17" x14ac:dyDescent="0.25">
      <c r="A793" t="s">
        <v>3728</v>
      </c>
      <c r="B793" t="str">
        <f>HYPERLINK("https://staging-dtl-pattern-api.hfm-weimar.de/static/audio/solos/dtl/AQAJN2PIJVSG78-Q51B9ZA-aJ-gnPNmD_0.03.35.036507-0.04.05.034204.mp3", "link")</f>
        <v>link</v>
      </c>
      <c r="D793" t="s">
        <v>3720</v>
      </c>
      <c r="E793" t="s">
        <v>3721</v>
      </c>
      <c r="F793" t="s">
        <v>2413</v>
      </c>
      <c r="J793" t="s">
        <v>3722</v>
      </c>
      <c r="K793" t="s">
        <v>3723</v>
      </c>
      <c r="L793" s="1" t="s">
        <v>3724</v>
      </c>
      <c r="M793" t="s">
        <v>3725</v>
      </c>
      <c r="N793" t="s">
        <v>23</v>
      </c>
      <c r="O793" s="1" t="s">
        <v>3727</v>
      </c>
      <c r="P793" s="1" t="s">
        <v>3729</v>
      </c>
    </row>
    <row r="794" spans="1:17" x14ac:dyDescent="0.25">
      <c r="A794" t="s">
        <v>3730</v>
      </c>
      <c r="B794" t="str">
        <f>HYPERLINK("https://staging-dtl-pattern-api.hfm-weimar.de/static/audio/solos/dtl/AQAJnko8ZZs0NOuQH4ofNPsQ5vvQSmRW_0.02.00.086857-0.02.54.087238.mp3", "link")</f>
        <v>link</v>
      </c>
      <c r="D794" t="s">
        <v>3731</v>
      </c>
      <c r="E794" t="s">
        <v>7111</v>
      </c>
      <c r="F794" t="s">
        <v>42</v>
      </c>
      <c r="G794" t="s">
        <v>42</v>
      </c>
      <c r="J794" t="s">
        <v>3732</v>
      </c>
      <c r="K794" t="s">
        <v>3733</v>
      </c>
      <c r="L794" s="1" t="s">
        <v>3734</v>
      </c>
      <c r="M794" t="s">
        <v>129</v>
      </c>
      <c r="N794" t="s">
        <v>329</v>
      </c>
      <c r="O794" s="1" t="s">
        <v>3735</v>
      </c>
      <c r="P794" s="1" t="s">
        <v>3736</v>
      </c>
      <c r="Q794" s="1" t="s">
        <v>7273</v>
      </c>
    </row>
    <row r="795" spans="1:17" x14ac:dyDescent="0.25">
      <c r="A795" t="s">
        <v>3737</v>
      </c>
      <c r="B795" t="str">
        <f>HYPERLINK("https://staging-dtl-pattern-api.hfm-weimar.de/static/audio/solos/dtl/AQAJnko8ZZs0NOuQH4ofNPsQ5vvQSmRW_0.02.54.087238-0.05.07.046666.mp3", "link")</f>
        <v>link</v>
      </c>
      <c r="D795" t="s">
        <v>3731</v>
      </c>
      <c r="E795" t="s">
        <v>42</v>
      </c>
      <c r="F795" t="s">
        <v>42</v>
      </c>
      <c r="G795" t="s">
        <v>42</v>
      </c>
      <c r="J795" t="s">
        <v>3732</v>
      </c>
      <c r="K795" t="s">
        <v>3733</v>
      </c>
      <c r="L795" s="1" t="s">
        <v>3734</v>
      </c>
      <c r="M795" t="s">
        <v>129</v>
      </c>
      <c r="N795" t="s">
        <v>46</v>
      </c>
      <c r="O795" s="1" t="s">
        <v>3736</v>
      </c>
      <c r="P795" s="1" t="s">
        <v>3738</v>
      </c>
    </row>
    <row r="796" spans="1:17" x14ac:dyDescent="0.25">
      <c r="A796" t="s">
        <v>3739</v>
      </c>
      <c r="B796" t="str">
        <f>HYPERLINK("https://staging-dtl-pattern-api.hfm-weimar.de/static/audio/solos/dtl/AQAJNUmUTEmyKImWwMeDH4dxPfhxPPCO_0.01.29.052163-0.02.15.041877.mp3", "link")</f>
        <v>link</v>
      </c>
      <c r="D796" t="s">
        <v>3740</v>
      </c>
      <c r="E796" t="s">
        <v>7108</v>
      </c>
      <c r="F796" t="s">
        <v>3620</v>
      </c>
      <c r="G796" t="s">
        <v>3620</v>
      </c>
      <c r="J796" t="s">
        <v>3621</v>
      </c>
      <c r="K796" t="s">
        <v>3741</v>
      </c>
      <c r="L796" s="1" t="s">
        <v>3623</v>
      </c>
      <c r="M796" t="s">
        <v>3624</v>
      </c>
      <c r="N796" t="s">
        <v>891</v>
      </c>
      <c r="O796" s="1" t="s">
        <v>3742</v>
      </c>
      <c r="P796" s="1" t="s">
        <v>3743</v>
      </c>
      <c r="Q796" s="1" t="s">
        <v>7271</v>
      </c>
    </row>
    <row r="797" spans="1:17" x14ac:dyDescent="0.25">
      <c r="A797" t="s">
        <v>3744</v>
      </c>
      <c r="B797" t="str">
        <f>HYPERLINK("https://staging-dtl-pattern-api.hfm-weimar.de/static/audio/solos/dtl/AQAJolkVRgyhnUj9VPhnuGJs9Af6Yzx8_0.02.11.035528-0.03.19.008789.mp3", "link")</f>
        <v>link</v>
      </c>
      <c r="D797" t="s">
        <v>3745</v>
      </c>
      <c r="E797" t="s">
        <v>3746</v>
      </c>
      <c r="F797" t="s">
        <v>3746</v>
      </c>
      <c r="G797" t="s">
        <v>3746</v>
      </c>
      <c r="J797" t="s">
        <v>3747</v>
      </c>
      <c r="K797" t="s">
        <v>3748</v>
      </c>
      <c r="L797" s="1" t="s">
        <v>2331</v>
      </c>
      <c r="M797" t="s">
        <v>3749</v>
      </c>
      <c r="N797" t="s">
        <v>119</v>
      </c>
      <c r="O797" s="1" t="s">
        <v>3750</v>
      </c>
      <c r="P797" s="1" t="s">
        <v>3751</v>
      </c>
      <c r="Q797" s="1" t="s">
        <v>7274</v>
      </c>
    </row>
    <row r="798" spans="1:17" x14ac:dyDescent="0.25">
      <c r="A798" t="s">
        <v>3752</v>
      </c>
      <c r="B798" t="str">
        <f>HYPERLINK("https://staging-dtl-pattern-api.hfm-weimar.de/static/audio/solos/dtl/AQAJP4suTUlw-EmOJ1KG20HzMCiZIwzH_0.00.29.090730-0.01.28.053768.mp3", "link")</f>
        <v>link</v>
      </c>
      <c r="D798" t="s">
        <v>3753</v>
      </c>
      <c r="E798" t="s">
        <v>3754</v>
      </c>
      <c r="F798" t="s">
        <v>3755</v>
      </c>
      <c r="G798" t="s">
        <v>612</v>
      </c>
      <c r="H798" t="s">
        <v>3756</v>
      </c>
      <c r="I798">
        <v>21</v>
      </c>
      <c r="J798" t="s">
        <v>616</v>
      </c>
      <c r="K798" t="s">
        <v>3757</v>
      </c>
      <c r="L798" s="1" t="s">
        <v>3758</v>
      </c>
      <c r="M798" t="s">
        <v>309</v>
      </c>
      <c r="N798" t="s">
        <v>23</v>
      </c>
      <c r="O798" s="1" t="s">
        <v>3759</v>
      </c>
      <c r="P798" s="1" t="s">
        <v>3760</v>
      </c>
    </row>
    <row r="799" spans="1:17" x14ac:dyDescent="0.25">
      <c r="A799" t="s">
        <v>3761</v>
      </c>
      <c r="B799" t="str">
        <f>HYPERLINK("https://staging-dtl-pattern-api.hfm-weimar.de/static/audio/solos/dtl/AQAJP4suTUlw-EmOJ1KG20HzMCiZIwzH_0.01.28.053768-0.02.27.019129.mp3", "link")</f>
        <v>link</v>
      </c>
      <c r="D799" t="s">
        <v>3753</v>
      </c>
      <c r="E799" t="s">
        <v>612</v>
      </c>
      <c r="F799" t="s">
        <v>3755</v>
      </c>
      <c r="G799" t="s">
        <v>612</v>
      </c>
      <c r="H799" t="s">
        <v>3756</v>
      </c>
      <c r="I799">
        <v>21</v>
      </c>
      <c r="J799" t="s">
        <v>616</v>
      </c>
      <c r="K799" t="s">
        <v>3757</v>
      </c>
      <c r="L799" s="1" t="s">
        <v>3758</v>
      </c>
      <c r="M799" t="s">
        <v>309</v>
      </c>
      <c r="N799" t="s">
        <v>46</v>
      </c>
      <c r="O799" s="1" t="s">
        <v>3760</v>
      </c>
      <c r="P799" s="1" t="s">
        <v>3762</v>
      </c>
    </row>
    <row r="800" spans="1:17" x14ac:dyDescent="0.25">
      <c r="A800" t="s">
        <v>3763</v>
      </c>
      <c r="B800" t="str">
        <f>HYPERLINK("https://staging-dtl-pattern-api.hfm-weimar.de/static/audio/solos/dtl/AQAJpJcULcOnI06kVTi0y0T6LUNFRWER_0.00.55.005451-0.02.50.015582.mp3", "link")</f>
        <v>link</v>
      </c>
      <c r="C800" t="s">
        <v>3764</v>
      </c>
      <c r="D800" t="s">
        <v>3765</v>
      </c>
      <c r="F800" t="s">
        <v>3766</v>
      </c>
      <c r="G800" t="s">
        <v>3766</v>
      </c>
      <c r="J800" t="s">
        <v>3767</v>
      </c>
      <c r="K800" t="s">
        <v>3768</v>
      </c>
      <c r="L800" s="1" t="s">
        <v>3769</v>
      </c>
      <c r="M800" t="s">
        <v>2824</v>
      </c>
      <c r="N800" t="s">
        <v>23</v>
      </c>
      <c r="O800" s="1" t="s">
        <v>3770</v>
      </c>
      <c r="P800" s="1" t="s">
        <v>3771</v>
      </c>
    </row>
    <row r="801" spans="1:17" x14ac:dyDescent="0.25">
      <c r="A801" t="s">
        <v>3772</v>
      </c>
      <c r="B801" t="str">
        <f>HYPERLINK("https://staging-dtl-pattern-api.hfm-weimar.de/static/audio/solos/dtl/AQAJpJcULcOnI06kVTi0y0T6LUNFRWER_0.02.50.015582-0.04.36.015492.mp3", "link")</f>
        <v>link</v>
      </c>
      <c r="C801" t="s">
        <v>3764</v>
      </c>
      <c r="D801" t="s">
        <v>3765</v>
      </c>
      <c r="F801" t="s">
        <v>3766</v>
      </c>
      <c r="G801" t="s">
        <v>3766</v>
      </c>
      <c r="J801" t="s">
        <v>3767</v>
      </c>
      <c r="K801" t="s">
        <v>3768</v>
      </c>
      <c r="L801" s="1" t="s">
        <v>3769</v>
      </c>
      <c r="M801" t="s">
        <v>2824</v>
      </c>
      <c r="N801" t="s">
        <v>23</v>
      </c>
      <c r="O801" s="1" t="s">
        <v>3771</v>
      </c>
      <c r="P801" s="1" t="s">
        <v>3773</v>
      </c>
    </row>
    <row r="802" spans="1:17" x14ac:dyDescent="0.25">
      <c r="A802" t="s">
        <v>3774</v>
      </c>
      <c r="B802" t="str">
        <f>HYPERLINK("https://staging-dtl-pattern-api.hfm-weimar.de/static/audio/solos/dtl/AQAJPJG0TIySJQmaX_hPnOgOb8mMH5rp_0.01.55.017097-0.03.18.094857.mp3", "link")</f>
        <v>link</v>
      </c>
      <c r="C802" t="s">
        <v>7112</v>
      </c>
      <c r="D802" t="s">
        <v>3775</v>
      </c>
      <c r="F802" t="s">
        <v>2803</v>
      </c>
      <c r="G802" t="s">
        <v>2803</v>
      </c>
      <c r="J802" t="s">
        <v>3776</v>
      </c>
      <c r="K802" t="s">
        <v>3777</v>
      </c>
      <c r="L802" s="1" t="s">
        <v>3778</v>
      </c>
      <c r="M802" t="s">
        <v>129</v>
      </c>
      <c r="N802" t="s">
        <v>202</v>
      </c>
      <c r="O802" s="1" t="s">
        <v>2247</v>
      </c>
      <c r="P802" s="1" t="s">
        <v>3779</v>
      </c>
    </row>
    <row r="803" spans="1:17" x14ac:dyDescent="0.25">
      <c r="A803" t="s">
        <v>3780</v>
      </c>
      <c r="B803" t="str">
        <f>HYPERLINK("https://staging-dtl-pattern-api.hfm-weimar.de/static/audio/solos/dtl/AQAJPVmihEkiJUyCHw_W73DFQ_vxB6GH_0.00.59.056789-0.01.34.095365.mp3", "link")</f>
        <v>link</v>
      </c>
      <c r="D803" t="s">
        <v>3781</v>
      </c>
      <c r="F803" t="s">
        <v>305</v>
      </c>
      <c r="J803" t="s">
        <v>3782</v>
      </c>
      <c r="K803" t="s">
        <v>3783</v>
      </c>
      <c r="L803" s="1" t="s">
        <v>3784</v>
      </c>
      <c r="M803" t="s">
        <v>309</v>
      </c>
      <c r="N803" t="s">
        <v>23</v>
      </c>
      <c r="O803" s="1" t="s">
        <v>3785</v>
      </c>
      <c r="P803" s="1" t="s">
        <v>3786</v>
      </c>
    </row>
    <row r="804" spans="1:17" x14ac:dyDescent="0.25">
      <c r="A804" t="s">
        <v>3787</v>
      </c>
      <c r="B804" t="str">
        <f>HYPERLINK("https://staging-dtl-pattern-api.hfm-weimar.de/static/audio/solos/dtl/AQAJPVmihEkiJUyCHw_W73DFQ_vxB6GH_0.01.34.095365-0.02.11.016952.mp3", "link")</f>
        <v>link</v>
      </c>
      <c r="D804" t="s">
        <v>3781</v>
      </c>
      <c r="F804" t="s">
        <v>305</v>
      </c>
      <c r="J804" t="s">
        <v>3782</v>
      </c>
      <c r="K804" t="s">
        <v>3783</v>
      </c>
      <c r="L804" s="1" t="s">
        <v>3784</v>
      </c>
      <c r="M804" t="s">
        <v>309</v>
      </c>
      <c r="N804" t="s">
        <v>172</v>
      </c>
      <c r="O804" s="1" t="s">
        <v>3786</v>
      </c>
      <c r="P804" s="1" t="s">
        <v>3788</v>
      </c>
      <c r="Q804" s="1" t="s">
        <v>7233</v>
      </c>
    </row>
    <row r="805" spans="1:17" x14ac:dyDescent="0.25">
      <c r="A805" t="s">
        <v>3789</v>
      </c>
      <c r="B805" t="str">
        <f>HYPERLINK("https://staging-dtl-pattern-api.hfm-weimar.de/static/audio/solos/dtl/AQAJq2-uJcRXnMe947SCxEyoIR9eZcWl_0.01.17.092616-0.02.08.061532.mp3", "link")</f>
        <v>link</v>
      </c>
      <c r="D805" t="s">
        <v>3790</v>
      </c>
      <c r="E805" t="s">
        <v>3791</v>
      </c>
      <c r="F805" t="s">
        <v>3792</v>
      </c>
      <c r="G805" t="s">
        <v>3792</v>
      </c>
      <c r="J805" t="s">
        <v>3793</v>
      </c>
      <c r="K805" t="s">
        <v>3794</v>
      </c>
      <c r="L805" s="1" t="s">
        <v>3795</v>
      </c>
      <c r="N805" t="s">
        <v>46</v>
      </c>
      <c r="O805" s="1" t="s">
        <v>3796</v>
      </c>
      <c r="P805" s="1" t="s">
        <v>3797</v>
      </c>
    </row>
    <row r="806" spans="1:17" x14ac:dyDescent="0.25">
      <c r="A806" t="s">
        <v>3798</v>
      </c>
      <c r="B806" t="str">
        <f>HYPERLINK("https://staging-dtl-pattern-api.hfm-weimar.de/static/audio/solos/dtl/AQAJq2-uJcRXnMe947SCxEyoIR9eZcWl_0.02.08.061532-0.03.49.004163.mp3", "link")</f>
        <v>link</v>
      </c>
      <c r="D806" t="s">
        <v>3790</v>
      </c>
      <c r="E806" t="s">
        <v>3792</v>
      </c>
      <c r="F806" t="s">
        <v>3792</v>
      </c>
      <c r="G806" t="s">
        <v>3792</v>
      </c>
      <c r="J806" t="s">
        <v>3793</v>
      </c>
      <c r="K806" t="s">
        <v>3794</v>
      </c>
      <c r="L806" s="1" t="s">
        <v>3795</v>
      </c>
      <c r="N806" t="s">
        <v>202</v>
      </c>
      <c r="O806" s="1" t="s">
        <v>3797</v>
      </c>
      <c r="P806" s="1" t="s">
        <v>3799</v>
      </c>
    </row>
    <row r="807" spans="1:17" x14ac:dyDescent="0.25">
      <c r="A807" t="s">
        <v>3800</v>
      </c>
      <c r="B807" t="str">
        <f>HYPERLINK("https://staging-dtl-pattern-api.hfm-weimar.de/static/audio/solos/dtl/AQAJqhQlUYqU4M_x8HCDfD30I_2RQ9eR_0.00.40.005442-0.01.53.017405.mp3", "link")</f>
        <v>link</v>
      </c>
      <c r="D807" t="s">
        <v>3801</v>
      </c>
      <c r="E807" t="s">
        <v>3802</v>
      </c>
      <c r="F807" t="s">
        <v>3803</v>
      </c>
      <c r="G807" t="s">
        <v>3802</v>
      </c>
      <c r="H807" t="s">
        <v>3804</v>
      </c>
      <c r="I807">
        <v>29</v>
      </c>
      <c r="J807" t="s">
        <v>616</v>
      </c>
      <c r="K807" t="s">
        <v>3805</v>
      </c>
      <c r="L807" s="1" t="s">
        <v>3806</v>
      </c>
      <c r="M807" t="s">
        <v>309</v>
      </c>
      <c r="N807" t="s">
        <v>202</v>
      </c>
      <c r="O807" s="1" t="s">
        <v>3807</v>
      </c>
      <c r="P807" s="1" t="s">
        <v>3808</v>
      </c>
    </row>
    <row r="808" spans="1:17" x14ac:dyDescent="0.25">
      <c r="A808" t="s">
        <v>3809</v>
      </c>
      <c r="B808" t="str">
        <f>HYPERLINK("https://staging-dtl-pattern-api.hfm-weimar.de/static/audio/solos/dtl/AQAJqhQlUYqU4M_x8HCDfD30I_2RQ9eR_0.03.26.042539-0.03.31.055700.mp3", "link")</f>
        <v>link</v>
      </c>
      <c r="D808" t="s">
        <v>3801</v>
      </c>
      <c r="E808" t="s">
        <v>3802</v>
      </c>
      <c r="F808" t="s">
        <v>3803</v>
      </c>
      <c r="G808" t="s">
        <v>3802</v>
      </c>
      <c r="H808" t="s">
        <v>3804</v>
      </c>
      <c r="I808">
        <v>29</v>
      </c>
      <c r="J808" t="s">
        <v>616</v>
      </c>
      <c r="K808" t="s">
        <v>3805</v>
      </c>
      <c r="L808" s="1" t="s">
        <v>3806</v>
      </c>
      <c r="M808" t="s">
        <v>309</v>
      </c>
      <c r="N808" t="s">
        <v>202</v>
      </c>
      <c r="O808" s="1" t="s">
        <v>3810</v>
      </c>
      <c r="P808" s="1" t="s">
        <v>3811</v>
      </c>
    </row>
    <row r="809" spans="1:17" x14ac:dyDescent="0.25">
      <c r="A809" t="s">
        <v>3812</v>
      </c>
      <c r="B809" t="str">
        <f>HYPERLINK("https://staging-dtl-pattern-api.hfm-weimar.de/static/audio/solos/dtl/AQAJqhQlUYqU4M_x8HCDfD30I_2RQ9eR_0.03.36.075827-0.03.41.070412.mp3", "link")</f>
        <v>link</v>
      </c>
      <c r="D809" t="s">
        <v>3801</v>
      </c>
      <c r="E809" t="s">
        <v>3802</v>
      </c>
      <c r="F809" t="s">
        <v>3803</v>
      </c>
      <c r="G809" t="s">
        <v>3802</v>
      </c>
      <c r="H809" t="s">
        <v>3804</v>
      </c>
      <c r="I809">
        <v>29</v>
      </c>
      <c r="J809" t="s">
        <v>616</v>
      </c>
      <c r="K809" t="s">
        <v>3805</v>
      </c>
      <c r="L809" s="1" t="s">
        <v>3806</v>
      </c>
      <c r="M809" t="s">
        <v>309</v>
      </c>
      <c r="N809" t="s">
        <v>202</v>
      </c>
      <c r="O809" s="1" t="s">
        <v>3813</v>
      </c>
      <c r="P809" s="1" t="s">
        <v>3814</v>
      </c>
    </row>
    <row r="810" spans="1:17" x14ac:dyDescent="0.25">
      <c r="A810" t="s">
        <v>3815</v>
      </c>
      <c r="B810" t="str">
        <f>HYPERLINK("https://staging-dtl-pattern-api.hfm-weimar.de/static/audio/solos/dtl/AQAJqhQlUYqU4M_x8HCDfD30I_2RQ9eR_0.03.46.090539-0.03.51.096734.mp3", "link")</f>
        <v>link</v>
      </c>
      <c r="D810" t="s">
        <v>3801</v>
      </c>
      <c r="E810" t="s">
        <v>3802</v>
      </c>
      <c r="F810" t="s">
        <v>3803</v>
      </c>
      <c r="G810" t="s">
        <v>3802</v>
      </c>
      <c r="H810" t="s">
        <v>3804</v>
      </c>
      <c r="I810">
        <v>29</v>
      </c>
      <c r="J810" t="s">
        <v>616</v>
      </c>
      <c r="K810" t="s">
        <v>3805</v>
      </c>
      <c r="L810" s="1" t="s">
        <v>3806</v>
      </c>
      <c r="M810" t="s">
        <v>309</v>
      </c>
      <c r="N810" t="s">
        <v>202</v>
      </c>
      <c r="O810" s="1" t="s">
        <v>3816</v>
      </c>
      <c r="P810" s="1" t="s">
        <v>3817</v>
      </c>
    </row>
    <row r="811" spans="1:17" x14ac:dyDescent="0.25">
      <c r="A811" t="s">
        <v>3818</v>
      </c>
      <c r="B811" t="str">
        <f>HYPERLINK("https://staging-dtl-pattern-api.hfm-weimar.de/static/audio/solos/dtl/AQAJqhQlUYqU4M_x8HCDfD30I_2RQ9eR_0.03.57.019183-0.04.02.095038.mp3", "link")</f>
        <v>link</v>
      </c>
      <c r="D811" t="s">
        <v>3801</v>
      </c>
      <c r="E811" t="s">
        <v>3802</v>
      </c>
      <c r="F811" t="s">
        <v>3803</v>
      </c>
      <c r="G811" t="s">
        <v>3802</v>
      </c>
      <c r="H811" t="s">
        <v>3804</v>
      </c>
      <c r="I811">
        <v>29</v>
      </c>
      <c r="J811" t="s">
        <v>616</v>
      </c>
      <c r="K811" t="s">
        <v>3805</v>
      </c>
      <c r="L811" s="1" t="s">
        <v>3806</v>
      </c>
      <c r="M811" t="s">
        <v>309</v>
      </c>
      <c r="N811" t="s">
        <v>202</v>
      </c>
      <c r="O811" s="1" t="s">
        <v>3819</v>
      </c>
      <c r="P811" s="1" t="s">
        <v>3652</v>
      </c>
    </row>
    <row r="812" spans="1:17" x14ac:dyDescent="0.25">
      <c r="A812" t="s">
        <v>3820</v>
      </c>
      <c r="B812" t="str">
        <f>HYPERLINK("https://staging-dtl-pattern-api.hfm-weimar.de/static/audio/solos/dtl/AQAJQUpCRRI1wmcQhmNCSN8RLzeeH7eS_0.00.27.091038-0.02.36.047927.mp3", "link")</f>
        <v>link</v>
      </c>
      <c r="D812" t="s">
        <v>3731</v>
      </c>
      <c r="E812" t="s">
        <v>42</v>
      </c>
      <c r="F812" t="s">
        <v>42</v>
      </c>
      <c r="G812" t="s">
        <v>42</v>
      </c>
      <c r="J812" t="s">
        <v>3732</v>
      </c>
      <c r="K812" t="s">
        <v>3821</v>
      </c>
      <c r="L812" s="1" t="s">
        <v>3734</v>
      </c>
      <c r="M812" t="s">
        <v>129</v>
      </c>
      <c r="N812" t="s">
        <v>46</v>
      </c>
      <c r="O812" s="1" t="s">
        <v>3822</v>
      </c>
      <c r="P812" s="1" t="s">
        <v>3823</v>
      </c>
    </row>
    <row r="813" spans="1:17" x14ac:dyDescent="0.25">
      <c r="A813" t="s">
        <v>3824</v>
      </c>
      <c r="B813" t="str">
        <f>HYPERLINK("https://staging-dtl-pattern-api.hfm-weimar.de/static/audio/solos/dtl/AQAJrJI2iZIWvEdfND-eJERyOQgTP6iS_0.00.38.080054-0.01.53.056879.mp3", "link")</f>
        <v>link</v>
      </c>
      <c r="D813" t="s">
        <v>7114</v>
      </c>
      <c r="E813" t="s">
        <v>7113</v>
      </c>
      <c r="F813" t="s">
        <v>3826</v>
      </c>
      <c r="J813" t="s">
        <v>3827</v>
      </c>
      <c r="K813" t="s">
        <v>3828</v>
      </c>
      <c r="L813" s="1" t="s">
        <v>3829</v>
      </c>
      <c r="M813" t="s">
        <v>3830</v>
      </c>
      <c r="N813" t="s">
        <v>109</v>
      </c>
      <c r="O813" s="1" t="s">
        <v>3831</v>
      </c>
      <c r="P813" s="1" t="s">
        <v>3832</v>
      </c>
      <c r="Q813" s="1" t="s">
        <v>7275</v>
      </c>
    </row>
    <row r="814" spans="1:17" x14ac:dyDescent="0.25">
      <c r="A814" t="s">
        <v>3833</v>
      </c>
      <c r="B814" t="str">
        <f>HYPERLINK("https://staging-dtl-pattern-api.hfm-weimar.de/static/audio/solos/dtl/AQAJrJI2iZIWvEdfND-eJERyOQgTP6iS_0.01.53.056879-0.03.04.090049.mp3", "link")</f>
        <v>link</v>
      </c>
      <c r="D814" t="s">
        <v>3825</v>
      </c>
      <c r="E814" t="s">
        <v>3834</v>
      </c>
      <c r="F814" t="s">
        <v>3826</v>
      </c>
      <c r="J814" t="s">
        <v>3827</v>
      </c>
      <c r="K814" t="s">
        <v>3828</v>
      </c>
      <c r="L814" s="1" t="s">
        <v>3829</v>
      </c>
      <c r="M814" t="s">
        <v>3830</v>
      </c>
      <c r="N814" t="s">
        <v>46</v>
      </c>
      <c r="O814" s="1" t="s">
        <v>3832</v>
      </c>
      <c r="P814" s="1" t="s">
        <v>3835</v>
      </c>
    </row>
    <row r="815" spans="1:17" x14ac:dyDescent="0.25">
      <c r="A815" t="s">
        <v>3836</v>
      </c>
      <c r="B815" t="str">
        <f>HYPERLINK("https://staging-dtl-pattern-api.hfm-weimar.de/static/audio/solos/dtl/AQAJS4oiTcmWJUKzzsL7IOSPhN1y1HlE_0.01.00.085950-0.02.47.011401.mp3", "link")</f>
        <v>link</v>
      </c>
      <c r="D815" t="s">
        <v>3837</v>
      </c>
      <c r="E815" t="s">
        <v>1339</v>
      </c>
      <c r="F815" t="s">
        <v>1339</v>
      </c>
      <c r="G815" t="s">
        <v>1339</v>
      </c>
      <c r="J815" t="s">
        <v>3644</v>
      </c>
      <c r="K815" t="s">
        <v>3838</v>
      </c>
      <c r="L815" s="1" t="s">
        <v>3646</v>
      </c>
      <c r="M815" t="s">
        <v>129</v>
      </c>
      <c r="N815" t="s">
        <v>23</v>
      </c>
      <c r="O815" s="1" t="s">
        <v>3839</v>
      </c>
      <c r="P815" s="1" t="s">
        <v>3840</v>
      </c>
    </row>
    <row r="816" spans="1:17" x14ac:dyDescent="0.25">
      <c r="A816" t="s">
        <v>3841</v>
      </c>
      <c r="B816" t="str">
        <f>HYPERLINK("https://staging-dtl-pattern-api.hfm-weimar.de/static/audio/solos/dtl/AQAJsouSZEsSMYSjDvmxSxEqL9CiI5ZW_0.02.15.068580-0.02.57.076761.mp3", "link")</f>
        <v>link</v>
      </c>
      <c r="D816" t="s">
        <v>3526</v>
      </c>
      <c r="E816" t="s">
        <v>3527</v>
      </c>
      <c r="F816" t="s">
        <v>3528</v>
      </c>
      <c r="J816" t="s">
        <v>3529</v>
      </c>
      <c r="K816" t="s">
        <v>3842</v>
      </c>
      <c r="L816" s="1" t="s">
        <v>2858</v>
      </c>
      <c r="M816" t="s">
        <v>3531</v>
      </c>
      <c r="N816" t="s">
        <v>23</v>
      </c>
      <c r="O816" s="1" t="s">
        <v>3843</v>
      </c>
      <c r="P816" s="1" t="s">
        <v>3844</v>
      </c>
    </row>
    <row r="817" spans="1:17" x14ac:dyDescent="0.25">
      <c r="A817" t="s">
        <v>3845</v>
      </c>
      <c r="B817" t="str">
        <f>HYPERLINK("https://staging-dtl-pattern-api.hfm-weimar.de/static/audio/solos/dtl/AQAJTImmUaKSBN-JvA2aH-GKY_zRPDF-_0.01.19.048190-0.01.53.087065.mp3", "link")</f>
        <v>link</v>
      </c>
      <c r="D817" t="s">
        <v>3846</v>
      </c>
      <c r="E817" t="s">
        <v>7115</v>
      </c>
      <c r="F817" t="s">
        <v>3848</v>
      </c>
      <c r="J817" t="s">
        <v>3849</v>
      </c>
      <c r="K817" t="s">
        <v>3850</v>
      </c>
      <c r="L817" s="1" t="s">
        <v>3851</v>
      </c>
      <c r="M817" t="s">
        <v>3852</v>
      </c>
      <c r="N817" t="s">
        <v>172</v>
      </c>
      <c r="O817" s="1" t="s">
        <v>3853</v>
      </c>
      <c r="P817" s="1" t="s">
        <v>3854</v>
      </c>
      <c r="Q817" s="1" t="s">
        <v>7276</v>
      </c>
    </row>
    <row r="818" spans="1:17" x14ac:dyDescent="0.25">
      <c r="A818" t="s">
        <v>3855</v>
      </c>
      <c r="B818" t="str">
        <f>HYPERLINK("https://staging-dtl-pattern-api.hfm-weimar.de/static/audio/solos/dtl/AQAJTImmUaKSBN-JvA2aH-GKY_zRPDF-_0.03.39.091619-0.04.15.002476.mp3", "link")</f>
        <v>link</v>
      </c>
      <c r="D818" t="s">
        <v>3846</v>
      </c>
      <c r="E818" t="s">
        <v>3856</v>
      </c>
      <c r="F818" t="s">
        <v>3848</v>
      </c>
      <c r="J818" t="s">
        <v>3849</v>
      </c>
      <c r="K818" t="s">
        <v>3850</v>
      </c>
      <c r="L818" s="1" t="s">
        <v>3851</v>
      </c>
      <c r="M818" t="s">
        <v>3852</v>
      </c>
      <c r="N818" t="s">
        <v>23</v>
      </c>
      <c r="O818" s="1" t="s">
        <v>3857</v>
      </c>
      <c r="P818" s="1" t="s">
        <v>3858</v>
      </c>
    </row>
    <row r="819" spans="1:17" x14ac:dyDescent="0.25">
      <c r="A819" t="s">
        <v>3859</v>
      </c>
      <c r="B819" t="str">
        <f>HYPERLINK("https://staging-dtl-pattern-api.hfm-weimar.de/static/audio/solos/dtl/AQAJUFIoKZkUScFfVD_CRTruwx2PnziJ_0.01.09.038122-0.02.12.005188.mp3", "link")</f>
        <v>link</v>
      </c>
      <c r="D819" t="s">
        <v>3860</v>
      </c>
      <c r="E819" t="s">
        <v>3263</v>
      </c>
      <c r="F819" t="s">
        <v>3263</v>
      </c>
      <c r="G819" t="s">
        <v>3263</v>
      </c>
      <c r="J819" t="s">
        <v>3861</v>
      </c>
      <c r="K819" t="s">
        <v>3862</v>
      </c>
      <c r="L819" s="1" t="s">
        <v>3863</v>
      </c>
      <c r="M819" t="s">
        <v>3864</v>
      </c>
      <c r="N819" t="s">
        <v>23</v>
      </c>
      <c r="O819" s="1" t="s">
        <v>3865</v>
      </c>
      <c r="P819" s="1" t="s">
        <v>3866</v>
      </c>
    </row>
    <row r="820" spans="1:17" x14ac:dyDescent="0.25">
      <c r="A820" t="s">
        <v>3867</v>
      </c>
      <c r="B820" t="str">
        <f>HYPERLINK("https://staging-dtl-pattern-api.hfm-weimar.de/static/audio/solos/dtl/AQAJUFIoKZkUScFfVD_CRTruwx2PnziJ_0.03.09.014975-0.03.14.007238.mp3", "link")</f>
        <v>link</v>
      </c>
      <c r="D820" t="s">
        <v>3860</v>
      </c>
      <c r="E820" t="s">
        <v>3263</v>
      </c>
      <c r="F820" t="s">
        <v>3263</v>
      </c>
      <c r="G820" t="s">
        <v>3263</v>
      </c>
      <c r="J820" t="s">
        <v>3861</v>
      </c>
      <c r="K820" t="s">
        <v>3862</v>
      </c>
      <c r="L820" s="1" t="s">
        <v>3863</v>
      </c>
      <c r="M820" t="s">
        <v>3864</v>
      </c>
      <c r="N820" t="s">
        <v>23</v>
      </c>
      <c r="O820" s="1" t="s">
        <v>3868</v>
      </c>
      <c r="P820" s="1" t="s">
        <v>3869</v>
      </c>
    </row>
    <row r="821" spans="1:17" x14ac:dyDescent="0.25">
      <c r="A821" t="s">
        <v>3870</v>
      </c>
      <c r="B821" t="str">
        <f>HYPERLINK("https://staging-dtl-pattern-api.hfm-weimar.de/static/audio/solos/dtl/AQAJUFIoKZkUScFfVD_CRTruwx2PnziJ_0.03.24.017306-0.03.29.007247.mp3", "link")</f>
        <v>link</v>
      </c>
      <c r="D821" t="s">
        <v>3860</v>
      </c>
      <c r="E821" t="s">
        <v>3263</v>
      </c>
      <c r="F821" t="s">
        <v>3263</v>
      </c>
      <c r="G821" t="s">
        <v>3263</v>
      </c>
      <c r="J821" t="s">
        <v>3861</v>
      </c>
      <c r="K821" t="s">
        <v>3862</v>
      </c>
      <c r="L821" s="1" t="s">
        <v>3863</v>
      </c>
      <c r="M821" t="s">
        <v>3864</v>
      </c>
      <c r="N821" t="s">
        <v>23</v>
      </c>
      <c r="O821" s="1" t="s">
        <v>3871</v>
      </c>
      <c r="P821" s="1" t="s">
        <v>3872</v>
      </c>
    </row>
    <row r="822" spans="1:17" x14ac:dyDescent="0.25">
      <c r="A822" t="s">
        <v>3873</v>
      </c>
      <c r="B822" t="str">
        <f>HYPERLINK("https://staging-dtl-pattern-api.hfm-weimar.de/static/audio/solos/dtl/AQAJw5IkZ0mUJUj2LM-QCxXD4ngsnEcf_0.02.23.066476-0.02.56.001015.mp3", "link")</f>
        <v>link</v>
      </c>
      <c r="C822" t="s">
        <v>3874</v>
      </c>
      <c r="D822" t="s">
        <v>3875</v>
      </c>
      <c r="F822" t="s">
        <v>3876</v>
      </c>
      <c r="G822" t="s">
        <v>325</v>
      </c>
      <c r="H822" t="s">
        <v>3877</v>
      </c>
      <c r="I822">
        <v>100</v>
      </c>
      <c r="J822" t="s">
        <v>141</v>
      </c>
      <c r="K822" t="s">
        <v>3878</v>
      </c>
      <c r="L822" s="1" t="s">
        <v>3879</v>
      </c>
      <c r="M822" t="s">
        <v>129</v>
      </c>
      <c r="N822" t="s">
        <v>172</v>
      </c>
      <c r="O822" s="1" t="s">
        <v>3880</v>
      </c>
      <c r="P822" s="1" t="s">
        <v>3881</v>
      </c>
    </row>
    <row r="823" spans="1:17" x14ac:dyDescent="0.25">
      <c r="A823" t="s">
        <v>3882</v>
      </c>
      <c r="B823" t="str">
        <f>HYPERLINK("https://staging-dtl-pattern-api.hfm-weimar.de/static/audio/solos/dtl/AQAJw5IkZ0mUJUj2LM-QCxXD4ngsnEcf_0.02.56.001015-0.03.26.050666.mp3", "link")</f>
        <v>link</v>
      </c>
      <c r="C823" t="s">
        <v>3883</v>
      </c>
      <c r="D823" t="s">
        <v>3875</v>
      </c>
      <c r="F823" t="s">
        <v>3876</v>
      </c>
      <c r="G823" t="s">
        <v>325</v>
      </c>
      <c r="H823" t="s">
        <v>3877</v>
      </c>
      <c r="I823">
        <v>100</v>
      </c>
      <c r="J823" t="s">
        <v>141</v>
      </c>
      <c r="K823" t="s">
        <v>3878</v>
      </c>
      <c r="L823" s="1" t="s">
        <v>3879</v>
      </c>
      <c r="M823" t="s">
        <v>129</v>
      </c>
      <c r="N823" t="s">
        <v>46</v>
      </c>
      <c r="O823" s="1" t="s">
        <v>3881</v>
      </c>
      <c r="P823" s="1" t="s">
        <v>3884</v>
      </c>
      <c r="Q823" s="1" t="s">
        <v>7167</v>
      </c>
    </row>
    <row r="824" spans="1:17" x14ac:dyDescent="0.25">
      <c r="A824" t="s">
        <v>3885</v>
      </c>
      <c r="B824" t="str">
        <f>HYPERLINK("https://staging-dtl-pattern-api.hfm-weimar.de/static/audio/solos/dtl/AQAJX0pESskiJuiL5rmQTdIDkY_xJZGR_0.00.57.081768-0.01.45.034893.mp3", "link")</f>
        <v>link</v>
      </c>
      <c r="D824" t="s">
        <v>3886</v>
      </c>
      <c r="E824" t="s">
        <v>1055</v>
      </c>
      <c r="F824" t="s">
        <v>1055</v>
      </c>
      <c r="G824" t="s">
        <v>1055</v>
      </c>
      <c r="J824" t="s">
        <v>1056</v>
      </c>
      <c r="K824" t="s">
        <v>3887</v>
      </c>
      <c r="L824" s="1" t="s">
        <v>3888</v>
      </c>
      <c r="M824" t="s">
        <v>3889</v>
      </c>
      <c r="N824" t="s">
        <v>202</v>
      </c>
      <c r="O824" s="1" t="s">
        <v>3890</v>
      </c>
      <c r="P824" s="1" t="s">
        <v>3891</v>
      </c>
    </row>
    <row r="825" spans="1:17" x14ac:dyDescent="0.25">
      <c r="A825" t="s">
        <v>3892</v>
      </c>
      <c r="B825" t="str">
        <f>HYPERLINK("https://staging-dtl-pattern-api.hfm-weimar.de/static/audio/solos/dtl/AQAJX0pESskiJuiL5rmQTdIDkY_xJZGR_0.01.45.034893-0.02.29.095446.mp3", "link")</f>
        <v>link</v>
      </c>
      <c r="D825" t="s">
        <v>3886</v>
      </c>
      <c r="E825" t="s">
        <v>3893</v>
      </c>
      <c r="F825" t="s">
        <v>1055</v>
      </c>
      <c r="G825" t="s">
        <v>1055</v>
      </c>
      <c r="J825" t="s">
        <v>1056</v>
      </c>
      <c r="K825" t="s">
        <v>3887</v>
      </c>
      <c r="L825" s="1" t="s">
        <v>3888</v>
      </c>
      <c r="M825" t="s">
        <v>3889</v>
      </c>
      <c r="N825" t="s">
        <v>46</v>
      </c>
      <c r="O825" s="1" t="s">
        <v>3891</v>
      </c>
      <c r="P825" s="1" t="s">
        <v>3894</v>
      </c>
    </row>
    <row r="826" spans="1:17" x14ac:dyDescent="0.25">
      <c r="A826" t="s">
        <v>3895</v>
      </c>
      <c r="B826" t="str">
        <f>HYPERLINK("https://staging-dtl-pattern-api.hfm-weimar.de/static/audio/solos/dtl/AQAJzUySRIwSEb_R5Mihc8ijL6j8qSgn_0.01.01.083764-0.01.50.064308.mp3", "link")</f>
        <v>link</v>
      </c>
      <c r="D826" t="s">
        <v>3740</v>
      </c>
      <c r="E826" t="s">
        <v>7108</v>
      </c>
      <c r="F826" t="s">
        <v>3620</v>
      </c>
      <c r="G826" t="s">
        <v>3620</v>
      </c>
      <c r="J826" t="s">
        <v>3621</v>
      </c>
      <c r="K826" t="s">
        <v>3896</v>
      </c>
      <c r="L826" s="1" t="s">
        <v>3623</v>
      </c>
      <c r="M826" t="s">
        <v>3624</v>
      </c>
      <c r="N826" t="s">
        <v>891</v>
      </c>
      <c r="O826" s="1" t="s">
        <v>3897</v>
      </c>
      <c r="P826" s="1" t="s">
        <v>3898</v>
      </c>
      <c r="Q826" s="1" t="s">
        <v>7271</v>
      </c>
    </row>
    <row r="827" spans="1:17" x14ac:dyDescent="0.25">
      <c r="A827" t="s">
        <v>3899</v>
      </c>
      <c r="B827" t="str">
        <f>HYPERLINK("https://staging-dtl-pattern-api.hfm-weimar.de/static/audio/solos/dtl/AQAJzUySRIwSEb_R5Mihc8ijL6j8qSgn_0.01.50.064308-0.02.38.040000.mp3", "link")</f>
        <v>link</v>
      </c>
      <c r="D827" t="s">
        <v>3740</v>
      </c>
      <c r="F827" t="s">
        <v>3620</v>
      </c>
      <c r="G827" t="s">
        <v>3620</v>
      </c>
      <c r="J827" t="s">
        <v>3621</v>
      </c>
      <c r="K827" t="s">
        <v>3896</v>
      </c>
      <c r="L827" s="1" t="s">
        <v>3623</v>
      </c>
      <c r="M827" t="s">
        <v>3624</v>
      </c>
      <c r="N827" t="s">
        <v>288</v>
      </c>
      <c r="O827" s="1" t="s">
        <v>3898</v>
      </c>
      <c r="P827" s="1" t="s">
        <v>3900</v>
      </c>
    </row>
    <row r="828" spans="1:17" x14ac:dyDescent="0.25">
      <c r="A828" t="s">
        <v>3901</v>
      </c>
      <c r="B828" t="str">
        <f>HYPERLINK("https://staging-dtl-pattern-api.hfm-weimar.de/static/audio/solos/dtl/AQAJzxmXTBKLXEmOf3hyC5WPrWOOXj_q_0.00.33.080825-0.02.19.059836.mp3", "link")</f>
        <v>link</v>
      </c>
      <c r="D828" t="s">
        <v>3902</v>
      </c>
      <c r="E828" t="s">
        <v>3903</v>
      </c>
      <c r="F828" t="s">
        <v>3904</v>
      </c>
      <c r="G828" t="s">
        <v>3903</v>
      </c>
      <c r="H828" t="s">
        <v>3905</v>
      </c>
      <c r="I828">
        <v>81</v>
      </c>
      <c r="J828" t="s">
        <v>616</v>
      </c>
      <c r="K828" t="s">
        <v>3906</v>
      </c>
      <c r="L828" s="1" t="s">
        <v>3907</v>
      </c>
      <c r="M828" t="s">
        <v>3583</v>
      </c>
      <c r="N828" t="s">
        <v>202</v>
      </c>
      <c r="O828" s="1" t="s">
        <v>3908</v>
      </c>
      <c r="P828" s="1" t="s">
        <v>3909</v>
      </c>
    </row>
    <row r="829" spans="1:17" x14ac:dyDescent="0.25">
      <c r="A829" t="s">
        <v>3910</v>
      </c>
      <c r="B829" t="str">
        <f>HYPERLINK("https://staging-dtl-pattern-api.hfm-weimar.de/static/audio/solos/dtl/AQAJzxmXTBKLXEmOf3hyC5WPrWOOXj_q_0.03.24.086965-0.05.13.057333.mp3", "link")</f>
        <v>link</v>
      </c>
      <c r="D829" t="s">
        <v>3902</v>
      </c>
      <c r="E829" t="s">
        <v>3903</v>
      </c>
      <c r="F829" t="s">
        <v>3904</v>
      </c>
      <c r="G829" t="s">
        <v>3903</v>
      </c>
      <c r="H829" t="s">
        <v>3905</v>
      </c>
      <c r="I829">
        <v>81</v>
      </c>
      <c r="J829" t="s">
        <v>616</v>
      </c>
      <c r="K829" t="s">
        <v>3906</v>
      </c>
      <c r="L829" s="1" t="s">
        <v>3907</v>
      </c>
      <c r="M829" t="s">
        <v>3583</v>
      </c>
      <c r="N829" t="s">
        <v>202</v>
      </c>
      <c r="O829" s="1" t="s">
        <v>3911</v>
      </c>
      <c r="P829" s="1" t="s">
        <v>3912</v>
      </c>
    </row>
    <row r="830" spans="1:17" x14ac:dyDescent="0.25">
      <c r="A830" t="s">
        <v>3913</v>
      </c>
      <c r="B830" t="str">
        <f>HYPERLINK("https://staging-dtl-pattern-api.hfm-weimar.de/static/audio/solos/dtl/AQAK_AqThFGSLIqCRzr8HX9S46zAnISb_0.00.29.086086-0.00.56.019229.mp3", "link")</f>
        <v>link</v>
      </c>
      <c r="D830" t="s">
        <v>3914</v>
      </c>
      <c r="E830" t="s">
        <v>3469</v>
      </c>
      <c r="F830" t="s">
        <v>3469</v>
      </c>
      <c r="G830" t="s">
        <v>3469</v>
      </c>
      <c r="J830" t="s">
        <v>3915</v>
      </c>
      <c r="K830" t="s">
        <v>3916</v>
      </c>
      <c r="L830" s="1" t="s">
        <v>3917</v>
      </c>
      <c r="M830" t="s">
        <v>3918</v>
      </c>
      <c r="N830" t="s">
        <v>23</v>
      </c>
      <c r="O830" s="1" t="s">
        <v>3919</v>
      </c>
      <c r="P830" s="1" t="s">
        <v>3920</v>
      </c>
    </row>
    <row r="831" spans="1:17" x14ac:dyDescent="0.25">
      <c r="A831" t="s">
        <v>3921</v>
      </c>
      <c r="B831" t="str">
        <f>HYPERLINK("https://staging-dtl-pattern-api.hfm-weimar.de/static/audio/solos/dtl/AQAK_AqThFGSLIqCRzr8HX9S46zAnISb_0.01.20.038748-0.01.33.036743.mp3", "link")</f>
        <v>link</v>
      </c>
      <c r="D831" t="s">
        <v>3914</v>
      </c>
      <c r="E831" t="s">
        <v>3469</v>
      </c>
      <c r="F831" t="s">
        <v>3469</v>
      </c>
      <c r="G831" t="s">
        <v>3469</v>
      </c>
      <c r="J831" t="s">
        <v>3915</v>
      </c>
      <c r="K831" t="s">
        <v>3916</v>
      </c>
      <c r="L831" s="1" t="s">
        <v>3917</v>
      </c>
      <c r="M831" t="s">
        <v>3918</v>
      </c>
      <c r="N831" t="s">
        <v>23</v>
      </c>
      <c r="O831" s="1" t="s">
        <v>285</v>
      </c>
      <c r="P831" s="1" t="s">
        <v>1923</v>
      </c>
    </row>
    <row r="832" spans="1:17" x14ac:dyDescent="0.25">
      <c r="A832" t="s">
        <v>3922</v>
      </c>
      <c r="B832" t="str">
        <f>HYPERLINK("https://staging-dtl-pattern-api.hfm-weimar.de/static/audio/solos/dtl/AQAK_AqThFGSLIqCRzr8HX9S46zAnISb_0.01.45.014285-0.01.51.042857.mp3", "link")</f>
        <v>link</v>
      </c>
      <c r="D832" t="s">
        <v>3914</v>
      </c>
      <c r="E832" t="s">
        <v>3469</v>
      </c>
      <c r="F832" t="s">
        <v>3469</v>
      </c>
      <c r="G832" t="s">
        <v>3469</v>
      </c>
      <c r="J832" t="s">
        <v>3915</v>
      </c>
      <c r="K832" t="s">
        <v>3916</v>
      </c>
      <c r="L832" s="1" t="s">
        <v>3917</v>
      </c>
      <c r="M832" t="s">
        <v>3918</v>
      </c>
      <c r="N832" t="s">
        <v>23</v>
      </c>
      <c r="O832" s="1" t="s">
        <v>3923</v>
      </c>
      <c r="P832" s="1" t="s">
        <v>3924</v>
      </c>
    </row>
    <row r="833" spans="1:17" x14ac:dyDescent="0.25">
      <c r="A833" t="s">
        <v>3925</v>
      </c>
      <c r="B833" t="str">
        <f>HYPERLINK("https://staging-dtl-pattern-api.hfm-weimar.de/static/audio/solos/dtl/AQAK_AqThFGSLIqCRzr8HX9S46zAnISb_0.01.57.026077-0.02.03.062303.mp3", "link")</f>
        <v>link</v>
      </c>
      <c r="D833" t="s">
        <v>3914</v>
      </c>
      <c r="E833" t="s">
        <v>3469</v>
      </c>
      <c r="F833" t="s">
        <v>3469</v>
      </c>
      <c r="G833" t="s">
        <v>3469</v>
      </c>
      <c r="J833" t="s">
        <v>3915</v>
      </c>
      <c r="K833" t="s">
        <v>3916</v>
      </c>
      <c r="L833" s="1" t="s">
        <v>3917</v>
      </c>
      <c r="M833" t="s">
        <v>3918</v>
      </c>
      <c r="N833" t="s">
        <v>23</v>
      </c>
      <c r="O833" s="1" t="s">
        <v>3926</v>
      </c>
      <c r="P833" s="1" t="s">
        <v>3927</v>
      </c>
    </row>
    <row r="834" spans="1:17" x14ac:dyDescent="0.25">
      <c r="A834" t="s">
        <v>3928</v>
      </c>
      <c r="B834" t="str">
        <f>HYPERLINK("https://staging-dtl-pattern-api.hfm-weimar.de/static/audio/solos/dtl/AQAK_AqThFGSLIqCRzr8HX9S46zAnISb_0.02.09.014938-0.02.13.017551.mp3", "link")</f>
        <v>link</v>
      </c>
      <c r="D834" t="s">
        <v>3914</v>
      </c>
      <c r="E834" t="s">
        <v>3469</v>
      </c>
      <c r="F834" t="s">
        <v>3469</v>
      </c>
      <c r="G834" t="s">
        <v>3469</v>
      </c>
      <c r="J834" t="s">
        <v>3915</v>
      </c>
      <c r="K834" t="s">
        <v>3916</v>
      </c>
      <c r="L834" s="1" t="s">
        <v>3917</v>
      </c>
      <c r="M834" t="s">
        <v>3918</v>
      </c>
      <c r="N834" t="s">
        <v>23</v>
      </c>
      <c r="O834" s="1" t="s">
        <v>3929</v>
      </c>
      <c r="P834" s="1" t="s">
        <v>3930</v>
      </c>
    </row>
    <row r="835" spans="1:17" x14ac:dyDescent="0.25">
      <c r="A835" t="s">
        <v>3931</v>
      </c>
      <c r="B835" t="str">
        <f>HYPERLINK("https://staging-dtl-pattern-api.hfm-weimar.de/static/audio/solos/dtl/AQAK_AqThFGSLIqCRzr8HX9S46zAnISb_0.02.15.057551-0.02.18.071600.mp3", "link")</f>
        <v>link</v>
      </c>
      <c r="D835" t="s">
        <v>3914</v>
      </c>
      <c r="E835" t="s">
        <v>3469</v>
      </c>
      <c r="F835" t="s">
        <v>3469</v>
      </c>
      <c r="G835" t="s">
        <v>3469</v>
      </c>
      <c r="J835" t="s">
        <v>3915</v>
      </c>
      <c r="K835" t="s">
        <v>3916</v>
      </c>
      <c r="L835" s="1" t="s">
        <v>3917</v>
      </c>
      <c r="M835" t="s">
        <v>3918</v>
      </c>
      <c r="N835" t="s">
        <v>23</v>
      </c>
      <c r="O835" s="1" t="s">
        <v>3932</v>
      </c>
      <c r="P835" s="1" t="s">
        <v>3933</v>
      </c>
    </row>
    <row r="836" spans="1:17" x14ac:dyDescent="0.25">
      <c r="A836" t="s">
        <v>3934</v>
      </c>
      <c r="B836" t="str">
        <f>HYPERLINK("https://staging-dtl-pattern-api.hfm-weimar.de/static/audio/solos/dtl/AQAK_AqThFGSLIqCRzr8HX9S46zAnISb_0.02.21.054884-0.02.24.091428.mp3", "link")</f>
        <v>link</v>
      </c>
      <c r="D836" t="s">
        <v>3914</v>
      </c>
      <c r="E836" t="s">
        <v>3469</v>
      </c>
      <c r="F836" t="s">
        <v>3469</v>
      </c>
      <c r="G836" t="s">
        <v>3469</v>
      </c>
      <c r="J836" t="s">
        <v>3915</v>
      </c>
      <c r="K836" t="s">
        <v>3916</v>
      </c>
      <c r="L836" s="1" t="s">
        <v>3917</v>
      </c>
      <c r="M836" t="s">
        <v>3918</v>
      </c>
      <c r="N836" t="s">
        <v>23</v>
      </c>
      <c r="O836" s="1" t="s">
        <v>3935</v>
      </c>
      <c r="P836" s="1" t="s">
        <v>3936</v>
      </c>
    </row>
    <row r="837" spans="1:17" x14ac:dyDescent="0.25">
      <c r="A837" t="s">
        <v>3937</v>
      </c>
      <c r="B837" t="str">
        <f>HYPERLINK("https://staging-dtl-pattern-api.hfm-weimar.de/static/audio/solos/dtl/AQAK_AqThFGSLIqCRzr8HX9S46zAnISb_0.02.27.060816-0.02.30.095292.mp3", "link")</f>
        <v>link</v>
      </c>
      <c r="D837" t="s">
        <v>3914</v>
      </c>
      <c r="E837" t="s">
        <v>3469</v>
      </c>
      <c r="F837" t="s">
        <v>3469</v>
      </c>
      <c r="G837" t="s">
        <v>3469</v>
      </c>
      <c r="J837" t="s">
        <v>3915</v>
      </c>
      <c r="K837" t="s">
        <v>3916</v>
      </c>
      <c r="L837" s="1" t="s">
        <v>3917</v>
      </c>
      <c r="M837" t="s">
        <v>3918</v>
      </c>
      <c r="N837" t="s">
        <v>23</v>
      </c>
      <c r="O837" s="1" t="s">
        <v>3938</v>
      </c>
      <c r="P837" s="1" t="s">
        <v>3939</v>
      </c>
    </row>
    <row r="838" spans="1:17" x14ac:dyDescent="0.25">
      <c r="A838" t="s">
        <v>3940</v>
      </c>
      <c r="B838" t="str">
        <f>HYPERLINK("https://staging-dtl-pattern-api.hfm-weimar.de/static/audio/solos/dtl/AQAK19sYdYoUnHiG6x_iJEPy48L1g0-i_0.03.08.053151-0.04.34.038730.mp3", "link")</f>
        <v>link</v>
      </c>
      <c r="D838" t="s">
        <v>3941</v>
      </c>
      <c r="E838" t="s">
        <v>4423</v>
      </c>
      <c r="F838" t="s">
        <v>3942</v>
      </c>
      <c r="G838" t="s">
        <v>3942</v>
      </c>
      <c r="J838" t="s">
        <v>3943</v>
      </c>
      <c r="K838" t="s">
        <v>3944</v>
      </c>
      <c r="L838" s="1" t="s">
        <v>3945</v>
      </c>
      <c r="M838" t="s">
        <v>129</v>
      </c>
      <c r="N838" t="s">
        <v>23</v>
      </c>
      <c r="O838" s="1" t="s">
        <v>3946</v>
      </c>
      <c r="P838" s="1" t="s">
        <v>3947</v>
      </c>
      <c r="Q838" s="1" t="s">
        <v>7277</v>
      </c>
    </row>
    <row r="839" spans="1:17" x14ac:dyDescent="0.25">
      <c r="A839" t="s">
        <v>3948</v>
      </c>
      <c r="B839" t="str">
        <f>HYPERLINK("https://staging-dtl-pattern-api.hfm-weimar.de/static/audio/solos/dtl/AQAK34mYM5mCMOsyxuiL4y7evLiOJ0qS_0.00.33.064571-0.01.30.079002.mp3", "link")</f>
        <v>link</v>
      </c>
      <c r="D839" t="s">
        <v>3949</v>
      </c>
      <c r="E839" t="s">
        <v>3087</v>
      </c>
      <c r="F839" t="s">
        <v>3950</v>
      </c>
      <c r="G839" t="s">
        <v>3950</v>
      </c>
      <c r="H839" t="s">
        <v>3951</v>
      </c>
      <c r="I839">
        <v>64</v>
      </c>
      <c r="J839" t="s">
        <v>616</v>
      </c>
      <c r="K839" t="s">
        <v>3952</v>
      </c>
      <c r="L839" s="1" t="s">
        <v>3953</v>
      </c>
      <c r="M839" t="s">
        <v>3583</v>
      </c>
      <c r="N839" t="s">
        <v>826</v>
      </c>
      <c r="O839" s="1" t="s">
        <v>3954</v>
      </c>
      <c r="P839" s="1" t="s">
        <v>3955</v>
      </c>
    </row>
    <row r="840" spans="1:17" x14ac:dyDescent="0.25">
      <c r="A840" t="s">
        <v>3956</v>
      </c>
      <c r="B840" t="str">
        <f>HYPERLINK("https://staging-dtl-pattern-api.hfm-weimar.de/static/audio/solos/dtl/AQAK34mYM5mCMOsyxuiL4y7evLiOJ0qS_0.01.30.079002-0.02.27.081823.mp3", "link")</f>
        <v>link</v>
      </c>
      <c r="D840" t="s">
        <v>3949</v>
      </c>
      <c r="E840" t="s">
        <v>3079</v>
      </c>
      <c r="F840" t="s">
        <v>3950</v>
      </c>
      <c r="G840" t="s">
        <v>3950</v>
      </c>
      <c r="H840" t="s">
        <v>3951</v>
      </c>
      <c r="I840">
        <v>64</v>
      </c>
      <c r="J840" t="s">
        <v>616</v>
      </c>
      <c r="K840" t="s">
        <v>3952</v>
      </c>
      <c r="L840" s="1" t="s">
        <v>3953</v>
      </c>
      <c r="M840" t="s">
        <v>3583</v>
      </c>
      <c r="N840" t="s">
        <v>202</v>
      </c>
      <c r="O840" s="1" t="s">
        <v>3955</v>
      </c>
      <c r="P840" s="1" t="s">
        <v>3694</v>
      </c>
    </row>
    <row r="841" spans="1:17" x14ac:dyDescent="0.25">
      <c r="A841" t="s">
        <v>3957</v>
      </c>
      <c r="B841" t="str">
        <f>HYPERLINK("https://staging-dtl-pattern-api.hfm-weimar.de/static/audio/solos/dtl/AQAK34mYM5mCMOsyxuiL4y7evLiOJ0qS_0.02.27.081823-0.03.24.010340.mp3", "link")</f>
        <v>link</v>
      </c>
      <c r="D841" t="s">
        <v>3949</v>
      </c>
      <c r="E841" t="s">
        <v>3087</v>
      </c>
      <c r="F841" t="s">
        <v>3950</v>
      </c>
      <c r="G841" t="s">
        <v>3950</v>
      </c>
      <c r="H841" t="s">
        <v>3951</v>
      </c>
      <c r="I841">
        <v>64</v>
      </c>
      <c r="J841" t="s">
        <v>616</v>
      </c>
      <c r="K841" t="s">
        <v>3952</v>
      </c>
      <c r="L841" s="1" t="s">
        <v>3953</v>
      </c>
      <c r="M841" t="s">
        <v>3583</v>
      </c>
      <c r="N841" t="s">
        <v>826</v>
      </c>
      <c r="O841" s="1" t="s">
        <v>3694</v>
      </c>
      <c r="P841" s="1" t="s">
        <v>3958</v>
      </c>
    </row>
    <row r="842" spans="1:17" x14ac:dyDescent="0.25">
      <c r="A842" t="s">
        <v>3959</v>
      </c>
      <c r="B842" t="str">
        <f>HYPERLINK("https://staging-dtl-pattern-api.hfm-weimar.de/static/audio/solos/dtl/AQAK34mYM5mCMOsyxuiL4y7evLiOJ0qS_0.03.24.010340-0.03.31.016226.mp3", "link")</f>
        <v>link</v>
      </c>
      <c r="D842" t="s">
        <v>3949</v>
      </c>
      <c r="E842" t="s">
        <v>3079</v>
      </c>
      <c r="F842" t="s">
        <v>3950</v>
      </c>
      <c r="G842" t="s">
        <v>3950</v>
      </c>
      <c r="H842" t="s">
        <v>3951</v>
      </c>
      <c r="I842">
        <v>64</v>
      </c>
      <c r="J842" t="s">
        <v>616</v>
      </c>
      <c r="K842" t="s">
        <v>3952</v>
      </c>
      <c r="L842" s="1" t="s">
        <v>3953</v>
      </c>
      <c r="M842" t="s">
        <v>3583</v>
      </c>
      <c r="N842" t="s">
        <v>202</v>
      </c>
      <c r="O842" s="1" t="s">
        <v>3958</v>
      </c>
      <c r="P842" s="1" t="s">
        <v>3960</v>
      </c>
    </row>
    <row r="843" spans="1:17" x14ac:dyDescent="0.25">
      <c r="A843" t="s">
        <v>3961</v>
      </c>
      <c r="B843" t="str">
        <f>HYPERLINK("https://staging-dtl-pattern-api.hfm-weimar.de/static/audio/solos/dtl/AQAK34mYM5mCMOsyxuiL4y7evLiOJ0qS_0.03.37.033877-0.03.44.060662.mp3", "link")</f>
        <v>link</v>
      </c>
      <c r="D843" t="s">
        <v>3949</v>
      </c>
      <c r="E843" t="s">
        <v>3079</v>
      </c>
      <c r="F843" t="s">
        <v>3950</v>
      </c>
      <c r="G843" t="s">
        <v>3950</v>
      </c>
      <c r="H843" t="s">
        <v>3951</v>
      </c>
      <c r="I843">
        <v>64</v>
      </c>
      <c r="J843" t="s">
        <v>616</v>
      </c>
      <c r="K843" t="s">
        <v>3952</v>
      </c>
      <c r="L843" s="1" t="s">
        <v>3953</v>
      </c>
      <c r="M843" t="s">
        <v>3583</v>
      </c>
      <c r="N843" t="s">
        <v>202</v>
      </c>
      <c r="O843" s="1" t="s">
        <v>3962</v>
      </c>
      <c r="P843" s="1" t="s">
        <v>3963</v>
      </c>
    </row>
    <row r="844" spans="1:17" x14ac:dyDescent="0.25">
      <c r="A844" t="s">
        <v>3964</v>
      </c>
      <c r="B844" t="str">
        <f>HYPERLINK("https://staging-dtl-pattern-api.hfm-weimar.de/static/audio/solos/dtl/AQAK34mYM5mCMOsyxuiL4y7evLiOJ0qS_0.03.51.022430-0.03.58.046893.mp3", "link")</f>
        <v>link</v>
      </c>
      <c r="D844" t="s">
        <v>3949</v>
      </c>
      <c r="E844" t="s">
        <v>3087</v>
      </c>
      <c r="F844" t="s">
        <v>3950</v>
      </c>
      <c r="G844" t="s">
        <v>3950</v>
      </c>
      <c r="H844" t="s">
        <v>3951</v>
      </c>
      <c r="I844">
        <v>64</v>
      </c>
      <c r="J844" t="s">
        <v>616</v>
      </c>
      <c r="K844" t="s">
        <v>3952</v>
      </c>
      <c r="L844" s="1" t="s">
        <v>3953</v>
      </c>
      <c r="M844" t="s">
        <v>3583</v>
      </c>
      <c r="N844" t="s">
        <v>826</v>
      </c>
      <c r="O844" s="1" t="s">
        <v>3965</v>
      </c>
      <c r="P844" s="1" t="s">
        <v>3966</v>
      </c>
    </row>
    <row r="845" spans="1:17" x14ac:dyDescent="0.25">
      <c r="A845" t="s">
        <v>3967</v>
      </c>
      <c r="B845" t="str">
        <f>HYPERLINK("https://staging-dtl-pattern-api.hfm-weimar.de/static/audio/solos/dtl/AQAK34mYM5mCMOsyxuiL4y7evLiOJ0qS_0.03.58.046893-0.04.01.088226.mp3", "link")</f>
        <v>link</v>
      </c>
      <c r="D845" t="s">
        <v>3949</v>
      </c>
      <c r="E845" t="s">
        <v>3079</v>
      </c>
      <c r="F845" t="s">
        <v>3950</v>
      </c>
      <c r="G845" t="s">
        <v>3950</v>
      </c>
      <c r="H845" t="s">
        <v>3951</v>
      </c>
      <c r="I845">
        <v>64</v>
      </c>
      <c r="J845" t="s">
        <v>616</v>
      </c>
      <c r="K845" t="s">
        <v>3952</v>
      </c>
      <c r="L845" s="1" t="s">
        <v>3953</v>
      </c>
      <c r="M845" t="s">
        <v>3583</v>
      </c>
      <c r="N845" t="s">
        <v>202</v>
      </c>
      <c r="O845" s="1" t="s">
        <v>3966</v>
      </c>
      <c r="P845" s="1" t="s">
        <v>3968</v>
      </c>
    </row>
    <row r="846" spans="1:17" x14ac:dyDescent="0.25">
      <c r="A846" t="s">
        <v>3969</v>
      </c>
      <c r="B846" t="str">
        <f>HYPERLINK("https://staging-dtl-pattern-api.hfm-weimar.de/static/audio/solos/dtl/AQAK34mYM5mCMOsyxuiL4y7evLiOJ0qS_0.04.04.085442-0.04.11.089006.mp3", "link")</f>
        <v>link</v>
      </c>
      <c r="D846" t="s">
        <v>3949</v>
      </c>
      <c r="E846" t="s">
        <v>3087</v>
      </c>
      <c r="F846" t="s">
        <v>3950</v>
      </c>
      <c r="G846" t="s">
        <v>3950</v>
      </c>
      <c r="H846" t="s">
        <v>3951</v>
      </c>
      <c r="I846">
        <v>64</v>
      </c>
      <c r="J846" t="s">
        <v>616</v>
      </c>
      <c r="K846" t="s">
        <v>3952</v>
      </c>
      <c r="L846" s="1" t="s">
        <v>3953</v>
      </c>
      <c r="M846" t="s">
        <v>3583</v>
      </c>
      <c r="N846" t="s">
        <v>826</v>
      </c>
      <c r="O846" s="1" t="s">
        <v>3970</v>
      </c>
      <c r="P846" s="1" t="s">
        <v>3971</v>
      </c>
    </row>
    <row r="847" spans="1:17" x14ac:dyDescent="0.25">
      <c r="A847" t="s">
        <v>3972</v>
      </c>
      <c r="B847" t="str">
        <f>HYPERLINK("https://staging-dtl-pattern-api.hfm-weimar.de/static/audio/solos/dtl/AQAK34mYM5mCMOsyxuiL4y7evLiOJ0qS_0.04.11.089006-0.04.15.058204.mp3", "link")</f>
        <v>link</v>
      </c>
      <c r="D847" t="s">
        <v>3949</v>
      </c>
      <c r="E847" t="s">
        <v>3079</v>
      </c>
      <c r="F847" t="s">
        <v>3950</v>
      </c>
      <c r="G847" t="s">
        <v>3950</v>
      </c>
      <c r="H847" t="s">
        <v>3951</v>
      </c>
      <c r="I847">
        <v>64</v>
      </c>
      <c r="J847" t="s">
        <v>616</v>
      </c>
      <c r="K847" t="s">
        <v>3952</v>
      </c>
      <c r="L847" s="1" t="s">
        <v>3953</v>
      </c>
      <c r="M847" t="s">
        <v>3583</v>
      </c>
      <c r="N847" t="s">
        <v>202</v>
      </c>
      <c r="O847" s="1" t="s">
        <v>3971</v>
      </c>
      <c r="P847" s="1" t="s">
        <v>3973</v>
      </c>
    </row>
    <row r="848" spans="1:17" x14ac:dyDescent="0.25">
      <c r="A848" t="s">
        <v>3974</v>
      </c>
      <c r="B848" t="str">
        <f>HYPERLINK("https://staging-dtl-pattern-api.hfm-weimar.de/static/audio/solos/dtl/AQAK3eQnzbg05EmSHMmOJk-O5-jSOWim_0.00.37.019836-0.01.47.081024.mp3", "link")</f>
        <v>link</v>
      </c>
      <c r="D848" t="s">
        <v>3975</v>
      </c>
      <c r="F848" t="s">
        <v>3976</v>
      </c>
      <c r="G848" t="s">
        <v>2698</v>
      </c>
      <c r="H848" t="s">
        <v>3977</v>
      </c>
      <c r="I848">
        <v>99</v>
      </c>
      <c r="J848" t="s">
        <v>616</v>
      </c>
      <c r="K848" t="s">
        <v>3978</v>
      </c>
      <c r="L848" s="1" t="s">
        <v>3979</v>
      </c>
      <c r="M848" t="s">
        <v>182</v>
      </c>
      <c r="N848" t="s">
        <v>202</v>
      </c>
      <c r="O848" s="1" t="s">
        <v>3980</v>
      </c>
      <c r="P848" s="1" t="s">
        <v>3981</v>
      </c>
    </row>
    <row r="849" spans="1:17" x14ac:dyDescent="0.25">
      <c r="A849" t="s">
        <v>3982</v>
      </c>
      <c r="B849" t="str">
        <f>HYPERLINK("https://staging-dtl-pattern-api.hfm-weimar.de/static/audio/solos/dtl/AQAK3eQnzbg05EmSHMmOJk-O5-jSOWim_0.02.56.093605-0.04.09.077705.mp3", "link")</f>
        <v>link</v>
      </c>
      <c r="D849" t="s">
        <v>3975</v>
      </c>
      <c r="F849" t="s">
        <v>3976</v>
      </c>
      <c r="G849" t="s">
        <v>2698</v>
      </c>
      <c r="H849" t="s">
        <v>3977</v>
      </c>
      <c r="I849">
        <v>99</v>
      </c>
      <c r="J849" t="s">
        <v>616</v>
      </c>
      <c r="K849" t="s">
        <v>3978</v>
      </c>
      <c r="L849" s="1" t="s">
        <v>3979</v>
      </c>
      <c r="M849" t="s">
        <v>182</v>
      </c>
      <c r="N849" t="s">
        <v>23</v>
      </c>
      <c r="O849" s="1" t="s">
        <v>3983</v>
      </c>
      <c r="P849" s="1" t="s">
        <v>3984</v>
      </c>
      <c r="Q849" s="1" t="s">
        <v>7224</v>
      </c>
    </row>
    <row r="850" spans="1:17" x14ac:dyDescent="0.25">
      <c r="A850" t="s">
        <v>3985</v>
      </c>
      <c r="B850" t="str">
        <f>HYPERLINK("https://staging-dtl-pattern-api.hfm-weimar.de/static/audio/solos/dtl/AQAK3eQnzbg05EmSHMmOJk-O5-jSOWim_0.04.13.049224-0.04.17.095047.mp3", "link")</f>
        <v>link</v>
      </c>
      <c r="D850" t="s">
        <v>3975</v>
      </c>
      <c r="F850" t="s">
        <v>3976</v>
      </c>
      <c r="G850" t="s">
        <v>2698</v>
      </c>
      <c r="H850" t="s">
        <v>3977</v>
      </c>
      <c r="I850">
        <v>99</v>
      </c>
      <c r="J850" t="s">
        <v>616</v>
      </c>
      <c r="K850" t="s">
        <v>3978</v>
      </c>
      <c r="L850" s="1" t="s">
        <v>3979</v>
      </c>
      <c r="M850" t="s">
        <v>182</v>
      </c>
      <c r="N850" t="s">
        <v>23</v>
      </c>
      <c r="O850" s="1" t="s">
        <v>3986</v>
      </c>
      <c r="P850" s="1" t="s">
        <v>3987</v>
      </c>
      <c r="Q850" s="1" t="s">
        <v>7224</v>
      </c>
    </row>
    <row r="851" spans="1:17" x14ac:dyDescent="0.25">
      <c r="A851" t="s">
        <v>3988</v>
      </c>
      <c r="B851" t="str">
        <f>HYPERLINK("https://staging-dtl-pattern-api.hfm-weimar.de/static/audio/solos/dtl/AQAK3eQnzbg05EmSHMmOJk-O5-jSOWim_0.04.21.041024-0.04.26.040253.mp3", "link")</f>
        <v>link</v>
      </c>
      <c r="D851" t="s">
        <v>3975</v>
      </c>
      <c r="F851" t="s">
        <v>3976</v>
      </c>
      <c r="G851" t="s">
        <v>2698</v>
      </c>
      <c r="H851" t="s">
        <v>3977</v>
      </c>
      <c r="I851">
        <v>99</v>
      </c>
      <c r="J851" t="s">
        <v>616</v>
      </c>
      <c r="K851" t="s">
        <v>3978</v>
      </c>
      <c r="L851" s="1" t="s">
        <v>3979</v>
      </c>
      <c r="M851" t="s">
        <v>182</v>
      </c>
      <c r="N851" t="s">
        <v>23</v>
      </c>
      <c r="O851" s="1" t="s">
        <v>3989</v>
      </c>
      <c r="P851" s="1" t="s">
        <v>3990</v>
      </c>
      <c r="Q851" s="1" t="s">
        <v>7224</v>
      </c>
    </row>
    <row r="852" spans="1:17" x14ac:dyDescent="0.25">
      <c r="A852" t="s">
        <v>3991</v>
      </c>
      <c r="B852" t="str">
        <f>HYPERLINK("https://staging-dtl-pattern-api.hfm-weimar.de/static/audio/solos/dtl/AQAK3eQnzbg05EmSHMmOJk-O5-jSOWim_0.04.29.086231-0.04.34.029732.mp3", "link")</f>
        <v>link</v>
      </c>
      <c r="D852" t="s">
        <v>3975</v>
      </c>
      <c r="F852" t="s">
        <v>3976</v>
      </c>
      <c r="G852" t="s">
        <v>2698</v>
      </c>
      <c r="H852" t="s">
        <v>3977</v>
      </c>
      <c r="I852">
        <v>99</v>
      </c>
      <c r="J852" t="s">
        <v>616</v>
      </c>
      <c r="K852" t="s">
        <v>3978</v>
      </c>
      <c r="L852" s="1" t="s">
        <v>3979</v>
      </c>
      <c r="M852" t="s">
        <v>182</v>
      </c>
      <c r="N852" t="s">
        <v>23</v>
      </c>
      <c r="O852" s="1" t="s">
        <v>3992</v>
      </c>
      <c r="P852" s="1" t="s">
        <v>3993</v>
      </c>
      <c r="Q852" s="1" t="s">
        <v>7224</v>
      </c>
    </row>
    <row r="853" spans="1:17" x14ac:dyDescent="0.25">
      <c r="A853" t="s">
        <v>3994</v>
      </c>
      <c r="B853" t="str">
        <f>HYPERLINK("https://staging-dtl-pattern-api.hfm-weimar.de/static/audio/solos/dtl/AQAK54qSKkqSJCOaNnHwRVGjID5xCEeF_0.00.46.016126-0.01.40.038006.mp3", "link")</f>
        <v>link</v>
      </c>
      <c r="C853" t="s">
        <v>7353</v>
      </c>
      <c r="D853" t="s">
        <v>7354</v>
      </c>
      <c r="F853" t="s">
        <v>2535</v>
      </c>
      <c r="G853" t="s">
        <v>2535</v>
      </c>
      <c r="J853" t="s">
        <v>2536</v>
      </c>
      <c r="K853" t="s">
        <v>3995</v>
      </c>
      <c r="L853" s="1" t="s">
        <v>2538</v>
      </c>
      <c r="M853" t="s">
        <v>2129</v>
      </c>
      <c r="N853" t="s">
        <v>23</v>
      </c>
      <c r="O853" s="1" t="s">
        <v>3996</v>
      </c>
      <c r="P853" s="1" t="s">
        <v>3997</v>
      </c>
      <c r="Q853" s="1" t="s">
        <v>7355</v>
      </c>
    </row>
    <row r="854" spans="1:17" x14ac:dyDescent="0.25">
      <c r="A854" t="s">
        <v>3998</v>
      </c>
      <c r="B854" t="str">
        <f>HYPERLINK("https://staging-dtl-pattern-api.hfm-weimar.de/static/audio/solos/dtl/AQAK54qSKkqSJCOaNnHwRVGjID5xCEeF_0.01.40.038006-0.02.34.064489.mp3", "link")</f>
        <v>link</v>
      </c>
      <c r="C854" t="s">
        <v>7353</v>
      </c>
      <c r="D854" t="s">
        <v>7354</v>
      </c>
      <c r="F854" t="s">
        <v>2535</v>
      </c>
      <c r="G854" t="s">
        <v>2535</v>
      </c>
      <c r="J854" t="s">
        <v>2536</v>
      </c>
      <c r="K854" t="s">
        <v>3995</v>
      </c>
      <c r="L854" s="1" t="s">
        <v>2538</v>
      </c>
      <c r="M854" t="s">
        <v>2129</v>
      </c>
      <c r="N854" t="s">
        <v>23</v>
      </c>
      <c r="O854" s="1" t="s">
        <v>3997</v>
      </c>
      <c r="P854" s="1" t="s">
        <v>3999</v>
      </c>
      <c r="Q854" s="1" t="s">
        <v>7355</v>
      </c>
    </row>
    <row r="855" spans="1:17" x14ac:dyDescent="0.25">
      <c r="A855" t="s">
        <v>4000</v>
      </c>
      <c r="B855" t="str">
        <f>HYPERLINK("https://staging-dtl-pattern-api.hfm-weimar.de/static/audio/solos/dtl/AQAK54qSKkqSJCOaNnHwRVGjID5xCEeF_0.02.34.064489-0.02.41.071292.mp3", "link")</f>
        <v>link</v>
      </c>
      <c r="C855" t="s">
        <v>7353</v>
      </c>
      <c r="D855" t="s">
        <v>7354</v>
      </c>
      <c r="F855" t="s">
        <v>2535</v>
      </c>
      <c r="G855" t="s">
        <v>2535</v>
      </c>
      <c r="J855" t="s">
        <v>2536</v>
      </c>
      <c r="K855" t="s">
        <v>3995</v>
      </c>
      <c r="L855" s="1" t="s">
        <v>2538</v>
      </c>
      <c r="M855" t="s">
        <v>2129</v>
      </c>
      <c r="N855" t="s">
        <v>23</v>
      </c>
      <c r="O855" s="1" t="s">
        <v>3999</v>
      </c>
      <c r="P855" s="1" t="s">
        <v>4001</v>
      </c>
      <c r="Q855" s="1" t="s">
        <v>7355</v>
      </c>
    </row>
    <row r="856" spans="1:17" x14ac:dyDescent="0.25">
      <c r="A856" t="s">
        <v>4002</v>
      </c>
      <c r="B856" t="str">
        <f>HYPERLINK("https://staging-dtl-pattern-api.hfm-weimar.de/static/audio/solos/dtl/AQAK54qSKkqSJCOaNnHwRVGjID5xCEeF_0.02.41.071292-0.02.48.069365.mp3", "link")</f>
        <v>link</v>
      </c>
      <c r="C856" t="s">
        <v>7353</v>
      </c>
      <c r="D856" t="s">
        <v>7354</v>
      </c>
      <c r="F856" t="s">
        <v>2535</v>
      </c>
      <c r="G856" t="s">
        <v>2535</v>
      </c>
      <c r="J856" t="s">
        <v>2536</v>
      </c>
      <c r="K856" t="s">
        <v>3995</v>
      </c>
      <c r="L856" s="1" t="s">
        <v>2538</v>
      </c>
      <c r="M856" t="s">
        <v>2129</v>
      </c>
      <c r="N856" t="s">
        <v>23</v>
      </c>
      <c r="O856" s="1" t="s">
        <v>4001</v>
      </c>
      <c r="P856" s="1" t="s">
        <v>4003</v>
      </c>
      <c r="Q856" s="1" t="s">
        <v>7355</v>
      </c>
    </row>
    <row r="857" spans="1:17" x14ac:dyDescent="0.25">
      <c r="A857" t="s">
        <v>4004</v>
      </c>
      <c r="B857" t="str">
        <f>HYPERLINK("https://staging-dtl-pattern-api.hfm-weimar.de/static/audio/solos/dtl/AQAK54qSKkqSJCOaNnHwRVGjID5xCEeF_0.02.48.069365-0.02.55.031494.mp3", "link")</f>
        <v>link</v>
      </c>
      <c r="C857" t="s">
        <v>7353</v>
      </c>
      <c r="D857" t="s">
        <v>7354</v>
      </c>
      <c r="F857" t="s">
        <v>2535</v>
      </c>
      <c r="G857" t="s">
        <v>2535</v>
      </c>
      <c r="J857" t="s">
        <v>2536</v>
      </c>
      <c r="K857" t="s">
        <v>3995</v>
      </c>
      <c r="L857" s="1" t="s">
        <v>2538</v>
      </c>
      <c r="M857" t="s">
        <v>2129</v>
      </c>
      <c r="N857" t="s">
        <v>23</v>
      </c>
      <c r="O857" s="1" t="s">
        <v>4003</v>
      </c>
      <c r="P857" s="1" t="s">
        <v>4005</v>
      </c>
      <c r="Q857" s="1" t="s">
        <v>7355</v>
      </c>
    </row>
    <row r="858" spans="1:17" x14ac:dyDescent="0.25">
      <c r="A858" t="s">
        <v>4006</v>
      </c>
      <c r="B858" t="str">
        <f>HYPERLINK("https://staging-dtl-pattern-api.hfm-weimar.de/static/audio/solos/dtl/AQAK54qSKkqSJCOaNnHwRVGjID5xCEeF_0.02.55.031494-0.02.58.062004.mp3", "link")</f>
        <v>link</v>
      </c>
      <c r="C858" t="s">
        <v>7353</v>
      </c>
      <c r="D858" t="s">
        <v>7354</v>
      </c>
      <c r="F858" t="s">
        <v>2535</v>
      </c>
      <c r="G858" t="s">
        <v>2535</v>
      </c>
      <c r="J858" t="s">
        <v>2536</v>
      </c>
      <c r="K858" t="s">
        <v>3995</v>
      </c>
      <c r="L858" s="1" t="s">
        <v>2538</v>
      </c>
      <c r="M858" t="s">
        <v>2129</v>
      </c>
      <c r="N858" t="s">
        <v>23</v>
      </c>
      <c r="O858" s="1" t="s">
        <v>4005</v>
      </c>
      <c r="P858" s="1" t="s">
        <v>4007</v>
      </c>
      <c r="Q858" s="1" t="s">
        <v>7355</v>
      </c>
    </row>
    <row r="859" spans="1:17" x14ac:dyDescent="0.25">
      <c r="A859" t="s">
        <v>4008</v>
      </c>
      <c r="B859" t="str">
        <f>HYPERLINK("https://staging-dtl-pattern-api.hfm-weimar.de/static/audio/solos/dtl/AQAK54qSKkqSJCOaNnHwRVGjID5xCEeF_0.02.58.062004-0.03.00.050852.mp3", "link")</f>
        <v>link</v>
      </c>
      <c r="C859" t="s">
        <v>7353</v>
      </c>
      <c r="D859" t="s">
        <v>7354</v>
      </c>
      <c r="F859" t="s">
        <v>2535</v>
      </c>
      <c r="G859" t="s">
        <v>2535</v>
      </c>
      <c r="J859" t="s">
        <v>2536</v>
      </c>
      <c r="K859" t="s">
        <v>3995</v>
      </c>
      <c r="L859" s="1" t="s">
        <v>2538</v>
      </c>
      <c r="M859" t="s">
        <v>2129</v>
      </c>
      <c r="N859" t="s">
        <v>23</v>
      </c>
      <c r="O859" s="1" t="s">
        <v>4007</v>
      </c>
      <c r="P859" s="1" t="s">
        <v>4009</v>
      </c>
      <c r="Q859" s="1" t="s">
        <v>7355</v>
      </c>
    </row>
    <row r="860" spans="1:17" x14ac:dyDescent="0.25">
      <c r="A860" t="s">
        <v>4010</v>
      </c>
      <c r="B860" t="str">
        <f>HYPERLINK("https://staging-dtl-pattern-api.hfm-weimar.de/static/audio/solos/dtl/AQAK54qSKkqSJCOaNnHwRVGjID5xCEeF_0.03.00.050852-0.03.02.041596.mp3", "link")</f>
        <v>link</v>
      </c>
      <c r="C860" t="s">
        <v>7353</v>
      </c>
      <c r="D860" t="s">
        <v>7354</v>
      </c>
      <c r="F860" t="s">
        <v>2535</v>
      </c>
      <c r="G860" t="s">
        <v>2535</v>
      </c>
      <c r="J860" t="s">
        <v>2536</v>
      </c>
      <c r="K860" t="s">
        <v>3995</v>
      </c>
      <c r="L860" s="1" t="s">
        <v>2538</v>
      </c>
      <c r="M860" t="s">
        <v>2129</v>
      </c>
      <c r="N860" t="s">
        <v>23</v>
      </c>
      <c r="O860" s="1" t="s">
        <v>4009</v>
      </c>
      <c r="P860" s="1" t="s">
        <v>4011</v>
      </c>
      <c r="Q860" s="1" t="s">
        <v>7355</v>
      </c>
    </row>
    <row r="861" spans="1:17" x14ac:dyDescent="0.25">
      <c r="A861" t="s">
        <v>4012</v>
      </c>
      <c r="B861" t="str">
        <f>HYPERLINK("https://staging-dtl-pattern-api.hfm-weimar.de/static/audio/solos/dtl/AQAK54qSKkqSJCOaNnHwRVGjID5xCEeF_0.03.02.041596-0.03.05.075963.mp3", "link")</f>
        <v>link</v>
      </c>
      <c r="C861" t="s">
        <v>7353</v>
      </c>
      <c r="D861" t="s">
        <v>7354</v>
      </c>
      <c r="F861" t="s">
        <v>2535</v>
      </c>
      <c r="G861" t="s">
        <v>2535</v>
      </c>
      <c r="J861" t="s">
        <v>2536</v>
      </c>
      <c r="K861" t="s">
        <v>3995</v>
      </c>
      <c r="L861" s="1" t="s">
        <v>2538</v>
      </c>
      <c r="M861" t="s">
        <v>2129</v>
      </c>
      <c r="N861" t="s">
        <v>23</v>
      </c>
      <c r="O861" s="1" t="s">
        <v>4011</v>
      </c>
      <c r="P861" s="1" t="s">
        <v>4013</v>
      </c>
      <c r="Q861" s="1" t="s">
        <v>7355</v>
      </c>
    </row>
    <row r="862" spans="1:17" x14ac:dyDescent="0.25">
      <c r="A862" t="s">
        <v>4014</v>
      </c>
      <c r="B862" t="str">
        <f>HYPERLINK("https://staging-dtl-pattern-api.hfm-weimar.de/static/audio/solos/dtl/AQAK54qSKkqSJCOaNnHwRVGjID5xCEeF_0.03.05.075963-0.03.09.014975.mp3", "link")</f>
        <v>link</v>
      </c>
      <c r="C862" t="s">
        <v>7353</v>
      </c>
      <c r="D862" t="s">
        <v>7354</v>
      </c>
      <c r="F862" t="s">
        <v>2535</v>
      </c>
      <c r="G862" t="s">
        <v>2535</v>
      </c>
      <c r="J862" t="s">
        <v>2536</v>
      </c>
      <c r="K862" t="s">
        <v>3995</v>
      </c>
      <c r="L862" s="1" t="s">
        <v>2538</v>
      </c>
      <c r="M862" t="s">
        <v>2129</v>
      </c>
      <c r="N862" t="s">
        <v>23</v>
      </c>
      <c r="O862" s="1" t="s">
        <v>4013</v>
      </c>
      <c r="P862" s="1" t="s">
        <v>3868</v>
      </c>
      <c r="Q862" s="1" t="s">
        <v>7355</v>
      </c>
    </row>
    <row r="863" spans="1:17" x14ac:dyDescent="0.25">
      <c r="A863" t="s">
        <v>4015</v>
      </c>
      <c r="B863" t="str">
        <f>HYPERLINK("https://staging-dtl-pattern-api.hfm-weimar.de/static/audio/solos/dtl/AQAK54qSKkqSJCOaNnHwRVGjID5xCEeF_0.03.09.014975-0.03.12.034866.mp3", "link")</f>
        <v>link</v>
      </c>
      <c r="C863" t="s">
        <v>7353</v>
      </c>
      <c r="D863" t="s">
        <v>7354</v>
      </c>
      <c r="F863" t="s">
        <v>2535</v>
      </c>
      <c r="G863" t="s">
        <v>2535</v>
      </c>
      <c r="J863" t="s">
        <v>2536</v>
      </c>
      <c r="K863" t="s">
        <v>3995</v>
      </c>
      <c r="L863" s="1" t="s">
        <v>2538</v>
      </c>
      <c r="M863" t="s">
        <v>2129</v>
      </c>
      <c r="N863" t="s">
        <v>23</v>
      </c>
      <c r="O863" s="1" t="s">
        <v>3868</v>
      </c>
      <c r="P863" s="1" t="s">
        <v>4016</v>
      </c>
      <c r="Q863" s="1" t="s">
        <v>7355</v>
      </c>
    </row>
    <row r="864" spans="1:17" x14ac:dyDescent="0.25">
      <c r="A864" t="s">
        <v>4017</v>
      </c>
      <c r="B864" t="str">
        <f>HYPERLINK("https://staging-dtl-pattern-api.hfm-weimar.de/static/audio/solos/dtl/AQAK54qSKkqSJCOaNnHwRVGjID5xCEeF_0.03.12.034866-0.03.15.063136.mp3", "link")</f>
        <v>link</v>
      </c>
      <c r="C864" t="s">
        <v>7353</v>
      </c>
      <c r="D864" t="s">
        <v>7354</v>
      </c>
      <c r="F864" t="s">
        <v>2535</v>
      </c>
      <c r="G864" t="s">
        <v>2535</v>
      </c>
      <c r="J864" t="s">
        <v>2536</v>
      </c>
      <c r="K864" t="s">
        <v>3995</v>
      </c>
      <c r="L864" s="1" t="s">
        <v>2538</v>
      </c>
      <c r="M864" t="s">
        <v>2129</v>
      </c>
      <c r="N864" t="s">
        <v>23</v>
      </c>
      <c r="O864" s="1" t="s">
        <v>4016</v>
      </c>
      <c r="P864" s="1" t="s">
        <v>4018</v>
      </c>
      <c r="Q864" s="1" t="s">
        <v>7355</v>
      </c>
    </row>
    <row r="865" spans="1:17" x14ac:dyDescent="0.25">
      <c r="A865" t="s">
        <v>4019</v>
      </c>
      <c r="B865" t="str">
        <f>HYPERLINK("https://staging-dtl-pattern-api.hfm-weimar.de/static/audio/solos/dtl/AQAK54qSKkqSJCOaNnHwRVGjID5xCEeF_0.03.15.063136-0.03.19.040891.mp3", "link")</f>
        <v>link</v>
      </c>
      <c r="C865" t="s">
        <v>7353</v>
      </c>
      <c r="D865" t="s">
        <v>7354</v>
      </c>
      <c r="F865" t="s">
        <v>2535</v>
      </c>
      <c r="G865" t="s">
        <v>2535</v>
      </c>
      <c r="J865" t="s">
        <v>2536</v>
      </c>
      <c r="K865" t="s">
        <v>3995</v>
      </c>
      <c r="L865" s="1" t="s">
        <v>2538</v>
      </c>
      <c r="M865" t="s">
        <v>2129</v>
      </c>
      <c r="N865" t="s">
        <v>23</v>
      </c>
      <c r="O865" s="1" t="s">
        <v>4018</v>
      </c>
      <c r="P865" s="1" t="s">
        <v>4020</v>
      </c>
      <c r="Q865" s="1" t="s">
        <v>7355</v>
      </c>
    </row>
    <row r="866" spans="1:17" x14ac:dyDescent="0.25">
      <c r="A866" t="s">
        <v>4021</v>
      </c>
      <c r="B866" t="str">
        <f>HYPERLINK("https://staging-dtl-pattern-api.hfm-weimar.de/static/audio/solos/dtl/AQAK54qSKkqSJCOaNnHwRVGjID5xCEeF_0.03.19.040891-0.03.22.072176.mp3", "link")</f>
        <v>link</v>
      </c>
      <c r="C866" t="s">
        <v>7353</v>
      </c>
      <c r="D866" t="s">
        <v>7354</v>
      </c>
      <c r="F866" t="s">
        <v>2535</v>
      </c>
      <c r="G866" t="s">
        <v>2535</v>
      </c>
      <c r="J866" t="s">
        <v>2536</v>
      </c>
      <c r="K866" t="s">
        <v>3995</v>
      </c>
      <c r="L866" s="1" t="s">
        <v>2538</v>
      </c>
      <c r="M866" t="s">
        <v>2129</v>
      </c>
      <c r="N866" t="s">
        <v>23</v>
      </c>
      <c r="O866" s="1" t="s">
        <v>4020</v>
      </c>
      <c r="P866" s="1" t="s">
        <v>4022</v>
      </c>
      <c r="Q866" s="1" t="s">
        <v>7355</v>
      </c>
    </row>
    <row r="867" spans="1:17" x14ac:dyDescent="0.25">
      <c r="A867" t="s">
        <v>4023</v>
      </c>
      <c r="B867" t="str">
        <f>HYPERLINK("https://staging-dtl-pattern-api.hfm-weimar.de/static/audio/solos/dtl/AQAK54qSKkqSJCOaNnHwRVGjID5xCEeF_0.03.22.072176-0.03.26.012857.mp3", "link")</f>
        <v>link</v>
      </c>
      <c r="C867" t="s">
        <v>7353</v>
      </c>
      <c r="D867" t="s">
        <v>7354</v>
      </c>
      <c r="F867" t="s">
        <v>2535</v>
      </c>
      <c r="G867" t="s">
        <v>2535</v>
      </c>
      <c r="J867" t="s">
        <v>2536</v>
      </c>
      <c r="K867" t="s">
        <v>3995</v>
      </c>
      <c r="L867" s="1" t="s">
        <v>2538</v>
      </c>
      <c r="M867" t="s">
        <v>2129</v>
      </c>
      <c r="N867" t="s">
        <v>23</v>
      </c>
      <c r="O867" s="1" t="s">
        <v>4022</v>
      </c>
      <c r="P867" s="1" t="s">
        <v>4024</v>
      </c>
      <c r="Q867" s="1" t="s">
        <v>7355</v>
      </c>
    </row>
    <row r="868" spans="1:17" x14ac:dyDescent="0.25">
      <c r="A868" t="s">
        <v>4025</v>
      </c>
      <c r="B868" t="str">
        <f>HYPERLINK("https://staging-dtl-pattern-api.hfm-weimar.de/static/audio/solos/dtl/AQAK54qSKkqSJCOaNnHwRVGjID5xCEeF_0.03.26.012857-0.03.29.051371.mp3", "link")</f>
        <v>link</v>
      </c>
      <c r="C868" t="s">
        <v>7353</v>
      </c>
      <c r="D868" t="s">
        <v>7354</v>
      </c>
      <c r="F868" t="s">
        <v>2535</v>
      </c>
      <c r="G868" t="s">
        <v>2535</v>
      </c>
      <c r="J868" t="s">
        <v>2536</v>
      </c>
      <c r="K868" t="s">
        <v>3995</v>
      </c>
      <c r="L868" s="1" t="s">
        <v>2538</v>
      </c>
      <c r="M868" t="s">
        <v>2129</v>
      </c>
      <c r="N868" t="s">
        <v>23</v>
      </c>
      <c r="O868" s="1" t="s">
        <v>4024</v>
      </c>
      <c r="P868" s="1" t="s">
        <v>4026</v>
      </c>
      <c r="Q868" s="1" t="s">
        <v>7355</v>
      </c>
    </row>
    <row r="869" spans="1:17" x14ac:dyDescent="0.25">
      <c r="A869" t="s">
        <v>4027</v>
      </c>
      <c r="B869" t="str">
        <f>HYPERLINK("https://staging-dtl-pattern-api.hfm-weimar.de/static/audio/solos/dtl/AQAK54qSKkqSJCOaNnHwRVGjID5xCEeF_0.03.29.051371-0.03.33.002360.mp3", "link")</f>
        <v>link</v>
      </c>
      <c r="C869" t="s">
        <v>7353</v>
      </c>
      <c r="D869" t="s">
        <v>7354</v>
      </c>
      <c r="F869" t="s">
        <v>2535</v>
      </c>
      <c r="G869" t="s">
        <v>2535</v>
      </c>
      <c r="J869" t="s">
        <v>2536</v>
      </c>
      <c r="K869" t="s">
        <v>3995</v>
      </c>
      <c r="L869" s="1" t="s">
        <v>2538</v>
      </c>
      <c r="M869" t="s">
        <v>2129</v>
      </c>
      <c r="N869" t="s">
        <v>23</v>
      </c>
      <c r="O869" s="1" t="s">
        <v>4026</v>
      </c>
      <c r="P869" s="1" t="s">
        <v>4028</v>
      </c>
      <c r="Q869" s="1" t="s">
        <v>7355</v>
      </c>
    </row>
    <row r="870" spans="1:17" x14ac:dyDescent="0.25">
      <c r="A870" t="s">
        <v>4029</v>
      </c>
      <c r="B870" t="str">
        <f>HYPERLINK("https://staging-dtl-pattern-api.hfm-weimar.de/static/audio/solos/dtl/AQAK54qSKkqSJCOaNnHwRVGjID5xCEeF_0.03.33.002360-0.03.36.048609.mp3", "link")</f>
        <v>link</v>
      </c>
      <c r="C870" t="s">
        <v>7353</v>
      </c>
      <c r="D870" t="s">
        <v>7354</v>
      </c>
      <c r="F870" t="s">
        <v>2535</v>
      </c>
      <c r="G870" t="s">
        <v>2535</v>
      </c>
      <c r="J870" t="s">
        <v>2536</v>
      </c>
      <c r="K870" t="s">
        <v>3995</v>
      </c>
      <c r="L870" s="1" t="s">
        <v>2538</v>
      </c>
      <c r="M870" t="s">
        <v>2129</v>
      </c>
      <c r="N870" t="s">
        <v>23</v>
      </c>
      <c r="O870" s="1" t="s">
        <v>4028</v>
      </c>
      <c r="P870" s="1" t="s">
        <v>4030</v>
      </c>
      <c r="Q870" s="1" t="s">
        <v>7355</v>
      </c>
    </row>
    <row r="871" spans="1:17" x14ac:dyDescent="0.25">
      <c r="A871" t="s">
        <v>4031</v>
      </c>
      <c r="B871" t="str">
        <f>HYPERLINK("https://staging-dtl-pattern-api.hfm-weimar.de/static/audio/solos/dtl/AQAK54qSKkqSJCOaNnHwRVGjID5xCEeF_0.03.36.048609-0.03.39.091544.mp3", "link")</f>
        <v>link</v>
      </c>
      <c r="C871" t="s">
        <v>7353</v>
      </c>
      <c r="D871" t="s">
        <v>7354</v>
      </c>
      <c r="F871" t="s">
        <v>2535</v>
      </c>
      <c r="G871" t="s">
        <v>2535</v>
      </c>
      <c r="J871" t="s">
        <v>2536</v>
      </c>
      <c r="K871" t="s">
        <v>3995</v>
      </c>
      <c r="L871" s="1" t="s">
        <v>2538</v>
      </c>
      <c r="M871" t="s">
        <v>2129</v>
      </c>
      <c r="N871" t="s">
        <v>23</v>
      </c>
      <c r="O871" s="1" t="s">
        <v>4030</v>
      </c>
      <c r="P871" s="1" t="s">
        <v>4032</v>
      </c>
      <c r="Q871" s="1" t="s">
        <v>7355</v>
      </c>
    </row>
    <row r="872" spans="1:17" x14ac:dyDescent="0.25">
      <c r="A872" t="s">
        <v>4033</v>
      </c>
      <c r="B872" t="str">
        <f>HYPERLINK("https://staging-dtl-pattern-api.hfm-weimar.de/static/audio/solos/dtl/AQAK54qSKkqSJCOaNnHwRVGjID5xCEeF_0.03.39.091544-0.03.43.036383.mp3", "link")</f>
        <v>link</v>
      </c>
      <c r="C872" t="s">
        <v>7353</v>
      </c>
      <c r="D872" t="s">
        <v>7354</v>
      </c>
      <c r="F872" t="s">
        <v>2535</v>
      </c>
      <c r="G872" t="s">
        <v>2535</v>
      </c>
      <c r="J872" t="s">
        <v>2536</v>
      </c>
      <c r="K872" t="s">
        <v>3995</v>
      </c>
      <c r="L872" s="1" t="s">
        <v>2538</v>
      </c>
      <c r="M872" t="s">
        <v>2129</v>
      </c>
      <c r="N872" t="s">
        <v>23</v>
      </c>
      <c r="O872" s="1" t="s">
        <v>4032</v>
      </c>
      <c r="P872" s="1" t="s">
        <v>4034</v>
      </c>
      <c r="Q872" s="1" t="s">
        <v>7355</v>
      </c>
    </row>
    <row r="873" spans="1:17" x14ac:dyDescent="0.25">
      <c r="A873" t="s">
        <v>4035</v>
      </c>
      <c r="B873" t="str">
        <f>HYPERLINK("https://staging-dtl-pattern-api.hfm-weimar.de/static/audio/solos/dtl/AQAK54qSKkqSJCOaNnHwRVGjID5xCEeF_0.03.43.036383-0.03.46.084403.mp3", "link")</f>
        <v>link</v>
      </c>
      <c r="C873" t="s">
        <v>7353</v>
      </c>
      <c r="D873" t="s">
        <v>7354</v>
      </c>
      <c r="F873" t="s">
        <v>2535</v>
      </c>
      <c r="G873" t="s">
        <v>2535</v>
      </c>
      <c r="J873" t="s">
        <v>2536</v>
      </c>
      <c r="K873" t="s">
        <v>3995</v>
      </c>
      <c r="L873" s="1" t="s">
        <v>2538</v>
      </c>
      <c r="M873" t="s">
        <v>2129</v>
      </c>
      <c r="N873" t="s">
        <v>23</v>
      </c>
      <c r="O873" s="1" t="s">
        <v>4034</v>
      </c>
      <c r="P873" s="1" t="s">
        <v>4036</v>
      </c>
      <c r="Q873" s="1" t="s">
        <v>7355</v>
      </c>
    </row>
    <row r="874" spans="1:17" x14ac:dyDescent="0.25">
      <c r="A874" t="s">
        <v>4037</v>
      </c>
      <c r="B874" t="str">
        <f>HYPERLINK("https://staging-dtl-pattern-api.hfm-weimar.de/static/audio/solos/dtl/AQAK54qSKkqSJCOaNnHwRVGjID5xCEeF_0.03.46.084403-0.03.50.036984.mp3", "link")</f>
        <v>link</v>
      </c>
      <c r="C874" t="s">
        <v>7353</v>
      </c>
      <c r="D874" t="s">
        <v>7354</v>
      </c>
      <c r="F874" t="s">
        <v>2535</v>
      </c>
      <c r="G874" t="s">
        <v>2535</v>
      </c>
      <c r="J874" t="s">
        <v>2536</v>
      </c>
      <c r="K874" t="s">
        <v>3995</v>
      </c>
      <c r="L874" s="1" t="s">
        <v>2538</v>
      </c>
      <c r="M874" t="s">
        <v>2129</v>
      </c>
      <c r="N874" t="s">
        <v>23</v>
      </c>
      <c r="O874" s="1" t="s">
        <v>4036</v>
      </c>
      <c r="P874" s="1" t="s">
        <v>4038</v>
      </c>
      <c r="Q874" s="1" t="s">
        <v>7355</v>
      </c>
    </row>
    <row r="875" spans="1:17" x14ac:dyDescent="0.25">
      <c r="A875" t="s">
        <v>4039</v>
      </c>
      <c r="B875" t="str">
        <f>HYPERLINK("https://staging-dtl-pattern-api.hfm-weimar.de/static/audio/solos/dtl/AQAK54qSKkqSJCOaNnHwRVGjID5xCEeF_0.03.50.036984-0.03.54.004353.mp3", "link")</f>
        <v>link</v>
      </c>
      <c r="C875" t="s">
        <v>7353</v>
      </c>
      <c r="D875" t="s">
        <v>7354</v>
      </c>
      <c r="F875" t="s">
        <v>2535</v>
      </c>
      <c r="G875" t="s">
        <v>2535</v>
      </c>
      <c r="J875" t="s">
        <v>2536</v>
      </c>
      <c r="K875" t="s">
        <v>3995</v>
      </c>
      <c r="L875" s="1" t="s">
        <v>2538</v>
      </c>
      <c r="M875" t="s">
        <v>2129</v>
      </c>
      <c r="N875" t="s">
        <v>23</v>
      </c>
      <c r="O875" s="1" t="s">
        <v>4038</v>
      </c>
      <c r="P875" s="1" t="s">
        <v>4040</v>
      </c>
      <c r="Q875" s="1" t="s">
        <v>7355</v>
      </c>
    </row>
    <row r="876" spans="1:17" x14ac:dyDescent="0.25">
      <c r="A876" t="s">
        <v>4041</v>
      </c>
      <c r="B876" t="str">
        <f>HYPERLINK("https://staging-dtl-pattern-api.hfm-weimar.de/static/audio/solos/dtl/AQAK54qSKkqSJCOaNnHwRVGjID5xCEeF_0.03.54.004353-0.03.57.002929.mp3", "link")</f>
        <v>link</v>
      </c>
      <c r="C876" t="s">
        <v>7353</v>
      </c>
      <c r="D876" t="s">
        <v>7354</v>
      </c>
      <c r="F876" t="s">
        <v>2535</v>
      </c>
      <c r="G876" t="s">
        <v>2535</v>
      </c>
      <c r="J876" t="s">
        <v>2536</v>
      </c>
      <c r="K876" t="s">
        <v>3995</v>
      </c>
      <c r="L876" s="1" t="s">
        <v>2538</v>
      </c>
      <c r="M876" t="s">
        <v>2129</v>
      </c>
      <c r="N876" t="s">
        <v>23</v>
      </c>
      <c r="O876" s="1" t="s">
        <v>4040</v>
      </c>
      <c r="P876" s="1" t="s">
        <v>4042</v>
      </c>
      <c r="Q876" s="1" t="s">
        <v>7355</v>
      </c>
    </row>
    <row r="877" spans="1:17" x14ac:dyDescent="0.25">
      <c r="A877" t="s">
        <v>4043</v>
      </c>
      <c r="B877" t="str">
        <f>HYPERLINK("https://staging-dtl-pattern-api.hfm-weimar.de/static/audio/solos/dtl/AQAK54qSKkqSJCOaNnHwRVGjID5xCEeF_0.03.57.002929-0.04.04.008265.mp3", "link")</f>
        <v>link</v>
      </c>
      <c r="C877" t="s">
        <v>7353</v>
      </c>
      <c r="D877" t="s">
        <v>7354</v>
      </c>
      <c r="F877" t="s">
        <v>2535</v>
      </c>
      <c r="G877" t="s">
        <v>2535</v>
      </c>
      <c r="J877" t="s">
        <v>2536</v>
      </c>
      <c r="K877" t="s">
        <v>3995</v>
      </c>
      <c r="L877" s="1" t="s">
        <v>2538</v>
      </c>
      <c r="M877" t="s">
        <v>2129</v>
      </c>
      <c r="N877" t="s">
        <v>23</v>
      </c>
      <c r="O877" s="1" t="s">
        <v>4042</v>
      </c>
      <c r="P877" s="1" t="s">
        <v>4044</v>
      </c>
      <c r="Q877" s="1" t="s">
        <v>7355</v>
      </c>
    </row>
    <row r="878" spans="1:17" x14ac:dyDescent="0.25">
      <c r="A878" t="s">
        <v>4045</v>
      </c>
      <c r="B878" t="str">
        <f>HYPERLINK("https://staging-dtl-pattern-api.hfm-weimar.de/static/audio/solos/dtl/AQAK54qSKkqSJCOaNnHwRVGjID5xCEeF_0.04.04.008265-0.04.10.097206.mp3", "link")</f>
        <v>link</v>
      </c>
      <c r="C878" t="s">
        <v>7353</v>
      </c>
      <c r="D878" t="s">
        <v>7354</v>
      </c>
      <c r="F878" t="s">
        <v>2535</v>
      </c>
      <c r="G878" t="s">
        <v>2535</v>
      </c>
      <c r="J878" t="s">
        <v>2536</v>
      </c>
      <c r="K878" t="s">
        <v>3995</v>
      </c>
      <c r="L878" s="1" t="s">
        <v>2538</v>
      </c>
      <c r="M878" t="s">
        <v>2129</v>
      </c>
      <c r="N878" t="s">
        <v>23</v>
      </c>
      <c r="O878" s="1" t="s">
        <v>4044</v>
      </c>
      <c r="P878" s="1" t="s">
        <v>4046</v>
      </c>
      <c r="Q878" s="1" t="s">
        <v>7355</v>
      </c>
    </row>
    <row r="879" spans="1:17" x14ac:dyDescent="0.25">
      <c r="A879" t="s">
        <v>4047</v>
      </c>
      <c r="B879" t="str">
        <f>HYPERLINK("https://staging-dtl-pattern-api.hfm-weimar.de/static/audio/solos/dtl/AQAK54qSKkqSJCOaNnHwRVGjID5xCEeF_0.04.10.097206-0.04.14.038394.mp3", "link")</f>
        <v>link</v>
      </c>
      <c r="C879" t="s">
        <v>7353</v>
      </c>
      <c r="D879" t="s">
        <v>7354</v>
      </c>
      <c r="F879" t="s">
        <v>2535</v>
      </c>
      <c r="G879" t="s">
        <v>2535</v>
      </c>
      <c r="J879" t="s">
        <v>2536</v>
      </c>
      <c r="K879" t="s">
        <v>3995</v>
      </c>
      <c r="L879" s="1" t="s">
        <v>2538</v>
      </c>
      <c r="M879" t="s">
        <v>2129</v>
      </c>
      <c r="N879" t="s">
        <v>23</v>
      </c>
      <c r="O879" s="1" t="s">
        <v>4046</v>
      </c>
      <c r="P879" s="1" t="s">
        <v>4048</v>
      </c>
      <c r="Q879" s="1" t="s">
        <v>7355</v>
      </c>
    </row>
    <row r="880" spans="1:17" x14ac:dyDescent="0.25">
      <c r="A880" t="s">
        <v>4049</v>
      </c>
      <c r="B880" t="str">
        <f>HYPERLINK("https://staging-dtl-pattern-api.hfm-weimar.de/static/audio/solos/dtl/AQAK54qSKkqSJCOaNnHwRVGjID5xCEeF_0.04.14.038394-0.04.17.066705.mp3", "link")</f>
        <v>link</v>
      </c>
      <c r="C880" t="s">
        <v>7353</v>
      </c>
      <c r="D880" t="s">
        <v>7354</v>
      </c>
      <c r="F880" t="s">
        <v>2535</v>
      </c>
      <c r="G880" t="s">
        <v>2535</v>
      </c>
      <c r="J880" t="s">
        <v>2536</v>
      </c>
      <c r="K880" t="s">
        <v>3995</v>
      </c>
      <c r="L880" s="1" t="s">
        <v>2538</v>
      </c>
      <c r="M880" t="s">
        <v>2129</v>
      </c>
      <c r="N880" t="s">
        <v>23</v>
      </c>
      <c r="O880" s="1" t="s">
        <v>4048</v>
      </c>
      <c r="P880" s="1" t="s">
        <v>4050</v>
      </c>
      <c r="Q880" s="1" t="s">
        <v>7355</v>
      </c>
    </row>
    <row r="881" spans="1:17" x14ac:dyDescent="0.25">
      <c r="A881" t="s">
        <v>4051</v>
      </c>
      <c r="B881" t="str">
        <f>HYPERLINK("https://staging-dtl-pattern-api.hfm-weimar.de/static/audio/solos/dtl/AQAK54qSKkqSJCOaNnHwRVGjID5xCEeF_0.04.17.066705-0.04.24.029174.mp3", "link")</f>
        <v>link</v>
      </c>
      <c r="C881" t="s">
        <v>7353</v>
      </c>
      <c r="D881" t="s">
        <v>7354</v>
      </c>
      <c r="F881" t="s">
        <v>2535</v>
      </c>
      <c r="G881" t="s">
        <v>2535</v>
      </c>
      <c r="J881" t="s">
        <v>2536</v>
      </c>
      <c r="K881" t="s">
        <v>3995</v>
      </c>
      <c r="L881" s="1" t="s">
        <v>2538</v>
      </c>
      <c r="M881" t="s">
        <v>2129</v>
      </c>
      <c r="N881" t="s">
        <v>23</v>
      </c>
      <c r="O881" s="1" t="s">
        <v>4050</v>
      </c>
      <c r="P881" s="1" t="s">
        <v>4052</v>
      </c>
      <c r="Q881" s="1" t="s">
        <v>7355</v>
      </c>
    </row>
    <row r="882" spans="1:17" x14ac:dyDescent="0.25">
      <c r="A882" t="s">
        <v>4053</v>
      </c>
      <c r="B882" t="str">
        <f>HYPERLINK("https://staging-dtl-pattern-api.hfm-weimar.de/static/audio/solos/dtl/AQAK54qSKkqSJCOaNnHwRVGjID5xCEeF_0.04.24.029174-0.04.27.092535.mp3", "link")</f>
        <v>link</v>
      </c>
      <c r="C882" t="s">
        <v>7353</v>
      </c>
      <c r="D882" t="s">
        <v>7354</v>
      </c>
      <c r="F882" t="s">
        <v>2535</v>
      </c>
      <c r="G882" t="s">
        <v>2535</v>
      </c>
      <c r="J882" t="s">
        <v>2536</v>
      </c>
      <c r="K882" t="s">
        <v>3995</v>
      </c>
      <c r="L882" s="1" t="s">
        <v>2538</v>
      </c>
      <c r="M882" t="s">
        <v>2129</v>
      </c>
      <c r="N882" t="s">
        <v>23</v>
      </c>
      <c r="O882" s="1" t="s">
        <v>4052</v>
      </c>
      <c r="P882" s="1" t="s">
        <v>4054</v>
      </c>
      <c r="Q882" s="1" t="s">
        <v>7355</v>
      </c>
    </row>
    <row r="883" spans="1:17" x14ac:dyDescent="0.25">
      <c r="A883" t="s">
        <v>4055</v>
      </c>
      <c r="B883" t="str">
        <f>HYPERLINK("https://staging-dtl-pattern-api.hfm-weimar.de/static/audio/solos/dtl/AQAK54qSKkqSJCOaNnHwRVGjID5xCEeF_0.04.27.092535-0.04.31.009038.mp3", "link")</f>
        <v>link</v>
      </c>
      <c r="C883" t="s">
        <v>7353</v>
      </c>
      <c r="D883" t="s">
        <v>7354</v>
      </c>
      <c r="F883" t="s">
        <v>2535</v>
      </c>
      <c r="G883" t="s">
        <v>2535</v>
      </c>
      <c r="J883" t="s">
        <v>2536</v>
      </c>
      <c r="K883" t="s">
        <v>3995</v>
      </c>
      <c r="L883" s="1" t="s">
        <v>2538</v>
      </c>
      <c r="M883" t="s">
        <v>2129</v>
      </c>
      <c r="N883" t="s">
        <v>23</v>
      </c>
      <c r="O883" s="1" t="s">
        <v>4054</v>
      </c>
      <c r="P883" s="1" t="s">
        <v>4056</v>
      </c>
      <c r="Q883" s="1" t="s">
        <v>7355</v>
      </c>
    </row>
    <row r="884" spans="1:17" x14ac:dyDescent="0.25">
      <c r="A884" t="s">
        <v>4057</v>
      </c>
      <c r="B884" t="str">
        <f>HYPERLINK("https://staging-dtl-pattern-api.hfm-weimar.de/static/audio/solos/dtl/AQAK54qSKkqSJCOaNnHwRVGjID5xCEeF_0.04.31.009038-0.04.34.043988.mp3", "link")</f>
        <v>link</v>
      </c>
      <c r="C884" t="s">
        <v>7353</v>
      </c>
      <c r="D884" t="s">
        <v>7354</v>
      </c>
      <c r="F884" t="s">
        <v>2535</v>
      </c>
      <c r="G884" t="s">
        <v>2535</v>
      </c>
      <c r="J884" t="s">
        <v>2536</v>
      </c>
      <c r="K884" t="s">
        <v>3995</v>
      </c>
      <c r="L884" s="1" t="s">
        <v>2538</v>
      </c>
      <c r="M884" t="s">
        <v>2129</v>
      </c>
      <c r="N884" t="s">
        <v>23</v>
      </c>
      <c r="O884" s="1" t="s">
        <v>4056</v>
      </c>
      <c r="P884" s="1" t="s">
        <v>4058</v>
      </c>
      <c r="Q884" s="1" t="s">
        <v>7355</v>
      </c>
    </row>
    <row r="885" spans="1:17" x14ac:dyDescent="0.25">
      <c r="A885" t="s">
        <v>4059</v>
      </c>
      <c r="B885" t="str">
        <f>HYPERLINK("https://staging-dtl-pattern-api.hfm-weimar.de/static/audio/solos/dtl/AQAK54qSKkqSJCOaNnHwRVGjID5xCEeF_0.04.43.032988-0.05.03.064371.mp3", "link")</f>
        <v>link</v>
      </c>
      <c r="C885" t="s">
        <v>7353</v>
      </c>
      <c r="D885" t="s">
        <v>7354</v>
      </c>
      <c r="F885" t="s">
        <v>2535</v>
      </c>
      <c r="G885" t="s">
        <v>2535</v>
      </c>
      <c r="J885" t="s">
        <v>2536</v>
      </c>
      <c r="K885" t="s">
        <v>3995</v>
      </c>
      <c r="L885" s="1" t="s">
        <v>2538</v>
      </c>
      <c r="M885" t="s">
        <v>2129</v>
      </c>
      <c r="N885" t="s">
        <v>23</v>
      </c>
      <c r="O885" s="1" t="s">
        <v>4060</v>
      </c>
      <c r="P885" s="1" t="s">
        <v>4061</v>
      </c>
      <c r="Q885" s="1" t="s">
        <v>7355</v>
      </c>
    </row>
    <row r="886" spans="1:17" x14ac:dyDescent="0.25">
      <c r="A886" t="s">
        <v>4062</v>
      </c>
      <c r="B886" t="str">
        <f>HYPERLINK("https://staging-dtl-pattern-api.hfm-weimar.de/static/audio/solos/dtl/AQAK54qSKkqSJCOaNnHwRVGjID5xCEeF_0.05.03.064371-0.05.30.082630.mp3", "link")</f>
        <v>link</v>
      </c>
      <c r="C886" t="s">
        <v>7353</v>
      </c>
      <c r="D886" t="s">
        <v>7354</v>
      </c>
      <c r="F886" t="s">
        <v>2535</v>
      </c>
      <c r="G886" t="s">
        <v>2535</v>
      </c>
      <c r="J886" t="s">
        <v>2536</v>
      </c>
      <c r="K886" t="s">
        <v>3995</v>
      </c>
      <c r="L886" s="1" t="s">
        <v>2538</v>
      </c>
      <c r="M886" t="s">
        <v>2129</v>
      </c>
      <c r="N886" t="s">
        <v>23</v>
      </c>
      <c r="O886" s="1" t="s">
        <v>4061</v>
      </c>
      <c r="P886" s="1" t="s">
        <v>4063</v>
      </c>
      <c r="Q886" s="1" t="s">
        <v>7355</v>
      </c>
    </row>
    <row r="887" spans="1:17" x14ac:dyDescent="0.25">
      <c r="A887" t="s">
        <v>4064</v>
      </c>
      <c r="B887" t="str">
        <f>HYPERLINK("https://staging-dtl-pattern-api.hfm-weimar.de/static/audio/solos/dtl/AQAK60kSSkmSJImUKDiOGMfxgjnRxodV_0.01.59.032734-0.02.58.079365.mp3", "link")</f>
        <v>link</v>
      </c>
      <c r="D887" t="s">
        <v>4065</v>
      </c>
      <c r="E887" t="s">
        <v>4066</v>
      </c>
      <c r="F887" t="s">
        <v>4067</v>
      </c>
      <c r="G887" t="s">
        <v>4067</v>
      </c>
      <c r="J887" t="s">
        <v>4068</v>
      </c>
      <c r="K887" t="s">
        <v>4069</v>
      </c>
      <c r="L887" s="1" t="s">
        <v>3701</v>
      </c>
      <c r="M887" t="s">
        <v>4070</v>
      </c>
      <c r="N887" t="s">
        <v>891</v>
      </c>
      <c r="O887" s="1" t="s">
        <v>4071</v>
      </c>
      <c r="P887" s="1" t="s">
        <v>4072</v>
      </c>
    </row>
    <row r="888" spans="1:17" x14ac:dyDescent="0.25">
      <c r="A888" t="s">
        <v>4073</v>
      </c>
      <c r="B888" t="str">
        <f>HYPERLINK("https://staging-dtl-pattern-api.hfm-weimar.de/static/audio/solos/dtl/AQAK60kSSkmSJImUKDiOGMfxgjnRxodV_0.02.58.079365-0.03.39.031247.mp3", "link")</f>
        <v>link</v>
      </c>
      <c r="D888" t="s">
        <v>4065</v>
      </c>
      <c r="E888" t="s">
        <v>4074</v>
      </c>
      <c r="F888" t="s">
        <v>4067</v>
      </c>
      <c r="G888" t="s">
        <v>4067</v>
      </c>
      <c r="J888" t="s">
        <v>4068</v>
      </c>
      <c r="K888" t="s">
        <v>4069</v>
      </c>
      <c r="L888" s="1" t="s">
        <v>3701</v>
      </c>
      <c r="M888" t="s">
        <v>4070</v>
      </c>
      <c r="N888" t="s">
        <v>288</v>
      </c>
      <c r="O888" s="1" t="s">
        <v>4072</v>
      </c>
      <c r="P888" s="1" t="s">
        <v>4075</v>
      </c>
    </row>
    <row r="889" spans="1:17" x14ac:dyDescent="0.25">
      <c r="A889" t="s">
        <v>4076</v>
      </c>
      <c r="B889" t="str">
        <f>HYPERLINK("https://staging-dtl-pattern-api.hfm-weimar.de/static/audio/solos/dtl/AQAKBKSiSFKiCPmhb6kShH7w6HB39PiD_0.01.52.022204-0.03.27.091147.mp3", "link")</f>
        <v>link</v>
      </c>
      <c r="D889" t="s">
        <v>7280</v>
      </c>
      <c r="E889" t="s">
        <v>7278</v>
      </c>
      <c r="F889" t="s">
        <v>3555</v>
      </c>
      <c r="G889" t="s">
        <v>3555</v>
      </c>
      <c r="J889" t="s">
        <v>4077</v>
      </c>
      <c r="K889" t="s">
        <v>4078</v>
      </c>
      <c r="L889" s="1" t="s">
        <v>4079</v>
      </c>
      <c r="M889" t="s">
        <v>182</v>
      </c>
      <c r="N889" t="s">
        <v>46</v>
      </c>
      <c r="O889" s="1" t="s">
        <v>4080</v>
      </c>
      <c r="P889" s="1" t="s">
        <v>4081</v>
      </c>
      <c r="Q889" s="1" t="s">
        <v>7279</v>
      </c>
    </row>
    <row r="890" spans="1:17" x14ac:dyDescent="0.25">
      <c r="A890" t="s">
        <v>4082</v>
      </c>
      <c r="B890" t="str">
        <f>HYPERLINK("https://staging-dtl-pattern-api.hfm-weimar.de/static/audio/solos/dtl/AQAKBlKiJEmSKEkkPFbwH3mV4NFxHVqP_0.02.01.057968-0.02.57.047011.mp3", "link")</f>
        <v>link</v>
      </c>
      <c r="D890" t="s">
        <v>3262</v>
      </c>
      <c r="E890" t="s">
        <v>3263</v>
      </c>
      <c r="F890" t="s">
        <v>3263</v>
      </c>
      <c r="G890" t="s">
        <v>3263</v>
      </c>
      <c r="J890" t="s">
        <v>3264</v>
      </c>
      <c r="K890" t="s">
        <v>4083</v>
      </c>
      <c r="L890" s="1" t="s">
        <v>3266</v>
      </c>
      <c r="M890" t="s">
        <v>3267</v>
      </c>
      <c r="N890" t="s">
        <v>23</v>
      </c>
      <c r="O890" s="1" t="s">
        <v>3060</v>
      </c>
      <c r="P890" s="1" t="s">
        <v>4084</v>
      </c>
    </row>
    <row r="891" spans="1:17" x14ac:dyDescent="0.25">
      <c r="A891" t="s">
        <v>4085</v>
      </c>
      <c r="B891" t="str">
        <f>HYPERLINK("https://staging-dtl-pattern-api.hfm-weimar.de/static/audio/solos/dtl/AQAKCMySKIqyZMGVGycu_OiPy0MYXiR6_0.02.01.071900-0.02.49.078430.mp3", "link")</f>
        <v>link</v>
      </c>
      <c r="D891" t="s">
        <v>3196</v>
      </c>
      <c r="E891" t="s">
        <v>4086</v>
      </c>
      <c r="F891" t="s">
        <v>3198</v>
      </c>
      <c r="J891" t="s">
        <v>3199</v>
      </c>
      <c r="K891" t="s">
        <v>4087</v>
      </c>
      <c r="L891" s="1" t="s">
        <v>3201</v>
      </c>
      <c r="M891" t="s">
        <v>129</v>
      </c>
      <c r="N891" t="s">
        <v>172</v>
      </c>
      <c r="O891" s="1" t="s">
        <v>4088</v>
      </c>
      <c r="P891" s="1" t="s">
        <v>4089</v>
      </c>
    </row>
    <row r="892" spans="1:17" x14ac:dyDescent="0.25">
      <c r="A892" t="s">
        <v>4090</v>
      </c>
      <c r="B892" t="str">
        <f>HYPERLINK("https://staging-dtl-pattern-api.hfm-weimar.de/static/audio/solos/dtl/AQAKCMySKIqyZMGVGycu_OiPy0MYXiR6_0.02.49.078430-0.04.00.014077.mp3", "link")</f>
        <v>link</v>
      </c>
      <c r="D892" t="s">
        <v>3196</v>
      </c>
      <c r="E892" t="s">
        <v>4091</v>
      </c>
      <c r="F892" t="s">
        <v>3198</v>
      </c>
      <c r="J892" t="s">
        <v>3199</v>
      </c>
      <c r="K892" t="s">
        <v>4087</v>
      </c>
      <c r="L892" s="1" t="s">
        <v>3201</v>
      </c>
      <c r="M892" t="s">
        <v>129</v>
      </c>
      <c r="N892" t="s">
        <v>23</v>
      </c>
      <c r="O892" s="1" t="s">
        <v>4089</v>
      </c>
      <c r="P892" s="1" t="s">
        <v>4092</v>
      </c>
    </row>
    <row r="893" spans="1:17" x14ac:dyDescent="0.25">
      <c r="A893" t="s">
        <v>4093</v>
      </c>
      <c r="B893" t="str">
        <f>HYPERLINK("https://staging-dtl-pattern-api.hfm-weimar.de/static/audio/solos/dtl/AQAKDiGTJEpDuEZfiCSP6MuCX2jWJcWN_0.01.37.026839-0.02.52.077968.mp3", "link")</f>
        <v>link</v>
      </c>
      <c r="D893" t="s">
        <v>4094</v>
      </c>
      <c r="E893" t="s">
        <v>4095</v>
      </c>
      <c r="F893" t="s">
        <v>4096</v>
      </c>
      <c r="G893" t="s">
        <v>4096</v>
      </c>
      <c r="J893" t="s">
        <v>4097</v>
      </c>
      <c r="K893" t="s">
        <v>4098</v>
      </c>
      <c r="L893" s="1" t="s">
        <v>4099</v>
      </c>
      <c r="M893" t="s">
        <v>4100</v>
      </c>
      <c r="N893" t="s">
        <v>3348</v>
      </c>
      <c r="O893" s="1" t="s">
        <v>661</v>
      </c>
      <c r="P893" s="1" t="s">
        <v>4101</v>
      </c>
    </row>
    <row r="894" spans="1:17" x14ac:dyDescent="0.25">
      <c r="A894" t="s">
        <v>4102</v>
      </c>
      <c r="B894" t="str">
        <f>HYPERLINK("https://staging-dtl-pattern-api.hfm-weimar.de/static/audio/solos/dtl/AQAKdUr0KJXQ3IHPHDuKrVuU42ET3Kk8_0.01.04.078367-0.02.09.075310.mp3", "link")</f>
        <v>link</v>
      </c>
      <c r="D894" t="s">
        <v>3546</v>
      </c>
      <c r="E894" t="s">
        <v>3469</v>
      </c>
      <c r="F894" t="s">
        <v>3469</v>
      </c>
      <c r="G894" t="s">
        <v>3469</v>
      </c>
      <c r="J894" t="s">
        <v>3547</v>
      </c>
      <c r="K894" t="s">
        <v>4103</v>
      </c>
      <c r="L894" s="1" t="s">
        <v>3549</v>
      </c>
      <c r="M894" t="s">
        <v>129</v>
      </c>
      <c r="N894" t="s">
        <v>23</v>
      </c>
      <c r="O894" s="1" t="s">
        <v>2807</v>
      </c>
      <c r="P894" s="1" t="s">
        <v>4104</v>
      </c>
    </row>
    <row r="895" spans="1:17" x14ac:dyDescent="0.25">
      <c r="A895" t="s">
        <v>4105</v>
      </c>
      <c r="B895" t="str">
        <f>HYPERLINK("https://staging-dtl-pattern-api.hfm-weimar.de/static/audio/solos/dtl/AQAKdUr0KJXQ3IHPHDuKrVuU42ET3Kk8_0.03.08.026739-0.03.18.039129.mp3", "link")</f>
        <v>link</v>
      </c>
      <c r="D895" t="s">
        <v>3546</v>
      </c>
      <c r="E895" t="s">
        <v>3469</v>
      </c>
      <c r="F895" t="s">
        <v>3469</v>
      </c>
      <c r="G895" t="s">
        <v>3469</v>
      </c>
      <c r="J895" t="s">
        <v>3547</v>
      </c>
      <c r="K895" t="s">
        <v>4103</v>
      </c>
      <c r="L895" s="1" t="s">
        <v>3549</v>
      </c>
      <c r="M895" t="s">
        <v>129</v>
      </c>
      <c r="N895" t="s">
        <v>23</v>
      </c>
      <c r="O895" s="1" t="s">
        <v>4106</v>
      </c>
      <c r="P895" s="1" t="s">
        <v>4107</v>
      </c>
    </row>
    <row r="896" spans="1:17" x14ac:dyDescent="0.25">
      <c r="A896" t="s">
        <v>4108</v>
      </c>
      <c r="B896" t="str">
        <f>HYPERLINK("https://staging-dtl-pattern-api.hfm-weimar.de/static/audio/solos/dtl/AQAKdUr0KJXQ3IHPHDuKrVuU42ET3Kk8_0.03.24.057142-0.03.33.002857.mp3", "link")</f>
        <v>link</v>
      </c>
      <c r="D896" t="s">
        <v>3546</v>
      </c>
      <c r="E896" t="s">
        <v>3469</v>
      </c>
      <c r="F896" t="s">
        <v>3469</v>
      </c>
      <c r="G896" t="s">
        <v>3469</v>
      </c>
      <c r="J896" t="s">
        <v>3547</v>
      </c>
      <c r="K896" t="s">
        <v>4103</v>
      </c>
      <c r="L896" s="1" t="s">
        <v>3549</v>
      </c>
      <c r="M896" t="s">
        <v>129</v>
      </c>
      <c r="N896" t="s">
        <v>23</v>
      </c>
      <c r="O896" s="1" t="s">
        <v>4109</v>
      </c>
      <c r="P896" s="1" t="s">
        <v>4110</v>
      </c>
    </row>
    <row r="897" spans="1:17" x14ac:dyDescent="0.25">
      <c r="A897" t="s">
        <v>4111</v>
      </c>
      <c r="B897" t="str">
        <f>HYPERLINK("https://staging-dtl-pattern-api.hfm-weimar.de/static/audio/solos/dtl/AQAKdUr0KJXQ3IHPHDuKrVuU42ET3Kk8_0.03.40.047346-0.03.47.098367.mp3", "link")</f>
        <v>link</v>
      </c>
      <c r="D897" t="s">
        <v>3546</v>
      </c>
      <c r="E897" t="s">
        <v>3469</v>
      </c>
      <c r="F897" t="s">
        <v>3469</v>
      </c>
      <c r="G897" t="s">
        <v>3469</v>
      </c>
      <c r="J897" t="s">
        <v>3547</v>
      </c>
      <c r="K897" t="s">
        <v>4103</v>
      </c>
      <c r="L897" s="1" t="s">
        <v>3549</v>
      </c>
      <c r="M897" t="s">
        <v>129</v>
      </c>
      <c r="N897" t="s">
        <v>23</v>
      </c>
      <c r="O897" s="1" t="s">
        <v>4112</v>
      </c>
      <c r="P897" s="1" t="s">
        <v>4113</v>
      </c>
    </row>
    <row r="898" spans="1:17" x14ac:dyDescent="0.25">
      <c r="A898" t="s">
        <v>4114</v>
      </c>
      <c r="B898" t="str">
        <f>HYPERLINK("https://staging-dtl-pattern-api.hfm-weimar.de/static/audio/solos/dtl/AQAKdUr0KJXQ3IHPHDuKrVuU42ET3Kk8_0.03.54.069387-0.04.03.097206.mp3", "link")</f>
        <v>link</v>
      </c>
      <c r="D898" t="s">
        <v>3546</v>
      </c>
      <c r="E898" t="s">
        <v>3469</v>
      </c>
      <c r="F898" t="s">
        <v>3469</v>
      </c>
      <c r="G898" t="s">
        <v>3469</v>
      </c>
      <c r="J898" t="s">
        <v>3547</v>
      </c>
      <c r="K898" t="s">
        <v>4103</v>
      </c>
      <c r="L898" s="1" t="s">
        <v>3549</v>
      </c>
      <c r="M898" t="s">
        <v>129</v>
      </c>
      <c r="N898" t="s">
        <v>23</v>
      </c>
      <c r="O898" s="1" t="s">
        <v>4115</v>
      </c>
      <c r="P898" s="1" t="s">
        <v>4116</v>
      </c>
    </row>
    <row r="899" spans="1:17" x14ac:dyDescent="0.25">
      <c r="A899" t="s">
        <v>4117</v>
      </c>
      <c r="B899" t="str">
        <f>HYPERLINK("https://staging-dtl-pattern-api.hfm-weimar.de/static/audio/solos/dtl/AQAKE49jRQqu5fiJdBSSL0mOY35GfMkV_0.02.50.084952-0.04.00.061968.mp3", "link")</f>
        <v>link</v>
      </c>
      <c r="C899" t="s">
        <v>4118</v>
      </c>
      <c r="D899" t="s">
        <v>4119</v>
      </c>
      <c r="F899" t="s">
        <v>3555</v>
      </c>
      <c r="G899" t="s">
        <v>3555</v>
      </c>
      <c r="J899" t="s">
        <v>4120</v>
      </c>
      <c r="K899" t="s">
        <v>4121</v>
      </c>
      <c r="L899" s="1" t="s">
        <v>4122</v>
      </c>
      <c r="M899" t="s">
        <v>182</v>
      </c>
      <c r="N899" t="s">
        <v>46</v>
      </c>
      <c r="O899" s="1" t="s">
        <v>4123</v>
      </c>
      <c r="P899" s="1" t="s">
        <v>4124</v>
      </c>
    </row>
    <row r="900" spans="1:17" x14ac:dyDescent="0.25">
      <c r="A900" t="s">
        <v>4125</v>
      </c>
      <c r="B900" t="str">
        <f>HYPERLINK("https://staging-dtl-pattern-api.hfm-weimar.de/static/audio/solos/dtl/AQAKeZGihlKyEM2xE82UBpEa6cGjI40T_0.00.37.002857-0.01.44.003265.mp3", "link")</f>
        <v>link</v>
      </c>
      <c r="D900" t="s">
        <v>3150</v>
      </c>
      <c r="E900" t="s">
        <v>3151</v>
      </c>
      <c r="F900" t="s">
        <v>3151</v>
      </c>
      <c r="G900" t="s">
        <v>3151</v>
      </c>
      <c r="J900" t="s">
        <v>3152</v>
      </c>
      <c r="K900" t="s">
        <v>4126</v>
      </c>
      <c r="L900" s="1" t="s">
        <v>3154</v>
      </c>
      <c r="M900" t="s">
        <v>129</v>
      </c>
      <c r="N900" t="s">
        <v>109</v>
      </c>
      <c r="O900" s="1" t="s">
        <v>4127</v>
      </c>
      <c r="P900" s="1" t="s">
        <v>4128</v>
      </c>
    </row>
    <row r="901" spans="1:17" x14ac:dyDescent="0.25">
      <c r="A901" t="s">
        <v>4129</v>
      </c>
      <c r="B901" t="str">
        <f>HYPERLINK("https://staging-dtl-pattern-api.hfm-weimar.de/static/audio/solos/dtl/AQAKeZGihlKyEM2xE82UBpEa6cGjI40T_0.04.22.066122-0.05.30.018775.mp3", "link")</f>
        <v>link</v>
      </c>
      <c r="D901" t="s">
        <v>3150</v>
      </c>
      <c r="E901" t="s">
        <v>3151</v>
      </c>
      <c r="F901" t="s">
        <v>3151</v>
      </c>
      <c r="G901" t="s">
        <v>3151</v>
      </c>
      <c r="J901" t="s">
        <v>3152</v>
      </c>
      <c r="K901" t="s">
        <v>4126</v>
      </c>
      <c r="L901" s="1" t="s">
        <v>3154</v>
      </c>
      <c r="M901" t="s">
        <v>129</v>
      </c>
      <c r="N901" t="s">
        <v>109</v>
      </c>
      <c r="O901" s="1" t="s">
        <v>4130</v>
      </c>
      <c r="P901" s="1" t="s">
        <v>4131</v>
      </c>
    </row>
    <row r="902" spans="1:17" x14ac:dyDescent="0.25">
      <c r="A902" t="s">
        <v>4132</v>
      </c>
      <c r="B902" t="str">
        <f>HYPERLINK("https://staging-dtl-pattern-api.hfm-weimar.de/static/audio/solos/dtl/AQAKG9ESSZuORPxxKcaTzcF_1CIaLVqO_0.00.43.018040-0.01.22.059918.mp3", "link")</f>
        <v>link</v>
      </c>
      <c r="F902" t="s">
        <v>1144</v>
      </c>
      <c r="G902" t="s">
        <v>1144</v>
      </c>
      <c r="J902" t="s">
        <v>4133</v>
      </c>
      <c r="K902" t="s">
        <v>4134</v>
      </c>
      <c r="L902" s="1" t="s">
        <v>1147</v>
      </c>
      <c r="M902" t="s">
        <v>1148</v>
      </c>
      <c r="N902" t="s">
        <v>622</v>
      </c>
      <c r="O902" s="1" t="s">
        <v>4135</v>
      </c>
      <c r="P902" s="1" t="s">
        <v>4136</v>
      </c>
    </row>
    <row r="903" spans="1:17" x14ac:dyDescent="0.25">
      <c r="A903" t="s">
        <v>4137</v>
      </c>
      <c r="B903" t="str">
        <f>HYPERLINK("https://staging-dtl-pattern-api.hfm-weimar.de/static/audio/solos/dtl/AQAKG9ESSZuORPxxKcaTzcF_1CIaLVqO_0.02.52.032979-0.03.21.048244.mp3", "link")</f>
        <v>link</v>
      </c>
      <c r="F903" t="s">
        <v>1144</v>
      </c>
      <c r="G903" t="s">
        <v>1144</v>
      </c>
      <c r="J903" t="s">
        <v>4133</v>
      </c>
      <c r="K903" t="s">
        <v>4134</v>
      </c>
      <c r="L903" s="1" t="s">
        <v>1147</v>
      </c>
      <c r="M903" t="s">
        <v>1148</v>
      </c>
      <c r="N903" t="s">
        <v>46</v>
      </c>
      <c r="O903" s="1" t="s">
        <v>4138</v>
      </c>
      <c r="P903" s="1" t="s">
        <v>4139</v>
      </c>
    </row>
    <row r="904" spans="1:17" x14ac:dyDescent="0.25">
      <c r="A904" t="s">
        <v>4140</v>
      </c>
      <c r="B904" t="str">
        <f>HYPERLINK("https://staging-dtl-pattern-api.hfm-weimar.de/static/audio/solos/dtl/AQAKGlSehgnRiEkULig7PDtyJMeTNcGV_0.00.35.089804-0.02.49.036634.mp3", "link")</f>
        <v>link</v>
      </c>
      <c r="D904" t="s">
        <v>4141</v>
      </c>
      <c r="E904" t="s">
        <v>3469</v>
      </c>
      <c r="F904" t="s">
        <v>3469</v>
      </c>
      <c r="G904" t="s">
        <v>3469</v>
      </c>
      <c r="J904" t="s">
        <v>4142</v>
      </c>
      <c r="K904" t="s">
        <v>4143</v>
      </c>
      <c r="L904" s="1" t="s">
        <v>2712</v>
      </c>
      <c r="M904" t="s">
        <v>129</v>
      </c>
      <c r="N904" t="s">
        <v>23</v>
      </c>
      <c r="O904" s="1" t="s">
        <v>1466</v>
      </c>
      <c r="P904" s="1" t="s">
        <v>4144</v>
      </c>
    </row>
    <row r="905" spans="1:17" x14ac:dyDescent="0.25">
      <c r="A905" t="s">
        <v>4145</v>
      </c>
      <c r="B905" t="str">
        <f>HYPERLINK("https://staging-dtl-pattern-api.hfm-weimar.de/static/audio/solos/dtl/AQAKgUok5VE8HDR-7KgoHo2M-_jxAxee_0.03.22.084952-0.05.37.015374.mp3", "link")</f>
        <v>link</v>
      </c>
      <c r="D905" t="s">
        <v>4146</v>
      </c>
      <c r="E905" t="s">
        <v>3802</v>
      </c>
      <c r="F905" t="s">
        <v>1339</v>
      </c>
      <c r="G905" t="s">
        <v>1339</v>
      </c>
      <c r="J905" t="s">
        <v>4147</v>
      </c>
      <c r="K905" t="s">
        <v>4148</v>
      </c>
      <c r="L905" s="1" t="s">
        <v>4149</v>
      </c>
      <c r="M905" t="s">
        <v>2129</v>
      </c>
      <c r="N905" t="s">
        <v>202</v>
      </c>
      <c r="O905" s="1" t="s">
        <v>4150</v>
      </c>
      <c r="P905" s="1" t="s">
        <v>4151</v>
      </c>
      <c r="Q905" s="1" t="s">
        <v>7168</v>
      </c>
    </row>
    <row r="906" spans="1:17" x14ac:dyDescent="0.25">
      <c r="A906" t="s">
        <v>4152</v>
      </c>
      <c r="B906" t="str">
        <f>HYPERLINK("https://staging-dtl-pattern-api.hfm-weimar.de/static/audio/solos/dtl/AQAKhmMiJYqiMAquxh2uBy_6oDbx8Xi-_0.00.49.004489-0.02.06.040943.mp3", "link")</f>
        <v>link</v>
      </c>
      <c r="D906" t="s">
        <v>4153</v>
      </c>
      <c r="E906" t="s">
        <v>4154</v>
      </c>
      <c r="F906" t="s">
        <v>364</v>
      </c>
      <c r="G906" t="s">
        <v>364</v>
      </c>
      <c r="J906" t="s">
        <v>4155</v>
      </c>
      <c r="K906" t="s">
        <v>4156</v>
      </c>
      <c r="L906" s="1" t="s">
        <v>4157</v>
      </c>
      <c r="M906" t="s">
        <v>129</v>
      </c>
      <c r="N906" t="s">
        <v>23</v>
      </c>
      <c r="O906" s="1" t="s">
        <v>4158</v>
      </c>
      <c r="P906" s="1" t="s">
        <v>2747</v>
      </c>
    </row>
    <row r="907" spans="1:17" x14ac:dyDescent="0.25">
      <c r="A907" t="s">
        <v>4159</v>
      </c>
      <c r="B907" t="str">
        <f>HYPERLINK("https://staging-dtl-pattern-api.hfm-weimar.de/static/audio/solos/dtl/AQAKhmMiJYqiMAquxh2uBy_6oDbx8Xi-_0.03.20.000000-0.03.30.012244.mp3", "link")</f>
        <v>link</v>
      </c>
      <c r="D907" t="s">
        <v>4153</v>
      </c>
      <c r="E907" t="s">
        <v>4154</v>
      </c>
      <c r="F907" t="s">
        <v>364</v>
      </c>
      <c r="G907" t="s">
        <v>364</v>
      </c>
      <c r="J907" t="s">
        <v>4155</v>
      </c>
      <c r="K907" t="s">
        <v>4156</v>
      </c>
      <c r="L907" s="1" t="s">
        <v>4157</v>
      </c>
      <c r="M907" t="s">
        <v>129</v>
      </c>
      <c r="N907" t="s">
        <v>23</v>
      </c>
      <c r="O907" s="1" t="s">
        <v>4160</v>
      </c>
      <c r="P907" s="1" t="s">
        <v>4161</v>
      </c>
    </row>
    <row r="908" spans="1:17" x14ac:dyDescent="0.25">
      <c r="A908" t="s">
        <v>4162</v>
      </c>
      <c r="B908" t="str">
        <f>HYPERLINK("https://staging-dtl-pattern-api.hfm-weimar.de/static/audio/solos/dtl/AQAKhmMiJYqiMAquxh2uBy_6oDbx8Xi-_0.03.37.059999-0.03.48.011428.mp3", "link")</f>
        <v>link</v>
      </c>
      <c r="D908" t="s">
        <v>4153</v>
      </c>
      <c r="E908" t="s">
        <v>4154</v>
      </c>
      <c r="F908" t="s">
        <v>364</v>
      </c>
      <c r="G908" t="s">
        <v>364</v>
      </c>
      <c r="J908" t="s">
        <v>4155</v>
      </c>
      <c r="K908" t="s">
        <v>4156</v>
      </c>
      <c r="L908" s="1" t="s">
        <v>4157</v>
      </c>
      <c r="M908" t="s">
        <v>129</v>
      </c>
      <c r="N908" t="s">
        <v>23</v>
      </c>
      <c r="O908" s="1" t="s">
        <v>4163</v>
      </c>
      <c r="P908" s="1" t="s">
        <v>4164</v>
      </c>
    </row>
    <row r="909" spans="1:17" x14ac:dyDescent="0.25">
      <c r="A909" t="s">
        <v>4165</v>
      </c>
      <c r="B909" t="str">
        <f>HYPERLINK("https://staging-dtl-pattern-api.hfm-weimar.de/static/audio/solos/dtl/AQAKhmMiJYqiMAquxh2uBy_6oDbx8Xi-_0.03.56.089795-0.04.06.075918.mp3", "link")</f>
        <v>link</v>
      </c>
      <c r="D909" t="s">
        <v>4153</v>
      </c>
      <c r="E909" t="s">
        <v>4154</v>
      </c>
      <c r="F909" t="s">
        <v>364</v>
      </c>
      <c r="G909" t="s">
        <v>364</v>
      </c>
      <c r="J909" t="s">
        <v>4155</v>
      </c>
      <c r="K909" t="s">
        <v>4156</v>
      </c>
      <c r="L909" s="1" t="s">
        <v>4157</v>
      </c>
      <c r="M909" t="s">
        <v>129</v>
      </c>
      <c r="N909" t="s">
        <v>23</v>
      </c>
      <c r="O909" s="1" t="s">
        <v>4166</v>
      </c>
      <c r="P909" s="1" t="s">
        <v>4167</v>
      </c>
    </row>
    <row r="910" spans="1:17" x14ac:dyDescent="0.25">
      <c r="A910" t="s">
        <v>4168</v>
      </c>
      <c r="B910" t="str">
        <f>HYPERLINK("https://staging-dtl-pattern-api.hfm-weimar.de/static/audio/solos/dtl/AQAKhmMiJYqiMAquxh2uBy_6oDbx8Xi-_0.04.15.064081-0.04.24.094693.mp3", "link")</f>
        <v>link</v>
      </c>
      <c r="D910" t="s">
        <v>4153</v>
      </c>
      <c r="E910" t="s">
        <v>4154</v>
      </c>
      <c r="F910" t="s">
        <v>364</v>
      </c>
      <c r="G910" t="s">
        <v>364</v>
      </c>
      <c r="J910" t="s">
        <v>4155</v>
      </c>
      <c r="K910" t="s">
        <v>4156</v>
      </c>
      <c r="L910" s="1" t="s">
        <v>4157</v>
      </c>
      <c r="M910" t="s">
        <v>129</v>
      </c>
      <c r="N910" t="s">
        <v>23</v>
      </c>
      <c r="O910" s="1" t="s">
        <v>4169</v>
      </c>
      <c r="P910" s="1" t="s">
        <v>4170</v>
      </c>
    </row>
    <row r="911" spans="1:17" x14ac:dyDescent="0.25">
      <c r="A911" t="s">
        <v>4171</v>
      </c>
      <c r="B911" t="str">
        <f>HYPERLINK("https://staging-dtl-pattern-api.hfm-weimar.de/static/audio/solos/dtl/AQAKhmMiJYqiMAquxh2uBy_6oDbx8Xi-_0.05.12.044770-0.05.32.004535.mp3", "link")</f>
        <v>link</v>
      </c>
      <c r="D911" t="s">
        <v>4153</v>
      </c>
      <c r="E911" t="s">
        <v>4154</v>
      </c>
      <c r="F911" t="s">
        <v>364</v>
      </c>
      <c r="G911" t="s">
        <v>364</v>
      </c>
      <c r="J911" t="s">
        <v>4155</v>
      </c>
      <c r="K911" t="s">
        <v>4156</v>
      </c>
      <c r="L911" s="1" t="s">
        <v>4157</v>
      </c>
      <c r="M911" t="s">
        <v>129</v>
      </c>
      <c r="N911" t="s">
        <v>23</v>
      </c>
      <c r="O911" s="1" t="s">
        <v>4172</v>
      </c>
      <c r="P911" s="1" t="s">
        <v>4173</v>
      </c>
    </row>
    <row r="912" spans="1:17" x14ac:dyDescent="0.25">
      <c r="A912" t="s">
        <v>4174</v>
      </c>
      <c r="B912" t="str">
        <f>HYPERLINK("https://staging-dtl-pattern-api.hfm-weimar.de/static/audio/solos/dtl/AQAKhVuWJJLCZRiZXEJpNGx-lD-aH-Oz_0.01.34.064453-0.02.46.071927.mp3", "link")</f>
        <v>link</v>
      </c>
      <c r="D912" t="s">
        <v>4175</v>
      </c>
      <c r="E912" t="s">
        <v>2811</v>
      </c>
      <c r="F912" t="s">
        <v>2811</v>
      </c>
      <c r="G912" t="s">
        <v>2811</v>
      </c>
      <c r="J912" t="s">
        <v>2812</v>
      </c>
      <c r="K912" t="s">
        <v>4176</v>
      </c>
      <c r="L912" s="1" t="s">
        <v>2814</v>
      </c>
      <c r="M912" t="s">
        <v>2815</v>
      </c>
      <c r="N912" t="s">
        <v>23</v>
      </c>
      <c r="O912" s="1" t="s">
        <v>851</v>
      </c>
      <c r="P912" s="1" t="s">
        <v>2352</v>
      </c>
    </row>
    <row r="913" spans="1:17" x14ac:dyDescent="0.25">
      <c r="A913" t="s">
        <v>4177</v>
      </c>
      <c r="B913" t="str">
        <f>HYPERLINK("https://staging-dtl-pattern-api.hfm-weimar.de/static/audio/solos/dtl/AQAKiMuibVkSBn2Ob4iUa_iPK2km_A-O_0.00.46.088979-0.02.05.051836.mp3", "link")</f>
        <v>link</v>
      </c>
      <c r="D913" t="s">
        <v>7116</v>
      </c>
      <c r="E913" t="s">
        <v>4178</v>
      </c>
      <c r="F913" t="s">
        <v>4178</v>
      </c>
      <c r="G913" t="s">
        <v>4178</v>
      </c>
      <c r="J913" t="s">
        <v>4179</v>
      </c>
      <c r="K913" t="s">
        <v>4180</v>
      </c>
      <c r="L913" s="1" t="s">
        <v>4181</v>
      </c>
      <c r="M913" t="s">
        <v>2180</v>
      </c>
      <c r="N913" t="s">
        <v>23</v>
      </c>
      <c r="O913" s="1" t="s">
        <v>4182</v>
      </c>
      <c r="P913" s="1" t="s">
        <v>4183</v>
      </c>
      <c r="Q913" s="1" t="s">
        <v>7282</v>
      </c>
    </row>
    <row r="914" spans="1:17" x14ac:dyDescent="0.25">
      <c r="A914" t="s">
        <v>4184</v>
      </c>
      <c r="B914" t="str">
        <f>HYPERLINK("https://staging-dtl-pattern-api.hfm-weimar.de/static/audio/solos/dtl/AQAKiMuibVkSBn2Ob4iUa_iPK2km_A-O_0.02.05.051836-0.03.23.062448.mp3", "link")</f>
        <v>link</v>
      </c>
      <c r="D914" t="s">
        <v>7116</v>
      </c>
      <c r="E914" t="s">
        <v>663</v>
      </c>
      <c r="F914" t="s">
        <v>4178</v>
      </c>
      <c r="G914" t="s">
        <v>4178</v>
      </c>
      <c r="J914" t="s">
        <v>4179</v>
      </c>
      <c r="K914" t="s">
        <v>4180</v>
      </c>
      <c r="L914" s="1" t="s">
        <v>4181</v>
      </c>
      <c r="M914" t="s">
        <v>2180</v>
      </c>
      <c r="N914" t="s">
        <v>46</v>
      </c>
      <c r="O914" s="1" t="s">
        <v>4183</v>
      </c>
      <c r="P914" s="1" t="s">
        <v>4185</v>
      </c>
      <c r="Q914" s="1" t="s">
        <v>7281</v>
      </c>
    </row>
    <row r="915" spans="1:17" x14ac:dyDescent="0.25">
      <c r="A915" t="s">
        <v>4186</v>
      </c>
      <c r="B915" t="str">
        <f>HYPERLINK("https://staging-dtl-pattern-api.hfm-weimar.de/static/audio/solos/dtl/AQAKismTJI8knEdzTFbR0_gNHmbRH8eJ_0.01.43.093251-0.02.39.066040.mp3", "link")</f>
        <v>link</v>
      </c>
      <c r="D915" t="s">
        <v>4187</v>
      </c>
      <c r="F915" t="s">
        <v>2958</v>
      </c>
      <c r="G915" t="s">
        <v>2958</v>
      </c>
      <c r="J915" t="s">
        <v>4188</v>
      </c>
      <c r="K915" t="s">
        <v>4189</v>
      </c>
      <c r="L915" s="1" t="s">
        <v>4190</v>
      </c>
      <c r="M915" t="s">
        <v>182</v>
      </c>
      <c r="N915" t="s">
        <v>46</v>
      </c>
      <c r="O915" s="1" t="s">
        <v>1034</v>
      </c>
      <c r="P915" s="1" t="s">
        <v>4191</v>
      </c>
    </row>
    <row r="916" spans="1:17" x14ac:dyDescent="0.25">
      <c r="A916" t="s">
        <v>4192</v>
      </c>
      <c r="B916" t="str">
        <f>HYPERLINK("https://staging-dtl-pattern-api.hfm-weimar.de/static/audio/solos/dtl/AQAKismTJI8knEdzTFbR0_gNHmbRH8eJ_0.02.39.066040-0.03.22.001360.mp3", "link")</f>
        <v>link</v>
      </c>
      <c r="D916" t="s">
        <v>4187</v>
      </c>
      <c r="F916" t="s">
        <v>2958</v>
      </c>
      <c r="G916" t="s">
        <v>2958</v>
      </c>
      <c r="J916" t="s">
        <v>4188</v>
      </c>
      <c r="K916" t="s">
        <v>4189</v>
      </c>
      <c r="L916" s="1" t="s">
        <v>4190</v>
      </c>
      <c r="M916" t="s">
        <v>182</v>
      </c>
      <c r="N916" t="s">
        <v>891</v>
      </c>
      <c r="O916" s="1" t="s">
        <v>4191</v>
      </c>
      <c r="P916" s="1" t="s">
        <v>4193</v>
      </c>
    </row>
    <row r="917" spans="1:17" x14ac:dyDescent="0.25">
      <c r="A917" t="s">
        <v>4194</v>
      </c>
      <c r="B917" t="str">
        <f>HYPERLINK("https://staging-dtl-pattern-api.hfm-weimar.de/static/audio/solos/dtl/AQAKismTJI8knEdzTFbR0_gNHmbRH8eJ_0.05.02.075918-0.05.35.080408.mp3", "link")</f>
        <v>link</v>
      </c>
      <c r="D917" t="s">
        <v>4187</v>
      </c>
      <c r="F917" t="s">
        <v>2958</v>
      </c>
      <c r="G917" t="s">
        <v>2958</v>
      </c>
      <c r="J917" t="s">
        <v>4188</v>
      </c>
      <c r="K917" t="s">
        <v>4189</v>
      </c>
      <c r="L917" s="1" t="s">
        <v>4190</v>
      </c>
      <c r="M917" t="s">
        <v>182</v>
      </c>
      <c r="N917" t="s">
        <v>46</v>
      </c>
      <c r="O917" s="1" t="s">
        <v>4195</v>
      </c>
      <c r="P917" s="1" t="s">
        <v>4196</v>
      </c>
    </row>
    <row r="918" spans="1:17" x14ac:dyDescent="0.25">
      <c r="A918" t="s">
        <v>4197</v>
      </c>
      <c r="B918" s="3" t="str">
        <f>HYPERLINK("https://staging-dtl-pattern-api.hfm-weimar.de/static/audio/solos/dtl/AQAKj1IWqgkj5BLEM0EV54LqJwzqo3lS_0.00.42.014421-0.05.02.004517.mp3", "link")</f>
        <v>link</v>
      </c>
      <c r="C918" s="3" t="s">
        <v>2148</v>
      </c>
      <c r="D918" s="3" t="s">
        <v>4198</v>
      </c>
      <c r="E918" s="3"/>
      <c r="F918" s="3" t="s">
        <v>4199</v>
      </c>
      <c r="G918" s="3" t="s">
        <v>2698</v>
      </c>
      <c r="H918" s="3" t="s">
        <v>1178</v>
      </c>
      <c r="I918" s="3">
        <v>84</v>
      </c>
      <c r="J918" s="3" t="s">
        <v>126</v>
      </c>
      <c r="K918" s="3" t="s">
        <v>4200</v>
      </c>
      <c r="L918" s="4" t="s">
        <v>4201</v>
      </c>
      <c r="M918" s="3" t="s">
        <v>129</v>
      </c>
      <c r="N918" s="3" t="s">
        <v>23</v>
      </c>
      <c r="O918" s="4" t="s">
        <v>4202</v>
      </c>
      <c r="P918" s="4" t="s">
        <v>4203</v>
      </c>
      <c r="Q918" s="4" t="s">
        <v>7283</v>
      </c>
    </row>
    <row r="919" spans="1:17" x14ac:dyDescent="0.25">
      <c r="A919" t="s">
        <v>4204</v>
      </c>
      <c r="B919" t="str">
        <f>HYPERLINK("https://staging-dtl-pattern-api.hfm-weimar.de/static/audio/solos/dtl/AQAKjpSiOXkCb2Ga4lmQ8-gHPRlK5EmO_0.00.32.088163-0.01.09.010258.mp3", "link")</f>
        <v>link</v>
      </c>
      <c r="D919" t="s">
        <v>4205</v>
      </c>
      <c r="E919" t="s">
        <v>4206</v>
      </c>
      <c r="F919" t="s">
        <v>3746</v>
      </c>
      <c r="G919" t="s">
        <v>3746</v>
      </c>
      <c r="J919" t="s">
        <v>3747</v>
      </c>
      <c r="K919" t="s">
        <v>4207</v>
      </c>
      <c r="L919" s="1" t="s">
        <v>2331</v>
      </c>
      <c r="M919" t="s">
        <v>3749</v>
      </c>
      <c r="N919" t="s">
        <v>202</v>
      </c>
      <c r="O919" s="1" t="s">
        <v>4208</v>
      </c>
      <c r="P919" s="1" t="s">
        <v>4209</v>
      </c>
    </row>
    <row r="920" spans="1:17" x14ac:dyDescent="0.25">
      <c r="A920" t="s">
        <v>4210</v>
      </c>
      <c r="B920" t="str">
        <f>HYPERLINK("https://staging-dtl-pattern-api.hfm-weimar.de/static/audio/solos/dtl/AQAKjpSiOXkCb2Ga4lmQ8-gHPRlK5EmO_0.01.09.010258-0.01.47.036326.mp3", "link")</f>
        <v>link</v>
      </c>
      <c r="D920" t="s">
        <v>4205</v>
      </c>
      <c r="E920" t="s">
        <v>4211</v>
      </c>
      <c r="F920" t="s">
        <v>3746</v>
      </c>
      <c r="G920" t="s">
        <v>3746</v>
      </c>
      <c r="J920" t="s">
        <v>3747</v>
      </c>
      <c r="K920" t="s">
        <v>4207</v>
      </c>
      <c r="L920" s="1" t="s">
        <v>2331</v>
      </c>
      <c r="M920" t="s">
        <v>3749</v>
      </c>
      <c r="N920" t="s">
        <v>172</v>
      </c>
      <c r="O920" s="1" t="s">
        <v>4209</v>
      </c>
      <c r="P920" s="1" t="s">
        <v>4212</v>
      </c>
    </row>
    <row r="921" spans="1:17" x14ac:dyDescent="0.25">
      <c r="A921" t="s">
        <v>4213</v>
      </c>
      <c r="B921" t="str">
        <f>HYPERLINK("https://staging-dtl-pattern-api.hfm-weimar.de/static/audio/solos/dtl/AQAKjpSiOXkCb2Ga4lmQ8-gHPRlK5EmO_0.01.47.036326-0.02.51.016734.mp3", "link")</f>
        <v>link</v>
      </c>
      <c r="D921" t="s">
        <v>4205</v>
      </c>
      <c r="E921" t="s">
        <v>3746</v>
      </c>
      <c r="F921" t="s">
        <v>3746</v>
      </c>
      <c r="G921" t="s">
        <v>3746</v>
      </c>
      <c r="J921" t="s">
        <v>3747</v>
      </c>
      <c r="K921" t="s">
        <v>4207</v>
      </c>
      <c r="L921" s="1" t="s">
        <v>2331</v>
      </c>
      <c r="M921" t="s">
        <v>3749</v>
      </c>
      <c r="N921" t="s">
        <v>622</v>
      </c>
      <c r="O921" s="1" t="s">
        <v>4212</v>
      </c>
      <c r="P921" s="1" t="s">
        <v>4214</v>
      </c>
    </row>
    <row r="922" spans="1:17" x14ac:dyDescent="0.25">
      <c r="A922" t="s">
        <v>4215</v>
      </c>
      <c r="B922" t="str">
        <f>HYPERLINK("https://staging-dtl-pattern-api.hfm-weimar.de/static/audio/solos/dtl/AQAKMVIyJZKSJEPOEQm7GT-qI9KX4Dx0_0.01.34.099283-0.03.10.065904.mp3", "link")</f>
        <v>link</v>
      </c>
      <c r="D922" t="s">
        <v>4216</v>
      </c>
      <c r="E922" t="s">
        <v>4217</v>
      </c>
      <c r="F922" t="s">
        <v>4217</v>
      </c>
      <c r="G922" t="s">
        <v>4217</v>
      </c>
      <c r="J922" t="s">
        <v>2220</v>
      </c>
      <c r="K922" t="s">
        <v>4218</v>
      </c>
      <c r="L922" s="1" t="s">
        <v>4219</v>
      </c>
      <c r="M922" t="s">
        <v>309</v>
      </c>
      <c r="N922" t="s">
        <v>23</v>
      </c>
      <c r="O922" s="1" t="s">
        <v>4220</v>
      </c>
      <c r="P922" s="1" t="s">
        <v>4221</v>
      </c>
    </row>
    <row r="923" spans="1:17" x14ac:dyDescent="0.25">
      <c r="A923" t="s">
        <v>4222</v>
      </c>
      <c r="B923" t="str">
        <f>HYPERLINK("https://staging-dtl-pattern-api.hfm-weimar.de/static/audio/solos/dtl/AQAKMVIyJZKSJEPOEQm7GT-qI9KX4Dx0_0.03.10.065904-0.04.13.084054.mp3", "link")</f>
        <v>link</v>
      </c>
      <c r="D923" t="s">
        <v>4216</v>
      </c>
      <c r="E923" t="s">
        <v>4223</v>
      </c>
      <c r="F923" t="s">
        <v>4217</v>
      </c>
      <c r="G923" t="s">
        <v>4217</v>
      </c>
      <c r="J923" t="s">
        <v>2220</v>
      </c>
      <c r="K923" t="s">
        <v>4218</v>
      </c>
      <c r="L923" s="1" t="s">
        <v>4219</v>
      </c>
      <c r="M923" t="s">
        <v>309</v>
      </c>
      <c r="N923" t="s">
        <v>46</v>
      </c>
      <c r="O923" s="1" t="s">
        <v>4221</v>
      </c>
      <c r="P923" s="1" t="s">
        <v>4224</v>
      </c>
    </row>
    <row r="924" spans="1:17" x14ac:dyDescent="0.25">
      <c r="A924" t="s">
        <v>4225</v>
      </c>
      <c r="B924" t="str">
        <f>HYPERLINK("https://staging-dtl-pattern-api.hfm-weimar.de/static/audio/solos/dtl/AQAKo9KSJVKiaBH-oWmmFJ5EHTeM8wh5_0.04.38.026793-0.05.34.092462.mp3", "link")</f>
        <v>link</v>
      </c>
      <c r="C924" t="s">
        <v>2782</v>
      </c>
      <c r="D924" t="s">
        <v>4226</v>
      </c>
      <c r="F924" t="s">
        <v>2125</v>
      </c>
      <c r="G924" t="s">
        <v>2125</v>
      </c>
      <c r="J924" t="s">
        <v>2126</v>
      </c>
      <c r="K924" t="s">
        <v>4227</v>
      </c>
      <c r="L924" s="1" t="s">
        <v>2128</v>
      </c>
      <c r="M924" t="s">
        <v>2129</v>
      </c>
      <c r="N924" t="s">
        <v>172</v>
      </c>
      <c r="O924" s="1" t="s">
        <v>4228</v>
      </c>
      <c r="P924" s="1" t="s">
        <v>4229</v>
      </c>
    </row>
    <row r="925" spans="1:17" x14ac:dyDescent="0.25">
      <c r="A925" t="s">
        <v>4230</v>
      </c>
      <c r="B925" t="str">
        <f>HYPERLINK("https://staging-dtl-pattern-api.hfm-weimar.de/static/audio/solos/dtl/AQAKOVmTkAmzwE4WeviJp1Lw5ELvo_gF_0.01.25.056553-0.02.20.050394.mp3", "link")</f>
        <v>link</v>
      </c>
      <c r="D925" t="s">
        <v>4231</v>
      </c>
      <c r="E925" t="s">
        <v>4232</v>
      </c>
      <c r="F925" t="s">
        <v>4233</v>
      </c>
      <c r="G925" t="s">
        <v>4233</v>
      </c>
      <c r="J925" t="s">
        <v>4234</v>
      </c>
      <c r="K925" t="s">
        <v>4235</v>
      </c>
      <c r="L925" s="1" t="s">
        <v>4236</v>
      </c>
      <c r="N925" t="s">
        <v>23</v>
      </c>
      <c r="O925" s="1" t="s">
        <v>4237</v>
      </c>
      <c r="P925" s="1" t="s">
        <v>4238</v>
      </c>
    </row>
    <row r="926" spans="1:17" x14ac:dyDescent="0.25">
      <c r="A926" t="s">
        <v>4239</v>
      </c>
      <c r="B926" t="str">
        <f>HYPERLINK("https://staging-dtl-pattern-api.hfm-weimar.de/static/audio/solos/dtl/AQAKOVmTkAmzwE4WeviJp1Lw5ELvo_gF_0.02.39.005668-0.03.53.049986.mp3", "link")</f>
        <v>link</v>
      </c>
      <c r="D926" t="s">
        <v>4231</v>
      </c>
      <c r="E926" t="s">
        <v>4233</v>
      </c>
      <c r="F926" t="s">
        <v>4233</v>
      </c>
      <c r="G926" t="s">
        <v>4233</v>
      </c>
      <c r="J926" t="s">
        <v>4234</v>
      </c>
      <c r="K926" t="s">
        <v>4235</v>
      </c>
      <c r="L926" s="1" t="s">
        <v>4236</v>
      </c>
      <c r="N926" t="s">
        <v>288</v>
      </c>
      <c r="O926" s="1" t="s">
        <v>4240</v>
      </c>
      <c r="P926" s="1" t="s">
        <v>4241</v>
      </c>
    </row>
    <row r="927" spans="1:17" x14ac:dyDescent="0.25">
      <c r="A927" t="s">
        <v>4242</v>
      </c>
      <c r="B927" t="str">
        <f>HYPERLINK("https://staging-dtl-pattern-api.hfm-weimar.de/static/audio/solos/dtl/AQAKP1KSck-C9ImCfjl-9Icj7biOnBc-_0.02.44.081523-0.05.27.043999.mp3", "link")</f>
        <v>link</v>
      </c>
      <c r="D927" t="s">
        <v>4243</v>
      </c>
      <c r="E927" t="s">
        <v>4244</v>
      </c>
      <c r="F927" t="s">
        <v>4244</v>
      </c>
      <c r="G927" t="s">
        <v>4244</v>
      </c>
      <c r="J927" t="s">
        <v>4245</v>
      </c>
      <c r="K927" t="s">
        <v>4246</v>
      </c>
      <c r="L927" s="1" t="s">
        <v>4247</v>
      </c>
      <c r="M927" t="s">
        <v>129</v>
      </c>
      <c r="N927" t="s">
        <v>329</v>
      </c>
      <c r="O927" s="1" t="s">
        <v>4248</v>
      </c>
      <c r="P927" s="1" t="s">
        <v>4249</v>
      </c>
    </row>
    <row r="928" spans="1:17" x14ac:dyDescent="0.25">
      <c r="A928" t="s">
        <v>4250</v>
      </c>
      <c r="B928" t="str">
        <f>HYPERLINK("https://staging-dtl-pattern-api.hfm-weimar.de/static/audio/solos/dtl/AQAKpcmULEmSJIqMQ_DxHdiHfxCOIwcQ_0.02.39.060816-0.03.12.052244.mp3", "link")</f>
        <v>link</v>
      </c>
      <c r="D928" t="s">
        <v>4251</v>
      </c>
      <c r="E928" t="s">
        <v>2811</v>
      </c>
      <c r="F928" t="s">
        <v>2811</v>
      </c>
      <c r="G928" t="s">
        <v>2811</v>
      </c>
      <c r="J928" t="s">
        <v>2812</v>
      </c>
      <c r="K928" t="s">
        <v>4252</v>
      </c>
      <c r="L928" s="1" t="s">
        <v>2814</v>
      </c>
      <c r="M928" t="s">
        <v>2815</v>
      </c>
      <c r="N928" t="s">
        <v>23</v>
      </c>
      <c r="O928" s="1" t="s">
        <v>4253</v>
      </c>
      <c r="P928" s="1" t="s">
        <v>4254</v>
      </c>
    </row>
    <row r="929" spans="1:17" x14ac:dyDescent="0.25">
      <c r="A929" t="s">
        <v>4255</v>
      </c>
      <c r="B929" t="str">
        <f>HYPERLINK("https://staging-dtl-pattern-api.hfm-weimar.de/static/audio/solos/dtl/AQAKpE-kTMkk_Hnw5EGTaMyESot0HNfx_0.00.29.072154-0.02.24.070675.mp3", "link")</f>
        <v>link</v>
      </c>
      <c r="D929" t="s">
        <v>4141</v>
      </c>
      <c r="E929" t="s">
        <v>3469</v>
      </c>
      <c r="F929" t="s">
        <v>3469</v>
      </c>
      <c r="G929" t="s">
        <v>3469</v>
      </c>
      <c r="J929" t="s">
        <v>4142</v>
      </c>
      <c r="K929" t="s">
        <v>4256</v>
      </c>
      <c r="L929" s="1" t="s">
        <v>2712</v>
      </c>
      <c r="M929" t="s">
        <v>129</v>
      </c>
      <c r="N929" t="s">
        <v>23</v>
      </c>
      <c r="O929" s="1" t="s">
        <v>4257</v>
      </c>
      <c r="P929" s="1" t="s">
        <v>2763</v>
      </c>
    </row>
    <row r="930" spans="1:17" x14ac:dyDescent="0.25">
      <c r="A930" t="s">
        <v>4258</v>
      </c>
      <c r="B930" t="str">
        <f>HYPERLINK("https://staging-dtl-pattern-api.hfm-weimar.de/static/audio/solos/dtl/AQAKpE-kTMkk_Hnw5EGTaMyESot0HNfx_0.03.19.070612-0.03.27.018367.mp3", "link")</f>
        <v>link</v>
      </c>
      <c r="D930" t="s">
        <v>4141</v>
      </c>
      <c r="E930" t="s">
        <v>3469</v>
      </c>
      <c r="F930" t="s">
        <v>3469</v>
      </c>
      <c r="G930" t="s">
        <v>3469</v>
      </c>
      <c r="J930" t="s">
        <v>4142</v>
      </c>
      <c r="K930" t="s">
        <v>4256</v>
      </c>
      <c r="L930" s="1" t="s">
        <v>2712</v>
      </c>
      <c r="M930" t="s">
        <v>129</v>
      </c>
      <c r="N930" t="s">
        <v>23</v>
      </c>
      <c r="O930" s="1" t="s">
        <v>4259</v>
      </c>
      <c r="P930" s="1" t="s">
        <v>4260</v>
      </c>
    </row>
    <row r="931" spans="1:17" x14ac:dyDescent="0.25">
      <c r="A931" t="s">
        <v>4261</v>
      </c>
      <c r="B931" t="str">
        <f>HYPERLINK("https://staging-dtl-pattern-api.hfm-weimar.de/static/audio/solos/dtl/AQAKpE-kTMkk_Hnw5EGTaMyESot0HNfx_0.03.33.071428-0.03.41.022448.mp3", "link")</f>
        <v>link</v>
      </c>
      <c r="D931" t="s">
        <v>4141</v>
      </c>
      <c r="E931" t="s">
        <v>3469</v>
      </c>
      <c r="F931" t="s">
        <v>3469</v>
      </c>
      <c r="G931" t="s">
        <v>3469</v>
      </c>
      <c r="J931" t="s">
        <v>4142</v>
      </c>
      <c r="K931" t="s">
        <v>4256</v>
      </c>
      <c r="L931" s="1" t="s">
        <v>2712</v>
      </c>
      <c r="M931" t="s">
        <v>129</v>
      </c>
      <c r="N931" t="s">
        <v>23</v>
      </c>
      <c r="O931" s="1" t="s">
        <v>4262</v>
      </c>
      <c r="P931" s="1" t="s">
        <v>4263</v>
      </c>
    </row>
    <row r="932" spans="1:17" x14ac:dyDescent="0.25">
      <c r="A932" t="s">
        <v>4264</v>
      </c>
      <c r="B932" t="str">
        <f>HYPERLINK("https://staging-dtl-pattern-api.hfm-weimar.de/static/audio/solos/dtl/AQAKpE-kTMkk_Hnw5EGTaMyESot0HNfx_0.03.48.017959-0.03.52.013061.mp3", "link")</f>
        <v>link</v>
      </c>
      <c r="D932" t="s">
        <v>4141</v>
      </c>
      <c r="E932" t="s">
        <v>3469</v>
      </c>
      <c r="F932" t="s">
        <v>3469</v>
      </c>
      <c r="G932" t="s">
        <v>3469</v>
      </c>
      <c r="J932" t="s">
        <v>4142</v>
      </c>
      <c r="K932" t="s">
        <v>4256</v>
      </c>
      <c r="L932" s="1" t="s">
        <v>2712</v>
      </c>
      <c r="M932" t="s">
        <v>129</v>
      </c>
      <c r="N932" t="s">
        <v>23</v>
      </c>
      <c r="O932" s="1" t="s">
        <v>4265</v>
      </c>
      <c r="P932" s="1" t="s">
        <v>4266</v>
      </c>
    </row>
    <row r="933" spans="1:17" x14ac:dyDescent="0.25">
      <c r="A933" t="s">
        <v>4267</v>
      </c>
      <c r="B933" t="str">
        <f>HYPERLINK("https://staging-dtl-pattern-api.hfm-weimar.de/static/audio/solos/dtl/AQAKpE-kTMkk_Hnw5EGTaMyESot0HNfx_0.03.55.010204-0.03.58.095510.mp3", "link")</f>
        <v>link</v>
      </c>
      <c r="D933" t="s">
        <v>4141</v>
      </c>
      <c r="E933" t="s">
        <v>3469</v>
      </c>
      <c r="F933" t="s">
        <v>3469</v>
      </c>
      <c r="G933" t="s">
        <v>3469</v>
      </c>
      <c r="J933" t="s">
        <v>4142</v>
      </c>
      <c r="K933" t="s">
        <v>4256</v>
      </c>
      <c r="L933" s="1" t="s">
        <v>2712</v>
      </c>
      <c r="M933" t="s">
        <v>129</v>
      </c>
      <c r="N933" t="s">
        <v>23</v>
      </c>
      <c r="O933" s="1" t="s">
        <v>4268</v>
      </c>
      <c r="P933" s="1" t="s">
        <v>4269</v>
      </c>
    </row>
    <row r="934" spans="1:17" x14ac:dyDescent="0.25">
      <c r="A934" t="s">
        <v>4270</v>
      </c>
      <c r="B934" t="str">
        <f>HYPERLINK("https://staging-dtl-pattern-api.hfm-weimar.de/static/audio/solos/dtl/AQAKpE-kTMkk_Hnw5EGTaMyESot0HNfx_0.04.02.018775-0.04.05.078321.mp3", "link")</f>
        <v>link</v>
      </c>
      <c r="D934" t="s">
        <v>4141</v>
      </c>
      <c r="E934" t="s">
        <v>3469</v>
      </c>
      <c r="F934" t="s">
        <v>3469</v>
      </c>
      <c r="G934" t="s">
        <v>3469</v>
      </c>
      <c r="J934" t="s">
        <v>4142</v>
      </c>
      <c r="K934" t="s">
        <v>4256</v>
      </c>
      <c r="L934" s="1" t="s">
        <v>2712</v>
      </c>
      <c r="M934" t="s">
        <v>129</v>
      </c>
      <c r="N934" t="s">
        <v>23</v>
      </c>
      <c r="O934" s="1" t="s">
        <v>4271</v>
      </c>
      <c r="P934" s="1" t="s">
        <v>4272</v>
      </c>
    </row>
    <row r="935" spans="1:17" x14ac:dyDescent="0.25">
      <c r="A935" t="s">
        <v>4273</v>
      </c>
      <c r="B935" t="str">
        <f>HYPERLINK("https://staging-dtl-pattern-api.hfm-weimar.de/static/audio/solos/dtl/AQAKPYn0LEkiLdA56MxYolKOV0c69ai6_0.01.03.071555-0.02.16.039401.mp3", "link")</f>
        <v>link</v>
      </c>
      <c r="D935" t="s">
        <v>7117</v>
      </c>
      <c r="E935" t="s">
        <v>7115</v>
      </c>
      <c r="F935" t="s">
        <v>3856</v>
      </c>
      <c r="G935" t="s">
        <v>3856</v>
      </c>
      <c r="J935" t="s">
        <v>4275</v>
      </c>
      <c r="K935" t="s">
        <v>4276</v>
      </c>
      <c r="L935" s="1" t="s">
        <v>4277</v>
      </c>
      <c r="M935" t="s">
        <v>3396</v>
      </c>
      <c r="N935" t="s">
        <v>172</v>
      </c>
      <c r="O935" s="1" t="s">
        <v>4278</v>
      </c>
      <c r="P935" s="1" t="s">
        <v>4279</v>
      </c>
      <c r="Q935" s="1" t="s">
        <v>7286</v>
      </c>
    </row>
    <row r="936" spans="1:17" x14ac:dyDescent="0.25">
      <c r="A936" t="s">
        <v>4280</v>
      </c>
      <c r="B936" t="str">
        <f>HYPERLINK("https://staging-dtl-pattern-api.hfm-weimar.de/static/audio/solos/dtl/AQAKPYn0LEkiLdA56MxYolKOV0c69ai6_0.02.16.039401-0.03.47.032335.mp3", "link")</f>
        <v>link</v>
      </c>
      <c r="D936" t="s">
        <v>4274</v>
      </c>
      <c r="E936" t="s">
        <v>3856</v>
      </c>
      <c r="F936" t="s">
        <v>3856</v>
      </c>
      <c r="G936" t="s">
        <v>3856</v>
      </c>
      <c r="J936" t="s">
        <v>4275</v>
      </c>
      <c r="K936" t="s">
        <v>4276</v>
      </c>
      <c r="L936" s="1" t="s">
        <v>4277</v>
      </c>
      <c r="M936" t="s">
        <v>3396</v>
      </c>
      <c r="N936" t="s">
        <v>23</v>
      </c>
      <c r="O936" s="1" t="s">
        <v>4279</v>
      </c>
      <c r="P936" s="1" t="s">
        <v>4281</v>
      </c>
    </row>
    <row r="937" spans="1:17" x14ac:dyDescent="0.25">
      <c r="A937" t="s">
        <v>4282</v>
      </c>
      <c r="B937" t="str">
        <f>HYPERLINK("https://staging-dtl-pattern-api.hfm-weimar.de/static/audio/solos/dtl/AQAKqUmWiOMYNMmC2oR0aAiZK7iULXiS_0.01.18.036734-0.03.44.090848.mp3", "link")</f>
        <v>link</v>
      </c>
      <c r="D937" t="s">
        <v>3262</v>
      </c>
      <c r="E937" t="s">
        <v>3263</v>
      </c>
      <c r="F937" t="s">
        <v>3263</v>
      </c>
      <c r="G937" t="s">
        <v>3263</v>
      </c>
      <c r="J937" t="s">
        <v>3264</v>
      </c>
      <c r="K937" t="s">
        <v>4283</v>
      </c>
      <c r="L937" s="1" t="s">
        <v>3266</v>
      </c>
      <c r="M937" t="s">
        <v>3267</v>
      </c>
      <c r="N937" t="s">
        <v>23</v>
      </c>
      <c r="O937" s="1" t="s">
        <v>4284</v>
      </c>
      <c r="P937" s="1" t="s">
        <v>4285</v>
      </c>
    </row>
    <row r="938" spans="1:17" x14ac:dyDescent="0.25">
      <c r="A938" t="s">
        <v>4286</v>
      </c>
      <c r="B938" t="str">
        <f>HYPERLINK("https://staging-dtl-pattern-api.hfm-weimar.de/static/audio/solos/dtl/AQAKqUmWiOMYNMmC2oR0aAiZK7iULXiS_0.04.49.043673-0.05.38.015510.mp3", "link")</f>
        <v>link</v>
      </c>
      <c r="D938" t="s">
        <v>3262</v>
      </c>
      <c r="E938" t="s">
        <v>3263</v>
      </c>
      <c r="F938" t="s">
        <v>3263</v>
      </c>
      <c r="G938" t="s">
        <v>3263</v>
      </c>
      <c r="J938" t="s">
        <v>3264</v>
      </c>
      <c r="K938" t="s">
        <v>4283</v>
      </c>
      <c r="L938" s="1" t="s">
        <v>3266</v>
      </c>
      <c r="M938" t="s">
        <v>3267</v>
      </c>
      <c r="N938" t="s">
        <v>23</v>
      </c>
      <c r="O938" s="1" t="s">
        <v>4287</v>
      </c>
      <c r="P938" s="1" t="s">
        <v>4288</v>
      </c>
    </row>
    <row r="939" spans="1:17" x14ac:dyDescent="0.25">
      <c r="A939" t="s">
        <v>4289</v>
      </c>
      <c r="B939" t="str">
        <f>HYPERLINK("https://staging-dtl-pattern-api.hfm-weimar.de/static/audio/solos/dtl/AQAKRFEkJckoaQmuBWW2VIOPo_LxbPgh_0.02.52.073324-0.03.28.032943.mp3", "link")</f>
        <v>link</v>
      </c>
      <c r="D939" t="s">
        <v>4290</v>
      </c>
      <c r="E939" t="s">
        <v>3134</v>
      </c>
      <c r="F939" t="s">
        <v>3134</v>
      </c>
      <c r="G939" t="s">
        <v>3134</v>
      </c>
      <c r="J939" t="s">
        <v>3135</v>
      </c>
      <c r="K939" t="s">
        <v>4291</v>
      </c>
      <c r="L939" s="1" t="s">
        <v>3137</v>
      </c>
      <c r="M939" t="s">
        <v>2713</v>
      </c>
      <c r="N939" t="s">
        <v>23</v>
      </c>
      <c r="O939" s="1" t="s">
        <v>4292</v>
      </c>
      <c r="P939" s="1" t="s">
        <v>4293</v>
      </c>
    </row>
    <row r="940" spans="1:17" x14ac:dyDescent="0.25">
      <c r="A940" t="s">
        <v>4294</v>
      </c>
      <c r="B940" t="str">
        <f>HYPERLINK("https://staging-dtl-pattern-api.hfm-weimar.de/static/audio/solos/dtl/AQAKRkqUZMuSbERzooo2RE8MxUL4zWja_0.02.14.095437-0.03.23.054612.mp3", "link")</f>
        <v>link</v>
      </c>
      <c r="D940" t="s">
        <v>4295</v>
      </c>
      <c r="E940" t="s">
        <v>4296</v>
      </c>
      <c r="F940" t="s">
        <v>4297</v>
      </c>
      <c r="G940" t="s">
        <v>4297</v>
      </c>
      <c r="J940" t="s">
        <v>4298</v>
      </c>
      <c r="K940" t="s">
        <v>4299</v>
      </c>
      <c r="L940" s="1" t="s">
        <v>4300</v>
      </c>
      <c r="M940" t="s">
        <v>4301</v>
      </c>
      <c r="N940" t="s">
        <v>46</v>
      </c>
      <c r="O940" s="1" t="s">
        <v>4302</v>
      </c>
      <c r="P940" s="1" t="s">
        <v>4303</v>
      </c>
    </row>
    <row r="941" spans="1:17" x14ac:dyDescent="0.25">
      <c r="A941" t="s">
        <v>4304</v>
      </c>
      <c r="B941" t="str">
        <f>HYPERLINK("https://staging-dtl-pattern-api.hfm-weimar.de/static/audio/solos/dtl/AQAKsok2JYsSLcPT4EevQ1SyFbEwPXga_0.01.23.046122-0.01.37.015229.mp3", "link")</f>
        <v>link</v>
      </c>
      <c r="D941" t="s">
        <v>3513</v>
      </c>
      <c r="E941" t="s">
        <v>7118</v>
      </c>
      <c r="F941" t="s">
        <v>3514</v>
      </c>
      <c r="G941" t="s">
        <v>3514</v>
      </c>
      <c r="J941" t="s">
        <v>3515</v>
      </c>
      <c r="K941" t="s">
        <v>4305</v>
      </c>
      <c r="L941" s="1" t="s">
        <v>3517</v>
      </c>
      <c r="M941" t="s">
        <v>3518</v>
      </c>
      <c r="N941" t="s">
        <v>109</v>
      </c>
      <c r="O941" s="1" t="s">
        <v>4306</v>
      </c>
      <c r="P941" s="1" t="s">
        <v>4307</v>
      </c>
      <c r="Q941" s="1" t="s">
        <v>7287</v>
      </c>
    </row>
    <row r="942" spans="1:17" x14ac:dyDescent="0.25">
      <c r="A942" t="s">
        <v>4308</v>
      </c>
      <c r="B942" t="str">
        <f>HYPERLINK("https://staging-dtl-pattern-api.hfm-weimar.de/static/audio/solos/dtl/AQAKSouYKYo0CckRPdqFJx_x7BGuM0Wf_0.00.35.029433-0.01.50.078240.mp3", "link")</f>
        <v>link</v>
      </c>
      <c r="D942" t="s">
        <v>4309</v>
      </c>
      <c r="E942" t="s">
        <v>2530</v>
      </c>
      <c r="F942" t="s">
        <v>4310</v>
      </c>
      <c r="J942" t="s">
        <v>4311</v>
      </c>
      <c r="K942" t="s">
        <v>4312</v>
      </c>
      <c r="L942" s="1" t="s">
        <v>4313</v>
      </c>
      <c r="M942" t="s">
        <v>129</v>
      </c>
      <c r="N942" t="s">
        <v>202</v>
      </c>
      <c r="O942" s="1" t="s">
        <v>4314</v>
      </c>
      <c r="P942" s="1" t="s">
        <v>4315</v>
      </c>
      <c r="Q942" s="1" t="s">
        <v>7234</v>
      </c>
    </row>
    <row r="943" spans="1:17" x14ac:dyDescent="0.25">
      <c r="A943" t="s">
        <v>4316</v>
      </c>
      <c r="B943" t="str">
        <f>HYPERLINK("https://staging-dtl-pattern-api.hfm-weimar.de/static/audio/solos/dtl/AQAKSouYKYo0CckRPdqFJx_x7BGuM0Wf_0.01.50.078240-0.02.52.094222.mp3", "link")</f>
        <v>link</v>
      </c>
      <c r="D943" t="s">
        <v>4309</v>
      </c>
      <c r="E943" t="s">
        <v>2530</v>
      </c>
      <c r="F943" t="s">
        <v>4310</v>
      </c>
      <c r="J943" t="s">
        <v>4311</v>
      </c>
      <c r="K943" t="s">
        <v>4312</v>
      </c>
      <c r="L943" s="1" t="s">
        <v>4313</v>
      </c>
      <c r="M943" t="s">
        <v>129</v>
      </c>
      <c r="N943" t="s">
        <v>202</v>
      </c>
      <c r="O943" s="1" t="s">
        <v>4315</v>
      </c>
      <c r="P943" s="1" t="s">
        <v>4317</v>
      </c>
    </row>
    <row r="944" spans="1:17" x14ac:dyDescent="0.25">
      <c r="A944" t="s">
        <v>4318</v>
      </c>
      <c r="B944" t="str">
        <f>HYPERLINK("https://staging-dtl-pattern-api.hfm-weimar.de/static/audio/solos/dtl/AQAKVpK4SInI4PglPOESPESPk0LoLUyQ_0.01.37.024517-0.03.21.064208.mp3", "link")</f>
        <v>link</v>
      </c>
      <c r="D944" t="s">
        <v>4319</v>
      </c>
      <c r="E944" t="s">
        <v>4320</v>
      </c>
      <c r="F944" t="s">
        <v>4321</v>
      </c>
      <c r="J944" t="s">
        <v>4322</v>
      </c>
      <c r="K944" t="s">
        <v>4323</v>
      </c>
      <c r="L944" s="1" t="s">
        <v>4324</v>
      </c>
      <c r="M944" t="s">
        <v>4325</v>
      </c>
      <c r="N944" t="s">
        <v>172</v>
      </c>
      <c r="O944" s="1" t="s">
        <v>4326</v>
      </c>
      <c r="P944" s="1" t="s">
        <v>4327</v>
      </c>
    </row>
    <row r="945" spans="1:17" x14ac:dyDescent="0.25">
      <c r="A945" t="s">
        <v>4328</v>
      </c>
      <c r="B945" t="str">
        <f>HYPERLINK("https://staging-dtl-pattern-api.hfm-weimar.de/static/audio/solos/dtl/AQAKVpK4SInI4PglPOESPESPk0LoLUyQ_0.03.21.064208-0.04.11.042566.mp3", "link")</f>
        <v>link</v>
      </c>
      <c r="D945" t="s">
        <v>4319</v>
      </c>
      <c r="E945" t="s">
        <v>7119</v>
      </c>
      <c r="F945" t="s">
        <v>4321</v>
      </c>
      <c r="J945" t="s">
        <v>4322</v>
      </c>
      <c r="K945" t="s">
        <v>4323</v>
      </c>
      <c r="L945" s="1" t="s">
        <v>4324</v>
      </c>
      <c r="M945" t="s">
        <v>4325</v>
      </c>
      <c r="N945" t="s">
        <v>622</v>
      </c>
      <c r="O945" s="1" t="s">
        <v>4327</v>
      </c>
      <c r="P945" s="1" t="s">
        <v>4329</v>
      </c>
      <c r="Q945" s="1" t="s">
        <v>7288</v>
      </c>
    </row>
    <row r="946" spans="1:17" x14ac:dyDescent="0.25">
      <c r="A946" t="s">
        <v>4330</v>
      </c>
      <c r="B946" t="str">
        <f>HYPERLINK("https://staging-dtl-pattern-api.hfm-weimar.de/static/audio/solos/dtl/AQAKW0uijFPy4Bt--ERf4h8vHDGNZJ12_0.02.45.097623-0.04.00.019591.mp3", "link")</f>
        <v>link</v>
      </c>
      <c r="D946" t="s">
        <v>4331</v>
      </c>
      <c r="E946" t="s">
        <v>3593</v>
      </c>
      <c r="F946" t="s">
        <v>3593</v>
      </c>
      <c r="G946" t="s">
        <v>3593</v>
      </c>
      <c r="J946" t="s">
        <v>3594</v>
      </c>
      <c r="K946" t="s">
        <v>4332</v>
      </c>
      <c r="L946" s="1" t="s">
        <v>3596</v>
      </c>
      <c r="M946" t="s">
        <v>2824</v>
      </c>
      <c r="N946" t="s">
        <v>23</v>
      </c>
      <c r="O946" s="1" t="s">
        <v>4333</v>
      </c>
      <c r="P946" s="1" t="s">
        <v>4334</v>
      </c>
    </row>
    <row r="947" spans="1:17" x14ac:dyDescent="0.25">
      <c r="A947" t="s">
        <v>4335</v>
      </c>
      <c r="B947" t="str">
        <f>HYPERLINK("https://staging-dtl-pattern-api.hfm-weimar.de/static/audio/solos/dtl/AQAKWksSRWGSJBFhpZxw_AgfIjl-NMsL_0.02.58.080816-0.04.04.011428.mp3", "link")</f>
        <v>link</v>
      </c>
      <c r="D947" t="s">
        <v>4336</v>
      </c>
      <c r="E947" t="s">
        <v>3087</v>
      </c>
      <c r="F947" t="s">
        <v>4337</v>
      </c>
      <c r="G947" t="s">
        <v>4337</v>
      </c>
      <c r="J947" t="s">
        <v>4338</v>
      </c>
      <c r="K947" t="s">
        <v>4339</v>
      </c>
      <c r="L947" s="1" t="s">
        <v>4340</v>
      </c>
      <c r="M947" t="s">
        <v>3531</v>
      </c>
      <c r="N947" t="s">
        <v>826</v>
      </c>
      <c r="O947" s="1" t="s">
        <v>4341</v>
      </c>
      <c r="P947" s="1" t="s">
        <v>4342</v>
      </c>
      <c r="Q947" s="1" t="s">
        <v>7284</v>
      </c>
    </row>
    <row r="948" spans="1:17" x14ac:dyDescent="0.25">
      <c r="A948" t="s">
        <v>4343</v>
      </c>
      <c r="B948" t="str">
        <f>HYPERLINK("https://staging-dtl-pattern-api.hfm-weimar.de/static/audio/solos/dtl/AQAKWlISMUmSKAR8HL_QPahPwG6Ob8aD_0.01.33.099437-0.02.09.095918.mp3", "link")</f>
        <v>link</v>
      </c>
      <c r="D948" t="s">
        <v>4344</v>
      </c>
      <c r="E948" t="s">
        <v>2958</v>
      </c>
      <c r="F948" t="s">
        <v>2958</v>
      </c>
      <c r="G948" t="s">
        <v>2958</v>
      </c>
      <c r="J948" t="s">
        <v>2959</v>
      </c>
      <c r="K948" t="s">
        <v>4345</v>
      </c>
      <c r="L948" s="1" t="s">
        <v>2961</v>
      </c>
      <c r="M948" t="s">
        <v>2962</v>
      </c>
      <c r="N948" t="s">
        <v>3348</v>
      </c>
      <c r="O948" s="1" t="s">
        <v>2595</v>
      </c>
      <c r="P948" s="1" t="s">
        <v>4346</v>
      </c>
    </row>
    <row r="949" spans="1:17" x14ac:dyDescent="0.25">
      <c r="A949" t="s">
        <v>4347</v>
      </c>
      <c r="B949" t="str">
        <f>HYPERLINK("https://staging-dtl-pattern-api.hfm-weimar.de/static/audio/solos/dtl/AQAKWlISMUmSKAR8HL_QPahPwG6Ob8aD_0.03.18.011265-0.03.47.055555.mp3", "link")</f>
        <v>link</v>
      </c>
      <c r="D949" t="s">
        <v>4344</v>
      </c>
      <c r="E949" t="s">
        <v>2958</v>
      </c>
      <c r="F949" t="s">
        <v>2958</v>
      </c>
      <c r="G949" t="s">
        <v>2958</v>
      </c>
      <c r="J949" t="s">
        <v>2959</v>
      </c>
      <c r="K949" t="s">
        <v>4345</v>
      </c>
      <c r="L949" s="1" t="s">
        <v>2961</v>
      </c>
      <c r="M949" t="s">
        <v>2962</v>
      </c>
      <c r="N949" t="s">
        <v>3348</v>
      </c>
      <c r="O949" s="1" t="s">
        <v>4348</v>
      </c>
      <c r="P949" s="1" t="s">
        <v>4349</v>
      </c>
    </row>
    <row r="950" spans="1:17" x14ac:dyDescent="0.25">
      <c r="A950" t="s">
        <v>4350</v>
      </c>
      <c r="B950" t="str">
        <f>HYPERLINK("https://staging-dtl-pattern-api.hfm-weimar.de/static/audio/solos/dtl/AQAKXlqiJWQioQn14TdK6cKfwzqSHzlu_0.03.10.049650-0.04.06.059591.mp3", "link")</f>
        <v>link</v>
      </c>
      <c r="D950" t="s">
        <v>4351</v>
      </c>
      <c r="E950" t="s">
        <v>612</v>
      </c>
      <c r="F950" t="s">
        <v>612</v>
      </c>
      <c r="G950" t="s">
        <v>612</v>
      </c>
      <c r="J950" t="s">
        <v>4352</v>
      </c>
      <c r="K950" t="s">
        <v>4353</v>
      </c>
      <c r="L950" s="1" t="s">
        <v>4354</v>
      </c>
      <c r="M950" t="s">
        <v>4355</v>
      </c>
      <c r="N950" t="s">
        <v>46</v>
      </c>
      <c r="O950" s="1" t="s">
        <v>4356</v>
      </c>
      <c r="P950" s="1" t="s">
        <v>4357</v>
      </c>
      <c r="Q950" s="1" t="s">
        <v>7290</v>
      </c>
    </row>
    <row r="951" spans="1:17" x14ac:dyDescent="0.25">
      <c r="A951" t="s">
        <v>4358</v>
      </c>
      <c r="B951" t="str">
        <f>HYPERLINK("https://staging-dtl-pattern-api.hfm-weimar.de/static/audio/solos/dtl/AQAKXomSJFGSZEqyBLIOn_hwoS90H-jh_0.02.31.025478-0.02.56.047165.mp3", "link")</f>
        <v>link</v>
      </c>
      <c r="D951" t="s">
        <v>4359</v>
      </c>
      <c r="E951" t="s">
        <v>4360</v>
      </c>
      <c r="F951" t="s">
        <v>4360</v>
      </c>
      <c r="G951" t="s">
        <v>4360</v>
      </c>
      <c r="J951" t="s">
        <v>4361</v>
      </c>
      <c r="K951" t="s">
        <v>4362</v>
      </c>
      <c r="L951" s="1" t="s">
        <v>4363</v>
      </c>
      <c r="M951" t="s">
        <v>309</v>
      </c>
      <c r="N951" t="s">
        <v>172</v>
      </c>
      <c r="O951" s="1" t="s">
        <v>4364</v>
      </c>
      <c r="P951" s="1" t="s">
        <v>3486</v>
      </c>
      <c r="Q951" s="1" t="s">
        <v>7291</v>
      </c>
    </row>
    <row r="952" spans="1:17" x14ac:dyDescent="0.25">
      <c r="A952" t="s">
        <v>4365</v>
      </c>
      <c r="B952" t="str">
        <f>HYPERLINK("https://staging-dtl-pattern-api.hfm-weimar.de/static/audio/solos/dtl/AQAKXomSJFGSZEqyBLIOn_hwoS90H-jh_0.03.18.043773-0.03.34.066122.mp3", "link")</f>
        <v>link</v>
      </c>
      <c r="D952" t="s">
        <v>4359</v>
      </c>
      <c r="E952" t="s">
        <v>4360</v>
      </c>
      <c r="F952" t="s">
        <v>4360</v>
      </c>
      <c r="G952" t="s">
        <v>4360</v>
      </c>
      <c r="J952" t="s">
        <v>4361</v>
      </c>
      <c r="K952" t="s">
        <v>4362</v>
      </c>
      <c r="L952" s="1" t="s">
        <v>4363</v>
      </c>
      <c r="M952" t="s">
        <v>309</v>
      </c>
      <c r="N952" t="s">
        <v>172</v>
      </c>
      <c r="O952" s="1" t="s">
        <v>4366</v>
      </c>
      <c r="P952" s="1" t="s">
        <v>4367</v>
      </c>
      <c r="Q952" s="1" t="s">
        <v>7291</v>
      </c>
    </row>
    <row r="953" spans="1:17" x14ac:dyDescent="0.25">
      <c r="A953" t="s">
        <v>4368</v>
      </c>
      <c r="B953" t="str">
        <f>HYPERLINK("https://staging-dtl-pattern-api.hfm-weimar.de/static/audio/solos/dtl/AQAKXomSJFGSZEqyBLIOn_hwoS90H-jh_0.03.48.034503-0.04.15.047755.mp3", "link")</f>
        <v>link</v>
      </c>
      <c r="D953" t="s">
        <v>4359</v>
      </c>
      <c r="E953" t="s">
        <v>4360</v>
      </c>
      <c r="F953" t="s">
        <v>4360</v>
      </c>
      <c r="G953" t="s">
        <v>4360</v>
      </c>
      <c r="J953" t="s">
        <v>4361</v>
      </c>
      <c r="K953" t="s">
        <v>4362</v>
      </c>
      <c r="L953" s="1" t="s">
        <v>4363</v>
      </c>
      <c r="M953" t="s">
        <v>309</v>
      </c>
      <c r="N953" t="s">
        <v>172</v>
      </c>
      <c r="O953" s="1" t="s">
        <v>4369</v>
      </c>
      <c r="P953" s="1" t="s">
        <v>4370</v>
      </c>
      <c r="Q953" s="1" t="s">
        <v>7291</v>
      </c>
    </row>
    <row r="954" spans="1:17" x14ac:dyDescent="0.25">
      <c r="A954" t="s">
        <v>4371</v>
      </c>
      <c r="B954" t="str">
        <f>HYPERLINK("https://staging-dtl-pattern-api.hfm-weimar.de/static/audio/solos/dtl/AQAKy0wkhUvCRPBzhPJCLtCPJxpKPkJz_0.03.02.072653-0.04.05.038848.mp3", "link")</f>
        <v>link</v>
      </c>
      <c r="D954" t="s">
        <v>7121</v>
      </c>
      <c r="E954" t="s">
        <v>7120</v>
      </c>
      <c r="F954" t="s">
        <v>4372</v>
      </c>
      <c r="G954" t="s">
        <v>4372</v>
      </c>
      <c r="J954" t="s">
        <v>4373</v>
      </c>
      <c r="K954" t="s">
        <v>4374</v>
      </c>
      <c r="L954" s="1" t="s">
        <v>4375</v>
      </c>
      <c r="M954" t="s">
        <v>4376</v>
      </c>
      <c r="N954" t="s">
        <v>119</v>
      </c>
      <c r="O954" s="1" t="s">
        <v>4377</v>
      </c>
      <c r="P954" s="1" t="s">
        <v>4378</v>
      </c>
      <c r="Q954" s="1" t="s">
        <v>7292</v>
      </c>
    </row>
    <row r="955" spans="1:17" x14ac:dyDescent="0.25">
      <c r="A955" t="s">
        <v>4379</v>
      </c>
      <c r="B955" t="str">
        <f>HYPERLINK("https://staging-dtl-pattern-api.hfm-weimar.de/static/audio/solos/dtl/AQAKYSGfZMwCLT_-IA9xcrhyRehYSWgm_0.02.23.041224-0.04.22.000816.mp3", "link")</f>
        <v>link</v>
      </c>
      <c r="D955" t="s">
        <v>4380</v>
      </c>
      <c r="E955" t="s">
        <v>4381</v>
      </c>
      <c r="F955" t="s">
        <v>4381</v>
      </c>
      <c r="G955" t="s">
        <v>4381</v>
      </c>
      <c r="J955" t="s">
        <v>4381</v>
      </c>
      <c r="K955" t="s">
        <v>4382</v>
      </c>
      <c r="L955" s="1" t="s">
        <v>4383</v>
      </c>
      <c r="M955" t="s">
        <v>4384</v>
      </c>
      <c r="N955" t="s">
        <v>23</v>
      </c>
      <c r="O955" s="1" t="s">
        <v>4385</v>
      </c>
      <c r="P955" s="1" t="s">
        <v>4386</v>
      </c>
    </row>
    <row r="956" spans="1:17" x14ac:dyDescent="0.25">
      <c r="A956" t="s">
        <v>4387</v>
      </c>
      <c r="B956" t="str">
        <f>HYPERLINK("https://staging-dtl-pattern-api.hfm-weimar.de/static/audio/solos/dtl/AQAKZdyeoT_-HI7xBbrx5ug_XMUToWFU_0.00.47.044489-0.01.25.026367.mp3", "link")</f>
        <v>link</v>
      </c>
      <c r="D956" t="s">
        <v>2992</v>
      </c>
      <c r="E956" t="s">
        <v>4388</v>
      </c>
      <c r="F956" t="s">
        <v>2993</v>
      </c>
      <c r="G956" t="s">
        <v>2993</v>
      </c>
      <c r="J956" t="s">
        <v>2994</v>
      </c>
      <c r="K956" t="s">
        <v>4389</v>
      </c>
      <c r="L956" s="1" t="s">
        <v>2996</v>
      </c>
      <c r="M956" t="s">
        <v>2997</v>
      </c>
      <c r="N956" t="s">
        <v>119</v>
      </c>
      <c r="O956" s="1" t="s">
        <v>4390</v>
      </c>
      <c r="P956" s="1" t="s">
        <v>4391</v>
      </c>
    </row>
    <row r="957" spans="1:17" x14ac:dyDescent="0.25">
      <c r="A957" t="s">
        <v>4392</v>
      </c>
      <c r="B957" t="str">
        <f>HYPERLINK("https://staging-dtl-pattern-api.hfm-weimar.de/static/audio/solos/dtl/AQAKZdyeoT_-HI7xBbrx5ug_XMUToWFU_0.01.25.026367-0.02.01.062612.mp3", "link")</f>
        <v>link</v>
      </c>
      <c r="D957" t="s">
        <v>7122</v>
      </c>
      <c r="E957" t="s">
        <v>7105</v>
      </c>
      <c r="F957" t="s">
        <v>2993</v>
      </c>
      <c r="G957" t="s">
        <v>2993</v>
      </c>
      <c r="J957" t="s">
        <v>2994</v>
      </c>
      <c r="K957" t="s">
        <v>4389</v>
      </c>
      <c r="L957" s="1" t="s">
        <v>2996</v>
      </c>
      <c r="M957" t="s">
        <v>2997</v>
      </c>
      <c r="N957" t="s">
        <v>46</v>
      </c>
      <c r="O957" s="1" t="s">
        <v>4391</v>
      </c>
      <c r="P957" s="1" t="s">
        <v>4393</v>
      </c>
      <c r="Q957" s="1" t="s">
        <v>7293</v>
      </c>
    </row>
    <row r="958" spans="1:17" x14ac:dyDescent="0.25">
      <c r="A958" t="s">
        <v>4394</v>
      </c>
      <c r="B958" t="str">
        <f>HYPERLINK("https://staging-dtl-pattern-api.hfm-weimar.de/static/audio/solos/dtl/AQAKZdyeoT_-HI7xBbrx5ug_XMUToWFU_0.02.01.062612-0.02.40.097959.mp3", "link")</f>
        <v>link</v>
      </c>
      <c r="D958" t="s">
        <v>2992</v>
      </c>
      <c r="E958" t="s">
        <v>2993</v>
      </c>
      <c r="F958" t="s">
        <v>2993</v>
      </c>
      <c r="G958" t="s">
        <v>2993</v>
      </c>
      <c r="J958" t="s">
        <v>2994</v>
      </c>
      <c r="K958" t="s">
        <v>4389</v>
      </c>
      <c r="L958" s="1" t="s">
        <v>2996</v>
      </c>
      <c r="M958" t="s">
        <v>2997</v>
      </c>
      <c r="N958" t="s">
        <v>109</v>
      </c>
      <c r="O958" s="1" t="s">
        <v>4393</v>
      </c>
      <c r="P958" s="1" t="s">
        <v>4395</v>
      </c>
    </row>
    <row r="959" spans="1:17" x14ac:dyDescent="0.25">
      <c r="A959" t="s">
        <v>4396</v>
      </c>
      <c r="B959" t="str">
        <f>HYPERLINK("https://staging-dtl-pattern-api.hfm-weimar.de/static/audio/solos/dtl/AQAKzJYoSlqE6eCPPk-RXBmN6Bm-Dv_R_0.01.36.096653-0.03.00.018684.mp3", "link")</f>
        <v>link</v>
      </c>
      <c r="D959" t="s">
        <v>4397</v>
      </c>
      <c r="E959" t="s">
        <v>4398</v>
      </c>
      <c r="F959" t="s">
        <v>4399</v>
      </c>
      <c r="J959" t="s">
        <v>4400</v>
      </c>
      <c r="K959" t="s">
        <v>4401</v>
      </c>
      <c r="L959" s="1" t="s">
        <v>4402</v>
      </c>
      <c r="M959" t="s">
        <v>4403</v>
      </c>
      <c r="N959" t="s">
        <v>46</v>
      </c>
      <c r="O959" s="1" t="s">
        <v>2658</v>
      </c>
      <c r="P959" s="1" t="s">
        <v>4404</v>
      </c>
    </row>
    <row r="960" spans="1:17" x14ac:dyDescent="0.25">
      <c r="A960" t="s">
        <v>4405</v>
      </c>
      <c r="B960" t="str">
        <f>HYPERLINK("https://staging-dtl-pattern-api.hfm-weimar.de/static/audio/solos/dtl/AQAKzJYoSlqE6eCPPk-RXBmN6Bm-Dv_R_0.03.00.018684-0.03.49.009387.mp3", "link")</f>
        <v>link</v>
      </c>
      <c r="D960" t="s">
        <v>4397</v>
      </c>
      <c r="F960" t="s">
        <v>4399</v>
      </c>
      <c r="J960" t="s">
        <v>4400</v>
      </c>
      <c r="K960" t="s">
        <v>4401</v>
      </c>
      <c r="L960" s="1" t="s">
        <v>4402</v>
      </c>
      <c r="M960" t="s">
        <v>4403</v>
      </c>
      <c r="N960" t="s">
        <v>23</v>
      </c>
      <c r="O960" s="1" t="s">
        <v>4404</v>
      </c>
      <c r="P960" s="1" t="s">
        <v>4406</v>
      </c>
    </row>
    <row r="961" spans="1:16" x14ac:dyDescent="0.25">
      <c r="A961" t="s">
        <v>4407</v>
      </c>
      <c r="B961" t="str">
        <f>HYPERLINK("https://staging-dtl-pattern-api.hfm-weimar.de/static/audio/solos/dtl/AQAKZLnUhviOZ3iMKb3gZxNRjcE7KdDE_0.01.24.050612-0.02.39.015102.mp3", "link")</f>
        <v>link</v>
      </c>
      <c r="C961" t="s">
        <v>7123</v>
      </c>
      <c r="F961" t="s">
        <v>614</v>
      </c>
      <c r="G961" t="s">
        <v>614</v>
      </c>
      <c r="J961" t="s">
        <v>4408</v>
      </c>
      <c r="K961" t="s">
        <v>4409</v>
      </c>
      <c r="L961" s="1" t="s">
        <v>4410</v>
      </c>
      <c r="M961" t="s">
        <v>4411</v>
      </c>
      <c r="N961" t="s">
        <v>46</v>
      </c>
      <c r="O961" s="1" t="s">
        <v>4412</v>
      </c>
      <c r="P961" s="1" t="s">
        <v>4413</v>
      </c>
    </row>
    <row r="962" spans="1:16" x14ac:dyDescent="0.25">
      <c r="A962" t="s">
        <v>4414</v>
      </c>
      <c r="B962" t="str">
        <f>HYPERLINK("https://staging-dtl-pattern-api.hfm-weimar.de/static/audio/solos/dtl/AQAL_UwoKUuiZOgPH7mcHsma6IGTlkFl_0.02.06.054875-0.05.23.040752.mp3", "link")</f>
        <v>link</v>
      </c>
      <c r="D962" t="s">
        <v>4415</v>
      </c>
      <c r="E962" t="s">
        <v>4154</v>
      </c>
      <c r="F962" t="s">
        <v>4154</v>
      </c>
      <c r="G962" t="s">
        <v>4154</v>
      </c>
      <c r="J962" t="s">
        <v>4416</v>
      </c>
      <c r="K962" t="s">
        <v>4417</v>
      </c>
      <c r="L962" s="1" t="s">
        <v>4418</v>
      </c>
      <c r="M962" t="s">
        <v>129</v>
      </c>
      <c r="N962" t="s">
        <v>23</v>
      </c>
      <c r="O962" s="1" t="s">
        <v>4419</v>
      </c>
      <c r="P962" s="1" t="s">
        <v>4420</v>
      </c>
    </row>
    <row r="963" spans="1:16" x14ac:dyDescent="0.25">
      <c r="A963" t="s">
        <v>4421</v>
      </c>
      <c r="B963" t="str">
        <f>HYPERLINK("https://staging-dtl-pattern-api.hfm-weimar.de/static/audio/solos/dtl/AQAL-sq4WFUENskeXIpu_LBKEmdYRcgT_0.02.28.011428-0.04.09.020816.mp3", "link")</f>
        <v>link</v>
      </c>
      <c r="D963" t="s">
        <v>4422</v>
      </c>
      <c r="E963" t="s">
        <v>4423</v>
      </c>
      <c r="F963" t="s">
        <v>3942</v>
      </c>
      <c r="G963" t="s">
        <v>3942</v>
      </c>
      <c r="J963" t="s">
        <v>4424</v>
      </c>
      <c r="K963" t="s">
        <v>4425</v>
      </c>
      <c r="L963" s="1" t="s">
        <v>4426</v>
      </c>
      <c r="M963" t="s">
        <v>129</v>
      </c>
      <c r="N963" t="s">
        <v>23</v>
      </c>
      <c r="O963" s="1" t="s">
        <v>4427</v>
      </c>
      <c r="P963" s="1" t="s">
        <v>4428</v>
      </c>
    </row>
    <row r="964" spans="1:16" x14ac:dyDescent="0.25">
      <c r="A964" t="s">
        <v>4429</v>
      </c>
      <c r="B964" t="str">
        <f>HYPERLINK("https://staging-dtl-pattern-api.hfm-weimar.de/static/audio/solos/dtl/AQAL-VtCUlG04HpwJyeaGnsTNMuQ_ImR_0.02.20.073469-0.03.26.088979.mp3", "link")</f>
        <v>link</v>
      </c>
      <c r="D964" t="s">
        <v>2992</v>
      </c>
      <c r="E964" t="s">
        <v>2993</v>
      </c>
      <c r="F964" t="s">
        <v>2993</v>
      </c>
      <c r="G964" t="s">
        <v>2993</v>
      </c>
      <c r="J964" t="s">
        <v>2994</v>
      </c>
      <c r="K964" t="s">
        <v>4430</v>
      </c>
      <c r="L964" s="1" t="s">
        <v>2996</v>
      </c>
      <c r="M964" t="s">
        <v>2997</v>
      </c>
      <c r="N964" t="s">
        <v>109</v>
      </c>
      <c r="O964" s="1" t="s">
        <v>4431</v>
      </c>
      <c r="P964" s="1" t="s">
        <v>4432</v>
      </c>
    </row>
    <row r="965" spans="1:16" x14ac:dyDescent="0.25">
      <c r="A965" t="s">
        <v>4433</v>
      </c>
      <c r="B965" t="str">
        <f>HYPERLINK("https://staging-dtl-pattern-api.hfm-weimar.de/static/audio/solos/dtl/AQAL-VtCUlG04HpwJyeaGnsTNMuQ_ImR_0.03.26.088979-0.04.33.094902.mp3", "link")</f>
        <v>link</v>
      </c>
      <c r="D965" t="s">
        <v>2992</v>
      </c>
      <c r="E965" t="s">
        <v>4388</v>
      </c>
      <c r="F965" t="s">
        <v>2993</v>
      </c>
      <c r="G965" t="s">
        <v>2993</v>
      </c>
      <c r="J965" t="s">
        <v>2994</v>
      </c>
      <c r="K965" t="s">
        <v>4430</v>
      </c>
      <c r="L965" s="1" t="s">
        <v>2996</v>
      </c>
      <c r="M965" t="s">
        <v>2997</v>
      </c>
      <c r="N965" t="s">
        <v>119</v>
      </c>
      <c r="O965" s="1" t="s">
        <v>4432</v>
      </c>
      <c r="P965" s="1" t="s">
        <v>4434</v>
      </c>
    </row>
    <row r="966" spans="1:16" x14ac:dyDescent="0.25">
      <c r="A966" t="s">
        <v>4435</v>
      </c>
      <c r="B966" t="str">
        <f>HYPERLINK("https://staging-dtl-pattern-api.hfm-weimar.de/static/audio/solos/dtl/AQAL-VtCUlG04HpwJyeaGnsTNMuQ_ImR_0.04.33.094902-0.05.05.024081.mp3", "link")</f>
        <v>link</v>
      </c>
      <c r="D966" t="s">
        <v>2992</v>
      </c>
      <c r="E966" t="s">
        <v>2993</v>
      </c>
      <c r="F966" t="s">
        <v>2993</v>
      </c>
      <c r="G966" t="s">
        <v>2993</v>
      </c>
      <c r="J966" t="s">
        <v>2994</v>
      </c>
      <c r="K966" t="s">
        <v>4430</v>
      </c>
      <c r="L966" s="1" t="s">
        <v>2996</v>
      </c>
      <c r="M966" t="s">
        <v>2997</v>
      </c>
      <c r="N966" t="s">
        <v>109</v>
      </c>
      <c r="O966" s="1" t="s">
        <v>4434</v>
      </c>
      <c r="P966" s="1" t="s">
        <v>4436</v>
      </c>
    </row>
    <row r="967" spans="1:16" x14ac:dyDescent="0.25">
      <c r="A967" t="s">
        <v>4437</v>
      </c>
      <c r="B967" t="str">
        <f>HYPERLINK("https://staging-dtl-pattern-api.hfm-weimar.de/static/audio/solos/dtl/AQAL04uydBSHX_ixKwnyiUjy4Tke5hgp_0.01.05.089387-0.02.06.036734.mp3", "link")</f>
        <v>link</v>
      </c>
      <c r="D967" t="s">
        <v>4438</v>
      </c>
      <c r="E967" t="s">
        <v>1214</v>
      </c>
      <c r="F967" t="s">
        <v>364</v>
      </c>
      <c r="G967" t="s">
        <v>364</v>
      </c>
      <c r="J967" t="s">
        <v>4439</v>
      </c>
      <c r="K967" t="s">
        <v>4440</v>
      </c>
      <c r="L967" s="1" t="s">
        <v>4441</v>
      </c>
      <c r="M967" t="s">
        <v>129</v>
      </c>
      <c r="N967" t="s">
        <v>202</v>
      </c>
      <c r="O967" s="1" t="s">
        <v>4442</v>
      </c>
      <c r="P967" s="1" t="s">
        <v>4443</v>
      </c>
    </row>
    <row r="968" spans="1:16" x14ac:dyDescent="0.25">
      <c r="A968" t="s">
        <v>4444</v>
      </c>
      <c r="B968" t="str">
        <f>HYPERLINK("https://staging-dtl-pattern-api.hfm-weimar.de/static/audio/solos/dtl/AQAL04uydBSHX_ixKwnyiUjy4Tke5hgp_0.02.06.036734-0.03.05.048099.mp3", "link")</f>
        <v>link</v>
      </c>
      <c r="D968" t="s">
        <v>4438</v>
      </c>
      <c r="E968" t="s">
        <v>4154</v>
      </c>
      <c r="F968" t="s">
        <v>364</v>
      </c>
      <c r="G968" t="s">
        <v>364</v>
      </c>
      <c r="J968" t="s">
        <v>4439</v>
      </c>
      <c r="K968" t="s">
        <v>4440</v>
      </c>
      <c r="L968" s="1" t="s">
        <v>4441</v>
      </c>
      <c r="M968" t="s">
        <v>129</v>
      </c>
      <c r="N968" t="s">
        <v>23</v>
      </c>
      <c r="O968" s="1" t="s">
        <v>4443</v>
      </c>
      <c r="P968" s="1" t="s">
        <v>4445</v>
      </c>
    </row>
    <row r="969" spans="1:16" x14ac:dyDescent="0.25">
      <c r="A969" t="s">
        <v>4446</v>
      </c>
      <c r="B969" t="str">
        <f>HYPERLINK("https://staging-dtl-pattern-api.hfm-weimar.de/static/audio/solos/dtl/AQAL04uydBSHX_ixKwnyiUjy4Tke5hgp_0.04.01.069795-0.04.11.049387.mp3", "link")</f>
        <v>link</v>
      </c>
      <c r="D969" t="s">
        <v>4438</v>
      </c>
      <c r="E969" t="s">
        <v>1214</v>
      </c>
      <c r="F969" t="s">
        <v>364</v>
      </c>
      <c r="G969" t="s">
        <v>364</v>
      </c>
      <c r="J969" t="s">
        <v>4439</v>
      </c>
      <c r="K969" t="s">
        <v>4440</v>
      </c>
      <c r="L969" s="1" t="s">
        <v>4441</v>
      </c>
      <c r="M969" t="s">
        <v>129</v>
      </c>
      <c r="N969" t="s">
        <v>202</v>
      </c>
      <c r="O969" s="1" t="s">
        <v>4447</v>
      </c>
      <c r="P969" s="1" t="s">
        <v>4448</v>
      </c>
    </row>
    <row r="970" spans="1:16" x14ac:dyDescent="0.25">
      <c r="A970" t="s">
        <v>4449</v>
      </c>
      <c r="B970" t="str">
        <f>HYPERLINK("https://staging-dtl-pattern-api.hfm-weimar.de/static/audio/solos/dtl/AQAL04uydBSHX_ixKwnyiUjy4Tke5hgp_0.04.18.025306-0.04.26.041632.mp3", "link")</f>
        <v>link</v>
      </c>
      <c r="D970" t="s">
        <v>4438</v>
      </c>
      <c r="E970" t="s">
        <v>4154</v>
      </c>
      <c r="F970" t="s">
        <v>364</v>
      </c>
      <c r="G970" t="s">
        <v>364</v>
      </c>
      <c r="J970" t="s">
        <v>4439</v>
      </c>
      <c r="K970" t="s">
        <v>4440</v>
      </c>
      <c r="L970" s="1" t="s">
        <v>4441</v>
      </c>
      <c r="M970" t="s">
        <v>129</v>
      </c>
      <c r="N970" t="s">
        <v>23</v>
      </c>
      <c r="O970" s="1" t="s">
        <v>4450</v>
      </c>
      <c r="P970" s="1" t="s">
        <v>4451</v>
      </c>
    </row>
    <row r="971" spans="1:16" x14ac:dyDescent="0.25">
      <c r="A971" t="s">
        <v>4452</v>
      </c>
      <c r="B971" t="str">
        <f>HYPERLINK("https://staging-dtl-pattern-api.hfm-weimar.de/static/audio/solos/dtl/AQAL04uydBSHX_ixKwnyiUjy4Tke5hgp_0.04.32.022857-0.04.40.068571.mp3", "link")</f>
        <v>link</v>
      </c>
      <c r="D971" t="s">
        <v>4438</v>
      </c>
      <c r="E971" t="s">
        <v>1214</v>
      </c>
      <c r="F971" t="s">
        <v>364</v>
      </c>
      <c r="G971" t="s">
        <v>364</v>
      </c>
      <c r="J971" t="s">
        <v>4439</v>
      </c>
      <c r="K971" t="s">
        <v>4440</v>
      </c>
      <c r="L971" s="1" t="s">
        <v>4441</v>
      </c>
      <c r="M971" t="s">
        <v>129</v>
      </c>
      <c r="N971" t="s">
        <v>202</v>
      </c>
      <c r="O971" s="1" t="s">
        <v>4453</v>
      </c>
      <c r="P971" s="1" t="s">
        <v>4454</v>
      </c>
    </row>
    <row r="972" spans="1:16" x14ac:dyDescent="0.25">
      <c r="A972" t="s">
        <v>4455</v>
      </c>
      <c r="B972" t="str">
        <f>HYPERLINK("https://staging-dtl-pattern-api.hfm-weimar.de/static/audio/solos/dtl/AQAL04uydBSHX_ixKwnyiUjy4Tke5hgp_0.04.47.057551-0.04.55.057551.mp3", "link")</f>
        <v>link</v>
      </c>
      <c r="D972" t="s">
        <v>4438</v>
      </c>
      <c r="E972" t="s">
        <v>4154</v>
      </c>
      <c r="F972" t="s">
        <v>364</v>
      </c>
      <c r="G972" t="s">
        <v>364</v>
      </c>
      <c r="J972" t="s">
        <v>4439</v>
      </c>
      <c r="K972" t="s">
        <v>4440</v>
      </c>
      <c r="L972" s="1" t="s">
        <v>4441</v>
      </c>
      <c r="M972" t="s">
        <v>129</v>
      </c>
      <c r="N972" t="s">
        <v>23</v>
      </c>
      <c r="O972" s="1" t="s">
        <v>4456</v>
      </c>
      <c r="P972" s="1" t="s">
        <v>4457</v>
      </c>
    </row>
    <row r="973" spans="1:16" x14ac:dyDescent="0.25">
      <c r="A973" t="s">
        <v>4458</v>
      </c>
      <c r="B973" t="str">
        <f>HYPERLINK("https://staging-dtl-pattern-api.hfm-weimar.de/static/audio/solos/dtl/AQAL10l2MckahHkC6jt65uCTGJMkU7CS_0.01.38.048163-0.03.01.055102.mp3", "link")</f>
        <v>link</v>
      </c>
      <c r="D973" t="s">
        <v>4459</v>
      </c>
      <c r="E973" t="s">
        <v>4460</v>
      </c>
      <c r="F973" t="s">
        <v>4461</v>
      </c>
      <c r="G973" t="s">
        <v>4461</v>
      </c>
      <c r="J973" t="s">
        <v>4462</v>
      </c>
      <c r="K973" t="s">
        <v>4463</v>
      </c>
      <c r="L973" s="1" t="s">
        <v>4464</v>
      </c>
      <c r="M973" t="s">
        <v>4465</v>
      </c>
      <c r="N973" t="s">
        <v>23</v>
      </c>
      <c r="O973" s="1" t="s">
        <v>999</v>
      </c>
      <c r="P973" s="1" t="s">
        <v>4466</v>
      </c>
    </row>
    <row r="974" spans="1:16" x14ac:dyDescent="0.25">
      <c r="A974" t="s">
        <v>4467</v>
      </c>
      <c r="B974" t="str">
        <f>HYPERLINK("https://staging-dtl-pattern-api.hfm-weimar.de/static/audio/solos/dtl/AQAL4tuiREqz4PSI0GKOZA8qLS6e7GCP_0.00.51.098367-0.03.03.077142.mp3", "link")</f>
        <v>link</v>
      </c>
      <c r="D974" t="s">
        <v>4351</v>
      </c>
      <c r="E974" t="s">
        <v>612</v>
      </c>
      <c r="F974" t="s">
        <v>612</v>
      </c>
      <c r="G974" t="s">
        <v>612</v>
      </c>
      <c r="J974" t="s">
        <v>4352</v>
      </c>
      <c r="K974" t="s">
        <v>4468</v>
      </c>
      <c r="L974" s="1" t="s">
        <v>4354</v>
      </c>
      <c r="M974" t="s">
        <v>4355</v>
      </c>
      <c r="N974" t="s">
        <v>46</v>
      </c>
      <c r="O974" s="1" t="s">
        <v>4469</v>
      </c>
      <c r="P974" s="1" t="s">
        <v>4470</v>
      </c>
    </row>
    <row r="975" spans="1:16" x14ac:dyDescent="0.25">
      <c r="A975" t="s">
        <v>4471</v>
      </c>
      <c r="B975" t="str">
        <f>HYPERLINK("https://staging-dtl-pattern-api.hfm-weimar.de/static/audio/solos/dtl/AQAL9WGUKFlTQT8OMc9Qpezw50Ge4DbQ_0.01.06.060063-0.02.29.013015.mp3", "link")</f>
        <v>link</v>
      </c>
      <c r="D975" t="s">
        <v>4472</v>
      </c>
      <c r="E975" t="s">
        <v>287</v>
      </c>
      <c r="F975" t="s">
        <v>4473</v>
      </c>
      <c r="J975" t="s">
        <v>4474</v>
      </c>
      <c r="K975" t="s">
        <v>4475</v>
      </c>
      <c r="L975" s="1" t="s">
        <v>4476</v>
      </c>
      <c r="M975" t="s">
        <v>4477</v>
      </c>
      <c r="N975" t="s">
        <v>288</v>
      </c>
      <c r="O975" s="1" t="s">
        <v>4478</v>
      </c>
      <c r="P975" s="1" t="s">
        <v>4479</v>
      </c>
    </row>
    <row r="976" spans="1:16" x14ac:dyDescent="0.25">
      <c r="A976" t="s">
        <v>4480</v>
      </c>
      <c r="B976" t="str">
        <f>HYPERLINK("https://staging-dtl-pattern-api.hfm-weimar.de/static/audio/solos/dtl/AQAL9WGUKFlTQT8OMc9Qpezw50Ge4DbQ_0.02.29.013015-0.03.13.019873.mp3", "link")</f>
        <v>link</v>
      </c>
      <c r="D976" t="s">
        <v>4472</v>
      </c>
      <c r="E976" t="s">
        <v>287</v>
      </c>
      <c r="F976" t="s">
        <v>4473</v>
      </c>
      <c r="J976" t="s">
        <v>4474</v>
      </c>
      <c r="K976" t="s">
        <v>4475</v>
      </c>
      <c r="L976" s="1" t="s">
        <v>4476</v>
      </c>
      <c r="M976" t="s">
        <v>4477</v>
      </c>
      <c r="N976" t="s">
        <v>288</v>
      </c>
      <c r="O976" s="1" t="s">
        <v>4479</v>
      </c>
      <c r="P976" s="1" t="s">
        <v>4481</v>
      </c>
    </row>
    <row r="977" spans="1:17" x14ac:dyDescent="0.25">
      <c r="A977" t="s">
        <v>4482</v>
      </c>
      <c r="B977" t="str">
        <f>HYPERLINK("https://staging-dtl-pattern-api.hfm-weimar.de/static/audio/solos/dtl/AQALclKXSFkWYQqT8GBSccbfEM2DSRLF_0.01.06.089668-0.03.25.024117.mp3", "link")</f>
        <v>link</v>
      </c>
      <c r="D977" t="s">
        <v>3546</v>
      </c>
      <c r="E977" t="s">
        <v>3469</v>
      </c>
      <c r="F977" t="s">
        <v>3469</v>
      </c>
      <c r="G977" t="s">
        <v>3469</v>
      </c>
      <c r="J977" t="s">
        <v>3547</v>
      </c>
      <c r="K977" t="s">
        <v>4483</v>
      </c>
      <c r="L977" s="1" t="s">
        <v>3549</v>
      </c>
      <c r="M977" t="s">
        <v>129</v>
      </c>
      <c r="N977" t="s">
        <v>23</v>
      </c>
      <c r="O977" s="1" t="s">
        <v>4484</v>
      </c>
      <c r="P977" s="1" t="s">
        <v>4485</v>
      </c>
    </row>
    <row r="978" spans="1:17" x14ac:dyDescent="0.25">
      <c r="A978" t="s">
        <v>4486</v>
      </c>
      <c r="B978" t="str">
        <f>HYPERLINK("https://staging-dtl-pattern-api.hfm-weimar.de/static/audio/solos/dtl/AQAlD2cSSVSiBDCjFg_RnML0I1KOZMcX_0.00.00.000000-0.01.47.092634.mp3", "link")</f>
        <v>link</v>
      </c>
      <c r="D978" t="s">
        <v>4487</v>
      </c>
      <c r="E978" t="s">
        <v>2820</v>
      </c>
      <c r="F978" t="s">
        <v>2820</v>
      </c>
      <c r="J978" t="s">
        <v>2821</v>
      </c>
      <c r="K978" t="s">
        <v>4488</v>
      </c>
      <c r="L978" s="1" t="s">
        <v>2823</v>
      </c>
      <c r="M978" t="s">
        <v>2824</v>
      </c>
      <c r="N978" t="s">
        <v>202</v>
      </c>
      <c r="O978" s="1" t="s">
        <v>271</v>
      </c>
      <c r="P978" s="1" t="s">
        <v>4489</v>
      </c>
    </row>
    <row r="979" spans="1:17" x14ac:dyDescent="0.25">
      <c r="A979" t="s">
        <v>4490</v>
      </c>
      <c r="B979" s="3" t="str">
        <f>HYPERLINK("https://staging-dtl-pattern-api.hfm-weimar.de/static/audio/solos/dtl/AQAlD2cSSVSiBDCjFg_RnML0I1KOZMcX_0.01.47.092634-0.04.10.021823.mp3", "link")</f>
        <v>link</v>
      </c>
      <c r="C979" s="3"/>
      <c r="D979" s="3" t="s">
        <v>4487</v>
      </c>
      <c r="E979" s="3" t="s">
        <v>7124</v>
      </c>
      <c r="F979" s="3" t="s">
        <v>2820</v>
      </c>
      <c r="G979" s="3"/>
      <c r="H979" s="3"/>
      <c r="I979" s="3"/>
      <c r="J979" s="3" t="s">
        <v>2821</v>
      </c>
      <c r="K979" s="3" t="s">
        <v>4488</v>
      </c>
      <c r="L979" s="4" t="s">
        <v>2823</v>
      </c>
      <c r="M979" s="3" t="s">
        <v>2824</v>
      </c>
      <c r="N979" s="3" t="s">
        <v>449</v>
      </c>
      <c r="O979" s="4" t="s">
        <v>4489</v>
      </c>
      <c r="P979" s="4" t="s">
        <v>4491</v>
      </c>
      <c r="Q979" s="4" t="s">
        <v>7294</v>
      </c>
    </row>
    <row r="980" spans="1:17" x14ac:dyDescent="0.25">
      <c r="A980" t="s">
        <v>4492</v>
      </c>
      <c r="B980" t="str">
        <f>HYPERLINK("https://staging-dtl-pattern-api.hfm-weimar.de/static/audio/solos/dtl/AQAlD2cSSVSiBDCjFg_RnML0I1KOZMcX_0.06.34.036770-0.06.52.086530.mp3", "link")</f>
        <v>link</v>
      </c>
      <c r="D980" t="s">
        <v>4487</v>
      </c>
      <c r="E980" t="s">
        <v>2820</v>
      </c>
      <c r="F980" t="s">
        <v>2820</v>
      </c>
      <c r="J980" t="s">
        <v>2821</v>
      </c>
      <c r="K980" t="s">
        <v>4488</v>
      </c>
      <c r="L980" s="1" t="s">
        <v>2823</v>
      </c>
      <c r="M980" t="s">
        <v>2824</v>
      </c>
      <c r="N980" t="s">
        <v>202</v>
      </c>
      <c r="O980" s="1" t="s">
        <v>4493</v>
      </c>
      <c r="P980" s="1" t="s">
        <v>4494</v>
      </c>
    </row>
    <row r="981" spans="1:17" x14ac:dyDescent="0.25">
      <c r="A981" t="s">
        <v>4495</v>
      </c>
      <c r="B981" t="str">
        <f>HYPERLINK("https://staging-dtl-pattern-api.hfm-weimar.de/static/audio/solos/dtl/AQAlD2cSSVSiBDCjFg_RnML0I1KOZMcX_0.15.48.076734-0.17.23.033061.mp3", "link")</f>
        <v>link</v>
      </c>
      <c r="C981" t="s">
        <v>2820</v>
      </c>
      <c r="D981" t="s">
        <v>4487</v>
      </c>
      <c r="E981" t="s">
        <v>2820</v>
      </c>
      <c r="F981" t="s">
        <v>2820</v>
      </c>
      <c r="J981" t="s">
        <v>2821</v>
      </c>
      <c r="K981" t="s">
        <v>4488</v>
      </c>
      <c r="L981" s="1" t="s">
        <v>2823</v>
      </c>
      <c r="M981" t="s">
        <v>2824</v>
      </c>
      <c r="N981" t="s">
        <v>891</v>
      </c>
      <c r="O981" s="1" t="s">
        <v>4496</v>
      </c>
      <c r="P981" s="1" t="s">
        <v>4497</v>
      </c>
      <c r="Q981" s="1" t="s">
        <v>7295</v>
      </c>
    </row>
    <row r="982" spans="1:17" x14ac:dyDescent="0.25">
      <c r="A982" t="s">
        <v>4498</v>
      </c>
      <c r="B982" t="str">
        <f>HYPERLINK("https://staging-dtl-pattern-api.hfm-weimar.de/static/audio/solos/dtl/AQAlD2cSSVSiBDCjFg_RnML0I1KOZMcX_0.17.23.033061-0.19.11.070975.mp3", "link")</f>
        <v>link</v>
      </c>
      <c r="D982" t="s">
        <v>4487</v>
      </c>
      <c r="E982" t="s">
        <v>2828</v>
      </c>
      <c r="F982" t="s">
        <v>2820</v>
      </c>
      <c r="J982" t="s">
        <v>2821</v>
      </c>
      <c r="K982" t="s">
        <v>4488</v>
      </c>
      <c r="L982" s="1" t="s">
        <v>2823</v>
      </c>
      <c r="M982" t="s">
        <v>2824</v>
      </c>
      <c r="N982" t="s">
        <v>172</v>
      </c>
      <c r="O982" s="1" t="s">
        <v>4497</v>
      </c>
      <c r="P982" s="1" t="s">
        <v>4499</v>
      </c>
    </row>
    <row r="983" spans="1:17" x14ac:dyDescent="0.25">
      <c r="A983" t="s">
        <v>4500</v>
      </c>
      <c r="B983" t="str">
        <f>HYPERLINK("https://staging-dtl-pattern-api.hfm-weimar.de/static/audio/solos/dtl/AQALdEqlhEqkJHiOfCSeCxc05kQsHdbB_0.02.18.044897-0.05.04.052244.mp3", "link")</f>
        <v>link</v>
      </c>
      <c r="D983" t="s">
        <v>3001</v>
      </c>
      <c r="E983" t="s">
        <v>3002</v>
      </c>
      <c r="F983" t="s">
        <v>3002</v>
      </c>
      <c r="G983" t="s">
        <v>3002</v>
      </c>
      <c r="J983" t="s">
        <v>3003</v>
      </c>
      <c r="K983" t="s">
        <v>4501</v>
      </c>
      <c r="L983" s="1" t="s">
        <v>3005</v>
      </c>
      <c r="M983" t="s">
        <v>2934</v>
      </c>
      <c r="N983" t="s">
        <v>46</v>
      </c>
      <c r="O983" s="1" t="s">
        <v>4502</v>
      </c>
      <c r="P983" s="1" t="s">
        <v>4503</v>
      </c>
    </row>
    <row r="984" spans="1:17" x14ac:dyDescent="0.25">
      <c r="A984" t="s">
        <v>4504</v>
      </c>
      <c r="B984" t="str">
        <f>HYPERLINK("https://staging-dtl-pattern-api.hfm-weimar.de/static/audio/solos/dtl/AQALDUmUJFK6JJES6EX23vAkHceLC4-b_0.01.30.032562-0.02.27.063247.mp3", "link")</f>
        <v>link</v>
      </c>
      <c r="D984" t="s">
        <v>3600</v>
      </c>
      <c r="E984" t="s">
        <v>2885</v>
      </c>
      <c r="F984" t="s">
        <v>305</v>
      </c>
      <c r="J984" t="s">
        <v>1006</v>
      </c>
      <c r="K984" t="s">
        <v>4505</v>
      </c>
      <c r="L984" s="1" t="s">
        <v>3602</v>
      </c>
      <c r="M984" t="s">
        <v>309</v>
      </c>
      <c r="N984" t="s">
        <v>172</v>
      </c>
      <c r="O984" s="1" t="s">
        <v>4506</v>
      </c>
      <c r="P984" s="1" t="s">
        <v>4507</v>
      </c>
    </row>
    <row r="985" spans="1:17" x14ac:dyDescent="0.25">
      <c r="A985" t="s">
        <v>4508</v>
      </c>
      <c r="B985" t="str">
        <f>HYPERLINK("https://staging-dtl-pattern-api.hfm-weimar.de/static/audio/solos/dtl/AQALDUmUJFK6JJES6EX23vAkHceLC4-b_0.02.27.063247-0.03.22.043156.mp3", "link")</f>
        <v>link</v>
      </c>
      <c r="D985" t="s">
        <v>3600</v>
      </c>
      <c r="E985" t="s">
        <v>304</v>
      </c>
      <c r="F985" t="s">
        <v>305</v>
      </c>
      <c r="J985" t="s">
        <v>1006</v>
      </c>
      <c r="K985" t="s">
        <v>4505</v>
      </c>
      <c r="L985" s="1" t="s">
        <v>3602</v>
      </c>
      <c r="M985" t="s">
        <v>309</v>
      </c>
      <c r="N985" t="s">
        <v>23</v>
      </c>
      <c r="O985" s="1" t="s">
        <v>4507</v>
      </c>
      <c r="P985" s="1" t="s">
        <v>4509</v>
      </c>
    </row>
    <row r="986" spans="1:17" x14ac:dyDescent="0.25">
      <c r="A986" t="s">
        <v>4510</v>
      </c>
      <c r="B986" t="str">
        <f>HYPERLINK("https://staging-dtl-pattern-api.hfm-weimar.de/static/audio/solos/dtl/AQALE3vCTRbuwW_xHfmR4AMjw2txhIde_0.00.39.041877-0.00.49.078219.mp3", "link")</f>
        <v>link</v>
      </c>
      <c r="D986" t="s">
        <v>4216</v>
      </c>
      <c r="E986" t="s">
        <v>4217</v>
      </c>
      <c r="F986" t="s">
        <v>4217</v>
      </c>
      <c r="G986" t="s">
        <v>4217</v>
      </c>
      <c r="J986" t="s">
        <v>2220</v>
      </c>
      <c r="K986" t="s">
        <v>4511</v>
      </c>
      <c r="L986" s="1" t="s">
        <v>4219</v>
      </c>
      <c r="M986" t="s">
        <v>309</v>
      </c>
      <c r="N986" t="s">
        <v>23</v>
      </c>
      <c r="O986" s="1" t="s">
        <v>4512</v>
      </c>
      <c r="P986" s="1" t="s">
        <v>4513</v>
      </c>
    </row>
    <row r="987" spans="1:17" x14ac:dyDescent="0.25">
      <c r="A987" t="s">
        <v>4514</v>
      </c>
      <c r="B987" t="str">
        <f>HYPERLINK("https://staging-dtl-pattern-api.hfm-weimar.de/static/audio/solos/dtl/AQALE3vCTRbuwW_xHfmR4AMjw2txhIde_0.01.45.091492-0.03.19.047682.mp3", "link")</f>
        <v>link</v>
      </c>
      <c r="D987" t="s">
        <v>4216</v>
      </c>
      <c r="E987" t="s">
        <v>4217</v>
      </c>
      <c r="F987" t="s">
        <v>4217</v>
      </c>
      <c r="G987" t="s">
        <v>4217</v>
      </c>
      <c r="J987" t="s">
        <v>2220</v>
      </c>
      <c r="K987" t="s">
        <v>4511</v>
      </c>
      <c r="L987" s="1" t="s">
        <v>4219</v>
      </c>
      <c r="M987" t="s">
        <v>309</v>
      </c>
      <c r="N987" t="s">
        <v>23</v>
      </c>
      <c r="O987" s="1" t="s">
        <v>4515</v>
      </c>
      <c r="P987" s="1" t="s">
        <v>4516</v>
      </c>
    </row>
    <row r="988" spans="1:17" x14ac:dyDescent="0.25">
      <c r="A988" t="s">
        <v>4517</v>
      </c>
      <c r="B988" t="str">
        <f>HYPERLINK("https://staging-dtl-pattern-api.hfm-weimar.de/static/audio/solos/dtl/AQALE3vCTRbuwW_xHfmR4AMjw2txhIde_0.03.19.047682-0.04.33.017115.mp3", "link")</f>
        <v>link</v>
      </c>
      <c r="D988" t="s">
        <v>4216</v>
      </c>
      <c r="E988" t="s">
        <v>4223</v>
      </c>
      <c r="F988" t="s">
        <v>4217</v>
      </c>
      <c r="G988" t="s">
        <v>4217</v>
      </c>
      <c r="J988" t="s">
        <v>2220</v>
      </c>
      <c r="K988" t="s">
        <v>4511</v>
      </c>
      <c r="L988" s="1" t="s">
        <v>4219</v>
      </c>
      <c r="M988" t="s">
        <v>309</v>
      </c>
      <c r="N988" t="s">
        <v>46</v>
      </c>
      <c r="O988" s="1" t="s">
        <v>4516</v>
      </c>
      <c r="P988" s="1" t="s">
        <v>4518</v>
      </c>
    </row>
    <row r="989" spans="1:17" x14ac:dyDescent="0.25">
      <c r="A989" t="s">
        <v>4519</v>
      </c>
      <c r="B989" t="str">
        <f>HYPERLINK("https://staging-dtl-pattern-api.hfm-weimar.de/static/audio/solos/dtl/AQALEosyJdkl4VSyiJhzESVTacgTJI0x_0.01.27.009804-0.02.53.031374.mp3", "link")</f>
        <v>link</v>
      </c>
      <c r="D989" t="s">
        <v>4520</v>
      </c>
      <c r="E989" t="s">
        <v>18</v>
      </c>
      <c r="F989" t="s">
        <v>18</v>
      </c>
      <c r="G989" t="s">
        <v>18</v>
      </c>
      <c r="J989" t="s">
        <v>4521</v>
      </c>
      <c r="K989" t="s">
        <v>4522</v>
      </c>
      <c r="L989" s="1" t="s">
        <v>4523</v>
      </c>
      <c r="M989" t="s">
        <v>129</v>
      </c>
      <c r="N989" t="s">
        <v>23</v>
      </c>
      <c r="O989" s="1" t="s">
        <v>4524</v>
      </c>
      <c r="P989" s="1" t="s">
        <v>4525</v>
      </c>
    </row>
    <row r="990" spans="1:17" x14ac:dyDescent="0.25">
      <c r="A990" t="s">
        <v>4526</v>
      </c>
      <c r="B990" t="str">
        <f>HYPERLINK("https://staging-dtl-pattern-api.hfm-weimar.de/static/audio/solos/dtl/AQALEosyJdkl4VSyiJhzESVTacgTJI0x_0.04.16.085913-0.05.20.034249.mp3", "link")</f>
        <v>link</v>
      </c>
      <c r="D990" t="s">
        <v>4520</v>
      </c>
      <c r="E990" t="s">
        <v>18</v>
      </c>
      <c r="F990" t="s">
        <v>18</v>
      </c>
      <c r="G990" t="s">
        <v>18</v>
      </c>
      <c r="J990" t="s">
        <v>4521</v>
      </c>
      <c r="K990" t="s">
        <v>4522</v>
      </c>
      <c r="L990" s="1" t="s">
        <v>4523</v>
      </c>
      <c r="M990" t="s">
        <v>129</v>
      </c>
      <c r="N990" t="s">
        <v>23</v>
      </c>
      <c r="O990" s="1" t="s">
        <v>4527</v>
      </c>
      <c r="P990" s="1" t="s">
        <v>4528</v>
      </c>
    </row>
    <row r="991" spans="1:17" x14ac:dyDescent="0.25">
      <c r="A991" t="s">
        <v>4529</v>
      </c>
      <c r="B991" t="str">
        <f>HYPERLINK("https://staging-dtl-pattern-api.hfm-weimar.de/static/audio/solos/dtl/AQALfBSpTUoW_MYTDl85nB_G3fgRtjvE_0.00.00.006530-0.00.42.053895.mp3", "link")</f>
        <v>link</v>
      </c>
      <c r="D991" t="s">
        <v>4530</v>
      </c>
      <c r="E991" t="s">
        <v>3053</v>
      </c>
      <c r="F991" t="s">
        <v>3054</v>
      </c>
      <c r="J991" t="s">
        <v>3055</v>
      </c>
      <c r="K991" t="s">
        <v>4531</v>
      </c>
      <c r="L991" s="1" t="s">
        <v>3057</v>
      </c>
      <c r="M991" t="s">
        <v>3058</v>
      </c>
      <c r="N991" t="s">
        <v>891</v>
      </c>
      <c r="O991" s="1" t="s">
        <v>4532</v>
      </c>
      <c r="P991" s="1" t="s">
        <v>4533</v>
      </c>
    </row>
    <row r="992" spans="1:17" x14ac:dyDescent="0.25">
      <c r="A992" t="s">
        <v>4534</v>
      </c>
      <c r="B992" t="str">
        <f>HYPERLINK("https://staging-dtl-pattern-api.hfm-weimar.de/static/audio/solos/dtl/AQALfBSpTUoW_MYTDl85nB_G3fgRtjvE_0.01.57.081224-0.04.09.046938.mp3", "link")</f>
        <v>link</v>
      </c>
      <c r="D992" t="s">
        <v>4530</v>
      </c>
      <c r="E992" t="s">
        <v>3053</v>
      </c>
      <c r="F992" t="s">
        <v>3054</v>
      </c>
      <c r="J992" t="s">
        <v>3055</v>
      </c>
      <c r="K992" t="s">
        <v>4531</v>
      </c>
      <c r="L992" s="1" t="s">
        <v>3057</v>
      </c>
      <c r="M992" t="s">
        <v>3058</v>
      </c>
      <c r="N992" t="s">
        <v>891</v>
      </c>
      <c r="O992" s="1" t="s">
        <v>4535</v>
      </c>
      <c r="P992" s="1" t="s">
        <v>4536</v>
      </c>
    </row>
    <row r="993" spans="1:17" x14ac:dyDescent="0.25">
      <c r="A993" t="s">
        <v>4537</v>
      </c>
      <c r="B993" t="str">
        <f>HYPERLINK("https://staging-dtl-pattern-api.hfm-weimar.de/static/audio/solos/dtl/AQALglJDSWrQHkn24JbQHSce8WAeK0hG_0.00.51.064117-0.02.10.096054.mp3", "link")</f>
        <v>link</v>
      </c>
      <c r="D993" t="s">
        <v>7125</v>
      </c>
      <c r="E993" t="s">
        <v>3453</v>
      </c>
      <c r="F993" t="s">
        <v>3453</v>
      </c>
      <c r="G993" t="s">
        <v>3453</v>
      </c>
      <c r="J993" t="s">
        <v>4538</v>
      </c>
      <c r="K993" t="s">
        <v>4539</v>
      </c>
      <c r="L993" s="1" t="s">
        <v>4540</v>
      </c>
      <c r="M993" t="s">
        <v>2180</v>
      </c>
      <c r="N993" t="s">
        <v>23</v>
      </c>
      <c r="O993" s="1" t="s">
        <v>4541</v>
      </c>
      <c r="P993" s="1" t="s">
        <v>4542</v>
      </c>
      <c r="Q993" s="1" t="s">
        <v>7296</v>
      </c>
    </row>
    <row r="994" spans="1:17" x14ac:dyDescent="0.25">
      <c r="A994" t="s">
        <v>4543</v>
      </c>
      <c r="B994" t="str">
        <f>HYPERLINK("https://staging-dtl-pattern-api.hfm-weimar.de/static/audio/solos/dtl/AQALglJDSWrQHkn24JbQHSce8WAeK0hG_0.02.10.096054-0.03.29.076907.mp3", "link")</f>
        <v>link</v>
      </c>
      <c r="D994" t="s">
        <v>7125</v>
      </c>
      <c r="E994" t="s">
        <v>4544</v>
      </c>
      <c r="F994" t="s">
        <v>3453</v>
      </c>
      <c r="G994" t="s">
        <v>3453</v>
      </c>
      <c r="J994" t="s">
        <v>4538</v>
      </c>
      <c r="K994" t="s">
        <v>4539</v>
      </c>
      <c r="L994" s="1" t="s">
        <v>4540</v>
      </c>
      <c r="M994" t="s">
        <v>2180</v>
      </c>
      <c r="N994" t="s">
        <v>46</v>
      </c>
      <c r="O994" s="1" t="s">
        <v>4542</v>
      </c>
      <c r="P994" s="1" t="s">
        <v>4545</v>
      </c>
      <c r="Q994" s="1" t="s">
        <v>7297</v>
      </c>
    </row>
    <row r="995" spans="1:17" x14ac:dyDescent="0.25">
      <c r="A995" t="s">
        <v>4546</v>
      </c>
      <c r="B995" t="str">
        <f>HYPERLINK("https://staging-dtl-pattern-api.hfm-weimar.de/static/audio/solos/dtl/AQALIomyKFGiKEOeHQf-4_HQMFfwJEcS_0.00.45.060399-0.01.39.010276.mp3", "link")</f>
        <v>link</v>
      </c>
      <c r="C995" t="s">
        <v>7127</v>
      </c>
      <c r="D995" t="s">
        <v>7126</v>
      </c>
      <c r="E995" t="s">
        <v>2795</v>
      </c>
      <c r="F995" t="s">
        <v>3338</v>
      </c>
      <c r="J995" t="s">
        <v>3339</v>
      </c>
      <c r="K995" t="s">
        <v>4548</v>
      </c>
      <c r="L995" s="1" t="s">
        <v>3341</v>
      </c>
      <c r="M995" t="s">
        <v>129</v>
      </c>
      <c r="N995" t="s">
        <v>46</v>
      </c>
      <c r="O995" s="1" t="s">
        <v>4549</v>
      </c>
      <c r="P995" s="1" t="s">
        <v>4550</v>
      </c>
      <c r="Q995" s="1" t="s">
        <v>7298</v>
      </c>
    </row>
    <row r="996" spans="1:17" x14ac:dyDescent="0.25">
      <c r="A996" t="s">
        <v>4551</v>
      </c>
      <c r="B996" t="str">
        <f>HYPERLINK("https://staging-dtl-pattern-api.hfm-weimar.de/static/audio/solos/dtl/AQALIomyKFGiKEOeHQf-4_HQMFfwJEcS_0.01.39.010276-0.02.30.004734.mp3", "link")</f>
        <v>link</v>
      </c>
      <c r="D996" t="s">
        <v>4547</v>
      </c>
      <c r="E996" t="s">
        <v>3337</v>
      </c>
      <c r="F996" t="s">
        <v>3338</v>
      </c>
      <c r="J996" t="s">
        <v>3339</v>
      </c>
      <c r="K996" t="s">
        <v>4548</v>
      </c>
      <c r="L996" s="1" t="s">
        <v>3341</v>
      </c>
      <c r="M996" t="s">
        <v>129</v>
      </c>
      <c r="N996" t="s">
        <v>23</v>
      </c>
      <c r="O996" s="1" t="s">
        <v>4550</v>
      </c>
      <c r="P996" s="1" t="s">
        <v>4552</v>
      </c>
    </row>
    <row r="997" spans="1:17" x14ac:dyDescent="0.25">
      <c r="A997" t="s">
        <v>4553</v>
      </c>
      <c r="B997" t="str">
        <f>HYPERLINK("https://staging-dtl-pattern-api.hfm-weimar.de/static/audio/solos/dtl/AQALIomyKFGiKEOeHQf-4_HQMFfwJEcS_0.02.30.004734-0.03.19.001823.mp3", "link")</f>
        <v>link</v>
      </c>
      <c r="D997" t="s">
        <v>4547</v>
      </c>
      <c r="E997" t="s">
        <v>3345</v>
      </c>
      <c r="F997" t="s">
        <v>3338</v>
      </c>
      <c r="J997" t="s">
        <v>3339</v>
      </c>
      <c r="K997" t="s">
        <v>4548</v>
      </c>
      <c r="L997" s="1" t="s">
        <v>3341</v>
      </c>
      <c r="M997" t="s">
        <v>129</v>
      </c>
      <c r="N997" t="s">
        <v>3348</v>
      </c>
      <c r="O997" s="1" t="s">
        <v>4552</v>
      </c>
      <c r="P997" s="1" t="s">
        <v>4554</v>
      </c>
    </row>
    <row r="998" spans="1:17" x14ac:dyDescent="0.25">
      <c r="A998" t="s">
        <v>4555</v>
      </c>
      <c r="B998" t="str">
        <f>HYPERLINK("https://staging-dtl-pattern-api.hfm-weimar.de/static/audio/solos/dtl/AQALIVEUJkqSOBHeLJB_vA8a3kH-ofuK_0.01.14.097723-0.02.18.064634.mp3", "link")</f>
        <v>link</v>
      </c>
      <c r="D998" t="s">
        <v>7128</v>
      </c>
      <c r="E998" t="s">
        <v>4557</v>
      </c>
      <c r="F998" t="s">
        <v>4558</v>
      </c>
      <c r="J998" t="s">
        <v>4559</v>
      </c>
      <c r="K998" t="s">
        <v>4560</v>
      </c>
      <c r="L998" s="1" t="s">
        <v>4561</v>
      </c>
      <c r="M998" t="s">
        <v>4562</v>
      </c>
      <c r="N998" t="s">
        <v>3348</v>
      </c>
      <c r="O998" s="1" t="s">
        <v>4563</v>
      </c>
      <c r="P998" s="1" t="s">
        <v>4564</v>
      </c>
      <c r="Q998" s="1" t="s">
        <v>7299</v>
      </c>
    </row>
    <row r="999" spans="1:17" x14ac:dyDescent="0.25">
      <c r="A999" t="s">
        <v>4565</v>
      </c>
      <c r="B999" t="str">
        <f>HYPERLINK("https://staging-dtl-pattern-api.hfm-weimar.de/static/audio/solos/dtl/AQALIVEUJkqSOBHeLJB_vA8a3kH-ofuK_0.02.18.064634-0.03.24.003374.mp3", "link")</f>
        <v>link</v>
      </c>
      <c r="D999" t="s">
        <v>4556</v>
      </c>
      <c r="E999" t="s">
        <v>4566</v>
      </c>
      <c r="F999" t="s">
        <v>4558</v>
      </c>
      <c r="J999" t="s">
        <v>4559</v>
      </c>
      <c r="K999" t="s">
        <v>4560</v>
      </c>
      <c r="L999" s="1" t="s">
        <v>4561</v>
      </c>
      <c r="M999" t="s">
        <v>4562</v>
      </c>
      <c r="N999" t="s">
        <v>202</v>
      </c>
      <c r="O999" s="1" t="s">
        <v>4564</v>
      </c>
      <c r="P999" s="1" t="s">
        <v>4567</v>
      </c>
    </row>
    <row r="1000" spans="1:17" x14ac:dyDescent="0.25">
      <c r="A1000" t="s">
        <v>4568</v>
      </c>
      <c r="B1000" t="str">
        <f>HYPERLINK("https://staging-dtl-pattern-api.hfm-weimar.de/static/audio/solos/dtl/AQALj2G20SnOH91z6MGbRI5RPcUh6viL_0.01.39.028852-0.02.43.018984.mp3", "link")</f>
        <v>link</v>
      </c>
      <c r="D1000" t="s">
        <v>4422</v>
      </c>
      <c r="E1000" t="s">
        <v>4423</v>
      </c>
      <c r="F1000" t="s">
        <v>3942</v>
      </c>
      <c r="G1000" t="s">
        <v>3942</v>
      </c>
      <c r="J1000" t="s">
        <v>4424</v>
      </c>
      <c r="K1000" t="s">
        <v>4569</v>
      </c>
      <c r="L1000" s="1" t="s">
        <v>4426</v>
      </c>
      <c r="M1000" t="s">
        <v>129</v>
      </c>
      <c r="N1000" t="s">
        <v>23</v>
      </c>
      <c r="O1000" s="1" t="s">
        <v>4570</v>
      </c>
      <c r="P1000" s="1" t="s">
        <v>4571</v>
      </c>
    </row>
    <row r="1001" spans="1:17" x14ac:dyDescent="0.25">
      <c r="A1001" t="s">
        <v>4572</v>
      </c>
      <c r="B1001" t="str">
        <f>HYPERLINK("https://staging-dtl-pattern-api.hfm-weimar.de/static/audio/solos/dtl/AQALJk-sRsL1oXFToxaJO0eO6XygKHpS_0.00.54.024181-0.01.56.070349.mp3", "link")</f>
        <v>link</v>
      </c>
      <c r="D1001" t="s">
        <v>4573</v>
      </c>
      <c r="E1001" t="s">
        <v>304</v>
      </c>
      <c r="F1001" t="s">
        <v>305</v>
      </c>
      <c r="J1001" t="s">
        <v>4574</v>
      </c>
      <c r="K1001" t="s">
        <v>4575</v>
      </c>
      <c r="L1001" s="1" t="s">
        <v>4576</v>
      </c>
      <c r="M1001" t="s">
        <v>309</v>
      </c>
      <c r="N1001" t="s">
        <v>23</v>
      </c>
      <c r="O1001" s="1" t="s">
        <v>4577</v>
      </c>
      <c r="P1001" s="1" t="s">
        <v>4578</v>
      </c>
    </row>
    <row r="1002" spans="1:17" x14ac:dyDescent="0.25">
      <c r="A1002" t="s">
        <v>4579</v>
      </c>
      <c r="B1002" t="str">
        <f>HYPERLINK("https://staging-dtl-pattern-api.hfm-weimar.de/static/audio/solos/dtl/AQALJk-sRsL1oXFToxaJO0eO6XygKHpS_0.01.56.070349-0.02.58.023637.mp3", "link")</f>
        <v>link</v>
      </c>
      <c r="D1002" t="s">
        <v>4573</v>
      </c>
      <c r="E1002" t="s">
        <v>2885</v>
      </c>
      <c r="F1002" t="s">
        <v>305</v>
      </c>
      <c r="J1002" t="s">
        <v>4574</v>
      </c>
      <c r="K1002" t="s">
        <v>4575</v>
      </c>
      <c r="L1002" s="1" t="s">
        <v>4576</v>
      </c>
      <c r="M1002" t="s">
        <v>309</v>
      </c>
      <c r="N1002" t="s">
        <v>172</v>
      </c>
      <c r="O1002" s="1" t="s">
        <v>4578</v>
      </c>
      <c r="P1002" s="1" t="s">
        <v>4580</v>
      </c>
    </row>
    <row r="1003" spans="1:17" x14ac:dyDescent="0.25">
      <c r="A1003" t="s">
        <v>4581</v>
      </c>
      <c r="B1003" t="str">
        <f>HYPERLINK("https://staging-dtl-pattern-api.hfm-weimar.de/static/audio/solos/dtl/AQALJpEeRhID5niCHU6YHndQ5oH3FeEv_0.00.58.060716-0.02.18.078566.mp3", "link")</f>
        <v>link</v>
      </c>
      <c r="D1003" t="s">
        <v>4573</v>
      </c>
      <c r="E1003" t="s">
        <v>304</v>
      </c>
      <c r="F1003" t="s">
        <v>305</v>
      </c>
      <c r="J1003" t="s">
        <v>3782</v>
      </c>
      <c r="K1003" t="s">
        <v>4582</v>
      </c>
      <c r="L1003" s="1" t="s">
        <v>4583</v>
      </c>
      <c r="M1003" t="s">
        <v>309</v>
      </c>
      <c r="N1003" t="s">
        <v>23</v>
      </c>
      <c r="O1003" s="1" t="s">
        <v>4584</v>
      </c>
      <c r="P1003" s="1" t="s">
        <v>4585</v>
      </c>
    </row>
    <row r="1004" spans="1:17" x14ac:dyDescent="0.25">
      <c r="A1004" t="s">
        <v>4586</v>
      </c>
      <c r="B1004" t="str">
        <f>HYPERLINK("https://staging-dtl-pattern-api.hfm-weimar.de/static/audio/solos/dtl/AQALJpEeRhID5niCHU6YHndQ5oH3FeEv_0.02.18.078566-0.03.38.094095.mp3", "link")</f>
        <v>link</v>
      </c>
      <c r="D1004" t="s">
        <v>4573</v>
      </c>
      <c r="E1004" t="s">
        <v>2885</v>
      </c>
      <c r="F1004" t="s">
        <v>305</v>
      </c>
      <c r="J1004" t="s">
        <v>3782</v>
      </c>
      <c r="K1004" t="s">
        <v>4582</v>
      </c>
      <c r="L1004" s="1" t="s">
        <v>4583</v>
      </c>
      <c r="M1004" t="s">
        <v>309</v>
      </c>
      <c r="N1004" t="s">
        <v>172</v>
      </c>
      <c r="O1004" s="1" t="s">
        <v>4585</v>
      </c>
      <c r="P1004" s="1" t="s">
        <v>4587</v>
      </c>
    </row>
    <row r="1005" spans="1:17" x14ac:dyDescent="0.25">
      <c r="A1005" t="s">
        <v>4588</v>
      </c>
      <c r="B1005" t="str">
        <f>HYPERLINK("https://staging-dtl-pattern-api.hfm-weimar.de/static/audio/solos/dtl/AQALkkqSRPGWSApeF_-xH-nyoJQIHTX8_0.03.50.020698-0.04.47.055591.mp3", "link")</f>
        <v>link</v>
      </c>
      <c r="C1005" t="s">
        <v>4589</v>
      </c>
      <c r="D1005" t="s">
        <v>4590</v>
      </c>
      <c r="F1005" t="s">
        <v>3555</v>
      </c>
      <c r="G1005" t="s">
        <v>3555</v>
      </c>
      <c r="J1005" t="s">
        <v>4120</v>
      </c>
      <c r="K1005" t="s">
        <v>4591</v>
      </c>
      <c r="L1005" s="1" t="s">
        <v>4122</v>
      </c>
      <c r="M1005" t="s">
        <v>182</v>
      </c>
      <c r="N1005" t="s">
        <v>23</v>
      </c>
      <c r="O1005" s="1" t="s">
        <v>4592</v>
      </c>
      <c r="P1005" s="1" t="s">
        <v>4593</v>
      </c>
    </row>
    <row r="1006" spans="1:17" x14ac:dyDescent="0.25">
      <c r="A1006" t="s">
        <v>4594</v>
      </c>
      <c r="B1006" t="str">
        <f>HYPERLINK("https://staging-dtl-pattern-api.hfm-weimar.de/static/audio/solos/dtl/AQALL0micYmypEESMwvxXxHOD_exH83y_0.01.27.005160-0.02.44.051337.mp3", "link")</f>
        <v>link</v>
      </c>
      <c r="D1006" t="s">
        <v>3150</v>
      </c>
      <c r="E1006" t="s">
        <v>3151</v>
      </c>
      <c r="F1006" t="s">
        <v>3151</v>
      </c>
      <c r="G1006" t="s">
        <v>3151</v>
      </c>
      <c r="J1006" t="s">
        <v>3152</v>
      </c>
      <c r="K1006" t="s">
        <v>4595</v>
      </c>
      <c r="L1006" s="1" t="s">
        <v>3154</v>
      </c>
      <c r="M1006" t="s">
        <v>129</v>
      </c>
      <c r="N1006" t="s">
        <v>109</v>
      </c>
      <c r="O1006" s="1" t="s">
        <v>4596</v>
      </c>
      <c r="P1006" s="1" t="s">
        <v>4597</v>
      </c>
    </row>
    <row r="1007" spans="1:17" x14ac:dyDescent="0.25">
      <c r="A1007" t="s">
        <v>4598</v>
      </c>
      <c r="B1007" t="str">
        <f>HYPERLINK("https://staging-dtl-pattern-api.hfm-weimar.de/static/audio/solos/dtl/AQALn3SUZJMSJbge_EKy5wrC5BPexA0u_0.00.09.070594-0.02.02.099609.mp3", "link")</f>
        <v>link</v>
      </c>
      <c r="D1007" t="s">
        <v>7129</v>
      </c>
      <c r="E1007" t="s">
        <v>266</v>
      </c>
      <c r="F1007" t="s">
        <v>4599</v>
      </c>
      <c r="G1007" t="s">
        <v>266</v>
      </c>
      <c r="H1007" t="s">
        <v>4600</v>
      </c>
      <c r="I1007">
        <v>85</v>
      </c>
      <c r="J1007" t="s">
        <v>141</v>
      </c>
      <c r="K1007" t="s">
        <v>4601</v>
      </c>
      <c r="L1007" s="1" t="s">
        <v>4602</v>
      </c>
      <c r="M1007" t="s">
        <v>309</v>
      </c>
      <c r="N1007" t="s">
        <v>23</v>
      </c>
      <c r="O1007" s="1" t="s">
        <v>4603</v>
      </c>
      <c r="P1007" s="1" t="s">
        <v>4604</v>
      </c>
      <c r="Q1007" s="1" t="s">
        <v>7300</v>
      </c>
    </row>
    <row r="1008" spans="1:17" x14ac:dyDescent="0.25">
      <c r="A1008" t="s">
        <v>4605</v>
      </c>
      <c r="B1008" t="str">
        <f>HYPERLINK("https://staging-dtl-pattern-api.hfm-weimar.de/static/audio/solos/dtl/AQALn3SUZJMSJbge_EKy5wrC5BPexA0u_0.02.02.099609-0.03.41.088988.mp3", "link")</f>
        <v>link</v>
      </c>
      <c r="D1008" t="s">
        <v>7129</v>
      </c>
      <c r="E1008" t="s">
        <v>2795</v>
      </c>
      <c r="F1008" t="s">
        <v>4599</v>
      </c>
      <c r="G1008" t="s">
        <v>266</v>
      </c>
      <c r="H1008" t="s">
        <v>4600</v>
      </c>
      <c r="I1008">
        <v>85</v>
      </c>
      <c r="J1008" t="s">
        <v>141</v>
      </c>
      <c r="K1008" t="s">
        <v>4601</v>
      </c>
      <c r="L1008" s="1" t="s">
        <v>4602</v>
      </c>
      <c r="M1008" t="s">
        <v>309</v>
      </c>
      <c r="N1008" t="s">
        <v>46</v>
      </c>
      <c r="O1008" s="1" t="s">
        <v>4604</v>
      </c>
      <c r="P1008" s="1" t="s">
        <v>4606</v>
      </c>
      <c r="Q1008" s="1" t="s">
        <v>7301</v>
      </c>
    </row>
    <row r="1009" spans="1:17" x14ac:dyDescent="0.25">
      <c r="A1009" t="s">
        <v>4607</v>
      </c>
      <c r="B1009" t="str">
        <f>HYPERLINK("https://staging-dtl-pattern-api.hfm-weimar.de/static/audio/solos/dtl/AQALn3SUZJMSJbge_EKy5wrC5BPexA0u_0.04.36.041034-0.04.40.063346.mp3", "link")</f>
        <v>link</v>
      </c>
      <c r="D1009" t="s">
        <v>7129</v>
      </c>
      <c r="E1009" t="s">
        <v>266</v>
      </c>
      <c r="F1009" t="s">
        <v>4599</v>
      </c>
      <c r="G1009" t="s">
        <v>266</v>
      </c>
      <c r="H1009" t="s">
        <v>4600</v>
      </c>
      <c r="I1009">
        <v>85</v>
      </c>
      <c r="J1009" t="s">
        <v>141</v>
      </c>
      <c r="K1009" t="s">
        <v>4601</v>
      </c>
      <c r="L1009" s="1" t="s">
        <v>4602</v>
      </c>
      <c r="M1009" t="s">
        <v>309</v>
      </c>
      <c r="N1009" t="s">
        <v>23</v>
      </c>
      <c r="O1009" s="1" t="s">
        <v>4608</v>
      </c>
      <c r="P1009" s="1" t="s">
        <v>4609</v>
      </c>
      <c r="Q1009" s="1" t="s">
        <v>7300</v>
      </c>
    </row>
    <row r="1010" spans="1:17" x14ac:dyDescent="0.25">
      <c r="A1010" t="s">
        <v>4610</v>
      </c>
      <c r="B1010" t="str">
        <f>HYPERLINK("https://staging-dtl-pattern-api.hfm-weimar.de/static/audio/solos/dtl/AQALn3SUZJMSJbge_EKy5wrC5BPexA0u_0.04.40.063346-0.04.45.007428.mp3", "link")</f>
        <v>link</v>
      </c>
      <c r="D1010" t="s">
        <v>7129</v>
      </c>
      <c r="E1010" t="s">
        <v>2795</v>
      </c>
      <c r="F1010" t="s">
        <v>4599</v>
      </c>
      <c r="G1010" t="s">
        <v>266</v>
      </c>
      <c r="H1010" t="s">
        <v>4600</v>
      </c>
      <c r="I1010">
        <v>85</v>
      </c>
      <c r="J1010" t="s">
        <v>141</v>
      </c>
      <c r="K1010" t="s">
        <v>4601</v>
      </c>
      <c r="L1010" s="1" t="s">
        <v>4602</v>
      </c>
      <c r="M1010" t="s">
        <v>309</v>
      </c>
      <c r="N1010" t="s">
        <v>46</v>
      </c>
      <c r="O1010" s="1" t="s">
        <v>4609</v>
      </c>
      <c r="P1010" s="1" t="s">
        <v>4611</v>
      </c>
      <c r="Q1010" s="1" t="s">
        <v>7301</v>
      </c>
    </row>
    <row r="1011" spans="1:17" x14ac:dyDescent="0.25">
      <c r="A1011" t="s">
        <v>4612</v>
      </c>
      <c r="B1011" t="str">
        <f>HYPERLINK("https://staging-dtl-pattern-api.hfm-weimar.de/static/audio/solos/dtl/AQALn3SUZJMSJbge_EKy5wrC5BPexA0u_0.04.45.007428-0.04.49.056734.mp3", "link")</f>
        <v>link</v>
      </c>
      <c r="D1011" t="s">
        <v>7129</v>
      </c>
      <c r="E1011" t="s">
        <v>266</v>
      </c>
      <c r="F1011" t="s">
        <v>4599</v>
      </c>
      <c r="G1011" t="s">
        <v>266</v>
      </c>
      <c r="H1011" t="s">
        <v>4600</v>
      </c>
      <c r="I1011">
        <v>85</v>
      </c>
      <c r="J1011" t="s">
        <v>141</v>
      </c>
      <c r="K1011" t="s">
        <v>4601</v>
      </c>
      <c r="L1011" s="1" t="s">
        <v>4602</v>
      </c>
      <c r="M1011" t="s">
        <v>309</v>
      </c>
      <c r="N1011" t="s">
        <v>23</v>
      </c>
      <c r="O1011" s="1" t="s">
        <v>4611</v>
      </c>
      <c r="P1011" s="1" t="s">
        <v>4613</v>
      </c>
      <c r="Q1011" s="1" t="s">
        <v>7300</v>
      </c>
    </row>
    <row r="1012" spans="1:17" x14ac:dyDescent="0.25">
      <c r="A1012" t="s">
        <v>4614</v>
      </c>
      <c r="B1012" t="str">
        <f>HYPERLINK("https://staging-dtl-pattern-api.hfm-weimar.de/static/audio/solos/dtl/AQALn3SUZJMSJbge_EKy5wrC5BPexA0u_0.04.49.056734-0.04.53.090367.mp3", "link")</f>
        <v>link</v>
      </c>
      <c r="D1012" t="s">
        <v>7129</v>
      </c>
      <c r="E1012" t="s">
        <v>2795</v>
      </c>
      <c r="F1012" t="s">
        <v>4599</v>
      </c>
      <c r="G1012" t="s">
        <v>266</v>
      </c>
      <c r="H1012" t="s">
        <v>4600</v>
      </c>
      <c r="I1012">
        <v>85</v>
      </c>
      <c r="J1012" t="s">
        <v>141</v>
      </c>
      <c r="K1012" t="s">
        <v>4601</v>
      </c>
      <c r="L1012" s="1" t="s">
        <v>4602</v>
      </c>
      <c r="M1012" t="s">
        <v>309</v>
      </c>
      <c r="N1012" t="s">
        <v>46</v>
      </c>
      <c r="O1012" s="1" t="s">
        <v>4613</v>
      </c>
      <c r="P1012" s="1" t="s">
        <v>4615</v>
      </c>
      <c r="Q1012" s="1" t="s">
        <v>7301</v>
      </c>
    </row>
    <row r="1013" spans="1:17" x14ac:dyDescent="0.25">
      <c r="A1013" t="s">
        <v>4616</v>
      </c>
      <c r="B1013" t="str">
        <f>HYPERLINK("https://staging-dtl-pattern-api.hfm-weimar.de/static/audio/solos/dtl/AQALn3SUZJMSJbge_EKy5wrC5BPexA0u_0.04.53.090367-0.04.58.063183.mp3", "link")</f>
        <v>link</v>
      </c>
      <c r="D1013" t="s">
        <v>7129</v>
      </c>
      <c r="E1013" t="s">
        <v>266</v>
      </c>
      <c r="F1013" t="s">
        <v>4599</v>
      </c>
      <c r="G1013" t="s">
        <v>266</v>
      </c>
      <c r="H1013" t="s">
        <v>4600</v>
      </c>
      <c r="I1013">
        <v>85</v>
      </c>
      <c r="J1013" t="s">
        <v>141</v>
      </c>
      <c r="K1013" t="s">
        <v>4601</v>
      </c>
      <c r="L1013" s="1" t="s">
        <v>4602</v>
      </c>
      <c r="M1013" t="s">
        <v>309</v>
      </c>
      <c r="N1013" t="s">
        <v>23</v>
      </c>
      <c r="O1013" s="1" t="s">
        <v>4615</v>
      </c>
      <c r="P1013" s="1" t="s">
        <v>4617</v>
      </c>
      <c r="Q1013" s="1" t="s">
        <v>7300</v>
      </c>
    </row>
    <row r="1014" spans="1:17" x14ac:dyDescent="0.25">
      <c r="A1014" t="s">
        <v>4618</v>
      </c>
      <c r="B1014" t="str">
        <f>HYPERLINK("https://staging-dtl-pattern-api.hfm-weimar.de/static/audio/solos/dtl/AQALn3SUZJMSJbge_EKy5wrC5BPexA0u_0.04.58.063183-0.05.03.030775.mp3", "link")</f>
        <v>link</v>
      </c>
      <c r="D1014" t="s">
        <v>7129</v>
      </c>
      <c r="E1014" t="s">
        <v>2795</v>
      </c>
      <c r="F1014" t="s">
        <v>4599</v>
      </c>
      <c r="G1014" t="s">
        <v>266</v>
      </c>
      <c r="H1014" t="s">
        <v>4600</v>
      </c>
      <c r="I1014">
        <v>85</v>
      </c>
      <c r="J1014" t="s">
        <v>141</v>
      </c>
      <c r="K1014" t="s">
        <v>4601</v>
      </c>
      <c r="L1014" s="1" t="s">
        <v>4602</v>
      </c>
      <c r="M1014" t="s">
        <v>309</v>
      </c>
      <c r="N1014" t="s">
        <v>46</v>
      </c>
      <c r="O1014" s="1" t="s">
        <v>4617</v>
      </c>
      <c r="P1014" s="1" t="s">
        <v>4619</v>
      </c>
      <c r="Q1014" s="1" t="s">
        <v>7301</v>
      </c>
    </row>
    <row r="1015" spans="1:17" x14ac:dyDescent="0.25">
      <c r="A1015" t="s">
        <v>4620</v>
      </c>
      <c r="B1015" t="str">
        <f>HYPERLINK("https://staging-dtl-pattern-api.hfm-weimar.de/static/audio/solos/dtl/AQALn3SUZJMSJbge_EKy5wrC5BPexA0u_0.05.03.030775-0.05.07.095755.mp3", "link")</f>
        <v>link</v>
      </c>
      <c r="D1015" t="s">
        <v>7129</v>
      </c>
      <c r="E1015" t="s">
        <v>266</v>
      </c>
      <c r="F1015" t="s">
        <v>4599</v>
      </c>
      <c r="G1015" t="s">
        <v>266</v>
      </c>
      <c r="H1015" t="s">
        <v>4600</v>
      </c>
      <c r="I1015">
        <v>85</v>
      </c>
      <c r="J1015" t="s">
        <v>141</v>
      </c>
      <c r="K1015" t="s">
        <v>4601</v>
      </c>
      <c r="L1015" s="1" t="s">
        <v>4602</v>
      </c>
      <c r="M1015" t="s">
        <v>309</v>
      </c>
      <c r="N1015" t="s">
        <v>23</v>
      </c>
      <c r="O1015" s="1" t="s">
        <v>4619</v>
      </c>
      <c r="P1015" s="1" t="s">
        <v>4621</v>
      </c>
      <c r="Q1015" s="1" t="s">
        <v>7300</v>
      </c>
    </row>
    <row r="1016" spans="1:17" x14ac:dyDescent="0.25">
      <c r="A1016" t="s">
        <v>4622</v>
      </c>
      <c r="B1016" t="str">
        <f>HYPERLINK("https://staging-dtl-pattern-api.hfm-weimar.de/static/audio/solos/dtl/AQALn3SUZJMSJbge_EKy5wrC5BPexA0u_0.05.07.095755-0.05.12.079020.mp3", "link")</f>
        <v>link</v>
      </c>
      <c r="D1016" t="s">
        <v>7129</v>
      </c>
      <c r="E1016" t="s">
        <v>2795</v>
      </c>
      <c r="F1016" t="s">
        <v>4599</v>
      </c>
      <c r="G1016" t="s">
        <v>266</v>
      </c>
      <c r="H1016" t="s">
        <v>4600</v>
      </c>
      <c r="I1016">
        <v>85</v>
      </c>
      <c r="J1016" t="s">
        <v>141</v>
      </c>
      <c r="K1016" t="s">
        <v>4601</v>
      </c>
      <c r="L1016" s="1" t="s">
        <v>4602</v>
      </c>
      <c r="M1016" t="s">
        <v>309</v>
      </c>
      <c r="N1016" t="s">
        <v>46</v>
      </c>
      <c r="O1016" s="1" t="s">
        <v>4621</v>
      </c>
      <c r="P1016" s="1" t="s">
        <v>4623</v>
      </c>
      <c r="Q1016" s="1" t="s">
        <v>7301</v>
      </c>
    </row>
    <row r="1017" spans="1:17" x14ac:dyDescent="0.25">
      <c r="A1017" t="s">
        <v>4624</v>
      </c>
      <c r="B1017" t="str">
        <f>HYPERLINK("https://staging-dtl-pattern-api.hfm-weimar.de/static/audio/solos/dtl/AQALn3SUZJMSJbge_EKy5wrC5BPexA0u_0.05.12.079020-0.05.16.063020.mp3", "link")</f>
        <v>link</v>
      </c>
      <c r="D1017" t="s">
        <v>7129</v>
      </c>
      <c r="E1017" t="s">
        <v>266</v>
      </c>
      <c r="F1017" t="s">
        <v>4599</v>
      </c>
      <c r="G1017" t="s">
        <v>266</v>
      </c>
      <c r="H1017" t="s">
        <v>4600</v>
      </c>
      <c r="I1017">
        <v>85</v>
      </c>
      <c r="J1017" t="s">
        <v>141</v>
      </c>
      <c r="K1017" t="s">
        <v>4601</v>
      </c>
      <c r="L1017" s="1" t="s">
        <v>4602</v>
      </c>
      <c r="M1017" t="s">
        <v>309</v>
      </c>
      <c r="N1017" t="s">
        <v>23</v>
      </c>
      <c r="O1017" s="1" t="s">
        <v>4623</v>
      </c>
      <c r="P1017" s="1" t="s">
        <v>4625</v>
      </c>
      <c r="Q1017" s="1" t="s">
        <v>7300</v>
      </c>
    </row>
    <row r="1018" spans="1:17" x14ac:dyDescent="0.25">
      <c r="A1018" t="s">
        <v>4626</v>
      </c>
      <c r="B1018" t="str">
        <f>HYPERLINK("https://staging-dtl-pattern-api.hfm-weimar.de/static/audio/solos/dtl/AQALn3SUZJMSJbge_EKy5wrC5BPexA0u_0.05.16.063020-0.05.22.011591.mp3", "link")</f>
        <v>link</v>
      </c>
      <c r="D1018" t="s">
        <v>7129</v>
      </c>
      <c r="E1018" t="s">
        <v>2795</v>
      </c>
      <c r="F1018" t="s">
        <v>4599</v>
      </c>
      <c r="G1018" t="s">
        <v>266</v>
      </c>
      <c r="H1018" t="s">
        <v>4600</v>
      </c>
      <c r="I1018">
        <v>85</v>
      </c>
      <c r="J1018" t="s">
        <v>141</v>
      </c>
      <c r="K1018" t="s">
        <v>4601</v>
      </c>
      <c r="L1018" s="1" t="s">
        <v>4602</v>
      </c>
      <c r="M1018" t="s">
        <v>309</v>
      </c>
      <c r="N1018" t="s">
        <v>46</v>
      </c>
      <c r="O1018" s="1" t="s">
        <v>4625</v>
      </c>
      <c r="P1018" s="1" t="s">
        <v>4627</v>
      </c>
      <c r="Q1018" s="1" t="s">
        <v>7301</v>
      </c>
    </row>
    <row r="1019" spans="1:17" x14ac:dyDescent="0.25">
      <c r="A1019" t="s">
        <v>4628</v>
      </c>
      <c r="B1019" t="str">
        <f>HYPERLINK("https://staging-dtl-pattern-api.hfm-weimar.de/static/audio/solos/dtl/AQALn3SUZJMSJbge_EKy5wrC5BPexA0u_0.05.22.011591-0.05.26.032163.mp3", "link")</f>
        <v>link</v>
      </c>
      <c r="D1019" t="s">
        <v>7129</v>
      </c>
      <c r="E1019" t="s">
        <v>266</v>
      </c>
      <c r="F1019" t="s">
        <v>4599</v>
      </c>
      <c r="G1019" t="s">
        <v>266</v>
      </c>
      <c r="H1019" t="s">
        <v>4600</v>
      </c>
      <c r="I1019">
        <v>85</v>
      </c>
      <c r="J1019" t="s">
        <v>141</v>
      </c>
      <c r="K1019" t="s">
        <v>4601</v>
      </c>
      <c r="L1019" s="1" t="s">
        <v>4602</v>
      </c>
      <c r="M1019" t="s">
        <v>309</v>
      </c>
      <c r="N1019" t="s">
        <v>23</v>
      </c>
      <c r="O1019" s="1" t="s">
        <v>4627</v>
      </c>
      <c r="P1019" s="1" t="s">
        <v>4629</v>
      </c>
      <c r="Q1019" s="1" t="s">
        <v>7300</v>
      </c>
    </row>
    <row r="1020" spans="1:17" x14ac:dyDescent="0.25">
      <c r="A1020" t="s">
        <v>4630</v>
      </c>
      <c r="B1020" t="str">
        <f>HYPERLINK("https://staging-dtl-pattern-api.hfm-weimar.de/static/audio/solos/dtl/AQALn3SUZJMSJbge_EKy5wrC5BPexA0u_0.05.26.032163-0.05.30.016163.mp3", "link")</f>
        <v>link</v>
      </c>
      <c r="D1020" t="s">
        <v>7129</v>
      </c>
      <c r="E1020" t="s">
        <v>2795</v>
      </c>
      <c r="F1020" t="s">
        <v>4599</v>
      </c>
      <c r="G1020" t="s">
        <v>266</v>
      </c>
      <c r="H1020" t="s">
        <v>4600</v>
      </c>
      <c r="I1020">
        <v>85</v>
      </c>
      <c r="J1020" t="s">
        <v>141</v>
      </c>
      <c r="K1020" t="s">
        <v>4601</v>
      </c>
      <c r="L1020" s="1" t="s">
        <v>4602</v>
      </c>
      <c r="M1020" t="s">
        <v>309</v>
      </c>
      <c r="N1020" t="s">
        <v>46</v>
      </c>
      <c r="O1020" s="1" t="s">
        <v>4629</v>
      </c>
      <c r="P1020" s="1" t="s">
        <v>4631</v>
      </c>
      <c r="Q1020" s="1" t="s">
        <v>7301</v>
      </c>
    </row>
    <row r="1021" spans="1:17" x14ac:dyDescent="0.25">
      <c r="A1021" t="s">
        <v>4632</v>
      </c>
      <c r="B1021" t="str">
        <f>HYPERLINK("https://staging-dtl-pattern-api.hfm-weimar.de/static/audio/solos/dtl/AQALn4ymLJHEoD9-PAhTXUjmxEwyHA-e_0.01.44.048979-0.04.23.033750.mp3", "link")</f>
        <v>link</v>
      </c>
      <c r="C1021" t="s">
        <v>2174</v>
      </c>
      <c r="D1021" t="s">
        <v>4633</v>
      </c>
      <c r="F1021" t="s">
        <v>2176</v>
      </c>
      <c r="J1021" t="s">
        <v>2177</v>
      </c>
      <c r="K1021" t="s">
        <v>4634</v>
      </c>
      <c r="L1021" s="1" t="s">
        <v>2179</v>
      </c>
      <c r="M1021" t="s">
        <v>2180</v>
      </c>
      <c r="N1021" t="s">
        <v>46</v>
      </c>
      <c r="O1021" s="1" t="s">
        <v>2741</v>
      </c>
      <c r="P1021" s="1" t="s">
        <v>4635</v>
      </c>
    </row>
    <row r="1022" spans="1:17" x14ac:dyDescent="0.25">
      <c r="A1022" t="s">
        <v>4636</v>
      </c>
      <c r="B1022" t="str">
        <f>HYPERLINK("https://staging-dtl-pattern-api.hfm-weimar.de/static/audio/solos/dtl/AQALnAnHW3hfYTq0NEb-BI8X8PiM41wz_0.02.08.077786-0.03.54.033578.mp3", "link")</f>
        <v>link</v>
      </c>
      <c r="D1022" t="s">
        <v>4637</v>
      </c>
      <c r="E1022" t="s">
        <v>2811</v>
      </c>
      <c r="F1022" t="s">
        <v>4638</v>
      </c>
      <c r="G1022" t="s">
        <v>4638</v>
      </c>
      <c r="J1022" t="s">
        <v>4639</v>
      </c>
      <c r="K1022" t="s">
        <v>4640</v>
      </c>
      <c r="L1022" s="1" t="s">
        <v>4641</v>
      </c>
      <c r="M1022" t="s">
        <v>129</v>
      </c>
      <c r="N1022" t="s">
        <v>23</v>
      </c>
      <c r="O1022" s="1" t="s">
        <v>4642</v>
      </c>
      <c r="P1022" s="1" t="s">
        <v>4643</v>
      </c>
    </row>
    <row r="1023" spans="1:17" x14ac:dyDescent="0.25">
      <c r="A1023" t="s">
        <v>4644</v>
      </c>
      <c r="B1023" t="str">
        <f>HYPERLINK("https://staging-dtl-pattern-api.hfm-weimar.de/static/audio/solos/dtl/AQALnAnHW3hfYTq0NEb-BI8X8PiM41wz_0.03.54.033578-0.05.06.041052.mp3", "link")</f>
        <v>link</v>
      </c>
      <c r="D1023" t="s">
        <v>4637</v>
      </c>
      <c r="E1023" t="s">
        <v>4638</v>
      </c>
      <c r="F1023" t="s">
        <v>4638</v>
      </c>
      <c r="G1023" t="s">
        <v>4638</v>
      </c>
      <c r="J1023" t="s">
        <v>4639</v>
      </c>
      <c r="K1023" t="s">
        <v>4640</v>
      </c>
      <c r="L1023" s="1" t="s">
        <v>4641</v>
      </c>
      <c r="M1023" t="s">
        <v>129</v>
      </c>
      <c r="N1023" t="s">
        <v>3348</v>
      </c>
      <c r="O1023" s="1" t="s">
        <v>4643</v>
      </c>
      <c r="P1023" s="1" t="s">
        <v>4645</v>
      </c>
    </row>
    <row r="1024" spans="1:17" x14ac:dyDescent="0.25">
      <c r="A1024" t="s">
        <v>4646</v>
      </c>
      <c r="B1024" t="str">
        <f>HYPERLINK("https://staging-dtl-pattern-api.hfm-weimar.de/static/audio/solos/dtl/AQALPqKU5BrRNDmS_ULkLEkJPgv2o8sH_0.00.51.024643-0.02.24.089251.mp3", "link")</f>
        <v>link</v>
      </c>
      <c r="D1024" t="s">
        <v>4647</v>
      </c>
      <c r="E1024" t="s">
        <v>550</v>
      </c>
      <c r="F1024" t="s">
        <v>4648</v>
      </c>
      <c r="G1024" t="s">
        <v>543</v>
      </c>
      <c r="H1024" t="s">
        <v>4649</v>
      </c>
      <c r="I1024">
        <v>37</v>
      </c>
      <c r="J1024" t="s">
        <v>126</v>
      </c>
      <c r="K1024" t="s">
        <v>4650</v>
      </c>
      <c r="L1024" s="1" t="s">
        <v>4651</v>
      </c>
      <c r="M1024" t="s">
        <v>129</v>
      </c>
      <c r="N1024" t="s">
        <v>46</v>
      </c>
      <c r="O1024" s="1" t="s">
        <v>4652</v>
      </c>
      <c r="P1024" s="1" t="s">
        <v>4653</v>
      </c>
    </row>
    <row r="1025" spans="1:17" x14ac:dyDescent="0.25">
      <c r="A1025" t="s">
        <v>4654</v>
      </c>
      <c r="B1025" t="str">
        <f>HYPERLINK("https://staging-dtl-pattern-api.hfm-weimar.de/static/audio/solos/dtl/AQALPqKU5BrRNDmS_ULkLEkJPgv2o8sH_0.02.24.089251-0.03.12.072562.mp3", "link")</f>
        <v>link</v>
      </c>
      <c r="D1025" t="s">
        <v>4647</v>
      </c>
      <c r="E1025" t="s">
        <v>148</v>
      </c>
      <c r="F1025" t="s">
        <v>4648</v>
      </c>
      <c r="G1025" t="s">
        <v>543</v>
      </c>
      <c r="H1025" t="s">
        <v>4649</v>
      </c>
      <c r="I1025">
        <v>37</v>
      </c>
      <c r="J1025" t="s">
        <v>126</v>
      </c>
      <c r="K1025" t="s">
        <v>4650</v>
      </c>
      <c r="L1025" s="1" t="s">
        <v>4651</v>
      </c>
      <c r="M1025" t="s">
        <v>129</v>
      </c>
      <c r="N1025" t="s">
        <v>23</v>
      </c>
      <c r="O1025" s="1" t="s">
        <v>4653</v>
      </c>
      <c r="P1025" s="1" t="s">
        <v>4656</v>
      </c>
      <c r="Q1025" s="1" t="s">
        <v>7302</v>
      </c>
    </row>
    <row r="1026" spans="1:17" x14ac:dyDescent="0.25">
      <c r="A1026" t="s">
        <v>4657</v>
      </c>
      <c r="B1026" t="str">
        <f>HYPERLINK("https://staging-dtl-pattern-api.hfm-weimar.de/static/audio/solos/dtl/AQALPqKU5BrRNDmS_ULkLEkJPgv2o8sH_0.03.12.072562-0.03.59.007265.mp3", "link")</f>
        <v>link</v>
      </c>
      <c r="D1026" t="s">
        <v>4647</v>
      </c>
      <c r="E1026" t="s">
        <v>4655</v>
      </c>
      <c r="F1026" t="s">
        <v>4648</v>
      </c>
      <c r="G1026" t="s">
        <v>543</v>
      </c>
      <c r="H1026" t="s">
        <v>4649</v>
      </c>
      <c r="I1026">
        <v>37</v>
      </c>
      <c r="J1026" t="s">
        <v>126</v>
      </c>
      <c r="K1026" t="s">
        <v>4650</v>
      </c>
      <c r="L1026" s="1" t="s">
        <v>4651</v>
      </c>
      <c r="M1026" t="s">
        <v>129</v>
      </c>
      <c r="N1026" t="s">
        <v>202</v>
      </c>
      <c r="O1026" s="1" t="s">
        <v>4656</v>
      </c>
      <c r="P1026" s="1" t="s">
        <v>3388</v>
      </c>
    </row>
    <row r="1027" spans="1:17" x14ac:dyDescent="0.25">
      <c r="A1027" t="s">
        <v>4658</v>
      </c>
      <c r="B1027" t="str">
        <f>HYPERLINK("https://staging-dtl-pattern-api.hfm-weimar.de/static/audio/solos/dtl/AQALPqKU5BrRNDmS_ULkLEkJPgv2o8sH_0.04.45.074476-0.05.31.060417.mp3", "link")</f>
        <v>link</v>
      </c>
      <c r="D1027" t="s">
        <v>4647</v>
      </c>
      <c r="E1027" t="s">
        <v>550</v>
      </c>
      <c r="F1027" t="s">
        <v>4648</v>
      </c>
      <c r="G1027" t="s">
        <v>543</v>
      </c>
      <c r="H1027" t="s">
        <v>4649</v>
      </c>
      <c r="I1027">
        <v>37</v>
      </c>
      <c r="J1027" t="s">
        <v>126</v>
      </c>
      <c r="K1027" t="s">
        <v>4650</v>
      </c>
      <c r="L1027" s="1" t="s">
        <v>4651</v>
      </c>
      <c r="M1027" t="s">
        <v>129</v>
      </c>
      <c r="N1027" t="s">
        <v>46</v>
      </c>
      <c r="O1027" s="1" t="s">
        <v>4659</v>
      </c>
      <c r="P1027" s="1" t="s">
        <v>4660</v>
      </c>
    </row>
    <row r="1028" spans="1:17" x14ac:dyDescent="0.25">
      <c r="A1028" t="s">
        <v>4661</v>
      </c>
      <c r="B1028" t="str">
        <f>HYPERLINK("https://staging-dtl-pattern-api.hfm-weimar.de/static/audio/solos/dtl/AQALptMyZkoWBbfE4B_8oWSm4cW4tERP_0.01.16.016145-0.02.22.047764.mp3", "link")</f>
        <v>link</v>
      </c>
      <c r="D1028" t="s">
        <v>4662</v>
      </c>
      <c r="E1028" t="s">
        <v>4663</v>
      </c>
      <c r="F1028" t="s">
        <v>2709</v>
      </c>
      <c r="J1028" t="s">
        <v>2710</v>
      </c>
      <c r="K1028" t="s">
        <v>4664</v>
      </c>
      <c r="L1028" s="1" t="s">
        <v>2712</v>
      </c>
      <c r="M1028" t="s">
        <v>2713</v>
      </c>
      <c r="N1028" t="s">
        <v>202</v>
      </c>
      <c r="O1028" s="1" t="s">
        <v>4665</v>
      </c>
      <c r="P1028" s="1" t="s">
        <v>4666</v>
      </c>
    </row>
    <row r="1029" spans="1:17" x14ac:dyDescent="0.25">
      <c r="A1029" t="s">
        <v>4667</v>
      </c>
      <c r="B1029" t="str">
        <f>HYPERLINK("https://staging-dtl-pattern-api.hfm-weimar.de/static/audio/solos/dtl/AQALptMyZkoWBbfE4B_8oWSm4cW4tERP_0.02.22.047764-0.04.19.013469.mp3", "link")</f>
        <v>link</v>
      </c>
      <c r="D1029" t="s">
        <v>4662</v>
      </c>
      <c r="E1029" t="s">
        <v>4668</v>
      </c>
      <c r="F1029" t="s">
        <v>2709</v>
      </c>
      <c r="J1029" t="s">
        <v>2710</v>
      </c>
      <c r="K1029" t="s">
        <v>4664</v>
      </c>
      <c r="L1029" s="1" t="s">
        <v>2712</v>
      </c>
      <c r="M1029" t="s">
        <v>2713</v>
      </c>
      <c r="N1029" t="s">
        <v>449</v>
      </c>
      <c r="O1029" s="1" t="s">
        <v>4666</v>
      </c>
      <c r="P1029" s="1" t="s">
        <v>4669</v>
      </c>
    </row>
    <row r="1030" spans="1:17" x14ac:dyDescent="0.25">
      <c r="A1030" t="s">
        <v>4670</v>
      </c>
      <c r="B1030" t="str">
        <f>HYPERLINK("https://staging-dtl-pattern-api.hfm-weimar.de/static/audio/solos/dtl/AQALQ1LyOIwS9MefF08uPEweJP2Q_tjD_0.02.07.002040-0.03.01.061632.mp3", "link")</f>
        <v>link</v>
      </c>
      <c r="D1030" t="s">
        <v>3196</v>
      </c>
      <c r="E1030" t="s">
        <v>4091</v>
      </c>
      <c r="F1030" t="s">
        <v>3198</v>
      </c>
      <c r="J1030" t="s">
        <v>3199</v>
      </c>
      <c r="K1030" t="s">
        <v>4671</v>
      </c>
      <c r="L1030" s="1" t="s">
        <v>3201</v>
      </c>
      <c r="M1030" t="s">
        <v>129</v>
      </c>
      <c r="N1030" t="s">
        <v>23</v>
      </c>
      <c r="O1030" s="1" t="s">
        <v>4672</v>
      </c>
      <c r="P1030" s="1" t="s">
        <v>4673</v>
      </c>
    </row>
    <row r="1031" spans="1:17" x14ac:dyDescent="0.25">
      <c r="A1031" t="s">
        <v>4674</v>
      </c>
      <c r="B1031" t="str">
        <f>HYPERLINK("https://staging-dtl-pattern-api.hfm-weimar.de/static/audio/solos/dtl/AQALQ1LyOIwS9MefF08uPEweJP2Q_tjD_0.03.01.061632-0.03.56.066938.mp3", "link")</f>
        <v>link</v>
      </c>
      <c r="D1031" t="s">
        <v>3196</v>
      </c>
      <c r="E1031" t="s">
        <v>4086</v>
      </c>
      <c r="F1031" t="s">
        <v>3198</v>
      </c>
      <c r="J1031" t="s">
        <v>3199</v>
      </c>
      <c r="K1031" t="s">
        <v>4671</v>
      </c>
      <c r="L1031" s="1" t="s">
        <v>3201</v>
      </c>
      <c r="M1031" t="s">
        <v>129</v>
      </c>
      <c r="N1031" t="s">
        <v>172</v>
      </c>
      <c r="O1031" s="1" t="s">
        <v>4673</v>
      </c>
      <c r="P1031" s="1" t="s">
        <v>3007</v>
      </c>
    </row>
    <row r="1032" spans="1:17" x14ac:dyDescent="0.25">
      <c r="A1032" t="s">
        <v>4675</v>
      </c>
      <c r="B1032" t="str">
        <f>HYPERLINK("https://staging-dtl-pattern-api.hfm-weimar.de/static/audio/solos/dtl/AQALRkqexJlE5NCPpsoB5jRUWcFjTLvh_0.02.18.097142-0.03.27.041224.mp3", "link")</f>
        <v>link</v>
      </c>
      <c r="D1032" t="s">
        <v>4676</v>
      </c>
      <c r="E1032" t="s">
        <v>4677</v>
      </c>
      <c r="F1032" t="s">
        <v>4678</v>
      </c>
      <c r="G1032" t="s">
        <v>4678</v>
      </c>
      <c r="J1032" t="s">
        <v>4679</v>
      </c>
      <c r="K1032" t="s">
        <v>4680</v>
      </c>
      <c r="L1032" s="1" t="s">
        <v>4681</v>
      </c>
      <c r="M1032" t="s">
        <v>2180</v>
      </c>
      <c r="N1032" t="s">
        <v>202</v>
      </c>
      <c r="O1032" s="1" t="s">
        <v>1139</v>
      </c>
      <c r="P1032" s="1" t="s">
        <v>4682</v>
      </c>
    </row>
    <row r="1033" spans="1:17" x14ac:dyDescent="0.25">
      <c r="A1033" t="s">
        <v>4683</v>
      </c>
      <c r="B1033" t="str">
        <f>HYPERLINK("https://staging-dtl-pattern-api.hfm-weimar.de/static/audio/solos/dtl/AQALRkqexJlE5NCPpsoB5jRUWcFjTLvh_0.03.27.041224-0.04.33.076326.mp3", "link")</f>
        <v>link</v>
      </c>
      <c r="D1033" t="s">
        <v>4676</v>
      </c>
      <c r="E1033" t="s">
        <v>4684</v>
      </c>
      <c r="F1033" t="s">
        <v>4678</v>
      </c>
      <c r="G1033" t="s">
        <v>4678</v>
      </c>
      <c r="J1033" t="s">
        <v>4679</v>
      </c>
      <c r="K1033" t="s">
        <v>4680</v>
      </c>
      <c r="L1033" s="1" t="s">
        <v>4681</v>
      </c>
      <c r="M1033" t="s">
        <v>2180</v>
      </c>
      <c r="N1033" t="s">
        <v>46</v>
      </c>
      <c r="O1033" s="1" t="s">
        <v>4682</v>
      </c>
      <c r="P1033" s="1" t="s">
        <v>4685</v>
      </c>
    </row>
    <row r="1034" spans="1:17" x14ac:dyDescent="0.25">
      <c r="A1034" t="s">
        <v>4686</v>
      </c>
      <c r="B1034" t="str">
        <f>HYPERLINK("https://staging-dtl-pattern-api.hfm-weimar.de/static/audio/solos/dtl/AQALs1KWJUkiBckRfEHFaGiSyehfXLge_0.04.05.078321-0.04.59.007301.mp3", "link")</f>
        <v>link</v>
      </c>
      <c r="D1034" t="s">
        <v>4687</v>
      </c>
      <c r="E1034" t="s">
        <v>1517</v>
      </c>
      <c r="F1034" t="s">
        <v>4688</v>
      </c>
      <c r="G1034" t="s">
        <v>4689</v>
      </c>
      <c r="H1034" t="s">
        <v>4690</v>
      </c>
      <c r="I1034">
        <v>66</v>
      </c>
      <c r="J1034" t="s">
        <v>141</v>
      </c>
      <c r="K1034" t="s">
        <v>4691</v>
      </c>
      <c r="L1034" s="1" t="s">
        <v>4692</v>
      </c>
      <c r="M1034" t="s">
        <v>309</v>
      </c>
      <c r="N1034" t="s">
        <v>23</v>
      </c>
      <c r="O1034" s="1" t="s">
        <v>4272</v>
      </c>
      <c r="P1034" s="1" t="s">
        <v>4693</v>
      </c>
    </row>
    <row r="1035" spans="1:17" x14ac:dyDescent="0.25">
      <c r="A1035" t="s">
        <v>4694</v>
      </c>
      <c r="B1035" t="str">
        <f>HYPERLINK("https://staging-dtl-pattern-api.hfm-weimar.de/static/audio/solos/dtl/AQALslOcKLqSBH2EX8cfNM-H8DqSbRSP_0.01.36.032653-0.02.14.000816.mp3", "link")</f>
        <v>link</v>
      </c>
      <c r="F1035" t="s">
        <v>1144</v>
      </c>
      <c r="G1035" t="s">
        <v>1144</v>
      </c>
      <c r="J1035" t="s">
        <v>3041</v>
      </c>
      <c r="K1035" t="s">
        <v>4695</v>
      </c>
      <c r="L1035" s="1" t="s">
        <v>1147</v>
      </c>
      <c r="M1035" t="s">
        <v>1148</v>
      </c>
      <c r="N1035" t="s">
        <v>23</v>
      </c>
      <c r="O1035" s="1" t="s">
        <v>4696</v>
      </c>
      <c r="P1035" s="1" t="s">
        <v>4697</v>
      </c>
    </row>
    <row r="1036" spans="1:17" x14ac:dyDescent="0.25">
      <c r="A1036" t="s">
        <v>4698</v>
      </c>
      <c r="B1036" t="str">
        <f>HYPERLINK("https://staging-dtl-pattern-api.hfm-weimar.de/static/audio/solos/dtl/AQALslOcKLqSBH2EX8cfNM-H8DqSbRSP_0.03.44.000000-0.04.14.021206.mp3", "link")</f>
        <v>link</v>
      </c>
      <c r="F1036" t="s">
        <v>1144</v>
      </c>
      <c r="G1036" t="s">
        <v>1144</v>
      </c>
      <c r="J1036" t="s">
        <v>3041</v>
      </c>
      <c r="K1036" t="s">
        <v>4695</v>
      </c>
      <c r="L1036" s="1" t="s">
        <v>1147</v>
      </c>
      <c r="M1036" t="s">
        <v>1148</v>
      </c>
      <c r="N1036" t="s">
        <v>23</v>
      </c>
      <c r="O1036" s="1" t="s">
        <v>4699</v>
      </c>
      <c r="P1036" s="1" t="s">
        <v>4700</v>
      </c>
      <c r="Q1036" s="1" t="s">
        <v>7224</v>
      </c>
    </row>
    <row r="1037" spans="1:17" x14ac:dyDescent="0.25">
      <c r="A1037" t="s">
        <v>4701</v>
      </c>
      <c r="B1037" t="str">
        <f>HYPERLINK("https://staging-dtl-pattern-api.hfm-weimar.de/static/audio/solos/dtl/AQALslOcKLqSBH2EX8cfNM-H8DqSbRSP_0.04.14.021206-0.04.31.011619.mp3", "link")</f>
        <v>link</v>
      </c>
      <c r="F1037" t="s">
        <v>1144</v>
      </c>
      <c r="G1037" t="s">
        <v>1144</v>
      </c>
      <c r="J1037" t="s">
        <v>3041</v>
      </c>
      <c r="K1037" t="s">
        <v>4695</v>
      </c>
      <c r="L1037" s="1" t="s">
        <v>1147</v>
      </c>
      <c r="M1037" t="s">
        <v>1148</v>
      </c>
      <c r="N1037" t="s">
        <v>46</v>
      </c>
      <c r="O1037" s="1" t="s">
        <v>4700</v>
      </c>
      <c r="P1037" s="1" t="s">
        <v>4702</v>
      </c>
    </row>
    <row r="1038" spans="1:17" x14ac:dyDescent="0.25">
      <c r="A1038" t="s">
        <v>4703</v>
      </c>
      <c r="B1038" t="str">
        <f>HYPERLINK("https://staging-dtl-pattern-api.hfm-weimar.de/static/audio/solos/dtl/AQALsloUpaEWBSkFnTkRXjiNR6idFU-Y_0.01.29.007755-0.02.21.058367.mp3", "link")</f>
        <v>link</v>
      </c>
      <c r="D1038" t="s">
        <v>4704</v>
      </c>
      <c r="E1038" t="s">
        <v>4638</v>
      </c>
      <c r="F1038" t="s">
        <v>4638</v>
      </c>
      <c r="G1038" t="s">
        <v>4638</v>
      </c>
      <c r="J1038" t="s">
        <v>4639</v>
      </c>
      <c r="K1038" t="s">
        <v>4705</v>
      </c>
      <c r="L1038" s="1" t="s">
        <v>4641</v>
      </c>
      <c r="M1038" t="s">
        <v>129</v>
      </c>
      <c r="N1038" t="s">
        <v>46</v>
      </c>
      <c r="O1038" s="1" t="s">
        <v>4706</v>
      </c>
      <c r="P1038" s="1" t="s">
        <v>4707</v>
      </c>
    </row>
    <row r="1039" spans="1:17" x14ac:dyDescent="0.25">
      <c r="A1039" t="s">
        <v>4708</v>
      </c>
      <c r="B1039" t="str">
        <f>HYPERLINK("https://staging-dtl-pattern-api.hfm-weimar.de/static/audio/solos/dtl/AQALsloUpaEWBSkFnTkRXjiNR6idFU-Y_0.03.15.033061-0.04.07.090204.mp3", "link")</f>
        <v>link</v>
      </c>
      <c r="D1039" t="s">
        <v>4704</v>
      </c>
      <c r="E1039" t="s">
        <v>2811</v>
      </c>
      <c r="F1039" t="s">
        <v>4638</v>
      </c>
      <c r="G1039" t="s">
        <v>4638</v>
      </c>
      <c r="J1039" t="s">
        <v>4639</v>
      </c>
      <c r="K1039" t="s">
        <v>4705</v>
      </c>
      <c r="L1039" s="1" t="s">
        <v>4641</v>
      </c>
      <c r="M1039" t="s">
        <v>129</v>
      </c>
      <c r="N1039" t="s">
        <v>23</v>
      </c>
      <c r="O1039" s="1" t="s">
        <v>4709</v>
      </c>
      <c r="P1039" s="1" t="s">
        <v>4710</v>
      </c>
    </row>
    <row r="1040" spans="1:17" x14ac:dyDescent="0.25">
      <c r="A1040" t="s">
        <v>4711</v>
      </c>
      <c r="B1040" t="str">
        <f>HYPERLINK("https://staging-dtl-pattern-api.hfm-weimar.de/static/audio/solos/dtl/AQALsZw2JfEU5NEDfReRb0eDLg_-A5Hm_0.04.25.026476-0.04.48.002031.mp3", "link")</f>
        <v>link</v>
      </c>
      <c r="D1040" t="s">
        <v>4712</v>
      </c>
      <c r="E1040" t="s">
        <v>4713</v>
      </c>
      <c r="F1040" t="s">
        <v>3365</v>
      </c>
      <c r="G1040" t="s">
        <v>3365</v>
      </c>
      <c r="J1040" t="s">
        <v>3366</v>
      </c>
      <c r="K1040" t="s">
        <v>4714</v>
      </c>
      <c r="L1040" s="1" t="s">
        <v>3368</v>
      </c>
      <c r="M1040" t="s">
        <v>3369</v>
      </c>
      <c r="N1040" t="s">
        <v>172</v>
      </c>
      <c r="O1040" s="1" t="s">
        <v>4715</v>
      </c>
      <c r="P1040" s="1" t="s">
        <v>4716</v>
      </c>
    </row>
    <row r="1041" spans="1:17" x14ac:dyDescent="0.25">
      <c r="A1041" t="s">
        <v>4717</v>
      </c>
      <c r="B1041" t="str">
        <f>HYPERLINK("https://staging-dtl-pattern-api.hfm-weimar.de/static/audio/solos/dtl/AQALsZw2JfEU5NEDfReRb0eDLg_-A5Hm_0.05.49.069251-0.06.12.081959.mp3", "link")</f>
        <v>link</v>
      </c>
      <c r="D1041" t="s">
        <v>4712</v>
      </c>
      <c r="E1041" t="s">
        <v>4713</v>
      </c>
      <c r="F1041" t="s">
        <v>3365</v>
      </c>
      <c r="G1041" t="s">
        <v>3365</v>
      </c>
      <c r="J1041" t="s">
        <v>3366</v>
      </c>
      <c r="K1041" t="s">
        <v>4714</v>
      </c>
      <c r="L1041" s="1" t="s">
        <v>3368</v>
      </c>
      <c r="M1041" t="s">
        <v>3369</v>
      </c>
      <c r="N1041" t="s">
        <v>172</v>
      </c>
      <c r="O1041" s="1" t="s">
        <v>4718</v>
      </c>
      <c r="P1041" s="1" t="s">
        <v>4719</v>
      </c>
    </row>
    <row r="1042" spans="1:17" x14ac:dyDescent="0.25">
      <c r="A1042" t="s">
        <v>4720</v>
      </c>
      <c r="B1042" t="str">
        <f>HYPERLINK("https://staging-dtl-pattern-api.hfm-weimar.de/static/audio/solos/dtl/AQALTImUKEkayXiEa_icoFciws6EXZnx_0.02.37.089569-0.03.43.086938.mp3", "link")</f>
        <v>link</v>
      </c>
      <c r="D1042" t="s">
        <v>4721</v>
      </c>
      <c r="E1042" t="s">
        <v>4722</v>
      </c>
      <c r="F1042" t="s">
        <v>2845</v>
      </c>
      <c r="J1042" t="s">
        <v>3011</v>
      </c>
      <c r="K1042" t="s">
        <v>4723</v>
      </c>
      <c r="L1042" s="1" t="s">
        <v>3013</v>
      </c>
      <c r="M1042" t="s">
        <v>3014</v>
      </c>
      <c r="N1042" t="s">
        <v>202</v>
      </c>
      <c r="O1042" s="1" t="s">
        <v>4724</v>
      </c>
      <c r="P1042" s="1" t="s">
        <v>4725</v>
      </c>
    </row>
    <row r="1043" spans="1:17" x14ac:dyDescent="0.25">
      <c r="A1043" t="s">
        <v>4726</v>
      </c>
      <c r="B1043" s="3" t="str">
        <f>HYPERLINK("https://staging-dtl-pattern-api.hfm-weimar.de/static/audio/solos/dtl/AQALu4lEpqKSBFGcRTzGpsjp4wy06EGI_0.00.36.071074-0.03.38.054621.mp3", "link")</f>
        <v>link</v>
      </c>
      <c r="C1043" s="3" t="s">
        <v>2148</v>
      </c>
      <c r="D1043" s="3" t="s">
        <v>2149</v>
      </c>
      <c r="E1043" s="3"/>
      <c r="F1043" s="3" t="s">
        <v>2150</v>
      </c>
      <c r="G1043" s="3" t="s">
        <v>2151</v>
      </c>
      <c r="H1043" s="3" t="s">
        <v>2152</v>
      </c>
      <c r="I1043" s="3">
        <v>87</v>
      </c>
      <c r="J1043" s="3" t="s">
        <v>616</v>
      </c>
      <c r="K1043" s="3" t="s">
        <v>4727</v>
      </c>
      <c r="L1043" s="4" t="s">
        <v>2153</v>
      </c>
      <c r="M1043" s="3" t="s">
        <v>129</v>
      </c>
      <c r="N1043" s="3" t="s">
        <v>23</v>
      </c>
      <c r="O1043" s="4" t="s">
        <v>4728</v>
      </c>
      <c r="P1043" s="4" t="s">
        <v>4729</v>
      </c>
      <c r="Q1043" s="4" t="s">
        <v>7303</v>
      </c>
    </row>
    <row r="1044" spans="1:17" x14ac:dyDescent="0.25">
      <c r="A1044" t="s">
        <v>4730</v>
      </c>
      <c r="B1044" t="str">
        <f>HYPERLINK("https://staging-dtl-pattern-api.hfm-weimar.de/static/audio/solos/dtl/AQALu4lEpqKSBFGcRTzGpsjp4wy06EGI_0.04.34.097070-0.04.40.089179.mp3", "link")</f>
        <v>link</v>
      </c>
      <c r="C1044" t="s">
        <v>2148</v>
      </c>
      <c r="D1044" t="s">
        <v>2149</v>
      </c>
      <c r="F1044" t="s">
        <v>2150</v>
      </c>
      <c r="G1044" t="s">
        <v>2151</v>
      </c>
      <c r="H1044" t="s">
        <v>2152</v>
      </c>
      <c r="I1044">
        <v>87</v>
      </c>
      <c r="J1044" t="s">
        <v>616</v>
      </c>
      <c r="K1044" t="s">
        <v>4727</v>
      </c>
      <c r="L1044" s="1" t="s">
        <v>2153</v>
      </c>
      <c r="M1044" t="s">
        <v>129</v>
      </c>
      <c r="N1044" t="s">
        <v>23</v>
      </c>
      <c r="O1044" s="1" t="s">
        <v>4731</v>
      </c>
      <c r="P1044" s="1" t="s">
        <v>4732</v>
      </c>
    </row>
    <row r="1045" spans="1:17" x14ac:dyDescent="0.25">
      <c r="A1045" t="s">
        <v>4733</v>
      </c>
      <c r="B1045" t="str">
        <f>HYPERLINK("https://staging-dtl-pattern-api.hfm-weimar.de/static/audio/solos/dtl/AQALu4lEpqKSBFGcRTzGpsjp4wy06EGI_0.04.44.051410-0.04.49.094757.mp3", "link")</f>
        <v>link</v>
      </c>
      <c r="C1045" t="s">
        <v>2148</v>
      </c>
      <c r="D1045" t="s">
        <v>2149</v>
      </c>
      <c r="F1045" t="s">
        <v>2150</v>
      </c>
      <c r="G1045" t="s">
        <v>2151</v>
      </c>
      <c r="H1045" t="s">
        <v>2152</v>
      </c>
      <c r="I1045">
        <v>87</v>
      </c>
      <c r="J1045" t="s">
        <v>616</v>
      </c>
      <c r="K1045" t="s">
        <v>4727</v>
      </c>
      <c r="L1045" s="1" t="s">
        <v>2153</v>
      </c>
      <c r="M1045" t="s">
        <v>129</v>
      </c>
      <c r="N1045" t="s">
        <v>23</v>
      </c>
      <c r="O1045" s="1" t="s">
        <v>4734</v>
      </c>
      <c r="P1045" s="1" t="s">
        <v>4735</v>
      </c>
    </row>
    <row r="1046" spans="1:17" x14ac:dyDescent="0.25">
      <c r="A1046" t="s">
        <v>4736</v>
      </c>
      <c r="B1046" t="str">
        <f>HYPERLINK("https://staging-dtl-pattern-api.hfm-weimar.de/static/audio/solos/dtl/AQALu4lEpqKSBFGcRTzGpsjp4wy06EGI_0.04.54.047546-0.04.59.018911.mp3", "link")</f>
        <v>link</v>
      </c>
      <c r="C1046" t="s">
        <v>2148</v>
      </c>
      <c r="D1046" t="s">
        <v>2149</v>
      </c>
      <c r="F1046" t="s">
        <v>2150</v>
      </c>
      <c r="G1046" t="s">
        <v>2151</v>
      </c>
      <c r="H1046" t="s">
        <v>2152</v>
      </c>
      <c r="I1046">
        <v>87</v>
      </c>
      <c r="J1046" t="s">
        <v>616</v>
      </c>
      <c r="K1046" t="s">
        <v>4727</v>
      </c>
      <c r="L1046" s="1" t="s">
        <v>2153</v>
      </c>
      <c r="M1046" t="s">
        <v>129</v>
      </c>
      <c r="N1046" t="s">
        <v>23</v>
      </c>
      <c r="O1046" s="1" t="s">
        <v>4737</v>
      </c>
      <c r="P1046" s="1" t="s">
        <v>4738</v>
      </c>
    </row>
    <row r="1047" spans="1:17" x14ac:dyDescent="0.25">
      <c r="A1047" t="s">
        <v>4739</v>
      </c>
      <c r="B1047" t="str">
        <f>HYPERLINK("https://staging-dtl-pattern-api.hfm-weimar.de/static/audio/solos/dtl/AQALu4lEpqKSBFGcRTzGpsjp4wy06EGI_0.05.03.053124-0.05.08.061641.mp3", "link")</f>
        <v>link</v>
      </c>
      <c r="C1047" t="s">
        <v>2148</v>
      </c>
      <c r="D1047" t="s">
        <v>2149</v>
      </c>
      <c r="F1047" t="s">
        <v>2150</v>
      </c>
      <c r="G1047" t="s">
        <v>2151</v>
      </c>
      <c r="H1047" t="s">
        <v>2152</v>
      </c>
      <c r="I1047">
        <v>87</v>
      </c>
      <c r="J1047" t="s">
        <v>616</v>
      </c>
      <c r="K1047" t="s">
        <v>4727</v>
      </c>
      <c r="L1047" s="1" t="s">
        <v>2153</v>
      </c>
      <c r="M1047" t="s">
        <v>129</v>
      </c>
      <c r="N1047" t="s">
        <v>23</v>
      </c>
      <c r="O1047" s="1" t="s">
        <v>4740</v>
      </c>
      <c r="P1047" s="1" t="s">
        <v>4741</v>
      </c>
    </row>
    <row r="1048" spans="1:17" x14ac:dyDescent="0.25">
      <c r="A1048" t="s">
        <v>4742</v>
      </c>
      <c r="B1048" t="str">
        <f>HYPERLINK("https://staging-dtl-pattern-api.hfm-weimar.de/static/audio/solos/dtl/AQALu4lEpqKSBFGcRTzGpsjp4wy06EGI_0.05.12.028517-0.05.18.018303.mp3", "link")</f>
        <v>link</v>
      </c>
      <c r="C1048" t="s">
        <v>2148</v>
      </c>
      <c r="D1048" t="s">
        <v>2149</v>
      </c>
      <c r="F1048" t="s">
        <v>2150</v>
      </c>
      <c r="G1048" t="s">
        <v>2151</v>
      </c>
      <c r="H1048" t="s">
        <v>2152</v>
      </c>
      <c r="I1048">
        <v>87</v>
      </c>
      <c r="J1048" t="s">
        <v>616</v>
      </c>
      <c r="K1048" t="s">
        <v>4727</v>
      </c>
      <c r="L1048" s="1" t="s">
        <v>2153</v>
      </c>
      <c r="M1048" t="s">
        <v>129</v>
      </c>
      <c r="N1048" t="s">
        <v>23</v>
      </c>
      <c r="O1048" s="1" t="s">
        <v>4743</v>
      </c>
      <c r="P1048" s="1" t="s">
        <v>4744</v>
      </c>
    </row>
    <row r="1049" spans="1:17" x14ac:dyDescent="0.25">
      <c r="A1049" t="s">
        <v>4745</v>
      </c>
      <c r="B1049" t="str">
        <f>HYPERLINK("https://staging-dtl-pattern-api.hfm-weimar.de/static/audio/solos/dtl/AQALu4lEpqKSBFGcRTzGpsjp4wy06EGI_0.05.22.073414-0.05.27.037814.mp3", "link")</f>
        <v>link</v>
      </c>
      <c r="C1049" t="s">
        <v>2148</v>
      </c>
      <c r="D1049" t="s">
        <v>2149</v>
      </c>
      <c r="F1049" t="s">
        <v>2150</v>
      </c>
      <c r="G1049" t="s">
        <v>2151</v>
      </c>
      <c r="H1049" t="s">
        <v>2152</v>
      </c>
      <c r="I1049">
        <v>87</v>
      </c>
      <c r="J1049" t="s">
        <v>616</v>
      </c>
      <c r="K1049" t="s">
        <v>4727</v>
      </c>
      <c r="L1049" s="1" t="s">
        <v>2153</v>
      </c>
      <c r="M1049" t="s">
        <v>129</v>
      </c>
      <c r="N1049" t="s">
        <v>23</v>
      </c>
      <c r="O1049" s="1" t="s">
        <v>4746</v>
      </c>
      <c r="P1049" s="1" t="s">
        <v>4747</v>
      </c>
    </row>
    <row r="1050" spans="1:17" x14ac:dyDescent="0.25">
      <c r="A1050" t="s">
        <v>4748</v>
      </c>
      <c r="B1050" t="str">
        <f>HYPERLINK("https://staging-dtl-pattern-api.hfm-weimar.de/static/audio/solos/dtl/AQALuJmeMUmSBROdpBCXmEV-4T2aV7jW_0.00.36.022603-0.04.19.071809.mp3", "link")</f>
        <v>link</v>
      </c>
      <c r="D1050" t="s">
        <v>4749</v>
      </c>
      <c r="E1050" t="s">
        <v>2820</v>
      </c>
      <c r="F1050" t="s">
        <v>2983</v>
      </c>
      <c r="J1050" t="s">
        <v>4750</v>
      </c>
      <c r="K1050" t="s">
        <v>4751</v>
      </c>
      <c r="L1050" s="1" t="s">
        <v>4752</v>
      </c>
      <c r="M1050" t="s">
        <v>129</v>
      </c>
      <c r="N1050" t="s">
        <v>622</v>
      </c>
      <c r="O1050" s="1" t="s">
        <v>4753</v>
      </c>
      <c r="P1050" s="1" t="s">
        <v>4754</v>
      </c>
    </row>
    <row r="1051" spans="1:17" x14ac:dyDescent="0.25">
      <c r="A1051" t="s">
        <v>4755</v>
      </c>
      <c r="B1051" t="str">
        <f>HYPERLINK("https://staging-dtl-pattern-api.hfm-weimar.de/static/audio/solos/dtl/AQALuWqWVJmSBMfHw0_i4VIS_OgjGqeR_0.02.17.078721-0.03.22.017614.mp3", "link")</f>
        <v>link</v>
      </c>
      <c r="D1051" t="s">
        <v>2992</v>
      </c>
      <c r="E1051" t="s">
        <v>2993</v>
      </c>
      <c r="F1051" t="s">
        <v>2993</v>
      </c>
      <c r="G1051" t="s">
        <v>2993</v>
      </c>
      <c r="J1051" t="s">
        <v>2994</v>
      </c>
      <c r="K1051" t="s">
        <v>4756</v>
      </c>
      <c r="L1051" s="1" t="s">
        <v>2996</v>
      </c>
      <c r="M1051" t="s">
        <v>2997</v>
      </c>
      <c r="N1051" t="s">
        <v>109</v>
      </c>
      <c r="O1051" s="1" t="s">
        <v>4757</v>
      </c>
      <c r="P1051" s="1" t="s">
        <v>4758</v>
      </c>
    </row>
    <row r="1052" spans="1:17" x14ac:dyDescent="0.25">
      <c r="A1052" t="s">
        <v>4759</v>
      </c>
      <c r="B1052" t="str">
        <f>HYPERLINK("https://staging-dtl-pattern-api.hfm-weimar.de/static/audio/solos/dtl/AQALuWqWVJmSBMfHw0_i4VIS_OgjGqeR_0.03.22.017614-0.04.26.095111.mp3", "link")</f>
        <v>link</v>
      </c>
      <c r="D1052" t="s">
        <v>2992</v>
      </c>
      <c r="E1052" t="s">
        <v>4388</v>
      </c>
      <c r="F1052" t="s">
        <v>2993</v>
      </c>
      <c r="G1052" t="s">
        <v>2993</v>
      </c>
      <c r="J1052" t="s">
        <v>2994</v>
      </c>
      <c r="K1052" t="s">
        <v>4756</v>
      </c>
      <c r="L1052" s="1" t="s">
        <v>2996</v>
      </c>
      <c r="M1052" t="s">
        <v>2997</v>
      </c>
      <c r="N1052" t="s">
        <v>119</v>
      </c>
      <c r="O1052" s="1" t="s">
        <v>4758</v>
      </c>
      <c r="P1052" s="1" t="s">
        <v>4760</v>
      </c>
    </row>
    <row r="1053" spans="1:17" x14ac:dyDescent="0.25">
      <c r="A1053" t="s">
        <v>4761</v>
      </c>
      <c r="B1053" t="str">
        <f>HYPERLINK("https://staging-dtl-pattern-api.hfm-weimar.de/static/audio/solos/dtl/AQALuWqWVJmSBMfHw0_i4VIS_OgjGqeR_0.04.26.095111-0.04.59.021523.mp3", "link")</f>
        <v>link</v>
      </c>
      <c r="D1053" t="s">
        <v>2992</v>
      </c>
      <c r="E1053" t="s">
        <v>2993</v>
      </c>
      <c r="F1053" t="s">
        <v>2993</v>
      </c>
      <c r="G1053" t="s">
        <v>2993</v>
      </c>
      <c r="J1053" t="s">
        <v>2994</v>
      </c>
      <c r="K1053" t="s">
        <v>4756</v>
      </c>
      <c r="L1053" s="1" t="s">
        <v>2996</v>
      </c>
      <c r="M1053" t="s">
        <v>2997</v>
      </c>
      <c r="N1053" t="s">
        <v>109</v>
      </c>
      <c r="O1053" s="1" t="s">
        <v>4760</v>
      </c>
      <c r="P1053" s="1" t="s">
        <v>4762</v>
      </c>
    </row>
    <row r="1054" spans="1:17" x14ac:dyDescent="0.25">
      <c r="A1054" t="s">
        <v>4763</v>
      </c>
      <c r="B1054" t="str">
        <f>HYPERLINK("https://staging-dtl-pattern-api.hfm-weimar.de/static/audio/solos/dtl/AQALuWqWVJmSBMfHw0_i4VIS_OgjGqeR_0.04.59.021523-0.05.02.064888.mp3", "link")</f>
        <v>link</v>
      </c>
      <c r="D1054" t="s">
        <v>2992</v>
      </c>
      <c r="E1054" t="s">
        <v>4388</v>
      </c>
      <c r="F1054" t="s">
        <v>2993</v>
      </c>
      <c r="G1054" t="s">
        <v>2993</v>
      </c>
      <c r="J1054" t="s">
        <v>2994</v>
      </c>
      <c r="K1054" t="s">
        <v>4756</v>
      </c>
      <c r="L1054" s="1" t="s">
        <v>2996</v>
      </c>
      <c r="M1054" t="s">
        <v>2997</v>
      </c>
      <c r="N1054" t="s">
        <v>119</v>
      </c>
      <c r="O1054" s="1" t="s">
        <v>4762</v>
      </c>
      <c r="P1054" s="1" t="s">
        <v>4764</v>
      </c>
    </row>
    <row r="1055" spans="1:17" x14ac:dyDescent="0.25">
      <c r="A1055" t="s">
        <v>4765</v>
      </c>
      <c r="B1055" t="str">
        <f>HYPERLINK("https://staging-dtl-pattern-api.hfm-weimar.de/static/audio/solos/dtl/AQALuWqWVJmSBMfHw0_i4VIS_OgjGqeR_0.05.02.064888-0.05.04.059936.mp3", "link")</f>
        <v>link</v>
      </c>
      <c r="D1055" t="s">
        <v>2992</v>
      </c>
      <c r="E1055" t="s">
        <v>2993</v>
      </c>
      <c r="F1055" t="s">
        <v>2993</v>
      </c>
      <c r="G1055" t="s">
        <v>2993</v>
      </c>
      <c r="J1055" t="s">
        <v>2994</v>
      </c>
      <c r="K1055" t="s">
        <v>4756</v>
      </c>
      <c r="L1055" s="1" t="s">
        <v>2996</v>
      </c>
      <c r="M1055" t="s">
        <v>2997</v>
      </c>
      <c r="N1055" t="s">
        <v>109</v>
      </c>
      <c r="O1055" s="1" t="s">
        <v>4764</v>
      </c>
      <c r="P1055" s="1" t="s">
        <v>4766</v>
      </c>
    </row>
    <row r="1056" spans="1:17" x14ac:dyDescent="0.25">
      <c r="A1056" t="s">
        <v>4767</v>
      </c>
      <c r="B1056" t="str">
        <f>HYPERLINK("https://staging-dtl-pattern-api.hfm-weimar.de/static/audio/solos/dtl/AQALuWqWVJmSBMfHw0_i4VIS_OgjGqeR_0.05.04.059936-0.05.07.019999.mp3", "link")</f>
        <v>link</v>
      </c>
      <c r="D1056" t="s">
        <v>2992</v>
      </c>
      <c r="E1056" t="s">
        <v>4388</v>
      </c>
      <c r="F1056" t="s">
        <v>2993</v>
      </c>
      <c r="G1056" t="s">
        <v>2993</v>
      </c>
      <c r="J1056" t="s">
        <v>2994</v>
      </c>
      <c r="K1056" t="s">
        <v>4756</v>
      </c>
      <c r="L1056" s="1" t="s">
        <v>2996</v>
      </c>
      <c r="M1056" t="s">
        <v>2997</v>
      </c>
      <c r="N1056" t="s">
        <v>119</v>
      </c>
      <c r="O1056" s="1" t="s">
        <v>4766</v>
      </c>
      <c r="P1056" s="1" t="s">
        <v>4768</v>
      </c>
    </row>
    <row r="1057" spans="1:17" x14ac:dyDescent="0.25">
      <c r="A1057" t="s">
        <v>4769</v>
      </c>
      <c r="B1057" t="str">
        <f>HYPERLINK("https://staging-dtl-pattern-api.hfm-weimar.de/static/audio/solos/dtl/AQALuWqWVJmSBMfHw0_i4VIS_OgjGqeR_0.05.07.019999-0.05.09.057714.mp3", "link")</f>
        <v>link</v>
      </c>
      <c r="D1057" t="s">
        <v>2992</v>
      </c>
      <c r="E1057" t="s">
        <v>2993</v>
      </c>
      <c r="F1057" t="s">
        <v>2993</v>
      </c>
      <c r="G1057" t="s">
        <v>2993</v>
      </c>
      <c r="J1057" t="s">
        <v>2994</v>
      </c>
      <c r="K1057" t="s">
        <v>4756</v>
      </c>
      <c r="L1057" s="1" t="s">
        <v>2996</v>
      </c>
      <c r="M1057" t="s">
        <v>2997</v>
      </c>
      <c r="N1057" t="s">
        <v>109</v>
      </c>
      <c r="O1057" s="1" t="s">
        <v>4768</v>
      </c>
      <c r="P1057" s="1" t="s">
        <v>4770</v>
      </c>
    </row>
    <row r="1058" spans="1:17" x14ac:dyDescent="0.25">
      <c r="A1058" t="s">
        <v>4771</v>
      </c>
      <c r="B1058" t="str">
        <f>HYPERLINK("https://staging-dtl-pattern-api.hfm-weimar.de/static/audio/solos/dtl/AQALuWqWVJmSBMfHw0_i4VIS_OgjGqeR_0.05.09.057714-0.05.15.026603.mp3", "link")</f>
        <v>link</v>
      </c>
      <c r="D1058" t="s">
        <v>2992</v>
      </c>
      <c r="E1058" t="s">
        <v>4388</v>
      </c>
      <c r="F1058" t="s">
        <v>2993</v>
      </c>
      <c r="G1058" t="s">
        <v>2993</v>
      </c>
      <c r="J1058" t="s">
        <v>2994</v>
      </c>
      <c r="K1058" t="s">
        <v>4756</v>
      </c>
      <c r="L1058" s="1" t="s">
        <v>2996</v>
      </c>
      <c r="M1058" t="s">
        <v>2997</v>
      </c>
      <c r="N1058" t="s">
        <v>119</v>
      </c>
      <c r="O1058" s="1" t="s">
        <v>4770</v>
      </c>
      <c r="P1058" s="1" t="s">
        <v>4772</v>
      </c>
    </row>
    <row r="1059" spans="1:17" x14ac:dyDescent="0.25">
      <c r="A1059" t="s">
        <v>4773</v>
      </c>
      <c r="B1059" t="str">
        <f>HYPERLINK("https://staging-dtl-pattern-api.hfm-weimar.de/static/audio/solos/dtl/AQALuWqWVJmSBMfHw0_i4VIS_OgjGqeR_0.05.15.026603-0.05.18.002920.mp3", "link")</f>
        <v>link</v>
      </c>
      <c r="D1059" t="s">
        <v>2992</v>
      </c>
      <c r="E1059" t="s">
        <v>2993</v>
      </c>
      <c r="F1059" t="s">
        <v>2993</v>
      </c>
      <c r="G1059" t="s">
        <v>2993</v>
      </c>
      <c r="J1059" t="s">
        <v>2994</v>
      </c>
      <c r="K1059" t="s">
        <v>4756</v>
      </c>
      <c r="L1059" s="1" t="s">
        <v>2996</v>
      </c>
      <c r="M1059" t="s">
        <v>2997</v>
      </c>
      <c r="N1059" t="s">
        <v>109</v>
      </c>
      <c r="O1059" s="1" t="s">
        <v>4772</v>
      </c>
      <c r="P1059" s="1" t="s">
        <v>4774</v>
      </c>
    </row>
    <row r="1060" spans="1:17" x14ac:dyDescent="0.25">
      <c r="A1060" t="s">
        <v>4775</v>
      </c>
      <c r="B1060" t="str">
        <f>HYPERLINK("https://staging-dtl-pattern-api.hfm-weimar.de/static/audio/solos/dtl/AQALVpnuKJmE5N9Q-fi2oA-PG82P_sOT_0.01.52.038458-0.02.44.009541.mp3", "link")</f>
        <v>link</v>
      </c>
      <c r="D1060" t="s">
        <v>4776</v>
      </c>
      <c r="E1060" t="s">
        <v>4777</v>
      </c>
      <c r="F1060" t="s">
        <v>4778</v>
      </c>
      <c r="G1060" t="s">
        <v>4778</v>
      </c>
      <c r="J1060" t="s">
        <v>4779</v>
      </c>
      <c r="K1060" t="s">
        <v>4780</v>
      </c>
      <c r="L1060" s="1" t="s">
        <v>4781</v>
      </c>
      <c r="M1060" t="s">
        <v>2180</v>
      </c>
      <c r="N1060" t="s">
        <v>23</v>
      </c>
      <c r="O1060" s="1" t="s">
        <v>961</v>
      </c>
      <c r="P1060" s="1" t="s">
        <v>4782</v>
      </c>
    </row>
    <row r="1061" spans="1:17" x14ac:dyDescent="0.25">
      <c r="A1061" t="s">
        <v>4783</v>
      </c>
      <c r="B1061" t="str">
        <f>HYPERLINK("https://staging-dtl-pattern-api.hfm-weimar.de/static/audio/solos/dtl/AQALVpnuKJmE5N9Q-fi2oA-PG82P_sOT_0.03.34.048272-0.04.24.073070.mp3", "link")</f>
        <v>link</v>
      </c>
      <c r="D1061" t="s">
        <v>4776</v>
      </c>
      <c r="E1061" t="s">
        <v>4777</v>
      </c>
      <c r="F1061" t="s">
        <v>4778</v>
      </c>
      <c r="G1061" t="s">
        <v>4778</v>
      </c>
      <c r="J1061" t="s">
        <v>4779</v>
      </c>
      <c r="K1061" t="s">
        <v>4780</v>
      </c>
      <c r="L1061" s="1" t="s">
        <v>4781</v>
      </c>
      <c r="M1061" t="s">
        <v>2180</v>
      </c>
      <c r="N1061" t="s">
        <v>23</v>
      </c>
      <c r="O1061" s="1" t="s">
        <v>4784</v>
      </c>
      <c r="P1061" s="1" t="s">
        <v>4785</v>
      </c>
    </row>
    <row r="1062" spans="1:17" x14ac:dyDescent="0.25">
      <c r="A1062" t="s">
        <v>4786</v>
      </c>
      <c r="B1062" t="str">
        <f>HYPERLINK("https://staging-dtl-pattern-api.hfm-weimar.de/static/audio/solos/dtl/AQALVUmSjFKkKEkU_ARy_MAlIf1RPEOf_0.02.02.044897-0.02.49.053469.mp3", "link")</f>
        <v>link</v>
      </c>
      <c r="C1062" t="s">
        <v>4787</v>
      </c>
      <c r="D1062" t="s">
        <v>4788</v>
      </c>
      <c r="F1062" t="s">
        <v>4789</v>
      </c>
      <c r="G1062" t="s">
        <v>4789</v>
      </c>
      <c r="J1062" t="s">
        <v>4790</v>
      </c>
      <c r="K1062" t="s">
        <v>4791</v>
      </c>
      <c r="L1062" s="1" t="s">
        <v>4792</v>
      </c>
      <c r="M1062" t="s">
        <v>4793</v>
      </c>
      <c r="N1062" t="s">
        <v>46</v>
      </c>
      <c r="O1062" s="1" t="s">
        <v>4794</v>
      </c>
      <c r="P1062" s="1" t="s">
        <v>4795</v>
      </c>
    </row>
    <row r="1063" spans="1:17" x14ac:dyDescent="0.25">
      <c r="A1063" t="s">
        <v>4796</v>
      </c>
      <c r="B1063" t="str">
        <f>HYPERLINK("https://staging-dtl-pattern-api.hfm-weimar.de/static/audio/solos/dtl/AQALVUmSjFKkKEkU_ARy_MAlIf1RPEOf_0.02.49.053469-0.03.32.004462.mp3", "link")</f>
        <v>link</v>
      </c>
      <c r="C1063" t="s">
        <v>4797</v>
      </c>
      <c r="D1063" t="s">
        <v>4788</v>
      </c>
      <c r="F1063" t="s">
        <v>4789</v>
      </c>
      <c r="G1063" t="s">
        <v>4789</v>
      </c>
      <c r="J1063" t="s">
        <v>4790</v>
      </c>
      <c r="K1063" t="s">
        <v>4791</v>
      </c>
      <c r="L1063" s="1" t="s">
        <v>4792</v>
      </c>
      <c r="M1063" t="s">
        <v>4793</v>
      </c>
      <c r="N1063" t="s">
        <v>202</v>
      </c>
      <c r="O1063" s="1" t="s">
        <v>4795</v>
      </c>
      <c r="P1063" s="1" t="s">
        <v>4798</v>
      </c>
    </row>
    <row r="1064" spans="1:17" x14ac:dyDescent="0.25">
      <c r="A1064" t="s">
        <v>4799</v>
      </c>
      <c r="B1064" t="str">
        <f>HYPERLINK("https://staging-dtl-pattern-api.hfm-weimar.de/static/audio/solos/dtl/AQALwqSUROoSBc2VB5WyJ_gXWEtznBve_0.01.27.021414-0.02.01.027782.mp3", "link")</f>
        <v>link</v>
      </c>
      <c r="D1064" t="s">
        <v>4800</v>
      </c>
      <c r="E1064" t="s">
        <v>1517</v>
      </c>
      <c r="F1064" t="s">
        <v>401</v>
      </c>
      <c r="G1064" t="s">
        <v>401</v>
      </c>
      <c r="H1064" t="s">
        <v>4801</v>
      </c>
      <c r="I1064">
        <v>62</v>
      </c>
      <c r="J1064" t="s">
        <v>141</v>
      </c>
      <c r="K1064" t="s">
        <v>4802</v>
      </c>
      <c r="L1064" s="1" t="s">
        <v>4803</v>
      </c>
      <c r="M1064" t="s">
        <v>309</v>
      </c>
      <c r="N1064" t="s">
        <v>23</v>
      </c>
      <c r="O1064" s="1" t="s">
        <v>4804</v>
      </c>
      <c r="P1064" s="1" t="s">
        <v>4805</v>
      </c>
    </row>
    <row r="1065" spans="1:17" x14ac:dyDescent="0.25">
      <c r="A1065" t="s">
        <v>4806</v>
      </c>
      <c r="B1065" t="str">
        <f>HYPERLINK("https://staging-dtl-pattern-api.hfm-weimar.de/static/audio/solos/dtl/AQALwqSUROoSBc2VB5WyJ_gXWEtznBve_0.02.34.064489-0.03.42.014530.mp3", "link")</f>
        <v>link</v>
      </c>
      <c r="D1065" t="s">
        <v>4800</v>
      </c>
      <c r="E1065" t="s">
        <v>4807</v>
      </c>
      <c r="F1065" t="s">
        <v>401</v>
      </c>
      <c r="G1065" t="s">
        <v>401</v>
      </c>
      <c r="H1065" t="s">
        <v>4801</v>
      </c>
      <c r="I1065">
        <v>62</v>
      </c>
      <c r="J1065" t="s">
        <v>141</v>
      </c>
      <c r="K1065" t="s">
        <v>4802</v>
      </c>
      <c r="L1065" s="1" t="s">
        <v>4803</v>
      </c>
      <c r="M1065" t="s">
        <v>309</v>
      </c>
      <c r="N1065" t="s">
        <v>172</v>
      </c>
      <c r="O1065" s="1" t="s">
        <v>3999</v>
      </c>
      <c r="P1065" s="1" t="s">
        <v>4808</v>
      </c>
    </row>
    <row r="1066" spans="1:17" x14ac:dyDescent="0.25">
      <c r="A1066" t="s">
        <v>4809</v>
      </c>
      <c r="B1066" t="str">
        <f>HYPERLINK("https://staging-dtl-pattern-api.hfm-weimar.de/static/audio/solos/dtl/AQALwqSUROoSBc2VB5WyJ_gXWEtznBve_0.03.42.014530-0.04.49.055283.mp3", "link")</f>
        <v>link</v>
      </c>
      <c r="D1066" t="s">
        <v>4800</v>
      </c>
      <c r="E1066" t="s">
        <v>401</v>
      </c>
      <c r="F1066" t="s">
        <v>401</v>
      </c>
      <c r="G1066" t="s">
        <v>401</v>
      </c>
      <c r="H1066" t="s">
        <v>4801</v>
      </c>
      <c r="I1066">
        <v>62</v>
      </c>
      <c r="J1066" t="s">
        <v>141</v>
      </c>
      <c r="K1066" t="s">
        <v>4802</v>
      </c>
      <c r="L1066" s="1" t="s">
        <v>4803</v>
      </c>
      <c r="M1066" t="s">
        <v>309</v>
      </c>
      <c r="N1066" t="s">
        <v>202</v>
      </c>
      <c r="O1066" s="1" t="s">
        <v>4808</v>
      </c>
      <c r="P1066" s="1" t="s">
        <v>4810</v>
      </c>
    </row>
    <row r="1067" spans="1:17" x14ac:dyDescent="0.25">
      <c r="A1067" t="s">
        <v>4811</v>
      </c>
      <c r="B1067" t="str">
        <f>HYPERLINK("https://staging-dtl-pattern-api.hfm-weimar.de/static/audio/solos/dtl/AQALxkrEJFqiKEkiXJ7RhI4xWdlxodmO_0.00.50.085460-0.02.02.094095.mp3", "link")</f>
        <v>link</v>
      </c>
      <c r="D1067" t="s">
        <v>4812</v>
      </c>
      <c r="E1067" t="s">
        <v>663</v>
      </c>
      <c r="F1067" t="s">
        <v>4813</v>
      </c>
      <c r="H1067" t="s">
        <v>4814</v>
      </c>
      <c r="I1067">
        <v>44</v>
      </c>
      <c r="J1067" t="s">
        <v>616</v>
      </c>
      <c r="K1067" t="s">
        <v>4815</v>
      </c>
      <c r="L1067" s="1" t="s">
        <v>4816</v>
      </c>
      <c r="M1067" t="s">
        <v>129</v>
      </c>
      <c r="N1067" t="s">
        <v>46</v>
      </c>
      <c r="O1067" s="1" t="s">
        <v>4817</v>
      </c>
      <c r="P1067" s="1" t="s">
        <v>4818</v>
      </c>
    </row>
    <row r="1068" spans="1:17" x14ac:dyDescent="0.25">
      <c r="A1068" t="s">
        <v>4819</v>
      </c>
      <c r="B1068" t="str">
        <f>HYPERLINK("https://staging-dtl-pattern-api.hfm-weimar.de/static/audio/solos/dtl/AQALxkrEJFqiKEkiXJ7RhI4xWdlxodmO_0.02.02.094095-0.03.13.076761.mp3", "link")</f>
        <v>link</v>
      </c>
      <c r="D1068" t="s">
        <v>4812</v>
      </c>
      <c r="E1068" t="s">
        <v>3453</v>
      </c>
      <c r="F1068" t="s">
        <v>4813</v>
      </c>
      <c r="H1068" t="s">
        <v>4814</v>
      </c>
      <c r="I1068">
        <v>44</v>
      </c>
      <c r="J1068" t="s">
        <v>616</v>
      </c>
      <c r="K1068" t="s">
        <v>4815</v>
      </c>
      <c r="L1068" s="1" t="s">
        <v>4816</v>
      </c>
      <c r="M1068" t="s">
        <v>129</v>
      </c>
      <c r="N1068" t="s">
        <v>23</v>
      </c>
      <c r="O1068" s="1" t="s">
        <v>4818</v>
      </c>
      <c r="P1068" s="1" t="s">
        <v>4820</v>
      </c>
    </row>
    <row r="1069" spans="1:17" x14ac:dyDescent="0.25">
      <c r="A1069" t="s">
        <v>4821</v>
      </c>
      <c r="B1069" t="str">
        <f>HYPERLINK("https://staging-dtl-pattern-api.hfm-weimar.de/static/audio/solos/dtl/AQALxpOyJEmSRwl4WNzxHdurF8VHVFrj_0.01.35.064299-0.02.18.015873.mp3", "link")</f>
        <v>link</v>
      </c>
      <c r="D1069" t="s">
        <v>4822</v>
      </c>
      <c r="E1069" t="s">
        <v>4823</v>
      </c>
      <c r="F1069" t="s">
        <v>614</v>
      </c>
      <c r="G1069" t="s">
        <v>614</v>
      </c>
      <c r="J1069" t="s">
        <v>4824</v>
      </c>
      <c r="K1069" t="s">
        <v>4825</v>
      </c>
      <c r="L1069" s="1" t="s">
        <v>4826</v>
      </c>
      <c r="M1069" t="s">
        <v>3918</v>
      </c>
      <c r="N1069" t="s">
        <v>46</v>
      </c>
      <c r="O1069" s="1" t="s">
        <v>4827</v>
      </c>
      <c r="P1069" s="1" t="s">
        <v>4828</v>
      </c>
    </row>
    <row r="1070" spans="1:17" x14ac:dyDescent="0.25">
      <c r="A1070" t="s">
        <v>4829</v>
      </c>
      <c r="B1070" t="str">
        <f>HYPERLINK("https://staging-dtl-pattern-api.hfm-weimar.de/static/audio/solos/dtl/AQALxpOyJEmSRwl4WNzxHdurF8VHVFrj_0.02.18.015873-0.03.05.089895.mp3", "link")</f>
        <v>link</v>
      </c>
      <c r="D1070" t="s">
        <v>4822</v>
      </c>
      <c r="E1070" t="s">
        <v>614</v>
      </c>
      <c r="F1070" t="s">
        <v>614</v>
      </c>
      <c r="G1070" t="s">
        <v>614</v>
      </c>
      <c r="J1070" t="s">
        <v>4824</v>
      </c>
      <c r="K1070" t="s">
        <v>4825</v>
      </c>
      <c r="L1070" s="1" t="s">
        <v>4826</v>
      </c>
      <c r="M1070" t="s">
        <v>3918</v>
      </c>
      <c r="N1070" t="s">
        <v>622</v>
      </c>
      <c r="O1070" s="1" t="s">
        <v>4828</v>
      </c>
      <c r="P1070" s="1" t="s">
        <v>4830</v>
      </c>
      <c r="Q1070" s="1" t="s">
        <v>7304</v>
      </c>
    </row>
    <row r="1071" spans="1:17" x14ac:dyDescent="0.25">
      <c r="A1071" t="s">
        <v>4831</v>
      </c>
      <c r="B1071" t="str">
        <f>HYPERLINK("https://staging-dtl-pattern-api.hfm-weimar.de/static/audio/solos/dtl/AQALxpOyJEmSRwl4WNzxHdurF8VHVFrj_0.04.28.081741-0.06.15.078666.mp3", "link")</f>
        <v>link</v>
      </c>
      <c r="D1071" t="s">
        <v>4822</v>
      </c>
      <c r="E1071" t="s">
        <v>614</v>
      </c>
      <c r="F1071" t="s">
        <v>614</v>
      </c>
      <c r="G1071" t="s">
        <v>614</v>
      </c>
      <c r="J1071" t="s">
        <v>4824</v>
      </c>
      <c r="K1071" t="s">
        <v>4825</v>
      </c>
      <c r="L1071" s="1" t="s">
        <v>4826</v>
      </c>
      <c r="M1071" t="s">
        <v>3918</v>
      </c>
      <c r="N1071" t="s">
        <v>622</v>
      </c>
      <c r="O1071" s="1" t="s">
        <v>4832</v>
      </c>
      <c r="P1071" s="1" t="s">
        <v>4833</v>
      </c>
      <c r="Q1071" s="1" t="s">
        <v>7304</v>
      </c>
    </row>
    <row r="1072" spans="1:17" x14ac:dyDescent="0.25">
      <c r="A1072" t="s">
        <v>4834</v>
      </c>
      <c r="B1072" t="str">
        <f>HYPERLINK("https://staging-dtl-pattern-api.hfm-weimar.de/static/audio/solos/dtl/AQALzVGlZJOmIEfPwkfNGPmtQN81tFE-_0.02.00.082503-0.03.00.004172.mp3", "link")</f>
        <v>link</v>
      </c>
      <c r="D1072" t="s">
        <v>4835</v>
      </c>
      <c r="E1072" t="s">
        <v>4836</v>
      </c>
      <c r="F1072" t="s">
        <v>4837</v>
      </c>
      <c r="J1072" t="s">
        <v>4837</v>
      </c>
      <c r="K1072" t="s">
        <v>4838</v>
      </c>
      <c r="L1072" s="1" t="s">
        <v>2331</v>
      </c>
      <c r="M1072" t="s">
        <v>4839</v>
      </c>
      <c r="N1072" t="s">
        <v>23</v>
      </c>
      <c r="O1072" s="1" t="s">
        <v>4840</v>
      </c>
      <c r="P1072" s="1" t="s">
        <v>4841</v>
      </c>
    </row>
    <row r="1073" spans="1:16" x14ac:dyDescent="0.25">
      <c r="A1073" t="s">
        <v>4842</v>
      </c>
      <c r="B1073" t="str">
        <f>HYPERLINK("https://staging-dtl-pattern-api.hfm-weimar.de/static/audio/solos/dtl/AQAM_YkWJVSsJEGuGO_hOSxuCl-OP8Ec_0.00.14.077133-0.02.16.015616.mp3", "link")</f>
        <v>link</v>
      </c>
      <c r="D1073" t="s">
        <v>2810</v>
      </c>
      <c r="E1073" t="s">
        <v>2811</v>
      </c>
      <c r="F1073" t="s">
        <v>2811</v>
      </c>
      <c r="G1073" t="s">
        <v>2811</v>
      </c>
      <c r="J1073" t="s">
        <v>2812</v>
      </c>
      <c r="K1073" t="s">
        <v>4843</v>
      </c>
      <c r="L1073" s="1" t="s">
        <v>2814</v>
      </c>
      <c r="M1073" t="s">
        <v>2815</v>
      </c>
      <c r="N1073" t="s">
        <v>23</v>
      </c>
      <c r="O1073" s="1" t="s">
        <v>4844</v>
      </c>
      <c r="P1073" s="1" t="s">
        <v>4845</v>
      </c>
    </row>
    <row r="1074" spans="1:16" x14ac:dyDescent="0.25">
      <c r="A1074" t="s">
        <v>4846</v>
      </c>
      <c r="B1074" t="str">
        <f>HYPERLINK("https://staging-dtl-pattern-api.hfm-weimar.de/static/audio/solos/dtl/AQAM_YkWJVSsJEGuGO_hOSxuCl-OP8Ec_0.04.29.006408-0.04.44.021598.mp3", "link")</f>
        <v>link</v>
      </c>
      <c r="D1074" t="s">
        <v>2810</v>
      </c>
      <c r="E1074" t="s">
        <v>2811</v>
      </c>
      <c r="F1074" t="s">
        <v>2811</v>
      </c>
      <c r="G1074" t="s">
        <v>2811</v>
      </c>
      <c r="J1074" t="s">
        <v>2812</v>
      </c>
      <c r="K1074" t="s">
        <v>4843</v>
      </c>
      <c r="L1074" s="1" t="s">
        <v>2814</v>
      </c>
      <c r="M1074" t="s">
        <v>2815</v>
      </c>
      <c r="N1074" t="s">
        <v>23</v>
      </c>
      <c r="O1074" s="1" t="s">
        <v>4847</v>
      </c>
      <c r="P1074" s="1" t="s">
        <v>4848</v>
      </c>
    </row>
    <row r="1075" spans="1:16" x14ac:dyDescent="0.25">
      <c r="A1075" t="s">
        <v>4849</v>
      </c>
      <c r="B1075" t="str">
        <f>HYPERLINK("https://staging-dtl-pattern-api.hfm-weimar.de/static/audio/solos/dtl/AQAM0NOkMFpE-Dx2Hc1y4xe-E-kXBj_E_0.01.35.085859-0.03.23.079931.mp3", "link")</f>
        <v>link</v>
      </c>
      <c r="D1075" t="s">
        <v>4850</v>
      </c>
      <c r="E1075" t="s">
        <v>3802</v>
      </c>
      <c r="F1075" t="s">
        <v>4851</v>
      </c>
      <c r="G1075" t="s">
        <v>4851</v>
      </c>
      <c r="J1075" t="s">
        <v>4852</v>
      </c>
      <c r="K1075" t="s">
        <v>4853</v>
      </c>
      <c r="L1075" s="1" t="s">
        <v>4854</v>
      </c>
      <c r="M1075" t="s">
        <v>1936</v>
      </c>
      <c r="N1075" t="s">
        <v>202</v>
      </c>
      <c r="O1075" s="1" t="s">
        <v>4855</v>
      </c>
      <c r="P1075" s="1" t="s">
        <v>4856</v>
      </c>
    </row>
    <row r="1076" spans="1:16" x14ac:dyDescent="0.25">
      <c r="A1076" t="s">
        <v>4857</v>
      </c>
      <c r="B1076" t="str">
        <f>HYPERLINK("https://staging-dtl-pattern-api.hfm-weimar.de/static/audio/solos/dtl/AQAM0NOkMFpE-Dx2Hc1y4xe-E-kXBj_E_0.05.05.082857-0.05.38.048163.mp3", "link")</f>
        <v>link</v>
      </c>
      <c r="D1076" t="s">
        <v>4850</v>
      </c>
      <c r="E1076" t="s">
        <v>3802</v>
      </c>
      <c r="F1076" t="s">
        <v>4851</v>
      </c>
      <c r="G1076" t="s">
        <v>4851</v>
      </c>
      <c r="J1076" t="s">
        <v>4852</v>
      </c>
      <c r="K1076" t="s">
        <v>4853</v>
      </c>
      <c r="L1076" s="1" t="s">
        <v>4854</v>
      </c>
      <c r="M1076" t="s">
        <v>1936</v>
      </c>
      <c r="N1076" t="s">
        <v>202</v>
      </c>
      <c r="O1076" s="1" t="s">
        <v>4858</v>
      </c>
      <c r="P1076" s="1" t="s">
        <v>4859</v>
      </c>
    </row>
    <row r="1077" spans="1:16" x14ac:dyDescent="0.25">
      <c r="A1077" t="s">
        <v>4860</v>
      </c>
      <c r="B1077" t="str">
        <f>HYPERLINK("https://staging-dtl-pattern-api.hfm-weimar.de/static/audio/solos/dtl/AQAM0YmkSLGyJcGXIz_6wDWe5OgtHbcU_0.01.19.021632-0.02.28.037551.mp3", "link")</f>
        <v>link</v>
      </c>
      <c r="D1077" t="s">
        <v>4861</v>
      </c>
      <c r="E1077" t="s">
        <v>4862</v>
      </c>
      <c r="F1077" t="s">
        <v>3555</v>
      </c>
      <c r="G1077" t="s">
        <v>3555</v>
      </c>
      <c r="J1077" t="s">
        <v>4077</v>
      </c>
      <c r="K1077" t="s">
        <v>4863</v>
      </c>
      <c r="L1077" s="1" t="s">
        <v>4079</v>
      </c>
      <c r="M1077" t="s">
        <v>182</v>
      </c>
      <c r="N1077" t="s">
        <v>119</v>
      </c>
      <c r="O1077" s="1" t="s">
        <v>4864</v>
      </c>
      <c r="P1077" s="1" t="s">
        <v>1826</v>
      </c>
    </row>
    <row r="1078" spans="1:16" x14ac:dyDescent="0.25">
      <c r="A1078" t="s">
        <v>4865</v>
      </c>
      <c r="B1078" t="str">
        <f>HYPERLINK("https://staging-dtl-pattern-api.hfm-weimar.de/static/audio/solos/dtl/AQAM2kyk5GE0NE6FK_iPJ9_R7oGfIzT0_0.02.03.024571-0.04.08.090920.mp3", "link")</f>
        <v>link</v>
      </c>
      <c r="D1078" t="s">
        <v>4216</v>
      </c>
      <c r="E1078" t="s">
        <v>4217</v>
      </c>
      <c r="F1078" t="s">
        <v>4217</v>
      </c>
      <c r="G1078" t="s">
        <v>4217</v>
      </c>
      <c r="J1078" t="s">
        <v>2220</v>
      </c>
      <c r="K1078" t="s">
        <v>4866</v>
      </c>
      <c r="L1078" s="1" t="s">
        <v>4219</v>
      </c>
      <c r="M1078" t="s">
        <v>309</v>
      </c>
      <c r="N1078" t="s">
        <v>23</v>
      </c>
      <c r="O1078" s="1" t="s">
        <v>4867</v>
      </c>
      <c r="P1078" s="1" t="s">
        <v>4868</v>
      </c>
    </row>
    <row r="1079" spans="1:16" x14ac:dyDescent="0.25">
      <c r="A1079" t="s">
        <v>4869</v>
      </c>
      <c r="B1079" t="str">
        <f>HYPERLINK("https://staging-dtl-pattern-api.hfm-weimar.de/static/audio/solos/dtl/AQAM3ErWMImN7_iDMocRfsQXFvrR5_Cc_0.02.15.031428-0.03.18.040000.mp3", "link")</f>
        <v>link</v>
      </c>
      <c r="D1079" t="s">
        <v>4870</v>
      </c>
      <c r="E1079" t="s">
        <v>4871</v>
      </c>
      <c r="F1079" t="s">
        <v>4871</v>
      </c>
      <c r="G1079" t="s">
        <v>4871</v>
      </c>
      <c r="J1079" t="s">
        <v>4872</v>
      </c>
      <c r="K1079" t="s">
        <v>4873</v>
      </c>
      <c r="L1079" s="1" t="s">
        <v>3701</v>
      </c>
      <c r="M1079" t="s">
        <v>2824</v>
      </c>
      <c r="N1079" t="s">
        <v>23</v>
      </c>
      <c r="O1079" s="1" t="s">
        <v>4874</v>
      </c>
      <c r="P1079" s="1" t="s">
        <v>4875</v>
      </c>
    </row>
    <row r="1080" spans="1:16" x14ac:dyDescent="0.25">
      <c r="A1080" t="s">
        <v>4876</v>
      </c>
      <c r="B1080" t="str">
        <f>HYPERLINK("https://staging-dtl-pattern-api.hfm-weimar.de/static/audio/solos/dtl/AQAM3lESKpESSRPSLTSew8f043gSPXjm_0.00.53.041723-0.02.33.069727.mp3", "link")</f>
        <v>link</v>
      </c>
      <c r="D1080" t="s">
        <v>4351</v>
      </c>
      <c r="E1080" t="s">
        <v>612</v>
      </c>
      <c r="F1080" t="s">
        <v>612</v>
      </c>
      <c r="G1080" t="s">
        <v>612</v>
      </c>
      <c r="J1080" t="s">
        <v>4352</v>
      </c>
      <c r="K1080" t="s">
        <v>4877</v>
      </c>
      <c r="L1080" s="1" t="s">
        <v>4354</v>
      </c>
      <c r="M1080" t="s">
        <v>4355</v>
      </c>
      <c r="N1080" t="s">
        <v>46</v>
      </c>
      <c r="O1080" s="1" t="s">
        <v>4878</v>
      </c>
      <c r="P1080" s="1" t="s">
        <v>4879</v>
      </c>
    </row>
    <row r="1081" spans="1:16" x14ac:dyDescent="0.25">
      <c r="A1081" t="s">
        <v>4880</v>
      </c>
      <c r="B1081" t="str">
        <f>HYPERLINK("https://staging-dtl-pattern-api.hfm-weimar.de/static/audio/solos/dtl/AQAM3lESKpESSRPSLTSew8f043gSPXjm_0.04.09.044519-0.05.46.063281.mp3", "link")</f>
        <v>link</v>
      </c>
      <c r="D1081" t="s">
        <v>4351</v>
      </c>
      <c r="E1081" t="s">
        <v>612</v>
      </c>
      <c r="F1081" t="s">
        <v>612</v>
      </c>
      <c r="G1081" t="s">
        <v>612</v>
      </c>
      <c r="J1081" t="s">
        <v>4352</v>
      </c>
      <c r="K1081" t="s">
        <v>4877</v>
      </c>
      <c r="L1081" s="1" t="s">
        <v>4354</v>
      </c>
      <c r="M1081" t="s">
        <v>4355</v>
      </c>
      <c r="N1081" t="s">
        <v>46</v>
      </c>
      <c r="O1081" s="1" t="s">
        <v>4881</v>
      </c>
      <c r="P1081" s="1" t="s">
        <v>4882</v>
      </c>
    </row>
    <row r="1082" spans="1:16" x14ac:dyDescent="0.25">
      <c r="A1082" t="s">
        <v>4883</v>
      </c>
      <c r="B1082" t="str">
        <f>HYPERLINK("https://staging-dtl-pattern-api.hfm-weimar.de/static/audio/solos/dtl/AQAM5lESZYmiiBk-6A--5mj0IN4PV22I_0.00.35.054975-0.01.45.060435.mp3", "link")</f>
        <v>link</v>
      </c>
      <c r="C1082" t="s">
        <v>4884</v>
      </c>
      <c r="D1082" t="s">
        <v>4885</v>
      </c>
      <c r="F1082" t="s">
        <v>4886</v>
      </c>
      <c r="J1082" t="s">
        <v>4887</v>
      </c>
      <c r="K1082" t="s">
        <v>4888</v>
      </c>
      <c r="L1082" s="1" t="s">
        <v>2858</v>
      </c>
      <c r="M1082" t="s">
        <v>129</v>
      </c>
      <c r="N1082" t="s">
        <v>23</v>
      </c>
      <c r="O1082" s="1" t="s">
        <v>4889</v>
      </c>
      <c r="P1082" s="1" t="s">
        <v>4890</v>
      </c>
    </row>
    <row r="1083" spans="1:16" x14ac:dyDescent="0.25">
      <c r="A1083" t="s">
        <v>4891</v>
      </c>
      <c r="B1083" t="str">
        <f>HYPERLINK("https://staging-dtl-pattern-api.hfm-weimar.de/static/audio/solos/dtl/AQAM5lESZYmiiBk-6A--5mj0IN4PV22I_0.01.45.060435-0.02.52.005986.mp3", "link")</f>
        <v>link</v>
      </c>
      <c r="D1083" t="s">
        <v>4885</v>
      </c>
      <c r="E1083" t="s">
        <v>4892</v>
      </c>
      <c r="F1083" t="s">
        <v>4886</v>
      </c>
      <c r="J1083" t="s">
        <v>4887</v>
      </c>
      <c r="K1083" t="s">
        <v>4888</v>
      </c>
      <c r="L1083" s="1" t="s">
        <v>2858</v>
      </c>
      <c r="M1083" t="s">
        <v>129</v>
      </c>
      <c r="N1083" t="s">
        <v>119</v>
      </c>
      <c r="O1083" s="1" t="s">
        <v>4890</v>
      </c>
      <c r="P1083" s="1" t="s">
        <v>4893</v>
      </c>
    </row>
    <row r="1084" spans="1:16" x14ac:dyDescent="0.25">
      <c r="A1084" t="s">
        <v>4894</v>
      </c>
      <c r="B1084" t="str">
        <f>HYPERLINK("https://staging-dtl-pattern-api.hfm-weimar.de/static/audio/solos/dtl/AQAM5lESZYmiiBk-6A--5mj0IN4PV22I_0.02.52.005986-0.03.57.009895.mp3", "link")</f>
        <v>link</v>
      </c>
      <c r="C1084" t="s">
        <v>4884</v>
      </c>
      <c r="D1084" t="s">
        <v>4885</v>
      </c>
      <c r="F1084" t="s">
        <v>4886</v>
      </c>
      <c r="J1084" t="s">
        <v>4887</v>
      </c>
      <c r="K1084" t="s">
        <v>4888</v>
      </c>
      <c r="L1084" s="1" t="s">
        <v>2858</v>
      </c>
      <c r="M1084" t="s">
        <v>129</v>
      </c>
      <c r="N1084" t="s">
        <v>23</v>
      </c>
      <c r="O1084" s="1" t="s">
        <v>4893</v>
      </c>
      <c r="P1084" s="1" t="s">
        <v>4895</v>
      </c>
    </row>
    <row r="1085" spans="1:16" x14ac:dyDescent="0.25">
      <c r="A1085" t="s">
        <v>4896</v>
      </c>
      <c r="B1085" t="str">
        <f>HYPERLINK("https://staging-dtl-pattern-api.hfm-weimar.de/static/audio/solos/dtl/AQAM5lESZYmiiBk-6A--5mj0IN4PV22I_0.03.57.009895-0.04.12.086530.mp3", "link")</f>
        <v>link</v>
      </c>
      <c r="C1085" t="s">
        <v>4884</v>
      </c>
      <c r="D1085" t="s">
        <v>4885</v>
      </c>
      <c r="F1085" t="s">
        <v>4886</v>
      </c>
      <c r="J1085" t="s">
        <v>4887</v>
      </c>
      <c r="K1085" t="s">
        <v>4888</v>
      </c>
      <c r="L1085" s="1" t="s">
        <v>2858</v>
      </c>
      <c r="M1085" t="s">
        <v>129</v>
      </c>
      <c r="N1085" t="s">
        <v>23</v>
      </c>
      <c r="O1085" s="1" t="s">
        <v>4895</v>
      </c>
      <c r="P1085" s="1" t="s">
        <v>4897</v>
      </c>
    </row>
    <row r="1086" spans="1:16" x14ac:dyDescent="0.25">
      <c r="A1086" t="s">
        <v>4898</v>
      </c>
      <c r="B1086" t="str">
        <f>HYPERLINK("https://staging-dtl-pattern-api.hfm-weimar.de/static/audio/solos/dtl/AQAM5lESZYmiiBk-6A--5mj0IN4PV22I_0.04.12.086530-0.04.29.042113.mp3", "link")</f>
        <v>link</v>
      </c>
      <c r="D1086" t="s">
        <v>4885</v>
      </c>
      <c r="E1086" t="s">
        <v>4892</v>
      </c>
      <c r="F1086" t="s">
        <v>4886</v>
      </c>
      <c r="J1086" t="s">
        <v>4887</v>
      </c>
      <c r="K1086" t="s">
        <v>4888</v>
      </c>
      <c r="L1086" s="1" t="s">
        <v>2858</v>
      </c>
      <c r="M1086" t="s">
        <v>129</v>
      </c>
      <c r="N1086" t="s">
        <v>119</v>
      </c>
      <c r="O1086" s="1" t="s">
        <v>4897</v>
      </c>
      <c r="P1086" s="1" t="s">
        <v>4899</v>
      </c>
    </row>
    <row r="1087" spans="1:16" x14ac:dyDescent="0.25">
      <c r="A1087" t="s">
        <v>4900</v>
      </c>
      <c r="B1087" t="str">
        <f>HYPERLINK("https://staging-dtl-pattern-api.hfm-weimar.de/static/audio/solos/dtl/AQAM5lESZYmiiBk-6A--5mj0IN4PV22I_0.04.29.042113-0.04.45.044290.mp3", "link")</f>
        <v>link</v>
      </c>
      <c r="C1087" t="s">
        <v>4884</v>
      </c>
      <c r="D1087" t="s">
        <v>4885</v>
      </c>
      <c r="F1087" t="s">
        <v>4886</v>
      </c>
      <c r="J1087" t="s">
        <v>4887</v>
      </c>
      <c r="K1087" t="s">
        <v>4888</v>
      </c>
      <c r="L1087" s="1" t="s">
        <v>2858</v>
      </c>
      <c r="M1087" t="s">
        <v>129</v>
      </c>
      <c r="N1087" t="s">
        <v>23</v>
      </c>
      <c r="O1087" s="1" t="s">
        <v>4899</v>
      </c>
      <c r="P1087" s="1" t="s">
        <v>4901</v>
      </c>
    </row>
    <row r="1088" spans="1:16" x14ac:dyDescent="0.25">
      <c r="A1088" t="s">
        <v>4902</v>
      </c>
      <c r="B1088" t="str">
        <f>HYPERLINK("https://staging-dtl-pattern-api.hfm-weimar.de/static/audio/solos/dtl/AQAM5lESZYmiiBk-6A--5mj0IN4PV22I_0.04.45.044290-0.05.01.053433.mp3", "link")</f>
        <v>link</v>
      </c>
      <c r="C1088" t="s">
        <v>4884</v>
      </c>
      <c r="D1088" t="s">
        <v>4885</v>
      </c>
      <c r="F1088" t="s">
        <v>4886</v>
      </c>
      <c r="J1088" t="s">
        <v>4887</v>
      </c>
      <c r="K1088" t="s">
        <v>4888</v>
      </c>
      <c r="L1088" s="1" t="s">
        <v>2858</v>
      </c>
      <c r="M1088" t="s">
        <v>129</v>
      </c>
      <c r="N1088" t="s">
        <v>23</v>
      </c>
      <c r="O1088" s="1" t="s">
        <v>4901</v>
      </c>
      <c r="P1088" s="1" t="s">
        <v>4903</v>
      </c>
    </row>
    <row r="1089" spans="1:17" x14ac:dyDescent="0.25">
      <c r="A1089" t="s">
        <v>4904</v>
      </c>
      <c r="B1089" t="str">
        <f>HYPERLINK("https://staging-dtl-pattern-api.hfm-weimar.de/static/audio/solos/dtl/AQAM5lESZYmiiBk-6A--5mj0IN4PV22I_0.05.01.053433-0.05.09.059165.mp3", "link")</f>
        <v>link</v>
      </c>
      <c r="D1089" t="s">
        <v>4885</v>
      </c>
      <c r="E1089" t="s">
        <v>4892</v>
      </c>
      <c r="F1089" t="s">
        <v>4886</v>
      </c>
      <c r="J1089" t="s">
        <v>4887</v>
      </c>
      <c r="K1089" t="s">
        <v>4888</v>
      </c>
      <c r="L1089" s="1" t="s">
        <v>2858</v>
      </c>
      <c r="M1089" t="s">
        <v>129</v>
      </c>
      <c r="N1089" t="s">
        <v>119</v>
      </c>
      <c r="O1089" s="1" t="s">
        <v>4903</v>
      </c>
      <c r="P1089" s="1" t="s">
        <v>4905</v>
      </c>
    </row>
    <row r="1090" spans="1:17" x14ac:dyDescent="0.25">
      <c r="A1090" t="s">
        <v>4906</v>
      </c>
      <c r="B1090" t="str">
        <f>HYPERLINK("https://staging-dtl-pattern-api.hfm-weimar.de/static/audio/solos/dtl/AQAM5lESZYmiiBk-6A--5mj0IN4PV22I_0.05.09.059165-0.05.17.057931.mp3", "link")</f>
        <v>link</v>
      </c>
      <c r="C1090" t="s">
        <v>4884</v>
      </c>
      <c r="D1090" t="s">
        <v>4885</v>
      </c>
      <c r="F1090" t="s">
        <v>4886</v>
      </c>
      <c r="J1090" t="s">
        <v>4887</v>
      </c>
      <c r="K1090" t="s">
        <v>4888</v>
      </c>
      <c r="L1090" s="1" t="s">
        <v>2858</v>
      </c>
      <c r="M1090" t="s">
        <v>129</v>
      </c>
      <c r="N1090" t="s">
        <v>23</v>
      </c>
      <c r="O1090" s="1" t="s">
        <v>4905</v>
      </c>
      <c r="P1090" s="1" t="s">
        <v>4907</v>
      </c>
    </row>
    <row r="1091" spans="1:17" x14ac:dyDescent="0.25">
      <c r="A1091" t="s">
        <v>4908</v>
      </c>
      <c r="B1091" t="str">
        <f>HYPERLINK("https://staging-dtl-pattern-api.hfm-weimar.de/static/audio/solos/dtl/AQAM5lESZYmiiBk-6A--5mj0IN4PV22I_0.05.17.057931-0.05.25.084562.mp3", "link")</f>
        <v>link</v>
      </c>
      <c r="C1091" t="s">
        <v>4884</v>
      </c>
      <c r="D1091" t="s">
        <v>4885</v>
      </c>
      <c r="F1091" t="s">
        <v>4886</v>
      </c>
      <c r="J1091" t="s">
        <v>4887</v>
      </c>
      <c r="K1091" t="s">
        <v>4888</v>
      </c>
      <c r="L1091" s="1" t="s">
        <v>2858</v>
      </c>
      <c r="M1091" t="s">
        <v>129</v>
      </c>
      <c r="N1091" t="s">
        <v>23</v>
      </c>
      <c r="O1091" s="1" t="s">
        <v>4907</v>
      </c>
      <c r="P1091" s="1" t="s">
        <v>4909</v>
      </c>
    </row>
    <row r="1092" spans="1:17" x14ac:dyDescent="0.25">
      <c r="A1092" t="s">
        <v>4910</v>
      </c>
      <c r="B1092" t="str">
        <f>HYPERLINK("https://staging-dtl-pattern-api.hfm-weimar.de/static/audio/solos/dtl/AQAM5lESZYmiiBk-6A--5mj0IN4PV22I_0.05.25.084562-0.05.33.020634.mp3", "link")</f>
        <v>link</v>
      </c>
      <c r="D1092" t="s">
        <v>4885</v>
      </c>
      <c r="E1092" t="s">
        <v>4892</v>
      </c>
      <c r="F1092" t="s">
        <v>4886</v>
      </c>
      <c r="J1092" t="s">
        <v>4887</v>
      </c>
      <c r="K1092" t="s">
        <v>4888</v>
      </c>
      <c r="L1092" s="1" t="s">
        <v>2858</v>
      </c>
      <c r="M1092" t="s">
        <v>129</v>
      </c>
      <c r="N1092" t="s">
        <v>119</v>
      </c>
      <c r="O1092" s="1" t="s">
        <v>4909</v>
      </c>
      <c r="P1092" s="1" t="s">
        <v>4911</v>
      </c>
    </row>
    <row r="1093" spans="1:17" x14ac:dyDescent="0.25">
      <c r="A1093" t="s">
        <v>4912</v>
      </c>
      <c r="B1093" t="str">
        <f>HYPERLINK("https://staging-dtl-pattern-api.hfm-weimar.de/static/audio/solos/dtl/AQAM5lESZYmiiBk-6A--5mj0IN4PV22I_0.05.33.020634-0.05.37.038594.mp3", "link")</f>
        <v>link</v>
      </c>
      <c r="C1093" t="s">
        <v>4884</v>
      </c>
      <c r="D1093" t="s">
        <v>4885</v>
      </c>
      <c r="F1093" t="s">
        <v>4886</v>
      </c>
      <c r="J1093" t="s">
        <v>4887</v>
      </c>
      <c r="K1093" t="s">
        <v>4888</v>
      </c>
      <c r="L1093" s="1" t="s">
        <v>2858</v>
      </c>
      <c r="M1093" t="s">
        <v>129</v>
      </c>
      <c r="N1093" t="s">
        <v>23</v>
      </c>
      <c r="O1093" s="1" t="s">
        <v>4911</v>
      </c>
      <c r="P1093" s="1" t="s">
        <v>4913</v>
      </c>
    </row>
    <row r="1094" spans="1:17" x14ac:dyDescent="0.25">
      <c r="A1094" t="s">
        <v>4914</v>
      </c>
      <c r="B1094" t="str">
        <f>HYPERLINK("https://staging-dtl-pattern-api.hfm-weimar.de/static/audio/solos/dtl/AQAM5lESZYmiiBk-6A--5mj0IN4PV22I_0.05.37.038594-0.05.41.014757.mp3", "link")</f>
        <v>link</v>
      </c>
      <c r="C1094" t="s">
        <v>4884</v>
      </c>
      <c r="D1094" t="s">
        <v>4885</v>
      </c>
      <c r="F1094" t="s">
        <v>4886</v>
      </c>
      <c r="J1094" t="s">
        <v>4887</v>
      </c>
      <c r="K1094" t="s">
        <v>4888</v>
      </c>
      <c r="L1094" s="1" t="s">
        <v>2858</v>
      </c>
      <c r="M1094" t="s">
        <v>129</v>
      </c>
      <c r="N1094" t="s">
        <v>23</v>
      </c>
      <c r="O1094" s="1" t="s">
        <v>4913</v>
      </c>
      <c r="P1094" s="1" t="s">
        <v>4915</v>
      </c>
    </row>
    <row r="1095" spans="1:17" x14ac:dyDescent="0.25">
      <c r="A1095" t="s">
        <v>4916</v>
      </c>
      <c r="B1095" t="str">
        <f>HYPERLINK("https://staging-dtl-pattern-api.hfm-weimar.de/static/audio/solos/dtl/AQAM5lESZYmiiBk-6A--5mj0IN4PV22I_0.05.41.014757-0.05.45.067546.mp3", "link")</f>
        <v>link</v>
      </c>
      <c r="D1095" t="s">
        <v>4885</v>
      </c>
      <c r="E1095" t="s">
        <v>4892</v>
      </c>
      <c r="F1095" t="s">
        <v>4886</v>
      </c>
      <c r="J1095" t="s">
        <v>4887</v>
      </c>
      <c r="K1095" t="s">
        <v>4888</v>
      </c>
      <c r="L1095" s="1" t="s">
        <v>2858</v>
      </c>
      <c r="M1095" t="s">
        <v>129</v>
      </c>
      <c r="N1095" t="s">
        <v>119</v>
      </c>
      <c r="O1095" s="1" t="s">
        <v>4915</v>
      </c>
      <c r="P1095" s="1" t="s">
        <v>4917</v>
      </c>
    </row>
    <row r="1096" spans="1:17" x14ac:dyDescent="0.25">
      <c r="A1096" t="s">
        <v>4918</v>
      </c>
      <c r="B1096" t="str">
        <f>HYPERLINK("https://staging-dtl-pattern-api.hfm-weimar.de/static/audio/solos/dtl/AQAM5lESZYmiiBk-6A--5mj0IN4PV22I_0.05.45.067546-0.05.49.050675.mp3", "link")</f>
        <v>link</v>
      </c>
      <c r="C1096" t="s">
        <v>4884</v>
      </c>
      <c r="D1096" t="s">
        <v>4885</v>
      </c>
      <c r="F1096" t="s">
        <v>4886</v>
      </c>
      <c r="J1096" t="s">
        <v>4887</v>
      </c>
      <c r="K1096" t="s">
        <v>4888</v>
      </c>
      <c r="L1096" s="1" t="s">
        <v>2858</v>
      </c>
      <c r="M1096" t="s">
        <v>129</v>
      </c>
      <c r="N1096" t="s">
        <v>23</v>
      </c>
      <c r="O1096" s="1" t="s">
        <v>4917</v>
      </c>
      <c r="P1096" s="1" t="s">
        <v>4919</v>
      </c>
    </row>
    <row r="1097" spans="1:17" x14ac:dyDescent="0.25">
      <c r="A1097" t="s">
        <v>4920</v>
      </c>
      <c r="B1097" t="str">
        <f>HYPERLINK("https://staging-dtl-pattern-api.hfm-weimar.de/static/audio/solos/dtl/AQAM5lESZYmiiBk-6A--5mj0IN4PV22I_0.05.49.050675-0.05.53.029160.mp3", "link")</f>
        <v>link</v>
      </c>
      <c r="C1097" t="s">
        <v>4884</v>
      </c>
      <c r="D1097" t="s">
        <v>4885</v>
      </c>
      <c r="F1097" t="s">
        <v>4886</v>
      </c>
      <c r="J1097" t="s">
        <v>4887</v>
      </c>
      <c r="K1097" t="s">
        <v>4888</v>
      </c>
      <c r="L1097" s="1" t="s">
        <v>2858</v>
      </c>
      <c r="M1097" t="s">
        <v>129</v>
      </c>
      <c r="N1097" t="s">
        <v>23</v>
      </c>
      <c r="O1097" s="1" t="s">
        <v>4919</v>
      </c>
      <c r="P1097" s="1" t="s">
        <v>4921</v>
      </c>
    </row>
    <row r="1098" spans="1:17" x14ac:dyDescent="0.25">
      <c r="A1098" t="s">
        <v>4922</v>
      </c>
      <c r="B1098" t="str">
        <f>HYPERLINK("https://staging-dtl-pattern-api.hfm-weimar.de/static/audio/solos/dtl/AQAM5lESZYmiiBk-6A--5mj0IN4PV22I_0.05.53.029160-0.05.57.042476.mp3", "link")</f>
        <v>link</v>
      </c>
      <c r="D1098" t="s">
        <v>4885</v>
      </c>
      <c r="E1098" t="s">
        <v>4892</v>
      </c>
      <c r="F1098" t="s">
        <v>4886</v>
      </c>
      <c r="J1098" t="s">
        <v>4887</v>
      </c>
      <c r="K1098" t="s">
        <v>4888</v>
      </c>
      <c r="L1098" s="1" t="s">
        <v>2858</v>
      </c>
      <c r="M1098" t="s">
        <v>129</v>
      </c>
      <c r="N1098" t="s">
        <v>119</v>
      </c>
      <c r="O1098" s="1" t="s">
        <v>4921</v>
      </c>
      <c r="P1098" s="1" t="s">
        <v>4923</v>
      </c>
    </row>
    <row r="1099" spans="1:17" x14ac:dyDescent="0.25">
      <c r="A1099" t="s">
        <v>4924</v>
      </c>
      <c r="B1099" t="str">
        <f>HYPERLINK("https://staging-dtl-pattern-api.hfm-weimar.de/static/audio/solos/dtl/AQAM5lESZYmiiBk-6A--5mj0IN4PV22I_0.05.57.042476-0.06.01.039537.mp3", "link")</f>
        <v>link</v>
      </c>
      <c r="C1099" t="s">
        <v>4884</v>
      </c>
      <c r="D1099" t="s">
        <v>4885</v>
      </c>
      <c r="F1099" t="s">
        <v>4886</v>
      </c>
      <c r="J1099" t="s">
        <v>4887</v>
      </c>
      <c r="K1099" t="s">
        <v>4888</v>
      </c>
      <c r="L1099" s="1" t="s">
        <v>2858</v>
      </c>
      <c r="M1099" t="s">
        <v>129</v>
      </c>
      <c r="N1099" t="s">
        <v>23</v>
      </c>
      <c r="O1099" s="1" t="s">
        <v>4923</v>
      </c>
      <c r="P1099" s="1" t="s">
        <v>4925</v>
      </c>
    </row>
    <row r="1100" spans="1:17" x14ac:dyDescent="0.25">
      <c r="A1100" t="s">
        <v>4926</v>
      </c>
      <c r="B1100" t="str">
        <f>HYPERLINK("https://staging-dtl-pattern-api.hfm-weimar.de/static/audio/solos/dtl/AQAM5lESZYmiiBk-6A--5mj0IN4PV22I_0.06.01.039537-0.06.05.048208.mp3", "link")</f>
        <v>link</v>
      </c>
      <c r="C1100" t="s">
        <v>4884</v>
      </c>
      <c r="D1100" t="s">
        <v>4885</v>
      </c>
      <c r="F1100" t="s">
        <v>4886</v>
      </c>
      <c r="J1100" t="s">
        <v>4887</v>
      </c>
      <c r="K1100" t="s">
        <v>4888</v>
      </c>
      <c r="L1100" s="1" t="s">
        <v>2858</v>
      </c>
      <c r="M1100" t="s">
        <v>129</v>
      </c>
      <c r="N1100" t="s">
        <v>23</v>
      </c>
      <c r="O1100" s="1" t="s">
        <v>4925</v>
      </c>
      <c r="P1100" s="1" t="s">
        <v>4927</v>
      </c>
    </row>
    <row r="1101" spans="1:17" x14ac:dyDescent="0.25">
      <c r="A1101" t="s">
        <v>4928</v>
      </c>
      <c r="B1101" t="str">
        <f>HYPERLINK("https://staging-dtl-pattern-api.hfm-weimar.de/static/audio/solos/dtl/AQAM64mSTEmURBGDMAqlFw8epccPf2mw_0.02.08.005804-0.03.21.036344.mp3", "link")</f>
        <v>link</v>
      </c>
      <c r="C1101" t="s">
        <v>4929</v>
      </c>
      <c r="D1101" t="s">
        <v>4930</v>
      </c>
      <c r="F1101" t="s">
        <v>3555</v>
      </c>
      <c r="G1101" t="s">
        <v>3555</v>
      </c>
      <c r="J1101" t="s">
        <v>4077</v>
      </c>
      <c r="K1101" t="s">
        <v>4931</v>
      </c>
      <c r="L1101" s="1" t="s">
        <v>4079</v>
      </c>
      <c r="M1101" t="s">
        <v>182</v>
      </c>
      <c r="N1101" t="s">
        <v>172</v>
      </c>
      <c r="O1101" s="1" t="s">
        <v>4932</v>
      </c>
      <c r="P1101" s="1" t="s">
        <v>4933</v>
      </c>
    </row>
    <row r="1102" spans="1:17" x14ac:dyDescent="0.25">
      <c r="A1102" t="s">
        <v>4934</v>
      </c>
      <c r="B1102" t="str">
        <f>HYPERLINK("https://staging-dtl-pattern-api.hfm-weimar.de/static/audio/solos/dtl/AQAM6NKXhAt84ul8fMHvJEXypBfy5fBH_0.03.02.094421-0.05.15.000770.mp3", "link")</f>
        <v>link</v>
      </c>
      <c r="D1102" t="s">
        <v>4935</v>
      </c>
      <c r="E1102" t="s">
        <v>2795</v>
      </c>
      <c r="F1102" t="s">
        <v>4599</v>
      </c>
      <c r="G1102" t="s">
        <v>266</v>
      </c>
      <c r="H1102" t="s">
        <v>4600</v>
      </c>
      <c r="I1102">
        <v>85</v>
      </c>
      <c r="J1102" t="s">
        <v>141</v>
      </c>
      <c r="K1102" t="s">
        <v>4936</v>
      </c>
      <c r="L1102" s="1" t="s">
        <v>4937</v>
      </c>
      <c r="M1102" t="s">
        <v>129</v>
      </c>
      <c r="N1102" t="s">
        <v>46</v>
      </c>
      <c r="O1102" s="1" t="s">
        <v>4938</v>
      </c>
      <c r="P1102" s="1" t="s">
        <v>4939</v>
      </c>
    </row>
    <row r="1103" spans="1:17" x14ac:dyDescent="0.25">
      <c r="A1103" t="s">
        <v>4940</v>
      </c>
      <c r="B1103" t="str">
        <f>HYPERLINK("https://staging-dtl-pattern-api.hfm-weimar.de/static/audio/solos/dtl/AQAM9EqkRKPCREIYmhHKH70pOJ-GOM3h_0.02.09.093886-0.03.11.098258.mp3", "link")</f>
        <v>link</v>
      </c>
      <c r="D1103" t="s">
        <v>4941</v>
      </c>
      <c r="E1103" t="s">
        <v>1214</v>
      </c>
      <c r="F1103" t="s">
        <v>364</v>
      </c>
      <c r="G1103" t="s">
        <v>364</v>
      </c>
      <c r="J1103" t="s">
        <v>4439</v>
      </c>
      <c r="K1103" t="s">
        <v>4942</v>
      </c>
      <c r="L1103" s="1" t="s">
        <v>4441</v>
      </c>
      <c r="M1103" t="s">
        <v>129</v>
      </c>
      <c r="N1103" t="s">
        <v>202</v>
      </c>
      <c r="O1103" s="1" t="s">
        <v>4943</v>
      </c>
      <c r="P1103" s="1" t="s">
        <v>4944</v>
      </c>
      <c r="Q1103" s="1" t="s">
        <v>7305</v>
      </c>
    </row>
    <row r="1104" spans="1:17" x14ac:dyDescent="0.25">
      <c r="A1104" t="s">
        <v>4945</v>
      </c>
      <c r="B1104" t="str">
        <f>HYPERLINK("https://staging-dtl-pattern-api.hfm-weimar.de/static/audio/solos/dtl/AQAM9EqkRKPCREIYmhHKH70pOJ-GOM3h_0.03.11.098258-0.04.18.076317.mp3", "link")</f>
        <v>link</v>
      </c>
      <c r="D1104" t="s">
        <v>4941</v>
      </c>
      <c r="E1104" t="s">
        <v>4154</v>
      </c>
      <c r="F1104" t="s">
        <v>364</v>
      </c>
      <c r="G1104" t="s">
        <v>364</v>
      </c>
      <c r="J1104" t="s">
        <v>4439</v>
      </c>
      <c r="K1104" t="s">
        <v>4942</v>
      </c>
      <c r="L1104" s="1" t="s">
        <v>4441</v>
      </c>
      <c r="M1104" t="s">
        <v>129</v>
      </c>
      <c r="N1104" t="s">
        <v>23</v>
      </c>
      <c r="O1104" s="1" t="s">
        <v>4944</v>
      </c>
      <c r="P1104" s="1" t="s">
        <v>4946</v>
      </c>
    </row>
    <row r="1105" spans="1:17" x14ac:dyDescent="0.25">
      <c r="A1105" t="s">
        <v>4947</v>
      </c>
      <c r="B1105" t="str">
        <f>HYPERLINK("https://staging-dtl-pattern-api.hfm-weimar.de/static/audio/solos/dtl/AQAMa0miJLEWEjoTBWtIvLzw7cEzKIqe_0.03.53.094104-0.05.34.013224.mp3", "link")</f>
        <v>link</v>
      </c>
      <c r="D1105" t="s">
        <v>4948</v>
      </c>
      <c r="E1105" t="s">
        <v>4949</v>
      </c>
      <c r="F1105" t="s">
        <v>4778</v>
      </c>
      <c r="G1105" t="s">
        <v>4778</v>
      </c>
      <c r="J1105" t="s">
        <v>4950</v>
      </c>
      <c r="K1105" t="s">
        <v>4951</v>
      </c>
      <c r="L1105" s="1" t="s">
        <v>4952</v>
      </c>
      <c r="M1105" t="s">
        <v>2180</v>
      </c>
      <c r="N1105" t="s">
        <v>891</v>
      </c>
      <c r="O1105" s="1" t="s">
        <v>4953</v>
      </c>
      <c r="P1105" s="1" t="s">
        <v>4954</v>
      </c>
    </row>
    <row r="1106" spans="1:17" x14ac:dyDescent="0.25">
      <c r="A1106" t="s">
        <v>4955</v>
      </c>
      <c r="B1106" t="str">
        <f>HYPERLINK("https://staging-dtl-pattern-api.hfm-weimar.de/static/audio/solos/dtl/AQAMAJmimkTyBN-O87hGB7syODp2HCez_0.00.51.078049-0.01.28.011972.mp3", "link")</f>
        <v>link</v>
      </c>
      <c r="D1106" t="s">
        <v>4956</v>
      </c>
      <c r="E1106" t="s">
        <v>266</v>
      </c>
      <c r="F1106" t="s">
        <v>4957</v>
      </c>
      <c r="G1106" t="s">
        <v>4958</v>
      </c>
      <c r="H1106" t="s">
        <v>4600</v>
      </c>
      <c r="I1106">
        <v>85</v>
      </c>
      <c r="J1106" t="s">
        <v>141</v>
      </c>
      <c r="K1106" t="s">
        <v>4959</v>
      </c>
      <c r="L1106" s="1" t="s">
        <v>4960</v>
      </c>
      <c r="M1106" t="s">
        <v>129</v>
      </c>
      <c r="N1106" t="s">
        <v>23</v>
      </c>
      <c r="O1106" s="1" t="s">
        <v>4961</v>
      </c>
      <c r="P1106" s="1" t="s">
        <v>4962</v>
      </c>
      <c r="Q1106" s="1" t="s">
        <v>7267</v>
      </c>
    </row>
    <row r="1107" spans="1:17" x14ac:dyDescent="0.25">
      <c r="A1107" t="s">
        <v>4963</v>
      </c>
      <c r="B1107" t="str">
        <f>HYPERLINK("https://staging-dtl-pattern-api.hfm-weimar.de/static/audio/solos/dtl/AQAMAJmimkTyBN-O87hGB7syODp2HCez_0.01.28.011972-0.02.03.092489.mp3", "link")</f>
        <v>link</v>
      </c>
      <c r="C1107" t="s">
        <v>4964</v>
      </c>
      <c r="D1107" t="s">
        <v>4956</v>
      </c>
      <c r="E1107" t="s">
        <v>1517</v>
      </c>
      <c r="F1107" t="s">
        <v>4957</v>
      </c>
      <c r="G1107" t="s">
        <v>4958</v>
      </c>
      <c r="H1107" t="s">
        <v>4600</v>
      </c>
      <c r="I1107">
        <v>85</v>
      </c>
      <c r="J1107" t="s">
        <v>141</v>
      </c>
      <c r="K1107" t="s">
        <v>4959</v>
      </c>
      <c r="L1107" s="1" t="s">
        <v>4960</v>
      </c>
      <c r="M1107" t="s">
        <v>129</v>
      </c>
      <c r="N1107" t="s">
        <v>23</v>
      </c>
      <c r="O1107" s="1" t="s">
        <v>4962</v>
      </c>
      <c r="P1107" s="1" t="s">
        <v>4965</v>
      </c>
      <c r="Q1107" s="1" t="s">
        <v>7306</v>
      </c>
    </row>
    <row r="1108" spans="1:17" x14ac:dyDescent="0.25">
      <c r="A1108" t="s">
        <v>4966</v>
      </c>
      <c r="B1108" t="str">
        <f>HYPERLINK("https://staging-dtl-pattern-api.hfm-weimar.de/static/audio/solos/dtl/AQAMAJmimkTyBN-O87hGB7syODp2HCez_0.02.03.092489-0.02.39.086938.mp3", "link")</f>
        <v>link</v>
      </c>
      <c r="D1108" t="s">
        <v>4956</v>
      </c>
      <c r="E1108" t="s">
        <v>4958</v>
      </c>
      <c r="F1108" t="s">
        <v>4957</v>
      </c>
      <c r="G1108" t="s">
        <v>4958</v>
      </c>
      <c r="H1108" t="s">
        <v>4600</v>
      </c>
      <c r="I1108">
        <v>85</v>
      </c>
      <c r="J1108" t="s">
        <v>141</v>
      </c>
      <c r="K1108" t="s">
        <v>4959</v>
      </c>
      <c r="L1108" s="1" t="s">
        <v>4960</v>
      </c>
      <c r="M1108" t="s">
        <v>129</v>
      </c>
      <c r="N1108" t="s">
        <v>329</v>
      </c>
      <c r="O1108" s="1" t="s">
        <v>4965</v>
      </c>
      <c r="P1108" s="1" t="s">
        <v>4967</v>
      </c>
    </row>
    <row r="1109" spans="1:17" x14ac:dyDescent="0.25">
      <c r="A1109" t="s">
        <v>4968</v>
      </c>
      <c r="B1109" t="str">
        <f>HYPERLINK("https://staging-dtl-pattern-api.hfm-weimar.de/static/audio/solos/dtl/AQAMAJmimkTyBN-O87hGB7syODp2HCez_0.02.39.086938-0.03.15.023337.mp3", "link")</f>
        <v>link</v>
      </c>
      <c r="D1109" t="s">
        <v>4956</v>
      </c>
      <c r="E1109" t="s">
        <v>4969</v>
      </c>
      <c r="F1109" t="s">
        <v>4957</v>
      </c>
      <c r="G1109" t="s">
        <v>4958</v>
      </c>
      <c r="H1109" t="s">
        <v>4600</v>
      </c>
      <c r="I1109">
        <v>85</v>
      </c>
      <c r="J1109" t="s">
        <v>141</v>
      </c>
      <c r="K1109" t="s">
        <v>4959</v>
      </c>
      <c r="L1109" s="1" t="s">
        <v>4960</v>
      </c>
      <c r="M1109" t="s">
        <v>129</v>
      </c>
      <c r="N1109" t="s">
        <v>46</v>
      </c>
      <c r="O1109" s="1" t="s">
        <v>4967</v>
      </c>
      <c r="P1109" s="1" t="s">
        <v>4970</v>
      </c>
    </row>
    <row r="1110" spans="1:17" x14ac:dyDescent="0.25">
      <c r="A1110" t="s">
        <v>4971</v>
      </c>
      <c r="B1110" t="str">
        <f>HYPERLINK("https://staging-dtl-pattern-api.hfm-weimar.de/static/audio/solos/dtl/AQAMAJmimkTyBN-O87hGB7syODp2HCez_0.03.15.023337-0.03.51.098476.mp3", "link")</f>
        <v>link</v>
      </c>
      <c r="C1110" t="s">
        <v>4964</v>
      </c>
      <c r="D1110" t="s">
        <v>4956</v>
      </c>
      <c r="E1110" t="s">
        <v>235</v>
      </c>
      <c r="F1110" t="s">
        <v>4957</v>
      </c>
      <c r="G1110" t="s">
        <v>4958</v>
      </c>
      <c r="H1110" t="s">
        <v>4600</v>
      </c>
      <c r="I1110">
        <v>85</v>
      </c>
      <c r="J1110" t="s">
        <v>141</v>
      </c>
      <c r="K1110" t="s">
        <v>4959</v>
      </c>
      <c r="L1110" s="1" t="s">
        <v>4960</v>
      </c>
      <c r="M1110" t="s">
        <v>129</v>
      </c>
      <c r="N1110" t="s">
        <v>23</v>
      </c>
      <c r="O1110" s="1" t="s">
        <v>4970</v>
      </c>
      <c r="P1110" s="1" t="s">
        <v>4972</v>
      </c>
      <c r="Q1110" s="1" t="s">
        <v>7217</v>
      </c>
    </row>
    <row r="1111" spans="1:17" x14ac:dyDescent="0.25">
      <c r="A1111" t="s">
        <v>4973</v>
      </c>
      <c r="B1111" t="str">
        <f>HYPERLINK("https://staging-dtl-pattern-api.hfm-weimar.de/static/audio/solos/dtl/AQAMAJmimkTyBN-O87hGB7syODp2HCez_0.03.51.098476-0.04.27.064190.mp3", "link")</f>
        <v>link</v>
      </c>
      <c r="D1111" t="s">
        <v>4956</v>
      </c>
      <c r="E1111" t="s">
        <v>4958</v>
      </c>
      <c r="F1111" t="s">
        <v>4957</v>
      </c>
      <c r="G1111" t="s">
        <v>4958</v>
      </c>
      <c r="H1111" t="s">
        <v>4600</v>
      </c>
      <c r="I1111">
        <v>85</v>
      </c>
      <c r="J1111" t="s">
        <v>141</v>
      </c>
      <c r="K1111" t="s">
        <v>4959</v>
      </c>
      <c r="L1111" s="1" t="s">
        <v>4960</v>
      </c>
      <c r="M1111" t="s">
        <v>129</v>
      </c>
      <c r="N1111" t="s">
        <v>329</v>
      </c>
      <c r="O1111" s="1" t="s">
        <v>4972</v>
      </c>
      <c r="P1111" s="1" t="s">
        <v>4974</v>
      </c>
    </row>
    <row r="1112" spans="1:17" x14ac:dyDescent="0.25">
      <c r="A1112" t="s">
        <v>4975</v>
      </c>
      <c r="B1112" t="str">
        <f>HYPERLINK("https://staging-dtl-pattern-api.hfm-weimar.de/static/audio/solos/dtl/AQAMAJmimkTyBN-O87hGB7syODp2HCez_0.04.27.064190-0.05.03.038031.mp3", "link")</f>
        <v>link</v>
      </c>
      <c r="D1112" t="s">
        <v>4956</v>
      </c>
      <c r="E1112" t="s">
        <v>4976</v>
      </c>
      <c r="F1112" t="s">
        <v>4957</v>
      </c>
      <c r="G1112" t="s">
        <v>4958</v>
      </c>
      <c r="H1112" t="s">
        <v>4600</v>
      </c>
      <c r="I1112">
        <v>85</v>
      </c>
      <c r="J1112" t="s">
        <v>141</v>
      </c>
      <c r="K1112" t="s">
        <v>4959</v>
      </c>
      <c r="L1112" s="1" t="s">
        <v>4960</v>
      </c>
      <c r="M1112" t="s">
        <v>129</v>
      </c>
      <c r="N1112" t="s">
        <v>172</v>
      </c>
      <c r="O1112" s="1" t="s">
        <v>4974</v>
      </c>
      <c r="P1112" s="1" t="s">
        <v>4977</v>
      </c>
    </row>
    <row r="1113" spans="1:17" x14ac:dyDescent="0.25">
      <c r="A1113" t="s">
        <v>4978</v>
      </c>
      <c r="B1113" t="str">
        <f>HYPERLINK("https://staging-dtl-pattern-api.hfm-weimar.de/static/audio/solos/dtl/AQAMAJmimkTyBN-O87hGB7syODp2HCez_0.05.03.038031-0.06.23.004000.mp3", "link")</f>
        <v>link</v>
      </c>
      <c r="D1113" t="s">
        <v>4956</v>
      </c>
      <c r="E1113" t="s">
        <v>4958</v>
      </c>
      <c r="F1113" t="s">
        <v>4957</v>
      </c>
      <c r="G1113" t="s">
        <v>4958</v>
      </c>
      <c r="H1113" t="s">
        <v>4600</v>
      </c>
      <c r="I1113">
        <v>85</v>
      </c>
      <c r="J1113" t="s">
        <v>141</v>
      </c>
      <c r="K1113" t="s">
        <v>4959</v>
      </c>
      <c r="L1113" s="1" t="s">
        <v>4960</v>
      </c>
      <c r="M1113" t="s">
        <v>129</v>
      </c>
      <c r="N1113" t="s">
        <v>329</v>
      </c>
      <c r="O1113" s="1" t="s">
        <v>4977</v>
      </c>
      <c r="P1113" s="1" t="s">
        <v>4979</v>
      </c>
    </row>
    <row r="1114" spans="1:17" x14ac:dyDescent="0.25">
      <c r="A1114" t="s">
        <v>4980</v>
      </c>
      <c r="B1114" t="str">
        <f>HYPERLINK("https://staging-dtl-pattern-api.hfm-weimar.de/static/audio/solos/dtl/AQAMBUr0S5kScD7OHLdR5zGmxMGx63iE_0.00.46.023673-0.02.59.081532.mp3", "link")</f>
        <v>link</v>
      </c>
      <c r="D1114" t="s">
        <v>4981</v>
      </c>
      <c r="E1114" t="s">
        <v>18</v>
      </c>
      <c r="F1114" t="s">
        <v>18</v>
      </c>
      <c r="G1114" t="s">
        <v>18</v>
      </c>
      <c r="J1114" t="s">
        <v>4982</v>
      </c>
      <c r="K1114" t="s">
        <v>4983</v>
      </c>
      <c r="L1114" s="1" t="s">
        <v>4984</v>
      </c>
      <c r="M1114" t="s">
        <v>4985</v>
      </c>
      <c r="N1114" t="s">
        <v>23</v>
      </c>
      <c r="O1114" s="1" t="s">
        <v>4986</v>
      </c>
      <c r="P1114" s="1" t="s">
        <v>4987</v>
      </c>
    </row>
    <row r="1115" spans="1:17" x14ac:dyDescent="0.25">
      <c r="A1115" t="s">
        <v>4988</v>
      </c>
      <c r="B1115" t="str">
        <f>HYPERLINK("https://staging-dtl-pattern-api.hfm-weimar.de/static/audio/solos/dtl/AQAMBUr0S5kScD7OHLdR5zGmxMGx63iE_0.04.28.023691-0.04.40.079891.mp3", "link")</f>
        <v>link</v>
      </c>
      <c r="D1115" t="s">
        <v>4981</v>
      </c>
      <c r="E1115" t="s">
        <v>18</v>
      </c>
      <c r="F1115" t="s">
        <v>18</v>
      </c>
      <c r="G1115" t="s">
        <v>18</v>
      </c>
      <c r="J1115" t="s">
        <v>4982</v>
      </c>
      <c r="K1115" t="s">
        <v>4983</v>
      </c>
      <c r="L1115" s="1" t="s">
        <v>4984</v>
      </c>
      <c r="M1115" t="s">
        <v>4985</v>
      </c>
      <c r="N1115" t="s">
        <v>23</v>
      </c>
      <c r="O1115" s="1" t="s">
        <v>4989</v>
      </c>
      <c r="P1115" s="1" t="s">
        <v>4990</v>
      </c>
    </row>
    <row r="1116" spans="1:17" x14ac:dyDescent="0.25">
      <c r="A1116" t="s">
        <v>4991</v>
      </c>
      <c r="B1116" t="str">
        <f>HYPERLINK("https://staging-dtl-pattern-api.hfm-weimar.de/static/audio/solos/dtl/AQAMBUr0S5kScD7OHLdR5zGmxMGx63iE_0.04.50.057959-0.05.02.082448.mp3", "link")</f>
        <v>link</v>
      </c>
      <c r="D1116" t="s">
        <v>4981</v>
      </c>
      <c r="E1116" t="s">
        <v>18</v>
      </c>
      <c r="F1116" t="s">
        <v>18</v>
      </c>
      <c r="G1116" t="s">
        <v>18</v>
      </c>
      <c r="J1116" t="s">
        <v>4982</v>
      </c>
      <c r="K1116" t="s">
        <v>4983</v>
      </c>
      <c r="L1116" s="1" t="s">
        <v>4984</v>
      </c>
      <c r="M1116" t="s">
        <v>4985</v>
      </c>
      <c r="N1116" t="s">
        <v>23</v>
      </c>
      <c r="O1116" s="1" t="s">
        <v>4992</v>
      </c>
      <c r="P1116" s="1" t="s">
        <v>4993</v>
      </c>
    </row>
    <row r="1117" spans="1:17" x14ac:dyDescent="0.25">
      <c r="A1117" t="s">
        <v>4994</v>
      </c>
      <c r="B1117" t="str">
        <f>HYPERLINK("https://staging-dtl-pattern-api.hfm-weimar.de/static/audio/solos/dtl/AQAMe1EkKZmipLh69DEONfGFNkf5IHV4_0.01.53.054557-0.03.21.099038.mp3", "link")</f>
        <v>link</v>
      </c>
      <c r="D1117" t="s">
        <v>4309</v>
      </c>
      <c r="E1117" t="s">
        <v>2530</v>
      </c>
      <c r="F1117" t="s">
        <v>4310</v>
      </c>
      <c r="J1117" t="s">
        <v>4311</v>
      </c>
      <c r="K1117" t="s">
        <v>4995</v>
      </c>
      <c r="L1117" s="1" t="s">
        <v>4313</v>
      </c>
      <c r="M1117" t="s">
        <v>129</v>
      </c>
      <c r="N1117" t="s">
        <v>119</v>
      </c>
      <c r="O1117" s="1" t="s">
        <v>3075</v>
      </c>
      <c r="P1117" s="1" t="s">
        <v>4996</v>
      </c>
      <c r="Q1117" s="1" t="s">
        <v>7307</v>
      </c>
    </row>
    <row r="1118" spans="1:17" x14ac:dyDescent="0.25">
      <c r="A1118" t="s">
        <v>4997</v>
      </c>
      <c r="B1118" t="str">
        <f>HYPERLINK("https://staging-dtl-pattern-api.hfm-weimar.de/static/audio/solos/dtl/AQAMEFmypImaRdA-5B_eiUGV8UPsQfuR_0.03.10.098594-0.05.36.044727.mp3", "link")</f>
        <v>link</v>
      </c>
      <c r="D1118" t="s">
        <v>3001</v>
      </c>
      <c r="E1118" t="s">
        <v>3002</v>
      </c>
      <c r="F1118" t="s">
        <v>3002</v>
      </c>
      <c r="G1118" t="s">
        <v>3002</v>
      </c>
      <c r="J1118" t="s">
        <v>3003</v>
      </c>
      <c r="K1118" t="s">
        <v>4998</v>
      </c>
      <c r="L1118" s="1" t="s">
        <v>3005</v>
      </c>
      <c r="M1118" t="s">
        <v>2934</v>
      </c>
      <c r="N1118" t="s">
        <v>46</v>
      </c>
      <c r="O1118" s="1" t="s">
        <v>4999</v>
      </c>
      <c r="P1118" s="1" t="s">
        <v>5000</v>
      </c>
    </row>
    <row r="1119" spans="1:17" x14ac:dyDescent="0.25">
      <c r="A1119" t="s">
        <v>5001</v>
      </c>
      <c r="B1119" t="str">
        <f>HYPERLINK("https://staging-dtl-pattern-api.hfm-weimar.de/static/audio/solos/dtl/AQAMgFoUJkkToUrJ4VKG_Eh2_CiPqVmT_0.00.44.039655-0.01.52.001306.mp3", "link")</f>
        <v>link</v>
      </c>
      <c r="D1119" t="s">
        <v>7130</v>
      </c>
      <c r="E1119" t="s">
        <v>1055</v>
      </c>
      <c r="F1119" t="s">
        <v>1055</v>
      </c>
      <c r="G1119" t="s">
        <v>1055</v>
      </c>
      <c r="J1119" t="s">
        <v>1056</v>
      </c>
      <c r="K1119" t="s">
        <v>5002</v>
      </c>
      <c r="L1119" s="1" t="s">
        <v>5003</v>
      </c>
      <c r="M1119" t="s">
        <v>5004</v>
      </c>
      <c r="N1119" t="s">
        <v>202</v>
      </c>
      <c r="O1119" s="1" t="s">
        <v>5005</v>
      </c>
      <c r="P1119" s="1" t="s">
        <v>5006</v>
      </c>
      <c r="Q1119" s="1" t="s">
        <v>7234</v>
      </c>
    </row>
    <row r="1120" spans="1:17" x14ac:dyDescent="0.25">
      <c r="A1120" t="s">
        <v>5007</v>
      </c>
      <c r="B1120" t="str">
        <f>HYPERLINK("https://staging-dtl-pattern-api.hfm-weimar.de/static/audio/solos/dtl/AQAMgFoUJkkToUrJ4VKG_Eh2_CiPqVmT_0.02.56.068063-0.04.31.045287.mp3", "link")</f>
        <v>link</v>
      </c>
      <c r="D1120" t="s">
        <v>7130</v>
      </c>
      <c r="E1120" t="s">
        <v>2698</v>
      </c>
      <c r="F1120" t="s">
        <v>1055</v>
      </c>
      <c r="G1120" t="s">
        <v>1055</v>
      </c>
      <c r="J1120" t="s">
        <v>1056</v>
      </c>
      <c r="K1120" t="s">
        <v>5002</v>
      </c>
      <c r="L1120" s="1" t="s">
        <v>5003</v>
      </c>
      <c r="M1120" t="s">
        <v>5004</v>
      </c>
      <c r="N1120" t="s">
        <v>23</v>
      </c>
      <c r="O1120" s="1" t="s">
        <v>5008</v>
      </c>
      <c r="P1120" s="1" t="s">
        <v>5009</v>
      </c>
      <c r="Q1120" s="1" t="s">
        <v>7308</v>
      </c>
    </row>
    <row r="1121" spans="1:17" x14ac:dyDescent="0.25">
      <c r="A1121" t="s">
        <v>5010</v>
      </c>
      <c r="B1121" t="str">
        <f>HYPERLINK("https://staging-dtl-pattern-api.hfm-weimar.de/static/audio/solos/dtl/AQAMgFoUJkkToUrJ4VKG_Eh2_CiPqVmT_0.04.31.045287-0.04.39.019673.mp3", "link")</f>
        <v>link</v>
      </c>
      <c r="D1121" t="s">
        <v>7130</v>
      </c>
      <c r="E1121" t="s">
        <v>1055</v>
      </c>
      <c r="F1121" t="s">
        <v>1055</v>
      </c>
      <c r="G1121" t="s">
        <v>1055</v>
      </c>
      <c r="J1121" t="s">
        <v>1056</v>
      </c>
      <c r="K1121" t="s">
        <v>5002</v>
      </c>
      <c r="L1121" s="1" t="s">
        <v>5003</v>
      </c>
      <c r="M1121" t="s">
        <v>5004</v>
      </c>
      <c r="N1121" t="s">
        <v>202</v>
      </c>
      <c r="O1121" s="1" t="s">
        <v>5009</v>
      </c>
      <c r="P1121" s="1" t="s">
        <v>5011</v>
      </c>
      <c r="Q1121" s="1" t="s">
        <v>7234</v>
      </c>
    </row>
    <row r="1122" spans="1:17" x14ac:dyDescent="0.25">
      <c r="A1122" t="s">
        <v>5012</v>
      </c>
      <c r="B1122" t="str">
        <f>HYPERLINK("https://staging-dtl-pattern-api.hfm-weimar.de/static/audio/solos/dtl/AQAMgFoUJkkToUrJ4VKG_Eh2_CiPqVmT_0.04.39.019673-0.04.47.032081.mp3", "link")</f>
        <v>link</v>
      </c>
      <c r="D1122" t="s">
        <v>7130</v>
      </c>
      <c r="E1122" t="s">
        <v>2698</v>
      </c>
      <c r="F1122" t="s">
        <v>1055</v>
      </c>
      <c r="G1122" t="s">
        <v>1055</v>
      </c>
      <c r="J1122" t="s">
        <v>1056</v>
      </c>
      <c r="K1122" t="s">
        <v>5002</v>
      </c>
      <c r="L1122" s="1" t="s">
        <v>5003</v>
      </c>
      <c r="M1122" t="s">
        <v>5004</v>
      </c>
      <c r="N1122" t="s">
        <v>23</v>
      </c>
      <c r="O1122" s="1" t="s">
        <v>5011</v>
      </c>
      <c r="P1122" s="1" t="s">
        <v>5013</v>
      </c>
      <c r="Q1122" s="1" t="s">
        <v>7308</v>
      </c>
    </row>
    <row r="1123" spans="1:17" x14ac:dyDescent="0.25">
      <c r="A1123" t="s">
        <v>5014</v>
      </c>
      <c r="B1123" s="3" t="str">
        <f>HYPERLINK("https://staging-dtl-pattern-api.hfm-weimar.de/static/audio/solos/dtl/AQAMgFoUJkkToUrJ4VKG_Eh2_CiPqVmT_0.04.47.032081-0.05.15.027183.mp3", "link")</f>
        <v>link</v>
      </c>
      <c r="C1123" s="3"/>
      <c r="D1123" s="3" t="s">
        <v>7130</v>
      </c>
      <c r="E1123" s="3" t="s">
        <v>1055</v>
      </c>
      <c r="F1123" s="3" t="s">
        <v>1055</v>
      </c>
      <c r="G1123" s="3" t="s">
        <v>1055</v>
      </c>
      <c r="H1123" s="3"/>
      <c r="I1123" s="3"/>
      <c r="J1123" s="3" t="s">
        <v>1056</v>
      </c>
      <c r="K1123" s="3" t="s">
        <v>5002</v>
      </c>
      <c r="L1123" s="4" t="s">
        <v>5003</v>
      </c>
      <c r="M1123" s="3" t="s">
        <v>5004</v>
      </c>
      <c r="N1123" s="3" t="s">
        <v>202</v>
      </c>
      <c r="O1123" s="4" t="s">
        <v>5013</v>
      </c>
      <c r="P1123" s="4" t="s">
        <v>5015</v>
      </c>
      <c r="Q1123" s="3" t="s">
        <v>7309</v>
      </c>
    </row>
    <row r="1124" spans="1:17" x14ac:dyDescent="0.25">
      <c r="A1124" t="s">
        <v>5016</v>
      </c>
      <c r="B1124" t="str">
        <f>HYPERLINK("https://staging-dtl-pattern-api.hfm-weimar.de/static/audio/solos/dtl/AQAMgFoUJkkToUrJ4VKG_Eh2_CiPqVmT_0.05.15.027183-0.05.18.065469.mp3", "link")</f>
        <v>link</v>
      </c>
      <c r="D1124" t="s">
        <v>7130</v>
      </c>
      <c r="E1124" t="s">
        <v>2698</v>
      </c>
      <c r="F1124" t="s">
        <v>1055</v>
      </c>
      <c r="G1124" t="s">
        <v>1055</v>
      </c>
      <c r="J1124" t="s">
        <v>1056</v>
      </c>
      <c r="K1124" t="s">
        <v>5002</v>
      </c>
      <c r="L1124" s="1" t="s">
        <v>5003</v>
      </c>
      <c r="M1124" t="s">
        <v>5004</v>
      </c>
      <c r="N1124" t="s">
        <v>23</v>
      </c>
      <c r="O1124" s="1" t="s">
        <v>5015</v>
      </c>
      <c r="P1124" s="1" t="s">
        <v>5017</v>
      </c>
      <c r="Q1124" s="1" t="s">
        <v>7310</v>
      </c>
    </row>
    <row r="1125" spans="1:17" x14ac:dyDescent="0.25">
      <c r="A1125" t="s">
        <v>5018</v>
      </c>
      <c r="B1125" t="str">
        <f>HYPERLINK("https://staging-dtl-pattern-api.hfm-weimar.de/static/audio/solos/dtl/AQAMgFoUJkkToUrJ4VKG_Eh2_CiPqVmT_0.05.18.065469-0.05.22.062530.mp3", "link")</f>
        <v>link</v>
      </c>
      <c r="D1125" t="s">
        <v>7130</v>
      </c>
      <c r="E1125" t="s">
        <v>1055</v>
      </c>
      <c r="F1125" t="s">
        <v>1055</v>
      </c>
      <c r="G1125" t="s">
        <v>1055</v>
      </c>
      <c r="J1125" t="s">
        <v>1056</v>
      </c>
      <c r="K1125" t="s">
        <v>5002</v>
      </c>
      <c r="L1125" s="1" t="s">
        <v>5003</v>
      </c>
      <c r="M1125" t="s">
        <v>5004</v>
      </c>
      <c r="N1125" t="s">
        <v>202</v>
      </c>
      <c r="O1125" s="1" t="s">
        <v>5017</v>
      </c>
      <c r="P1125" s="1" t="s">
        <v>5019</v>
      </c>
      <c r="Q1125" s="1" t="s">
        <v>7209</v>
      </c>
    </row>
    <row r="1126" spans="1:17" x14ac:dyDescent="0.25">
      <c r="A1126" t="s">
        <v>5020</v>
      </c>
      <c r="B1126" t="str">
        <f>HYPERLINK("https://staging-dtl-pattern-api.hfm-weimar.de/static/audio/solos/dtl/AQAMgFoUJkkToUrJ4VKG_Eh2_CiPqVmT_0.05.22.062530-0.05.25.086448.mp3", "link")</f>
        <v>link</v>
      </c>
      <c r="D1126" t="s">
        <v>7130</v>
      </c>
      <c r="E1126" t="s">
        <v>2698</v>
      </c>
      <c r="F1126" t="s">
        <v>1055</v>
      </c>
      <c r="G1126" t="s">
        <v>1055</v>
      </c>
      <c r="J1126" t="s">
        <v>1056</v>
      </c>
      <c r="K1126" t="s">
        <v>5002</v>
      </c>
      <c r="L1126" s="1" t="s">
        <v>5003</v>
      </c>
      <c r="M1126" t="s">
        <v>5004</v>
      </c>
      <c r="N1126" t="s">
        <v>23</v>
      </c>
      <c r="O1126" s="1" t="s">
        <v>5019</v>
      </c>
      <c r="P1126" s="1" t="s">
        <v>5021</v>
      </c>
      <c r="Q1126" s="1" t="s">
        <v>7308</v>
      </c>
    </row>
    <row r="1127" spans="1:17" x14ac:dyDescent="0.25">
      <c r="A1127" t="s">
        <v>5022</v>
      </c>
      <c r="B1127" t="str">
        <f>HYPERLINK("https://staging-dtl-pattern-api.hfm-weimar.de/static/audio/solos/dtl/AQAMgFoUJkkToUrJ4VKG_Eh2_CiPqVmT_0.05.25.086448-0.05.30.031836.mp3", "link")</f>
        <v>link</v>
      </c>
      <c r="D1127" t="s">
        <v>7130</v>
      </c>
      <c r="E1127" t="s">
        <v>1055</v>
      </c>
      <c r="F1127" t="s">
        <v>1055</v>
      </c>
      <c r="G1127" t="s">
        <v>1055</v>
      </c>
      <c r="J1127" t="s">
        <v>1056</v>
      </c>
      <c r="K1127" t="s">
        <v>5002</v>
      </c>
      <c r="L1127" s="1" t="s">
        <v>5003</v>
      </c>
      <c r="M1127" t="s">
        <v>5004</v>
      </c>
      <c r="N1127" t="s">
        <v>202</v>
      </c>
      <c r="O1127" s="1" t="s">
        <v>5021</v>
      </c>
      <c r="P1127" s="1" t="s">
        <v>5023</v>
      </c>
      <c r="Q1127" s="1" t="s">
        <v>7209</v>
      </c>
    </row>
    <row r="1128" spans="1:17" x14ac:dyDescent="0.25">
      <c r="A1128" t="s">
        <v>5024</v>
      </c>
      <c r="B1128" t="str">
        <f>HYPERLINK("https://staging-dtl-pattern-api.hfm-weimar.de/static/audio/solos/dtl/AQAMgFoUJkkToUrJ4VKG_Eh2_CiPqVmT_0.05.30.031836-0.05.33.047918.mp3", "link")</f>
        <v>link</v>
      </c>
      <c r="D1128" t="s">
        <v>7130</v>
      </c>
      <c r="E1128" t="s">
        <v>2698</v>
      </c>
      <c r="F1128" t="s">
        <v>1055</v>
      </c>
      <c r="G1128" t="s">
        <v>1055</v>
      </c>
      <c r="J1128" t="s">
        <v>1056</v>
      </c>
      <c r="K1128" t="s">
        <v>5002</v>
      </c>
      <c r="L1128" s="1" t="s">
        <v>5003</v>
      </c>
      <c r="M1128" t="s">
        <v>5004</v>
      </c>
      <c r="N1128" t="s">
        <v>23</v>
      </c>
      <c r="O1128" s="1" t="s">
        <v>5023</v>
      </c>
      <c r="P1128" s="1" t="s">
        <v>5025</v>
      </c>
      <c r="Q1128" s="1" t="s">
        <v>7308</v>
      </c>
    </row>
    <row r="1129" spans="1:17" x14ac:dyDescent="0.25">
      <c r="A1129" t="s">
        <v>5026</v>
      </c>
      <c r="B1129" t="str">
        <f>HYPERLINK("https://staging-dtl-pattern-api.hfm-weimar.de/static/audio/solos/dtl/AQAMgkyoXMRRB1eGW_iZCC8bAclJBC8e_0.03.35.066984-0.06.17.017333.mp3", "link")</f>
        <v>link</v>
      </c>
      <c r="D1129" t="s">
        <v>5027</v>
      </c>
      <c r="E1129" t="s">
        <v>3469</v>
      </c>
      <c r="F1129" t="s">
        <v>3469</v>
      </c>
      <c r="G1129" t="s">
        <v>3469</v>
      </c>
      <c r="J1129" t="s">
        <v>5028</v>
      </c>
      <c r="K1129" t="s">
        <v>5029</v>
      </c>
      <c r="L1129" s="1" t="s">
        <v>4561</v>
      </c>
      <c r="M1129" t="s">
        <v>5030</v>
      </c>
      <c r="N1129" t="s">
        <v>23</v>
      </c>
      <c r="O1129" s="1" t="s">
        <v>5031</v>
      </c>
      <c r="P1129" s="1" t="s">
        <v>5032</v>
      </c>
    </row>
    <row r="1130" spans="1:17" x14ac:dyDescent="0.25">
      <c r="A1130" t="s">
        <v>5033</v>
      </c>
      <c r="B1130" t="str">
        <f>HYPERLINK("https://staging-dtl-pattern-api.hfm-weimar.de/static/audio/solos/dtl/AQAMHdEWLY2YCOoeIdzxvvjxwZdynCye_0.02.17.057823-0.04.17.039319.mp3", "link")</f>
        <v>link</v>
      </c>
      <c r="D1130" t="s">
        <v>5034</v>
      </c>
      <c r="E1130" t="s">
        <v>5035</v>
      </c>
      <c r="F1130" t="s">
        <v>3848</v>
      </c>
      <c r="J1130" t="s">
        <v>3849</v>
      </c>
      <c r="K1130" t="s">
        <v>5036</v>
      </c>
      <c r="L1130" s="1" t="s">
        <v>3851</v>
      </c>
      <c r="M1130" t="s">
        <v>3852</v>
      </c>
      <c r="N1130" t="s">
        <v>622</v>
      </c>
      <c r="O1130" s="1" t="s">
        <v>5037</v>
      </c>
      <c r="P1130" s="1" t="s">
        <v>5038</v>
      </c>
    </row>
    <row r="1131" spans="1:17" x14ac:dyDescent="0.25">
      <c r="A1131" t="s">
        <v>5039</v>
      </c>
      <c r="B1131" t="str">
        <f>HYPERLINK("https://staging-dtl-pattern-api.hfm-weimar.de/static/audio/solos/dtl/AQAMHdEWLY2YCOoeIdzxvvjxwZdynCye_0.04.17.039319-0.05.13.023718.mp3", "link")</f>
        <v>link</v>
      </c>
      <c r="D1131" t="s">
        <v>5034</v>
      </c>
      <c r="E1131" t="s">
        <v>3847</v>
      </c>
      <c r="F1131" t="s">
        <v>3848</v>
      </c>
      <c r="J1131" t="s">
        <v>3849</v>
      </c>
      <c r="K1131" t="s">
        <v>5036</v>
      </c>
      <c r="L1131" s="1" t="s">
        <v>3851</v>
      </c>
      <c r="M1131" t="s">
        <v>3852</v>
      </c>
      <c r="N1131" t="s">
        <v>46</v>
      </c>
      <c r="O1131" s="1" t="s">
        <v>5038</v>
      </c>
      <c r="P1131" s="1" t="s">
        <v>5040</v>
      </c>
    </row>
    <row r="1132" spans="1:17" x14ac:dyDescent="0.25">
      <c r="A1132" t="s">
        <v>5041</v>
      </c>
      <c r="B1132" t="str">
        <f>HYPERLINK("https://staging-dtl-pattern-api.hfm-weimar.de/static/audio/solos/dtl/AQAMJ1aWNKKQODyF4PC14MfFB9-DnDm0_0.01.06.078058-0.03.12.019156.mp3", "link")</f>
        <v>link</v>
      </c>
      <c r="D1132" t="s">
        <v>5042</v>
      </c>
      <c r="E1132" t="s">
        <v>5043</v>
      </c>
      <c r="F1132" t="s">
        <v>5043</v>
      </c>
      <c r="G1132" t="s">
        <v>5043</v>
      </c>
      <c r="J1132" t="s">
        <v>5044</v>
      </c>
      <c r="K1132" t="s">
        <v>5045</v>
      </c>
      <c r="L1132" s="1" t="s">
        <v>5046</v>
      </c>
      <c r="M1132" t="s">
        <v>5047</v>
      </c>
      <c r="N1132" t="s">
        <v>119</v>
      </c>
      <c r="O1132" s="1" t="s">
        <v>5048</v>
      </c>
      <c r="P1132" s="1" t="s">
        <v>5049</v>
      </c>
    </row>
    <row r="1133" spans="1:17" x14ac:dyDescent="0.25">
      <c r="A1133" t="s">
        <v>5050</v>
      </c>
      <c r="B1133" t="str">
        <f>HYPERLINK("https://staging-dtl-pattern-api.hfm-weimar.de/static/audio/solos/dtl/AQAML3qUSJIi4ZoRWtFx89CPMOvUBN-F_0.04.00.058195-0.05.55.012598.mp3", "link")</f>
        <v>link</v>
      </c>
      <c r="D1133" t="s">
        <v>5051</v>
      </c>
      <c r="E1133" t="s">
        <v>18</v>
      </c>
      <c r="F1133" t="s">
        <v>18</v>
      </c>
      <c r="G1133" t="s">
        <v>18</v>
      </c>
      <c r="H1133" t="s">
        <v>5052</v>
      </c>
      <c r="I1133">
        <v>73</v>
      </c>
      <c r="J1133" t="s">
        <v>616</v>
      </c>
      <c r="K1133" t="s">
        <v>5053</v>
      </c>
      <c r="L1133" s="1" t="s">
        <v>5054</v>
      </c>
      <c r="M1133" t="s">
        <v>1936</v>
      </c>
      <c r="N1133" t="s">
        <v>23</v>
      </c>
      <c r="O1133" s="1" t="s">
        <v>5055</v>
      </c>
      <c r="P1133" s="1" t="s">
        <v>5056</v>
      </c>
    </row>
    <row r="1134" spans="1:17" x14ac:dyDescent="0.25">
      <c r="A1134" t="s">
        <v>5057</v>
      </c>
      <c r="B1134" t="str">
        <f>HYPERLINK("https://staging-dtl-pattern-api.hfm-weimar.de/static/audio/solos/dtl/AQAMlGWSKImUNdhTUD9ObD98ocqON1eG_0.01.25.096317-0.02.24.039619.mp3", "link")</f>
        <v>link</v>
      </c>
      <c r="D1134" t="s">
        <v>7131</v>
      </c>
      <c r="E1134" t="s">
        <v>5058</v>
      </c>
      <c r="F1134" t="s">
        <v>2820</v>
      </c>
      <c r="J1134" t="s">
        <v>5059</v>
      </c>
      <c r="K1134" t="s">
        <v>5060</v>
      </c>
      <c r="L1134" s="1" t="s">
        <v>5061</v>
      </c>
      <c r="M1134" t="s">
        <v>129</v>
      </c>
      <c r="N1134" t="s">
        <v>46</v>
      </c>
      <c r="O1134" s="1" t="s">
        <v>5062</v>
      </c>
      <c r="P1134" s="1" t="s">
        <v>5063</v>
      </c>
    </row>
    <row r="1135" spans="1:17" x14ac:dyDescent="0.25">
      <c r="A1135" t="s">
        <v>5064</v>
      </c>
      <c r="B1135" t="str">
        <f>HYPERLINK("https://staging-dtl-pattern-api.hfm-weimar.de/static/audio/solos/dtl/AQAMlGWSKImUNdhTUD9ObD98ocqON1eG_0.03.02.036952-0.04.01.033079.mp3", "link")</f>
        <v>link</v>
      </c>
      <c r="D1135" t="s">
        <v>7131</v>
      </c>
      <c r="E1135" t="s">
        <v>2820</v>
      </c>
      <c r="F1135" t="s">
        <v>2820</v>
      </c>
      <c r="J1135" t="s">
        <v>5059</v>
      </c>
      <c r="K1135" t="s">
        <v>5060</v>
      </c>
      <c r="L1135" s="1" t="s">
        <v>5061</v>
      </c>
      <c r="M1135" t="s">
        <v>129</v>
      </c>
      <c r="N1135" t="s">
        <v>23</v>
      </c>
      <c r="O1135" s="1" t="s">
        <v>5065</v>
      </c>
      <c r="P1135" s="1" t="s">
        <v>5066</v>
      </c>
    </row>
    <row r="1136" spans="1:17" x14ac:dyDescent="0.25">
      <c r="A1136" t="s">
        <v>5067</v>
      </c>
      <c r="B1136" t="str">
        <f>HYPERLINK("https://staging-dtl-pattern-api.hfm-weimar.de/static/audio/solos/dtl/AQAMlGWSKImUNdhTUD9ObD98ocqON1eG_0.04.01.033079-0.05.38.085460.mp3", "link")</f>
        <v>link</v>
      </c>
      <c r="D1136" t="s">
        <v>7131</v>
      </c>
      <c r="E1136" t="s">
        <v>7132</v>
      </c>
      <c r="F1136" t="s">
        <v>2820</v>
      </c>
      <c r="J1136" t="s">
        <v>5059</v>
      </c>
      <c r="K1136" t="s">
        <v>5060</v>
      </c>
      <c r="L1136" s="1" t="s">
        <v>5061</v>
      </c>
      <c r="M1136" t="s">
        <v>129</v>
      </c>
      <c r="N1136" t="s">
        <v>172</v>
      </c>
      <c r="O1136" s="1" t="s">
        <v>5066</v>
      </c>
      <c r="P1136" s="1" t="s">
        <v>5068</v>
      </c>
      <c r="Q1136" s="1" t="s">
        <v>7311</v>
      </c>
    </row>
    <row r="1137" spans="1:17" x14ac:dyDescent="0.25">
      <c r="A1137" t="s">
        <v>5069</v>
      </c>
      <c r="B1137" t="str">
        <f>HYPERLINK("https://staging-dtl-pattern-api.hfm-weimar.de/static/audio/solos/dtl/AQAMMtG0Jzr0qETWFw-b4DucHOd18DLO_0.01.16.093061-0.01.45.088299.mp3", "link")</f>
        <v>link</v>
      </c>
      <c r="D1137" t="s">
        <v>7131</v>
      </c>
      <c r="E1137" t="s">
        <v>7132</v>
      </c>
      <c r="F1137" t="s">
        <v>2820</v>
      </c>
      <c r="J1137" t="s">
        <v>5059</v>
      </c>
      <c r="K1137" t="s">
        <v>5070</v>
      </c>
      <c r="L1137" s="1" t="s">
        <v>5061</v>
      </c>
      <c r="M1137" t="s">
        <v>129</v>
      </c>
      <c r="N1137" t="s">
        <v>172</v>
      </c>
      <c r="O1137" s="1" t="s">
        <v>5071</v>
      </c>
      <c r="P1137" s="1" t="s">
        <v>5072</v>
      </c>
      <c r="Q1137" s="1" t="s">
        <v>7311</v>
      </c>
    </row>
    <row r="1138" spans="1:17" x14ac:dyDescent="0.25">
      <c r="A1138" t="s">
        <v>5073</v>
      </c>
      <c r="B1138" t="str">
        <f>HYPERLINK("https://staging-dtl-pattern-api.hfm-weimar.de/static/audio/solos/dtl/AQAMnlmyVAmTGJq24J2OmCL6ZDje44O__0.00.39.082222-0.02.07.050657.mp3", "link")</f>
        <v>link</v>
      </c>
      <c r="D1138" t="s">
        <v>5074</v>
      </c>
      <c r="E1138" t="s">
        <v>5075</v>
      </c>
      <c r="F1138" t="s">
        <v>5076</v>
      </c>
      <c r="G1138" t="s">
        <v>1014</v>
      </c>
      <c r="H1138" t="s">
        <v>5077</v>
      </c>
      <c r="I1138">
        <v>47</v>
      </c>
      <c r="J1138" t="s">
        <v>616</v>
      </c>
      <c r="K1138" t="s">
        <v>5078</v>
      </c>
      <c r="L1138" s="1" t="s">
        <v>5079</v>
      </c>
      <c r="M1138" t="s">
        <v>129</v>
      </c>
      <c r="N1138" t="s">
        <v>46</v>
      </c>
      <c r="O1138" s="1" t="s">
        <v>5080</v>
      </c>
      <c r="P1138" s="1" t="s">
        <v>5081</v>
      </c>
    </row>
    <row r="1139" spans="1:17" x14ac:dyDescent="0.25">
      <c r="A1139" t="s">
        <v>5082</v>
      </c>
      <c r="B1139" t="str">
        <f>HYPERLINK("https://staging-dtl-pattern-api.hfm-weimar.de/static/audio/solos/dtl/AQAMnlmyVAmTGJq24J2OmCL6ZDje44O__0.03.03.064081-0.04.27.014557.mp3", "link")</f>
        <v>link</v>
      </c>
      <c r="D1139" t="s">
        <v>5074</v>
      </c>
      <c r="E1139" t="s">
        <v>5083</v>
      </c>
      <c r="F1139" t="s">
        <v>5076</v>
      </c>
      <c r="G1139" t="s">
        <v>1014</v>
      </c>
      <c r="H1139" t="s">
        <v>5077</v>
      </c>
      <c r="I1139">
        <v>47</v>
      </c>
      <c r="J1139" t="s">
        <v>616</v>
      </c>
      <c r="K1139" t="s">
        <v>5078</v>
      </c>
      <c r="L1139" s="1" t="s">
        <v>5079</v>
      </c>
      <c r="M1139" t="s">
        <v>129</v>
      </c>
      <c r="N1139" t="s">
        <v>23</v>
      </c>
      <c r="O1139" s="1" t="s">
        <v>5084</v>
      </c>
      <c r="P1139" s="1" t="s">
        <v>5085</v>
      </c>
    </row>
    <row r="1140" spans="1:17" x14ac:dyDescent="0.25">
      <c r="A1140" t="s">
        <v>5086</v>
      </c>
      <c r="B1140" t="str">
        <f>HYPERLINK("https://staging-dtl-pattern-api.hfm-weimar.de/static/audio/solos/dtl/AQAMoBGXKVskIiqT42eEH3eOH82PXhGO_0.00.47.055446-0.02.05.001623.mp3", "link")</f>
        <v>link</v>
      </c>
      <c r="C1140" t="s">
        <v>5087</v>
      </c>
      <c r="D1140" t="s">
        <v>5088</v>
      </c>
      <c r="E1140" t="s">
        <v>3802</v>
      </c>
      <c r="F1140" t="s">
        <v>1214</v>
      </c>
      <c r="G1140" t="s">
        <v>1214</v>
      </c>
      <c r="J1140" t="s">
        <v>5089</v>
      </c>
      <c r="K1140" t="s">
        <v>5090</v>
      </c>
      <c r="L1140" s="1" t="s">
        <v>5091</v>
      </c>
      <c r="M1140" t="s">
        <v>2129</v>
      </c>
      <c r="N1140" t="s">
        <v>202</v>
      </c>
      <c r="O1140" s="1" t="s">
        <v>5092</v>
      </c>
      <c r="P1140" s="1" t="s">
        <v>5093</v>
      </c>
      <c r="Q1140" s="1" t="s">
        <v>7312</v>
      </c>
    </row>
    <row r="1141" spans="1:17" x14ac:dyDescent="0.25">
      <c r="A1141" t="s">
        <v>5094</v>
      </c>
      <c r="B1141" t="str">
        <f>HYPERLINK("https://staging-dtl-pattern-api.hfm-weimar.de/static/audio/solos/dtl/AQAMoBGXKVskIiqT42eEH3eOH82PXhGO_0.02.41.033224-0.03.58.060825.mp3", "link")</f>
        <v>link</v>
      </c>
      <c r="C1141" t="s">
        <v>5087</v>
      </c>
      <c r="D1141" t="s">
        <v>5088</v>
      </c>
      <c r="E1141" t="s">
        <v>1214</v>
      </c>
      <c r="F1141" t="s">
        <v>1214</v>
      </c>
      <c r="G1141" t="s">
        <v>1214</v>
      </c>
      <c r="J1141" t="s">
        <v>5089</v>
      </c>
      <c r="K1141" t="s">
        <v>5090</v>
      </c>
      <c r="L1141" s="1" t="s">
        <v>5091</v>
      </c>
      <c r="M1141" t="s">
        <v>2129</v>
      </c>
      <c r="N1141" t="s">
        <v>202</v>
      </c>
      <c r="O1141" s="1" t="s">
        <v>5095</v>
      </c>
      <c r="P1141" s="1" t="s">
        <v>5096</v>
      </c>
      <c r="Q1141" s="1" t="s">
        <v>7313</v>
      </c>
    </row>
    <row r="1142" spans="1:17" x14ac:dyDescent="0.25">
      <c r="A1142" t="s">
        <v>5097</v>
      </c>
      <c r="B1142" t="str">
        <f>HYPERLINK("https://staging-dtl-pattern-api.hfm-weimar.de/static/audio/solos/dtl/AQAMoMoobYqy4TOeoLzR1ElRRxeOXj4S_0.00.59.025732-0.02.41.082857.mp3", "link")</f>
        <v>link</v>
      </c>
      <c r="D1142" t="s">
        <v>5098</v>
      </c>
      <c r="E1142" t="s">
        <v>5099</v>
      </c>
      <c r="F1142" t="s">
        <v>5100</v>
      </c>
      <c r="G1142" t="s">
        <v>5100</v>
      </c>
      <c r="J1142" t="s">
        <v>5101</v>
      </c>
      <c r="K1142" t="s">
        <v>5102</v>
      </c>
      <c r="L1142" s="1" t="s">
        <v>5103</v>
      </c>
      <c r="M1142" t="s">
        <v>5104</v>
      </c>
      <c r="N1142" t="s">
        <v>288</v>
      </c>
      <c r="O1142" s="1" t="s">
        <v>5105</v>
      </c>
      <c r="P1142" s="1" t="s">
        <v>899</v>
      </c>
    </row>
    <row r="1143" spans="1:17" x14ac:dyDescent="0.25">
      <c r="A1143" t="s">
        <v>5106</v>
      </c>
      <c r="B1143" t="str">
        <f>HYPERLINK("https://staging-dtl-pattern-api.hfm-weimar.de/static/audio/solos/dtl/AQAMoMoobYqy4TOeoLzR1ElRRxeOXj4S_0.02.48.001959-0.04.35.011002.mp3", "link")</f>
        <v>link</v>
      </c>
      <c r="D1143" t="s">
        <v>5098</v>
      </c>
      <c r="E1143" t="s">
        <v>5107</v>
      </c>
      <c r="F1143" t="s">
        <v>5100</v>
      </c>
      <c r="G1143" t="s">
        <v>5100</v>
      </c>
      <c r="J1143" t="s">
        <v>5101</v>
      </c>
      <c r="K1143" t="s">
        <v>5102</v>
      </c>
      <c r="L1143" s="1" t="s">
        <v>5103</v>
      </c>
      <c r="M1143" t="s">
        <v>5104</v>
      </c>
      <c r="N1143" t="s">
        <v>23</v>
      </c>
      <c r="O1143" s="1" t="s">
        <v>3191</v>
      </c>
      <c r="P1143" s="1" t="s">
        <v>5108</v>
      </c>
    </row>
    <row r="1144" spans="1:17" x14ac:dyDescent="0.25">
      <c r="A1144" t="s">
        <v>5109</v>
      </c>
      <c r="B1144" t="str">
        <f>HYPERLINK("https://staging-dtl-pattern-api.hfm-weimar.de/static/audio/solos/dtl/AQAMpYokJYuiRCKM97gP30Ki4McPPWOR_0.03.03.064081-0.05.02.032380.mp3", "link")</f>
        <v>link</v>
      </c>
      <c r="D1144" t="s">
        <v>4331</v>
      </c>
      <c r="E1144" t="s">
        <v>3593</v>
      </c>
      <c r="F1144" t="s">
        <v>3593</v>
      </c>
      <c r="G1144" t="s">
        <v>3593</v>
      </c>
      <c r="J1144" t="s">
        <v>3594</v>
      </c>
      <c r="K1144" t="s">
        <v>5110</v>
      </c>
      <c r="L1144" s="1" t="s">
        <v>3596</v>
      </c>
      <c r="M1144" t="s">
        <v>2824</v>
      </c>
      <c r="N1144" t="s">
        <v>23</v>
      </c>
      <c r="O1144" s="1" t="s">
        <v>5084</v>
      </c>
      <c r="P1144" s="1" t="s">
        <v>5111</v>
      </c>
    </row>
    <row r="1145" spans="1:17" x14ac:dyDescent="0.25">
      <c r="A1145" t="s">
        <v>5112</v>
      </c>
      <c r="B1145" t="str">
        <f>HYPERLINK("https://staging-dtl-pattern-api.hfm-weimar.de/static/audio/solos/dtl/AQAMq4oSLVE0TWjq2MH7ILquoHkvVMSf_0.01.39.052653-0.03.09.077959.mp3", "link")</f>
        <v>link</v>
      </c>
      <c r="D1145" t="s">
        <v>5113</v>
      </c>
      <c r="E1145" t="s">
        <v>5114</v>
      </c>
      <c r="F1145" t="s">
        <v>5115</v>
      </c>
      <c r="G1145" t="s">
        <v>5115</v>
      </c>
      <c r="J1145" t="s">
        <v>5116</v>
      </c>
      <c r="K1145" t="s">
        <v>5117</v>
      </c>
      <c r="L1145" s="1" t="s">
        <v>5118</v>
      </c>
      <c r="M1145" t="s">
        <v>5119</v>
      </c>
      <c r="N1145" t="s">
        <v>46</v>
      </c>
      <c r="O1145" s="1" t="s">
        <v>5120</v>
      </c>
      <c r="P1145" s="1" t="s">
        <v>5121</v>
      </c>
    </row>
    <row r="1146" spans="1:17" x14ac:dyDescent="0.25">
      <c r="A1146" t="s">
        <v>5122</v>
      </c>
      <c r="B1146" t="str">
        <f>HYPERLINK("https://staging-dtl-pattern-api.hfm-weimar.de/static/audio/solos/dtl/AQAMq4oSLVE0TWjq2MH7ILquoHkvVMSf_0.04.36.024489-0.06.26.061224.mp3", "link")</f>
        <v>link</v>
      </c>
      <c r="D1146" t="s">
        <v>5113</v>
      </c>
      <c r="E1146" t="s">
        <v>5114</v>
      </c>
      <c r="F1146" t="s">
        <v>5115</v>
      </c>
      <c r="G1146" t="s">
        <v>5115</v>
      </c>
      <c r="J1146" t="s">
        <v>5116</v>
      </c>
      <c r="K1146" t="s">
        <v>5117</v>
      </c>
      <c r="L1146" s="1" t="s">
        <v>5118</v>
      </c>
      <c r="M1146" t="s">
        <v>5119</v>
      </c>
      <c r="N1146" t="s">
        <v>46</v>
      </c>
      <c r="O1146" s="1" t="s">
        <v>5123</v>
      </c>
      <c r="P1146" s="1" t="s">
        <v>5124</v>
      </c>
    </row>
    <row r="1147" spans="1:17" x14ac:dyDescent="0.25">
      <c r="A1147" t="s">
        <v>5125</v>
      </c>
      <c r="B1147" t="str">
        <f>HYPERLINK("https://staging-dtl-pattern-api.hfm-weimar.de/static/audio/solos/dtl/AQAMQlZOJXjQ5TqSXOEROsEP5mhOIfyD_0.00.28.047346-0.05.44.009795.mp3", "link")</f>
        <v>link</v>
      </c>
      <c r="D1147" t="s">
        <v>5126</v>
      </c>
      <c r="E1147" t="s">
        <v>2833</v>
      </c>
      <c r="F1147" t="s">
        <v>2833</v>
      </c>
      <c r="G1147" t="s">
        <v>2833</v>
      </c>
      <c r="J1147" t="s">
        <v>5127</v>
      </c>
      <c r="K1147" t="s">
        <v>5128</v>
      </c>
      <c r="L1147" s="1" t="s">
        <v>5129</v>
      </c>
      <c r="M1147" t="s">
        <v>129</v>
      </c>
      <c r="N1147" t="s">
        <v>202</v>
      </c>
      <c r="O1147" s="1" t="s">
        <v>5130</v>
      </c>
      <c r="P1147" s="1" t="s">
        <v>5131</v>
      </c>
      <c r="Q1147" s="1" t="s">
        <v>7314</v>
      </c>
    </row>
    <row r="1148" spans="1:17" x14ac:dyDescent="0.25">
      <c r="A1148" t="s">
        <v>5132</v>
      </c>
      <c r="B1148" t="str">
        <f>HYPERLINK("https://staging-dtl-pattern-api.hfm-weimar.de/static/audio/solos/dtl/AQAMqomSJJISSlLw45dC-FuGG_pxwjyO_0.01.43.056099-0.02.52.099591.mp3", "link")</f>
        <v>link</v>
      </c>
      <c r="D1148" t="s">
        <v>4573</v>
      </c>
      <c r="E1148" t="s">
        <v>304</v>
      </c>
      <c r="F1148" t="s">
        <v>305</v>
      </c>
      <c r="J1148" t="s">
        <v>3782</v>
      </c>
      <c r="K1148" t="s">
        <v>5133</v>
      </c>
      <c r="L1148" s="1" t="s">
        <v>4583</v>
      </c>
      <c r="M1148" t="s">
        <v>309</v>
      </c>
      <c r="N1148" t="s">
        <v>23</v>
      </c>
      <c r="O1148" s="1" t="s">
        <v>5134</v>
      </c>
      <c r="P1148" s="1" t="s">
        <v>5135</v>
      </c>
    </row>
    <row r="1149" spans="1:17" x14ac:dyDescent="0.25">
      <c r="A1149" t="s">
        <v>5136</v>
      </c>
      <c r="B1149" t="str">
        <f>HYPERLINK("https://staging-dtl-pattern-api.hfm-weimar.de/static/audio/solos/dtl/AQAMqomSJJISSlLw45dC-FuGG_pxwjyO_0.02.52.099591-0.04.00.093024.mp3", "link")</f>
        <v>link</v>
      </c>
      <c r="D1149" t="s">
        <v>4573</v>
      </c>
      <c r="E1149" t="s">
        <v>2885</v>
      </c>
      <c r="F1149" t="s">
        <v>305</v>
      </c>
      <c r="J1149" t="s">
        <v>3782</v>
      </c>
      <c r="K1149" t="s">
        <v>5133</v>
      </c>
      <c r="L1149" s="1" t="s">
        <v>4583</v>
      </c>
      <c r="M1149" t="s">
        <v>309</v>
      </c>
      <c r="N1149" t="s">
        <v>172</v>
      </c>
      <c r="O1149" s="1" t="s">
        <v>5135</v>
      </c>
      <c r="P1149" s="1" t="s">
        <v>5137</v>
      </c>
    </row>
    <row r="1150" spans="1:17" x14ac:dyDescent="0.25">
      <c r="A1150" t="s">
        <v>5138</v>
      </c>
      <c r="B1150" t="str">
        <f>HYPERLINK("https://staging-dtl-pattern-api.hfm-weimar.de/static/audio/solos/dtl/AQAMrJIiZmOK6NHQ9CCPHz6h48GD7dAD_0.03.58.032961-0.05.36.096798.mp3", "link")</f>
        <v>link</v>
      </c>
      <c r="D1150" t="s">
        <v>5139</v>
      </c>
      <c r="E1150" t="s">
        <v>5140</v>
      </c>
      <c r="F1150" t="s">
        <v>5141</v>
      </c>
      <c r="G1150" t="s">
        <v>5141</v>
      </c>
      <c r="J1150" t="s">
        <v>5142</v>
      </c>
      <c r="K1150" t="s">
        <v>5143</v>
      </c>
      <c r="L1150" s="1" t="s">
        <v>5144</v>
      </c>
      <c r="M1150" t="s">
        <v>129</v>
      </c>
      <c r="N1150" t="s">
        <v>119</v>
      </c>
      <c r="O1150" s="1" t="s">
        <v>5145</v>
      </c>
      <c r="P1150" s="1" t="s">
        <v>5146</v>
      </c>
    </row>
    <row r="1151" spans="1:17" x14ac:dyDescent="0.25">
      <c r="A1151" t="s">
        <v>5147</v>
      </c>
      <c r="B1151" t="str">
        <f>HYPERLINK("https://staging-dtl-pattern-api.hfm-weimar.de/static/audio/solos/dtl/AQAMuEqSKVEWSWFwBm8OFIqDBy9T4brw_0.00.08.091646-0.01.43.005306.mp3", "link")</f>
        <v>link</v>
      </c>
      <c r="D1151" t="s">
        <v>4438</v>
      </c>
      <c r="E1151" t="s">
        <v>4154</v>
      </c>
      <c r="F1151" t="s">
        <v>364</v>
      </c>
      <c r="G1151" t="s">
        <v>364</v>
      </c>
      <c r="J1151" t="s">
        <v>4439</v>
      </c>
      <c r="K1151" t="s">
        <v>5148</v>
      </c>
      <c r="L1151" s="1" t="s">
        <v>4441</v>
      </c>
      <c r="M1151" t="s">
        <v>129</v>
      </c>
      <c r="N1151" t="s">
        <v>23</v>
      </c>
      <c r="O1151" s="1" t="s">
        <v>5149</v>
      </c>
      <c r="P1151" s="1" t="s">
        <v>5150</v>
      </c>
    </row>
    <row r="1152" spans="1:17" x14ac:dyDescent="0.25">
      <c r="A1152" s="3" t="s">
        <v>5151</v>
      </c>
      <c r="B1152" s="3" t="str">
        <f>HYPERLINK("https://staging-dtl-pattern-api.hfm-weimar.de/static/audio/solos/dtl/AQAMuEqSKVEWSWFwBm8OFIqDBy9T4brw_0.03.02.078748-0.06.41.098385.mp3", "link")</f>
        <v>link</v>
      </c>
      <c r="C1152" s="3"/>
      <c r="D1152" s="3" t="s">
        <v>4438</v>
      </c>
      <c r="E1152" s="3" t="s">
        <v>1214</v>
      </c>
      <c r="F1152" s="3" t="s">
        <v>364</v>
      </c>
      <c r="G1152" s="3" t="s">
        <v>364</v>
      </c>
      <c r="H1152" s="3"/>
      <c r="I1152" s="3"/>
      <c r="J1152" s="3" t="s">
        <v>4439</v>
      </c>
      <c r="K1152" s="3" t="s">
        <v>5148</v>
      </c>
      <c r="L1152" s="4" t="s">
        <v>4441</v>
      </c>
      <c r="M1152" s="3" t="s">
        <v>129</v>
      </c>
      <c r="N1152" s="3" t="s">
        <v>202</v>
      </c>
      <c r="O1152" s="4" t="s">
        <v>5152</v>
      </c>
      <c r="P1152" s="4" t="s">
        <v>5153</v>
      </c>
      <c r="Q1152" s="3" t="s">
        <v>7356</v>
      </c>
    </row>
    <row r="1153" spans="1:17" x14ac:dyDescent="0.25">
      <c r="A1153" t="s">
        <v>5154</v>
      </c>
      <c r="B1153" t="str">
        <f>HYPERLINK("https://staging-dtl-pattern-api.hfm-weimar.de/static/audio/solos/dtl/AQAMv1O0WYmSCIwSXYiRPDiar-D7JHhu_0.00.57.021396-0.02.20.043428.mp3", "link")</f>
        <v>link</v>
      </c>
      <c r="D1153" t="s">
        <v>5155</v>
      </c>
      <c r="E1153" t="s">
        <v>5156</v>
      </c>
      <c r="F1153" t="s">
        <v>18</v>
      </c>
      <c r="G1153" t="s">
        <v>18</v>
      </c>
      <c r="J1153" t="s">
        <v>5157</v>
      </c>
      <c r="K1153" t="s">
        <v>5158</v>
      </c>
      <c r="L1153" s="1" t="s">
        <v>5159</v>
      </c>
      <c r="M1153" t="s">
        <v>309</v>
      </c>
      <c r="N1153" t="s">
        <v>172</v>
      </c>
      <c r="O1153" s="1" t="s">
        <v>5160</v>
      </c>
      <c r="P1153" s="1" t="s">
        <v>5161</v>
      </c>
    </row>
    <row r="1154" spans="1:17" x14ac:dyDescent="0.25">
      <c r="A1154" t="s">
        <v>5162</v>
      </c>
      <c r="B1154" t="str">
        <f>HYPERLINK("https://staging-dtl-pattern-api.hfm-weimar.de/static/audio/solos/dtl/AQAMv1O0WYmSCIwSXYiRPDiar-D7JHhu_0.02.20.043428-0.04.23.022140.mp3", "link")</f>
        <v>link</v>
      </c>
      <c r="D1154" t="s">
        <v>5155</v>
      </c>
      <c r="E1154" t="s">
        <v>18</v>
      </c>
      <c r="F1154" t="s">
        <v>18</v>
      </c>
      <c r="G1154" t="s">
        <v>18</v>
      </c>
      <c r="J1154" t="s">
        <v>5157</v>
      </c>
      <c r="K1154" t="s">
        <v>5158</v>
      </c>
      <c r="L1154" s="1" t="s">
        <v>5159</v>
      </c>
      <c r="M1154" t="s">
        <v>309</v>
      </c>
      <c r="N1154" t="s">
        <v>23</v>
      </c>
      <c r="O1154" s="1" t="s">
        <v>5161</v>
      </c>
      <c r="P1154" s="1" t="s">
        <v>5163</v>
      </c>
      <c r="Q1154" s="1" t="s">
        <v>7315</v>
      </c>
    </row>
    <row r="1155" spans="1:17" x14ac:dyDescent="0.25">
      <c r="A1155" t="s">
        <v>5164</v>
      </c>
      <c r="B1155" t="str">
        <f>HYPERLINK("https://staging-dtl-pattern-api.hfm-weimar.de/static/audio/solos/dtl/AQAMv1O0WYmSCIwSXYiRPDiar-D7JHhu_0.04.23.022140-0.05.01.058367.mp3", "link")</f>
        <v>link</v>
      </c>
      <c r="D1155" t="s">
        <v>5155</v>
      </c>
      <c r="E1155" t="s">
        <v>5165</v>
      </c>
      <c r="F1155" t="s">
        <v>18</v>
      </c>
      <c r="G1155" t="s">
        <v>18</v>
      </c>
      <c r="J1155" t="s">
        <v>5157</v>
      </c>
      <c r="K1155" t="s">
        <v>5158</v>
      </c>
      <c r="L1155" s="1" t="s">
        <v>5159</v>
      </c>
      <c r="M1155" t="s">
        <v>309</v>
      </c>
      <c r="N1155" t="s">
        <v>46</v>
      </c>
      <c r="O1155" s="1" t="s">
        <v>5163</v>
      </c>
      <c r="P1155" s="1" t="s">
        <v>5166</v>
      </c>
    </row>
    <row r="1156" spans="1:17" x14ac:dyDescent="0.25">
      <c r="A1156" t="s">
        <v>5167</v>
      </c>
      <c r="B1156" t="str">
        <f>HYPERLINK("https://staging-dtl-pattern-api.hfm-weimar.de/static/audio/solos/dtl/AQAMV8qaRKsa8Hjw5cJ45AxkrepwKU-C_0.01.03.060816-0.01.23.091836.mp3", "link")</f>
        <v>link</v>
      </c>
      <c r="D1156" t="s">
        <v>4331</v>
      </c>
      <c r="E1156" t="s">
        <v>3593</v>
      </c>
      <c r="F1156" t="s">
        <v>3593</v>
      </c>
      <c r="G1156" t="s">
        <v>3593</v>
      </c>
      <c r="J1156" t="s">
        <v>3594</v>
      </c>
      <c r="K1156" t="s">
        <v>5168</v>
      </c>
      <c r="L1156" s="1" t="s">
        <v>3596</v>
      </c>
      <c r="M1156" t="s">
        <v>2824</v>
      </c>
      <c r="N1156" t="s">
        <v>23</v>
      </c>
      <c r="O1156" s="1" t="s">
        <v>5169</v>
      </c>
      <c r="P1156" s="1" t="s">
        <v>5170</v>
      </c>
    </row>
    <row r="1157" spans="1:17" x14ac:dyDescent="0.25">
      <c r="A1157" t="s">
        <v>5171</v>
      </c>
      <c r="B1157" t="str">
        <f>HYPERLINK("https://staging-dtl-pattern-api.hfm-weimar.de/static/audio/solos/dtl/AQAMV8qaRKsa8Hjw5cJ45AxkrepwKU-C_0.02.06.050231-0.03.46.016235.mp3", "link")</f>
        <v>link</v>
      </c>
      <c r="D1157" t="s">
        <v>4331</v>
      </c>
      <c r="E1157" t="s">
        <v>3593</v>
      </c>
      <c r="F1157" t="s">
        <v>3593</v>
      </c>
      <c r="G1157" t="s">
        <v>3593</v>
      </c>
      <c r="J1157" t="s">
        <v>3594</v>
      </c>
      <c r="K1157" t="s">
        <v>5168</v>
      </c>
      <c r="L1157" s="1" t="s">
        <v>3596</v>
      </c>
      <c r="M1157" t="s">
        <v>2824</v>
      </c>
      <c r="N1157" t="s">
        <v>23</v>
      </c>
      <c r="O1157" s="1" t="s">
        <v>1461</v>
      </c>
      <c r="P1157" s="1" t="s">
        <v>5172</v>
      </c>
    </row>
    <row r="1158" spans="1:17" x14ac:dyDescent="0.25">
      <c r="A1158" t="s">
        <v>5173</v>
      </c>
      <c r="B1158" t="str">
        <f>HYPERLINK("https://staging-dtl-pattern-api.hfm-weimar.de/static/audio/solos/dtl/AQAMvpIixwk-4sGsg7mEKXuQ89ATI-R9_0.01.13.092217-0.02.21.003365.mp3", "link")</f>
        <v>link</v>
      </c>
      <c r="D1158" t="s">
        <v>3170</v>
      </c>
      <c r="E1158" t="s">
        <v>401</v>
      </c>
      <c r="F1158" t="s">
        <v>3171</v>
      </c>
      <c r="H1158" t="s">
        <v>3172</v>
      </c>
      <c r="I1158">
        <v>5</v>
      </c>
      <c r="J1158" t="s">
        <v>141</v>
      </c>
      <c r="K1158" t="s">
        <v>5174</v>
      </c>
      <c r="L1158" s="1" t="s">
        <v>3029</v>
      </c>
      <c r="M1158" t="s">
        <v>309</v>
      </c>
      <c r="N1158" t="s">
        <v>202</v>
      </c>
      <c r="O1158" s="1" t="s">
        <v>5175</v>
      </c>
      <c r="P1158" s="1" t="s">
        <v>5176</v>
      </c>
    </row>
    <row r="1159" spans="1:17" x14ac:dyDescent="0.25">
      <c r="A1159" t="s">
        <v>5177</v>
      </c>
      <c r="B1159" t="str">
        <f>HYPERLINK("https://staging-dtl-pattern-api.hfm-weimar.de/static/audio/solos/dtl/AQAMvpIixwk-4sGsg7mEKXuQ89ATI-R9_0.02.21.003365-0.03.25.090802.mp3", "link")</f>
        <v>link</v>
      </c>
      <c r="D1159" t="s">
        <v>3170</v>
      </c>
      <c r="E1159" t="s">
        <v>1690</v>
      </c>
      <c r="F1159" t="s">
        <v>3171</v>
      </c>
      <c r="H1159" t="s">
        <v>3172</v>
      </c>
      <c r="I1159">
        <v>5</v>
      </c>
      <c r="J1159" t="s">
        <v>141</v>
      </c>
      <c r="K1159" t="s">
        <v>5174</v>
      </c>
      <c r="L1159" s="1" t="s">
        <v>3029</v>
      </c>
      <c r="M1159" t="s">
        <v>309</v>
      </c>
      <c r="N1159" t="s">
        <v>172</v>
      </c>
      <c r="O1159" s="1" t="s">
        <v>5176</v>
      </c>
      <c r="P1159" s="1" t="s">
        <v>5178</v>
      </c>
    </row>
    <row r="1160" spans="1:17" x14ac:dyDescent="0.25">
      <c r="A1160" t="s">
        <v>5179</v>
      </c>
      <c r="B1160" t="str">
        <f>HYPERLINK("https://staging-dtl-pattern-api.hfm-weimar.de/static/audio/solos/dtl/AQAMvpIixwk-4sGsg7mEKXuQ89ATI-R9_0.04.31.010666-0.05.33.048825.mp3", "link")</f>
        <v>link</v>
      </c>
      <c r="D1160" t="s">
        <v>3170</v>
      </c>
      <c r="E1160" t="s">
        <v>401</v>
      </c>
      <c r="F1160" t="s">
        <v>3171</v>
      </c>
      <c r="H1160" t="s">
        <v>3172</v>
      </c>
      <c r="I1160">
        <v>5</v>
      </c>
      <c r="J1160" t="s">
        <v>141</v>
      </c>
      <c r="K1160" t="s">
        <v>5174</v>
      </c>
      <c r="L1160" s="1" t="s">
        <v>3029</v>
      </c>
      <c r="M1160" t="s">
        <v>309</v>
      </c>
      <c r="N1160" t="s">
        <v>202</v>
      </c>
      <c r="O1160" s="1" t="s">
        <v>5180</v>
      </c>
      <c r="P1160" s="1" t="s">
        <v>5181</v>
      </c>
    </row>
    <row r="1161" spans="1:17" x14ac:dyDescent="0.25">
      <c r="A1161" t="s">
        <v>5182</v>
      </c>
      <c r="B1161" t="str">
        <f>HYPERLINK("https://staging-dtl-pattern-api.hfm-weimar.de/static/audio/solos/dtl/AQAMwUn2aVmSBNKpHBGZH54oHk-cPMOP_0.01.47.083346-0.03.28.097959.mp3", "link")</f>
        <v>link</v>
      </c>
      <c r="D1161" t="s">
        <v>5183</v>
      </c>
      <c r="E1161" t="s">
        <v>2885</v>
      </c>
      <c r="F1161" t="s">
        <v>305</v>
      </c>
      <c r="J1161" t="s">
        <v>1006</v>
      </c>
      <c r="K1161" t="s">
        <v>5184</v>
      </c>
      <c r="L1161" s="1" t="s">
        <v>3602</v>
      </c>
      <c r="M1161" t="s">
        <v>309</v>
      </c>
      <c r="N1161" t="s">
        <v>172</v>
      </c>
      <c r="O1161" s="1" t="s">
        <v>5185</v>
      </c>
      <c r="P1161" s="1" t="s">
        <v>3063</v>
      </c>
    </row>
    <row r="1162" spans="1:17" x14ac:dyDescent="0.25">
      <c r="A1162" t="s">
        <v>5186</v>
      </c>
      <c r="B1162" t="str">
        <f>HYPERLINK("https://staging-dtl-pattern-api.hfm-weimar.de/static/audio/solos/dtl/AQAMwUn2aVmSBNKpHBGZH54oHk-cPMOP_0.03.28.097959-0.04.56.009795.mp3", "link")</f>
        <v>link</v>
      </c>
      <c r="D1162" t="s">
        <v>5183</v>
      </c>
      <c r="E1162" t="s">
        <v>304</v>
      </c>
      <c r="F1162" t="s">
        <v>305</v>
      </c>
      <c r="J1162" t="s">
        <v>1006</v>
      </c>
      <c r="K1162" t="s">
        <v>5184</v>
      </c>
      <c r="L1162" s="1" t="s">
        <v>3602</v>
      </c>
      <c r="M1162" t="s">
        <v>309</v>
      </c>
      <c r="N1162" t="s">
        <v>23</v>
      </c>
      <c r="O1162" s="1" t="s">
        <v>3063</v>
      </c>
      <c r="P1162" s="1" t="s">
        <v>5187</v>
      </c>
      <c r="Q1162" s="1" t="s">
        <v>7316</v>
      </c>
    </row>
    <row r="1163" spans="1:17" x14ac:dyDescent="0.25">
      <c r="A1163" t="s">
        <v>5188</v>
      </c>
      <c r="B1163" t="str">
        <f>HYPERLINK("https://staging-dtl-pattern-api.hfm-weimar.de/static/audio/solos/dtl/AQAMYcykqSruHY-xHT_qQ2qSB6fyDF-K_0.00.59.018766-0.03.46.044099.mp3", "link")</f>
        <v>link</v>
      </c>
      <c r="D1163" t="s">
        <v>5189</v>
      </c>
      <c r="E1163" t="s">
        <v>2051</v>
      </c>
      <c r="F1163" t="s">
        <v>5190</v>
      </c>
      <c r="G1163" t="s">
        <v>1014</v>
      </c>
      <c r="H1163" t="s">
        <v>5191</v>
      </c>
      <c r="I1163">
        <v>78</v>
      </c>
      <c r="J1163" t="s">
        <v>616</v>
      </c>
      <c r="K1163" t="s">
        <v>5192</v>
      </c>
      <c r="L1163" s="1" t="s">
        <v>5193</v>
      </c>
      <c r="M1163" t="s">
        <v>129</v>
      </c>
      <c r="N1163" t="s">
        <v>23</v>
      </c>
      <c r="O1163" s="1" t="s">
        <v>5194</v>
      </c>
      <c r="P1163" s="1" t="s">
        <v>5195</v>
      </c>
    </row>
    <row r="1164" spans="1:17" x14ac:dyDescent="0.25">
      <c r="A1164" t="s">
        <v>5196</v>
      </c>
      <c r="B1164" t="str">
        <f>HYPERLINK("https://staging-dtl-pattern-api.hfm-weimar.de/static/audio/solos/dtl/AQAMYNuThVIShOYNyh_6hOgl4YccVXh0_0.00.00.004643-0.00.19.046122.mp3", "link")</f>
        <v>link</v>
      </c>
      <c r="D1164" t="s">
        <v>7131</v>
      </c>
      <c r="E1164" t="s">
        <v>2820</v>
      </c>
      <c r="F1164" t="s">
        <v>2820</v>
      </c>
      <c r="J1164" t="s">
        <v>5059</v>
      </c>
      <c r="K1164" t="s">
        <v>5197</v>
      </c>
      <c r="L1164" s="1" t="s">
        <v>5061</v>
      </c>
      <c r="M1164" t="s">
        <v>129</v>
      </c>
      <c r="N1164" t="s">
        <v>23</v>
      </c>
      <c r="O1164" s="1" t="s">
        <v>5198</v>
      </c>
      <c r="P1164" s="1" t="s">
        <v>5199</v>
      </c>
      <c r="Q1164" s="1" t="s">
        <v>7317</v>
      </c>
    </row>
    <row r="1165" spans="1:17" x14ac:dyDescent="0.25">
      <c r="A1165" t="s">
        <v>5200</v>
      </c>
      <c r="B1165" t="str">
        <f>HYPERLINK("https://staging-dtl-pattern-api.hfm-weimar.de/static/audio/solos/dtl/AQAMYNuThVIShOYNyh_6hOgl4YccVXh0_0.02.08.045714-0.03.06.071020.mp3", "link")</f>
        <v>link</v>
      </c>
      <c r="D1165" t="s">
        <v>7131</v>
      </c>
      <c r="E1165" t="s">
        <v>7132</v>
      </c>
      <c r="F1165" t="s">
        <v>2820</v>
      </c>
      <c r="J1165" t="s">
        <v>5059</v>
      </c>
      <c r="K1165" t="s">
        <v>5197</v>
      </c>
      <c r="L1165" s="1" t="s">
        <v>5061</v>
      </c>
      <c r="M1165" t="s">
        <v>129</v>
      </c>
      <c r="N1165" t="s">
        <v>172</v>
      </c>
      <c r="O1165" s="1" t="s">
        <v>5201</v>
      </c>
      <c r="P1165" s="1" t="s">
        <v>5202</v>
      </c>
      <c r="Q1165" s="1" t="s">
        <v>7311</v>
      </c>
    </row>
    <row r="1166" spans="1:17" x14ac:dyDescent="0.25">
      <c r="A1166" t="s">
        <v>5203</v>
      </c>
      <c r="B1166" t="str">
        <f>HYPERLINK("https://staging-dtl-pattern-api.hfm-weimar.de/static/audio/solos/dtl/AQAMYNuThVIShOYNyh_6hOgl4YccVXh0_0.03.44.045714-0.04.42.026176.mp3", "link")</f>
        <v>link</v>
      </c>
      <c r="D1166" t="s">
        <v>7131</v>
      </c>
      <c r="E1166" t="s">
        <v>5058</v>
      </c>
      <c r="F1166" t="s">
        <v>2820</v>
      </c>
      <c r="J1166" t="s">
        <v>5059</v>
      </c>
      <c r="K1166" t="s">
        <v>5197</v>
      </c>
      <c r="L1166" s="1" t="s">
        <v>5061</v>
      </c>
      <c r="M1166" t="s">
        <v>129</v>
      </c>
      <c r="N1166" t="s">
        <v>46</v>
      </c>
      <c r="O1166" s="1" t="s">
        <v>5204</v>
      </c>
      <c r="P1166" s="1" t="s">
        <v>5205</v>
      </c>
      <c r="Q1166" s="1" t="s">
        <v>7317</v>
      </c>
    </row>
    <row r="1167" spans="1:17" x14ac:dyDescent="0.25">
      <c r="A1167" t="s">
        <v>5206</v>
      </c>
      <c r="B1167" t="str">
        <f>HYPERLINK("https://staging-dtl-pattern-api.hfm-weimar.de/static/audio/solos/dtl/AQAN_WqmRJO4IIyizaiWPdB5NM_RFzmP_0.00.36.017959-0.02.37.089569.mp3", "link")</f>
        <v>link</v>
      </c>
      <c r="C1167" t="s">
        <v>5207</v>
      </c>
      <c r="D1167" s="2" t="s">
        <v>5208</v>
      </c>
      <c r="F1167" t="s">
        <v>3318</v>
      </c>
      <c r="G1167" t="s">
        <v>3318</v>
      </c>
      <c r="J1167" t="s">
        <v>5209</v>
      </c>
      <c r="K1167" t="s">
        <v>5210</v>
      </c>
      <c r="L1167" s="1" t="s">
        <v>5211</v>
      </c>
      <c r="M1167" t="s">
        <v>5212</v>
      </c>
      <c r="N1167" t="s">
        <v>202</v>
      </c>
      <c r="O1167" s="1" t="s">
        <v>5213</v>
      </c>
      <c r="P1167" s="1" t="s">
        <v>4724</v>
      </c>
    </row>
    <row r="1168" spans="1:17" x14ac:dyDescent="0.25">
      <c r="A1168" t="s">
        <v>5214</v>
      </c>
      <c r="B1168" t="str">
        <f>HYPERLINK("https://staging-dtl-pattern-api.hfm-weimar.de/static/audio/solos/dtl/AQAN_WqmRJO4IIyizaiWPdB5NM_RFzmP_0.02.37.089569-0.04.23.096734.mp3", "link")</f>
        <v>link</v>
      </c>
      <c r="D1168" t="s">
        <v>5208</v>
      </c>
      <c r="E1168" t="s">
        <v>5215</v>
      </c>
      <c r="F1168" t="s">
        <v>3318</v>
      </c>
      <c r="G1168" t="s">
        <v>3318</v>
      </c>
      <c r="J1168" t="s">
        <v>5209</v>
      </c>
      <c r="K1168" t="s">
        <v>5210</v>
      </c>
      <c r="L1168" s="1" t="s">
        <v>5211</v>
      </c>
      <c r="M1168" t="s">
        <v>5212</v>
      </c>
      <c r="N1168" t="s">
        <v>46</v>
      </c>
      <c r="O1168" s="1" t="s">
        <v>4724</v>
      </c>
      <c r="P1168" s="1" t="s">
        <v>5216</v>
      </c>
    </row>
    <row r="1169" spans="1:17" x14ac:dyDescent="0.25">
      <c r="A1169" t="s">
        <v>5217</v>
      </c>
      <c r="B1169" t="str">
        <f>HYPERLINK("https://staging-dtl-pattern-api.hfm-weimar.de/static/audio/solos/dtl/AQAN_WqmRJO4IIyizaiWPdB5NM_RFzmP_0.04.23.096734-0.05.41.055102.mp3", "link")</f>
        <v>link</v>
      </c>
      <c r="C1169" t="s">
        <v>5218</v>
      </c>
      <c r="D1169" t="s">
        <v>5208</v>
      </c>
      <c r="F1169" t="s">
        <v>3318</v>
      </c>
      <c r="G1169" t="s">
        <v>3318</v>
      </c>
      <c r="J1169" t="s">
        <v>5209</v>
      </c>
      <c r="K1169" t="s">
        <v>5210</v>
      </c>
      <c r="L1169" s="1" t="s">
        <v>5211</v>
      </c>
      <c r="M1169" t="s">
        <v>5212</v>
      </c>
      <c r="N1169" t="s">
        <v>172</v>
      </c>
      <c r="O1169" s="1" t="s">
        <v>5216</v>
      </c>
      <c r="P1169" s="1" t="s">
        <v>5219</v>
      </c>
    </row>
    <row r="1170" spans="1:17" x14ac:dyDescent="0.25">
      <c r="A1170" t="s">
        <v>5220</v>
      </c>
      <c r="B1170" t="str">
        <f>HYPERLINK("https://staging-dtl-pattern-api.hfm-weimar.de/static/audio/solos/dtl/AQAN_xLHLFGSBSFJiD3xXzg-_HiOauM0_0.01.03.073877-0.01.24.050612.mp3", "link")</f>
        <v>link</v>
      </c>
      <c r="D1170" t="s">
        <v>919</v>
      </c>
      <c r="E1170" t="s">
        <v>920</v>
      </c>
      <c r="F1170" t="s">
        <v>920</v>
      </c>
      <c r="G1170" t="s">
        <v>920</v>
      </c>
      <c r="J1170" t="s">
        <v>921</v>
      </c>
      <c r="K1170" t="s">
        <v>5221</v>
      </c>
      <c r="L1170" s="1" t="s">
        <v>923</v>
      </c>
      <c r="M1170" t="s">
        <v>924</v>
      </c>
      <c r="N1170" t="s">
        <v>449</v>
      </c>
      <c r="O1170" s="1" t="s">
        <v>5222</v>
      </c>
      <c r="P1170" s="1" t="s">
        <v>4412</v>
      </c>
    </row>
    <row r="1171" spans="1:17" x14ac:dyDescent="0.25">
      <c r="A1171" t="s">
        <v>5223</v>
      </c>
      <c r="B1171" t="str">
        <f>HYPERLINK("https://staging-dtl-pattern-api.hfm-weimar.de/static/audio/solos/dtl/AQAN_xLHLFGSBSFJiD3xXzg-_HiOauM0_0.04.29.016571-0.06.48.029968.mp3", "link")</f>
        <v>link</v>
      </c>
      <c r="D1171" t="s">
        <v>919</v>
      </c>
      <c r="E1171" t="s">
        <v>920</v>
      </c>
      <c r="F1171" t="s">
        <v>920</v>
      </c>
      <c r="G1171" t="s">
        <v>920</v>
      </c>
      <c r="J1171" t="s">
        <v>921</v>
      </c>
      <c r="K1171" t="s">
        <v>5221</v>
      </c>
      <c r="L1171" s="1" t="s">
        <v>923</v>
      </c>
      <c r="M1171" t="s">
        <v>924</v>
      </c>
      <c r="N1171" t="s">
        <v>449</v>
      </c>
      <c r="O1171" s="1" t="s">
        <v>5224</v>
      </c>
      <c r="P1171" s="1" t="s">
        <v>5225</v>
      </c>
    </row>
    <row r="1172" spans="1:17" x14ac:dyDescent="0.25">
      <c r="A1172" t="s">
        <v>5226</v>
      </c>
      <c r="B1172" t="str">
        <f>HYPERLINK("https://staging-dtl-pattern-api.hfm-weimar.de/static/audio/solos/dtl/AQAN-RKZbNGY4MeP_yhcKti-I4saQRfW_0.03.18.057705-0.04.28.060843.mp3", "link")</f>
        <v>link</v>
      </c>
      <c r="D1172" t="s">
        <v>5227</v>
      </c>
      <c r="E1172" t="s">
        <v>4807</v>
      </c>
      <c r="F1172" t="s">
        <v>4807</v>
      </c>
      <c r="G1172" t="s">
        <v>4807</v>
      </c>
      <c r="J1172" t="s">
        <v>5228</v>
      </c>
      <c r="K1172" t="s">
        <v>5229</v>
      </c>
      <c r="L1172" s="1" t="s">
        <v>5230</v>
      </c>
      <c r="M1172" t="s">
        <v>5231</v>
      </c>
      <c r="N1172" t="s">
        <v>172</v>
      </c>
      <c r="O1172" s="1" t="s">
        <v>5232</v>
      </c>
      <c r="P1172" s="1" t="s">
        <v>5233</v>
      </c>
      <c r="Q1172" s="1" t="s">
        <v>7318</v>
      </c>
    </row>
    <row r="1173" spans="1:17" x14ac:dyDescent="0.25">
      <c r="A1173" t="s">
        <v>5234</v>
      </c>
      <c r="B1173" t="str">
        <f>HYPERLINK("https://staging-dtl-pattern-api.hfm-weimar.de/static/audio/solos/dtl/AQAN-RKZbNGY4MeP_yhcKti-I4saQRfW_0.06.17.073061-0.07.13.089387.mp3", "link")</f>
        <v>link</v>
      </c>
      <c r="D1173" t="s">
        <v>5227</v>
      </c>
      <c r="E1173" t="s">
        <v>4807</v>
      </c>
      <c r="F1173" t="s">
        <v>4807</v>
      </c>
      <c r="G1173" t="s">
        <v>4807</v>
      </c>
      <c r="J1173" t="s">
        <v>5228</v>
      </c>
      <c r="K1173" t="s">
        <v>5229</v>
      </c>
      <c r="L1173" s="1" t="s">
        <v>5230</v>
      </c>
      <c r="M1173" t="s">
        <v>5231</v>
      </c>
      <c r="N1173" t="s">
        <v>172</v>
      </c>
      <c r="O1173" s="1" t="s">
        <v>5235</v>
      </c>
      <c r="P1173" s="1" t="s">
        <v>5236</v>
      </c>
      <c r="Q1173" s="1" t="s">
        <v>7318</v>
      </c>
    </row>
    <row r="1174" spans="1:17" x14ac:dyDescent="0.25">
      <c r="A1174" t="s">
        <v>5237</v>
      </c>
      <c r="B1174" t="str">
        <f>HYPERLINK("https://staging-dtl-pattern-api.hfm-weimar.de/static/audio/solos/dtl/AQAN8Fq6JEmiRImC9xRckURnoRL5Ir12_0.00.40.075102-0.04.44.099591.mp3", "link")</f>
        <v>link</v>
      </c>
      <c r="D1174" t="s">
        <v>5238</v>
      </c>
      <c r="E1174" t="s">
        <v>6075</v>
      </c>
      <c r="F1174" t="s">
        <v>5240</v>
      </c>
      <c r="G1174" t="s">
        <v>5240</v>
      </c>
      <c r="J1174" t="s">
        <v>5241</v>
      </c>
      <c r="K1174" t="s">
        <v>5242</v>
      </c>
      <c r="L1174" s="1" t="s">
        <v>5243</v>
      </c>
      <c r="M1174" t="s">
        <v>705</v>
      </c>
      <c r="N1174" t="s">
        <v>202</v>
      </c>
      <c r="O1174" s="1" t="s">
        <v>988</v>
      </c>
      <c r="P1174" s="1" t="s">
        <v>5244</v>
      </c>
      <c r="Q1174" s="1" t="s">
        <v>7319</v>
      </c>
    </row>
    <row r="1175" spans="1:17" x14ac:dyDescent="0.25">
      <c r="A1175" t="s">
        <v>5245</v>
      </c>
      <c r="B1175" t="str">
        <f>HYPERLINK("https://staging-dtl-pattern-api.hfm-weimar.de/static/audio/solos/dtl/AQANb5SSTFISSWjDBb_QRwwwXgm4eNiJ_0.01.18.057632-0.02.48.035918.mp3", "link")</f>
        <v>link</v>
      </c>
      <c r="D1175" t="s">
        <v>5246</v>
      </c>
      <c r="E1175" t="s">
        <v>5247</v>
      </c>
      <c r="F1175" t="s">
        <v>5247</v>
      </c>
      <c r="G1175" t="s">
        <v>5247</v>
      </c>
      <c r="J1175" t="s">
        <v>5248</v>
      </c>
      <c r="K1175" t="s">
        <v>5249</v>
      </c>
      <c r="L1175" s="1" t="s">
        <v>5250</v>
      </c>
      <c r="M1175" t="s">
        <v>5251</v>
      </c>
      <c r="N1175" t="s">
        <v>109</v>
      </c>
      <c r="O1175" s="1" t="s">
        <v>5252</v>
      </c>
      <c r="P1175" s="1" t="s">
        <v>5253</v>
      </c>
    </row>
    <row r="1176" spans="1:17" x14ac:dyDescent="0.25">
      <c r="A1176" t="s">
        <v>5254</v>
      </c>
      <c r="B1176" t="str">
        <f>HYPERLINK("https://staging-dtl-pattern-api.hfm-weimar.de/static/audio/solos/dtl/AQANBokSLZGSmNgp4UHZ4znxPAh_NDmJ_0.01.39.093868-0.03.23.031392.mp3", "link")</f>
        <v>link</v>
      </c>
      <c r="D1176" t="s">
        <v>3837</v>
      </c>
      <c r="E1176" t="s">
        <v>1339</v>
      </c>
      <c r="F1176" t="s">
        <v>1339</v>
      </c>
      <c r="G1176" t="s">
        <v>1339</v>
      </c>
      <c r="J1176" t="s">
        <v>3644</v>
      </c>
      <c r="K1176" t="s">
        <v>5255</v>
      </c>
      <c r="L1176" s="1" t="s">
        <v>3646</v>
      </c>
      <c r="M1176" t="s">
        <v>129</v>
      </c>
      <c r="N1176" t="s">
        <v>23</v>
      </c>
      <c r="O1176" s="1" t="s">
        <v>5256</v>
      </c>
      <c r="P1176" s="1" t="s">
        <v>5257</v>
      </c>
    </row>
    <row r="1177" spans="1:17" x14ac:dyDescent="0.25">
      <c r="A1177" t="s">
        <v>5258</v>
      </c>
      <c r="B1177" t="str">
        <f>HYPERLINK("https://staging-dtl-pattern-api.hfm-weimar.de/static/audio/solos/dtl/AQANbovEJEkkExOSTGWOHM0v44lfNFtT_0.00.45.013959-0.03.03.071628.mp3", "link")</f>
        <v>link</v>
      </c>
      <c r="D1177" t="s">
        <v>4520</v>
      </c>
      <c r="E1177" t="s">
        <v>18</v>
      </c>
      <c r="F1177" t="s">
        <v>18</v>
      </c>
      <c r="G1177" t="s">
        <v>18</v>
      </c>
      <c r="J1177" t="s">
        <v>4521</v>
      </c>
      <c r="K1177" t="s">
        <v>5259</v>
      </c>
      <c r="L1177" s="1" t="s">
        <v>4523</v>
      </c>
      <c r="M1177" t="s">
        <v>129</v>
      </c>
      <c r="N1177" t="s">
        <v>23</v>
      </c>
      <c r="O1177" s="1" t="s">
        <v>5260</v>
      </c>
      <c r="P1177" s="1" t="s">
        <v>5261</v>
      </c>
    </row>
    <row r="1178" spans="1:17" x14ac:dyDescent="0.25">
      <c r="A1178" t="s">
        <v>5262</v>
      </c>
      <c r="B1178" t="str">
        <f>HYPERLINK("https://staging-dtl-pattern-api.hfm-weimar.de/static/audio/solos/dtl/AQANbovEJEkkExOSTGWOHM0v44lfNFtT_0.05.17.077959-0.05.29.020816.mp3", "link")</f>
        <v>link</v>
      </c>
      <c r="D1178" t="s">
        <v>4520</v>
      </c>
      <c r="E1178" t="s">
        <v>18</v>
      </c>
      <c r="F1178" t="s">
        <v>18</v>
      </c>
      <c r="G1178" t="s">
        <v>18</v>
      </c>
      <c r="J1178" t="s">
        <v>4521</v>
      </c>
      <c r="K1178" t="s">
        <v>5259</v>
      </c>
      <c r="L1178" s="1" t="s">
        <v>4523</v>
      </c>
      <c r="M1178" t="s">
        <v>129</v>
      </c>
      <c r="N1178" t="s">
        <v>23</v>
      </c>
      <c r="O1178" s="1" t="s">
        <v>5263</v>
      </c>
      <c r="P1178" s="1" t="s">
        <v>5264</v>
      </c>
    </row>
    <row r="1179" spans="1:17" x14ac:dyDescent="0.25">
      <c r="A1179" t="s">
        <v>5265</v>
      </c>
      <c r="B1179" t="str">
        <f>HYPERLINK("https://staging-dtl-pattern-api.hfm-weimar.de/static/audio/solos/dtl/AQANbovEJEkkExOSTGWOHM0v44lfNFtT_0.05.38.093877-0.05.50.049795.mp3", "link")</f>
        <v>link</v>
      </c>
      <c r="D1179" t="s">
        <v>4520</v>
      </c>
      <c r="E1179" t="s">
        <v>18</v>
      </c>
      <c r="F1179" t="s">
        <v>18</v>
      </c>
      <c r="G1179" t="s">
        <v>18</v>
      </c>
      <c r="J1179" t="s">
        <v>4521</v>
      </c>
      <c r="K1179" t="s">
        <v>5259</v>
      </c>
      <c r="L1179" s="1" t="s">
        <v>4523</v>
      </c>
      <c r="M1179" t="s">
        <v>129</v>
      </c>
      <c r="N1179" t="s">
        <v>23</v>
      </c>
      <c r="O1179" s="1" t="s">
        <v>5266</v>
      </c>
      <c r="P1179" s="1" t="s">
        <v>5267</v>
      </c>
    </row>
    <row r="1180" spans="1:17" x14ac:dyDescent="0.25">
      <c r="A1180" t="s">
        <v>5268</v>
      </c>
      <c r="B1180" t="str">
        <f>HYPERLINK("https://staging-dtl-pattern-api.hfm-weimar.de/static/audio/solos/dtl/AQANDMmjaIomIbmU6mj-YA8rPBlcKTUe_0.02.25.007827-0.03.49.035510.mp3", "link")</f>
        <v>link</v>
      </c>
      <c r="D1180" t="s">
        <v>5269</v>
      </c>
      <c r="E1180" t="s">
        <v>3087</v>
      </c>
      <c r="F1180" t="s">
        <v>4337</v>
      </c>
      <c r="G1180" t="s">
        <v>4337</v>
      </c>
      <c r="J1180" t="s">
        <v>4338</v>
      </c>
      <c r="K1180" t="s">
        <v>5270</v>
      </c>
      <c r="L1180" s="1" t="s">
        <v>4340</v>
      </c>
      <c r="M1180" t="s">
        <v>3531</v>
      </c>
      <c r="N1180" t="s">
        <v>826</v>
      </c>
      <c r="O1180" s="1" t="s">
        <v>5271</v>
      </c>
      <c r="P1180" s="1" t="s">
        <v>5272</v>
      </c>
      <c r="Q1180" s="1" t="s">
        <v>7284</v>
      </c>
    </row>
    <row r="1181" spans="1:17" x14ac:dyDescent="0.25">
      <c r="A1181" t="s">
        <v>5273</v>
      </c>
      <c r="B1181" t="str">
        <f>HYPERLINK("https://staging-dtl-pattern-api.hfm-weimar.de/static/audio/solos/dtl/AQANfFLUJKGkRELFpEh-5HmGc8dhJ8Qz_0.01.10.079183-0.01.18.020480.mp3", "link")</f>
        <v>link</v>
      </c>
      <c r="D1181" t="s">
        <v>5274</v>
      </c>
      <c r="E1181" t="s">
        <v>5275</v>
      </c>
      <c r="F1181" t="s">
        <v>5276</v>
      </c>
      <c r="G1181" t="s">
        <v>5276</v>
      </c>
      <c r="J1181" t="s">
        <v>5277</v>
      </c>
      <c r="K1181" t="s">
        <v>5278</v>
      </c>
      <c r="L1181" s="1" t="s">
        <v>5279</v>
      </c>
      <c r="M1181" t="s">
        <v>129</v>
      </c>
      <c r="N1181" t="s">
        <v>23</v>
      </c>
      <c r="O1181" s="1" t="s">
        <v>5280</v>
      </c>
      <c r="P1181" s="1" t="s">
        <v>5281</v>
      </c>
    </row>
    <row r="1182" spans="1:17" x14ac:dyDescent="0.25">
      <c r="A1182" t="s">
        <v>5282</v>
      </c>
      <c r="B1182" t="str">
        <f>HYPERLINK("https://staging-dtl-pattern-api.hfm-weimar.de/static/audio/solos/dtl/AQANfFLUJKGkRELFpEh-5HmGc8dhJ8Qz_0.03.33.043782-0.05.48.008163.mp3", "link")</f>
        <v>link</v>
      </c>
      <c r="D1182" t="s">
        <v>5274</v>
      </c>
      <c r="E1182" t="s">
        <v>5275</v>
      </c>
      <c r="F1182" t="s">
        <v>5276</v>
      </c>
      <c r="G1182" t="s">
        <v>5276</v>
      </c>
      <c r="J1182" t="s">
        <v>5277</v>
      </c>
      <c r="K1182" t="s">
        <v>5278</v>
      </c>
      <c r="L1182" s="1" t="s">
        <v>5279</v>
      </c>
      <c r="M1182" t="s">
        <v>129</v>
      </c>
      <c r="N1182" t="s">
        <v>23</v>
      </c>
      <c r="O1182" s="1" t="s">
        <v>5283</v>
      </c>
      <c r="P1182" s="1" t="s">
        <v>5284</v>
      </c>
    </row>
    <row r="1183" spans="1:17" x14ac:dyDescent="0.25">
      <c r="A1183" t="s">
        <v>5285</v>
      </c>
      <c r="B1183" t="str">
        <f>HYPERLINK("https://staging-dtl-pattern-api.hfm-weimar.de/static/audio/solos/dtl/AQANG0qmRZqiEbmE5sSFRlMIHX2INIZ5_0.03.44.002612-0.04.23.003564.mp3", "link")</f>
        <v>link</v>
      </c>
      <c r="D1183" t="s">
        <v>5286</v>
      </c>
      <c r="E1183" t="s">
        <v>5287</v>
      </c>
      <c r="F1183" t="s">
        <v>5288</v>
      </c>
      <c r="J1183" t="s">
        <v>5289</v>
      </c>
      <c r="K1183" t="s">
        <v>5290</v>
      </c>
      <c r="L1183" s="1" t="s">
        <v>3137</v>
      </c>
      <c r="M1183" t="s">
        <v>2934</v>
      </c>
      <c r="N1183" t="s">
        <v>23</v>
      </c>
      <c r="O1183" s="1" t="s">
        <v>5291</v>
      </c>
      <c r="P1183" s="1" t="s">
        <v>5292</v>
      </c>
    </row>
    <row r="1184" spans="1:17" x14ac:dyDescent="0.25">
      <c r="A1184" t="s">
        <v>5293</v>
      </c>
      <c r="B1184" t="str">
        <f>HYPERLINK("https://staging-dtl-pattern-api.hfm-weimar.de/static/audio/solos/dtl/AQANG0qmRZqiEbmE5sSFRlMIHX2INIZ5_0.04.23.003564-0.05.02.004517.mp3", "link")</f>
        <v>link</v>
      </c>
      <c r="D1184" t="s">
        <v>5286</v>
      </c>
      <c r="E1184" t="s">
        <v>5294</v>
      </c>
      <c r="F1184" t="s">
        <v>5288</v>
      </c>
      <c r="J1184" t="s">
        <v>5289</v>
      </c>
      <c r="K1184" t="s">
        <v>5290</v>
      </c>
      <c r="L1184" s="1" t="s">
        <v>3137</v>
      </c>
      <c r="M1184" t="s">
        <v>2934</v>
      </c>
      <c r="N1184" t="s">
        <v>172</v>
      </c>
      <c r="O1184" s="1" t="s">
        <v>5292</v>
      </c>
      <c r="P1184" s="1" t="s">
        <v>4203</v>
      </c>
    </row>
    <row r="1185" spans="1:17" x14ac:dyDescent="0.25">
      <c r="A1185" t="s">
        <v>5295</v>
      </c>
      <c r="B1185" t="str">
        <f>HYPERLINK("https://staging-dtl-pattern-api.hfm-weimar.de/static/audio/solos/dtl/AQANG0qmRZqiEbmE5sSFRlMIHX2INIZ5_0.05.02.004517-0.05.41.002857.mp3", "link")</f>
        <v>link</v>
      </c>
      <c r="D1185" t="s">
        <v>5286</v>
      </c>
      <c r="E1185" t="s">
        <v>5296</v>
      </c>
      <c r="F1185" t="s">
        <v>5288</v>
      </c>
      <c r="J1185" t="s">
        <v>5289</v>
      </c>
      <c r="K1185" t="s">
        <v>5290</v>
      </c>
      <c r="L1185" s="1" t="s">
        <v>3137</v>
      </c>
      <c r="M1185" t="s">
        <v>2934</v>
      </c>
      <c r="N1185" t="s">
        <v>46</v>
      </c>
      <c r="O1185" s="1" t="s">
        <v>4203</v>
      </c>
      <c r="P1185" s="1" t="s">
        <v>5297</v>
      </c>
    </row>
    <row r="1186" spans="1:17" x14ac:dyDescent="0.25">
      <c r="A1186" t="s">
        <v>5298</v>
      </c>
      <c r="B1186" t="str">
        <f>HYPERLINK("https://staging-dtl-pattern-api.hfm-weimar.de/static/audio/solos/dtl/AQANgqGSKMqsIhJ_4wefrKj9I8wO_U-I_0.01.26.059591-0.02.39.034693.mp3", "link")</f>
        <v>link</v>
      </c>
      <c r="D1186" t="s">
        <v>7133</v>
      </c>
      <c r="E1186" t="s">
        <v>2958</v>
      </c>
      <c r="F1186" t="s">
        <v>2958</v>
      </c>
      <c r="G1186" t="s">
        <v>2958</v>
      </c>
      <c r="J1186" t="s">
        <v>4188</v>
      </c>
      <c r="K1186" t="s">
        <v>5299</v>
      </c>
      <c r="L1186" s="1" t="s">
        <v>4190</v>
      </c>
      <c r="M1186" t="s">
        <v>182</v>
      </c>
      <c r="N1186" t="s">
        <v>3348</v>
      </c>
      <c r="O1186" s="1" t="s">
        <v>5300</v>
      </c>
      <c r="P1186" s="1" t="s">
        <v>5301</v>
      </c>
      <c r="Q1186" s="1" t="s">
        <v>7285</v>
      </c>
    </row>
    <row r="1187" spans="1:17" x14ac:dyDescent="0.25">
      <c r="A1187" t="s">
        <v>5302</v>
      </c>
      <c r="B1187" t="str">
        <f>HYPERLINK("https://staging-dtl-pattern-api.hfm-weimar.de/static/audio/solos/dtl/AQANgqGSKMqsIhJ_4wefrKj9I8wO_U-I_0.02.39.034693-0.03.50.066122.mp3", "link")</f>
        <v>link</v>
      </c>
      <c r="D1187" t="s">
        <v>7133</v>
      </c>
      <c r="E1187" t="s">
        <v>7134</v>
      </c>
      <c r="F1187" t="s">
        <v>2958</v>
      </c>
      <c r="G1187" t="s">
        <v>2958</v>
      </c>
      <c r="J1187" t="s">
        <v>4188</v>
      </c>
      <c r="K1187" t="s">
        <v>5299</v>
      </c>
      <c r="L1187" s="1" t="s">
        <v>4190</v>
      </c>
      <c r="M1187" t="s">
        <v>182</v>
      </c>
      <c r="N1187" t="s">
        <v>119</v>
      </c>
      <c r="O1187" s="1" t="s">
        <v>5301</v>
      </c>
      <c r="P1187" s="1" t="s">
        <v>5303</v>
      </c>
      <c r="Q1187" s="1" t="s">
        <v>7320</v>
      </c>
    </row>
    <row r="1188" spans="1:17" x14ac:dyDescent="0.25">
      <c r="A1188" t="s">
        <v>5304</v>
      </c>
      <c r="B1188" t="str">
        <f>HYPERLINK("https://staging-dtl-pattern-api.hfm-weimar.de/static/audio/solos/dtl/AQANH7SShJGDOwiVC_qRLgsn4RJ2w8aZ_0.01.05.011020-0.02.08.008126.mp3", "link")</f>
        <v>link</v>
      </c>
      <c r="D1188" t="s">
        <v>5305</v>
      </c>
      <c r="E1188" t="s">
        <v>5306</v>
      </c>
      <c r="F1188" t="s">
        <v>5307</v>
      </c>
      <c r="G1188" t="s">
        <v>5307</v>
      </c>
      <c r="J1188" t="s">
        <v>5308</v>
      </c>
      <c r="K1188" t="s">
        <v>5309</v>
      </c>
      <c r="L1188" s="1" t="s">
        <v>5310</v>
      </c>
      <c r="M1188" t="s">
        <v>3830</v>
      </c>
      <c r="N1188" t="s">
        <v>202</v>
      </c>
      <c r="O1188" s="1" t="s">
        <v>5311</v>
      </c>
      <c r="P1188" s="1" t="s">
        <v>5312</v>
      </c>
    </row>
    <row r="1189" spans="1:17" x14ac:dyDescent="0.25">
      <c r="A1189" t="s">
        <v>5313</v>
      </c>
      <c r="B1189" t="str">
        <f>HYPERLINK("https://staging-dtl-pattern-api.hfm-weimar.de/static/audio/solos/dtl/AQANIErITZIYnFGCD9yPD033oFRyBHqO_0.01.20.080544-0.03.33.006630.mp3", "link")</f>
        <v>link</v>
      </c>
      <c r="D1189" t="s">
        <v>4216</v>
      </c>
      <c r="E1189" t="s">
        <v>4217</v>
      </c>
      <c r="F1189" t="s">
        <v>4217</v>
      </c>
      <c r="G1189" t="s">
        <v>4217</v>
      </c>
      <c r="J1189" t="s">
        <v>2220</v>
      </c>
      <c r="K1189" t="s">
        <v>5314</v>
      </c>
      <c r="L1189" s="1" t="s">
        <v>4219</v>
      </c>
      <c r="M1189" t="s">
        <v>309</v>
      </c>
      <c r="N1189" t="s">
        <v>23</v>
      </c>
      <c r="O1189" s="1" t="s">
        <v>5315</v>
      </c>
      <c r="P1189" s="1" t="s">
        <v>5316</v>
      </c>
    </row>
    <row r="1190" spans="1:17" x14ac:dyDescent="0.25">
      <c r="A1190" t="s">
        <v>5317</v>
      </c>
      <c r="B1190" t="str">
        <f>HYPERLINK("https://staging-dtl-pattern-api.hfm-weimar.de/static/audio/solos/dtl/AQANIErITZIYnFGCD9yPD033oFRyBHqO_0.03.33.006630-0.04.37.015337.mp3", "link")</f>
        <v>link</v>
      </c>
      <c r="D1190" t="s">
        <v>4216</v>
      </c>
      <c r="E1190" t="s">
        <v>4223</v>
      </c>
      <c r="F1190" t="s">
        <v>4217</v>
      </c>
      <c r="G1190" t="s">
        <v>4217</v>
      </c>
      <c r="J1190" t="s">
        <v>2220</v>
      </c>
      <c r="K1190" t="s">
        <v>5314</v>
      </c>
      <c r="L1190" s="1" t="s">
        <v>4219</v>
      </c>
      <c r="M1190" t="s">
        <v>309</v>
      </c>
      <c r="N1190" t="s">
        <v>46</v>
      </c>
      <c r="O1190" s="1" t="s">
        <v>5316</v>
      </c>
      <c r="P1190" s="1" t="s">
        <v>5318</v>
      </c>
    </row>
    <row r="1191" spans="1:17" x14ac:dyDescent="0.25">
      <c r="A1191" t="s">
        <v>5319</v>
      </c>
      <c r="B1191" t="str">
        <f>HYPERLINK("https://staging-dtl-pattern-api.hfm-weimar.de/static/audio/solos/dtl/AQANj8qyRUymSLjzDFeW4pmOK0dzHq6y_0.00.23.059147-0.03.48.057723.mp3", "link")</f>
        <v>link</v>
      </c>
      <c r="D1191" t="s">
        <v>3837</v>
      </c>
      <c r="E1191" t="s">
        <v>1339</v>
      </c>
      <c r="F1191" t="s">
        <v>1339</v>
      </c>
      <c r="G1191" t="s">
        <v>1339</v>
      </c>
      <c r="J1191" t="s">
        <v>3644</v>
      </c>
      <c r="K1191" t="s">
        <v>5320</v>
      </c>
      <c r="L1191" s="1" t="s">
        <v>3646</v>
      </c>
      <c r="M1191" t="s">
        <v>129</v>
      </c>
      <c r="N1191" t="s">
        <v>23</v>
      </c>
      <c r="O1191" s="1" t="s">
        <v>5321</v>
      </c>
      <c r="P1191" s="1" t="s">
        <v>3205</v>
      </c>
    </row>
    <row r="1192" spans="1:17" x14ac:dyDescent="0.25">
      <c r="A1192" t="s">
        <v>5322</v>
      </c>
      <c r="B1192" t="str">
        <f>HYPERLINK("https://staging-dtl-pattern-api.hfm-weimar.de/static/audio/solos/dtl/AQANjksiqVmUJnCPvjeeREh6xBnhXfhi_0.02.29.068163-0.04.39.051020.mp3", "link")</f>
        <v>link</v>
      </c>
      <c r="D1192" t="s">
        <v>2896</v>
      </c>
      <c r="E1192" t="s">
        <v>2897</v>
      </c>
      <c r="F1192" t="s">
        <v>2898</v>
      </c>
      <c r="J1192" t="s">
        <v>2899</v>
      </c>
      <c r="K1192" t="s">
        <v>5323</v>
      </c>
      <c r="L1192" s="1" t="s">
        <v>2901</v>
      </c>
      <c r="M1192" t="s">
        <v>129</v>
      </c>
      <c r="N1192" t="s">
        <v>23</v>
      </c>
      <c r="O1192" s="1" t="s">
        <v>3533</v>
      </c>
      <c r="P1192" s="1" t="s">
        <v>5324</v>
      </c>
    </row>
    <row r="1193" spans="1:17" x14ac:dyDescent="0.25">
      <c r="A1193" t="s">
        <v>5325</v>
      </c>
      <c r="B1193" t="str">
        <f>HYPERLINK("https://staging-dtl-pattern-api.hfm-weimar.de/static/audio/solos/dtl/AQANjksiqVmUJnCPvjeeREh6xBnhXfhi_0.05.44.021260-0.07.10.059083.mp3", "link")</f>
        <v>link</v>
      </c>
      <c r="D1193" t="s">
        <v>2896</v>
      </c>
      <c r="E1193" t="s">
        <v>5326</v>
      </c>
      <c r="F1193" t="s">
        <v>2898</v>
      </c>
      <c r="J1193" t="s">
        <v>2899</v>
      </c>
      <c r="K1193" t="s">
        <v>5323</v>
      </c>
      <c r="L1193" s="1" t="s">
        <v>2901</v>
      </c>
      <c r="M1193" t="s">
        <v>129</v>
      </c>
      <c r="N1193" t="s">
        <v>172</v>
      </c>
      <c r="O1193" s="1" t="s">
        <v>5327</v>
      </c>
      <c r="P1193" s="1" t="s">
        <v>5328</v>
      </c>
    </row>
    <row r="1194" spans="1:17" x14ac:dyDescent="0.25">
      <c r="A1194" t="s">
        <v>5329</v>
      </c>
      <c r="B1194" t="str">
        <f>HYPERLINK("https://staging-dtl-pattern-api.hfm-weimar.de/static/audio/solos/dtl/AQANlEokPkm2CP2N5jh3vFcm_BFODj-A_0.05.12.063346-0.05.51.064299.mp3", "link")</f>
        <v>link</v>
      </c>
      <c r="D1194" t="s">
        <v>5330</v>
      </c>
      <c r="E1194" t="s">
        <v>3469</v>
      </c>
      <c r="F1194" t="s">
        <v>5331</v>
      </c>
      <c r="J1194" t="s">
        <v>5332</v>
      </c>
      <c r="K1194" t="s">
        <v>5333</v>
      </c>
      <c r="L1194" s="1" t="s">
        <v>5334</v>
      </c>
      <c r="M1194" t="s">
        <v>2824</v>
      </c>
      <c r="N1194" t="s">
        <v>23</v>
      </c>
      <c r="O1194" s="1" t="s">
        <v>5335</v>
      </c>
      <c r="P1194" s="1" t="s">
        <v>5336</v>
      </c>
    </row>
    <row r="1195" spans="1:17" x14ac:dyDescent="0.25">
      <c r="A1195" t="s">
        <v>5337</v>
      </c>
      <c r="B1195" t="str">
        <f>HYPERLINK("https://staging-dtl-pattern-api.hfm-weimar.de/static/audio/solos/dtl/AQANlImSJFGSRFHwHM0TyHjwHH0NSzm-_0.00.01.004489-0.02.51.092054.mp3", "link")</f>
        <v>link</v>
      </c>
      <c r="D1195" t="s">
        <v>5338</v>
      </c>
      <c r="E1195" t="s">
        <v>5339</v>
      </c>
      <c r="F1195" t="s">
        <v>2845</v>
      </c>
      <c r="J1195" t="s">
        <v>5340</v>
      </c>
      <c r="K1195" t="s">
        <v>5341</v>
      </c>
      <c r="L1195" s="1" t="s">
        <v>5342</v>
      </c>
      <c r="M1195" t="s">
        <v>5343</v>
      </c>
      <c r="N1195" t="s">
        <v>622</v>
      </c>
      <c r="O1195" s="1" t="s">
        <v>5344</v>
      </c>
      <c r="P1195" s="1" t="s">
        <v>5345</v>
      </c>
    </row>
    <row r="1196" spans="1:17" x14ac:dyDescent="0.25">
      <c r="A1196" t="s">
        <v>5346</v>
      </c>
      <c r="B1196" t="str">
        <f>HYPERLINK("https://staging-dtl-pattern-api.hfm-weimar.de/static/audio/solos/dtl/AQANlImSJFGSRFHwHM0TyHjwHH0NSzm-_0.03.57.097551-0.05.02.078820.mp3", "link")</f>
        <v>link</v>
      </c>
      <c r="D1196" t="s">
        <v>5338</v>
      </c>
      <c r="E1196" t="s">
        <v>5339</v>
      </c>
      <c r="F1196" t="s">
        <v>2845</v>
      </c>
      <c r="J1196" t="s">
        <v>5340</v>
      </c>
      <c r="K1196" t="s">
        <v>5341</v>
      </c>
      <c r="L1196" s="1" t="s">
        <v>5342</v>
      </c>
      <c r="M1196" t="s">
        <v>5343</v>
      </c>
      <c r="N1196" t="s">
        <v>622</v>
      </c>
      <c r="O1196" s="1" t="s">
        <v>5347</v>
      </c>
      <c r="P1196" s="1" t="s">
        <v>5348</v>
      </c>
    </row>
    <row r="1197" spans="1:17" x14ac:dyDescent="0.25">
      <c r="A1197" t="s">
        <v>5349</v>
      </c>
      <c r="B1197" t="str">
        <f>HYPERLINK("https://staging-dtl-pattern-api.hfm-weimar.de/static/audio/solos/dtl/AQANlImSJFGSRFHwHM0TyHjwHH0NSzm-_0.05.16.037551-0.05.32.050975.mp3", "link")</f>
        <v>link</v>
      </c>
      <c r="D1197" t="s">
        <v>5338</v>
      </c>
      <c r="E1197" t="s">
        <v>5339</v>
      </c>
      <c r="F1197" t="s">
        <v>2845</v>
      </c>
      <c r="J1197" t="s">
        <v>5340</v>
      </c>
      <c r="K1197" t="s">
        <v>5341</v>
      </c>
      <c r="L1197" s="1" t="s">
        <v>5342</v>
      </c>
      <c r="M1197" t="s">
        <v>5343</v>
      </c>
      <c r="N1197" t="s">
        <v>622</v>
      </c>
      <c r="O1197" s="1" t="s">
        <v>5350</v>
      </c>
      <c r="P1197" s="1" t="s">
        <v>5351</v>
      </c>
    </row>
    <row r="1198" spans="1:17" x14ac:dyDescent="0.25">
      <c r="A1198" t="s">
        <v>5352</v>
      </c>
      <c r="B1198" t="str">
        <f>HYPERLINK("https://staging-dtl-pattern-api.hfm-weimar.de/static/audio/solos/dtl/AQANlImSJFGSRFHwHM0TyHjwHH0NSzm-_0.05.41.098349-0.06.55.047755.mp3", "link")</f>
        <v>link</v>
      </c>
      <c r="D1198" t="s">
        <v>5338</v>
      </c>
      <c r="E1198" t="s">
        <v>5339</v>
      </c>
      <c r="F1198" t="s">
        <v>2845</v>
      </c>
      <c r="J1198" t="s">
        <v>5340</v>
      </c>
      <c r="K1198" t="s">
        <v>5341</v>
      </c>
      <c r="L1198" s="1" t="s">
        <v>5342</v>
      </c>
      <c r="M1198" t="s">
        <v>5343</v>
      </c>
      <c r="N1198" t="s">
        <v>622</v>
      </c>
      <c r="O1198" s="1" t="s">
        <v>5353</v>
      </c>
      <c r="P1198" s="1" t="s">
        <v>5354</v>
      </c>
    </row>
    <row r="1199" spans="1:17" x14ac:dyDescent="0.25">
      <c r="A1199" t="s">
        <v>5355</v>
      </c>
      <c r="B1199" t="str">
        <f>HYPERLINK("https://staging-dtl-pattern-api.hfm-weimar.de/static/audio/solos/dtl/AQANLlKWJEkYcXj6AjDa7cOPYF2CGgRw_0.03.24.066938-0.04.30.010612.mp3", "link")</f>
        <v>link</v>
      </c>
      <c r="D1199" t="s">
        <v>4438</v>
      </c>
      <c r="E1199" t="s">
        <v>4154</v>
      </c>
      <c r="F1199" t="s">
        <v>364</v>
      </c>
      <c r="G1199" t="s">
        <v>364</v>
      </c>
      <c r="J1199" t="s">
        <v>4439</v>
      </c>
      <c r="K1199" t="s">
        <v>5356</v>
      </c>
      <c r="L1199" s="1" t="s">
        <v>4441</v>
      </c>
      <c r="M1199" t="s">
        <v>129</v>
      </c>
      <c r="N1199" t="s">
        <v>23</v>
      </c>
      <c r="O1199" s="1" t="s">
        <v>5357</v>
      </c>
      <c r="P1199" s="1" t="s">
        <v>5358</v>
      </c>
    </row>
    <row r="1200" spans="1:17" x14ac:dyDescent="0.25">
      <c r="A1200" t="s">
        <v>5359</v>
      </c>
      <c r="B1200" t="str">
        <f>HYPERLINK("https://staging-dtl-pattern-api.hfm-weimar.de/static/audio/solos/dtl/AQANMFoYRZl01CKGB-yxB3qSHJ4oBz-e_0.01.55.020000-0.03.17.009387.mp3", "link")</f>
        <v>link</v>
      </c>
      <c r="D1200" t="s">
        <v>5360</v>
      </c>
      <c r="E1200" t="s">
        <v>5361</v>
      </c>
      <c r="F1200" t="s">
        <v>5362</v>
      </c>
      <c r="G1200" t="s">
        <v>5362</v>
      </c>
      <c r="J1200" t="s">
        <v>5363</v>
      </c>
      <c r="K1200" t="s">
        <v>5364</v>
      </c>
      <c r="L1200" s="1" t="s">
        <v>5365</v>
      </c>
      <c r="M1200" t="s">
        <v>5366</v>
      </c>
      <c r="N1200" t="s">
        <v>23</v>
      </c>
      <c r="O1200" s="1" t="s">
        <v>5367</v>
      </c>
      <c r="P1200" s="1" t="s">
        <v>5368</v>
      </c>
    </row>
    <row r="1201" spans="1:17" x14ac:dyDescent="0.25">
      <c r="A1201" t="s">
        <v>5369</v>
      </c>
      <c r="B1201" t="str">
        <f>HYPERLINK("https://staging-dtl-pattern-api.hfm-weimar.de/static/audio/solos/dtl/AQANncsiLZKUCX9wH_h5hE-UKUgWVRFx_0.00.37.052344-0.03.50.071346.mp3", "link")</f>
        <v>link</v>
      </c>
      <c r="D1201" t="s">
        <v>5370</v>
      </c>
      <c r="E1201" t="s">
        <v>2833</v>
      </c>
      <c r="F1201" t="s">
        <v>2833</v>
      </c>
      <c r="G1201" t="s">
        <v>2833</v>
      </c>
      <c r="J1201" t="s">
        <v>5371</v>
      </c>
      <c r="K1201" t="s">
        <v>5372</v>
      </c>
      <c r="L1201" s="1" t="s">
        <v>5373</v>
      </c>
      <c r="M1201" t="s">
        <v>129</v>
      </c>
      <c r="N1201" t="s">
        <v>202</v>
      </c>
      <c r="O1201" s="1" t="s">
        <v>5374</v>
      </c>
      <c r="P1201" s="1" t="s">
        <v>5375</v>
      </c>
      <c r="Q1201" s="1" t="s">
        <v>7314</v>
      </c>
    </row>
    <row r="1202" spans="1:17" x14ac:dyDescent="0.25">
      <c r="A1202" t="s">
        <v>5376</v>
      </c>
      <c r="B1202" t="str">
        <f>HYPERLINK("https://staging-dtl-pattern-api.hfm-weimar.de/static/audio/solos/dtl/AQANPF8SRUk0BR-aq0j2RIilK8OTJA_x_0.04.05.015918-0.05.19.034693.mp3", "link")</f>
        <v>link</v>
      </c>
      <c r="D1202" t="s">
        <v>3110</v>
      </c>
      <c r="E1202" t="s">
        <v>2820</v>
      </c>
      <c r="F1202" t="s">
        <v>2820</v>
      </c>
      <c r="J1202" t="s">
        <v>3111</v>
      </c>
      <c r="K1202" t="s">
        <v>5377</v>
      </c>
      <c r="L1202" s="1" t="s">
        <v>3113</v>
      </c>
      <c r="M1202" t="s">
        <v>129</v>
      </c>
      <c r="N1202" t="s">
        <v>23</v>
      </c>
      <c r="O1202" s="1" t="s">
        <v>5378</v>
      </c>
      <c r="P1202" s="1" t="s">
        <v>5379</v>
      </c>
    </row>
    <row r="1203" spans="1:17" x14ac:dyDescent="0.25">
      <c r="A1203" t="s">
        <v>5380</v>
      </c>
      <c r="B1203" t="str">
        <f>HYPERLINK("https://staging-dtl-pattern-api.hfm-weimar.de/static/audio/solos/dtl/AQANqDnFRNmEPOEQSvuRLOOHfXiOH3cV_0.01.12.072489-0.02.24.061387.mp3", "link")</f>
        <v>link</v>
      </c>
      <c r="D1203" t="s">
        <v>5381</v>
      </c>
      <c r="E1203" t="s">
        <v>1517</v>
      </c>
      <c r="F1203" t="s">
        <v>5382</v>
      </c>
      <c r="G1203" t="s">
        <v>1517</v>
      </c>
      <c r="H1203" t="s">
        <v>5383</v>
      </c>
      <c r="I1203">
        <v>63</v>
      </c>
      <c r="J1203" t="s">
        <v>141</v>
      </c>
      <c r="K1203" t="s">
        <v>5384</v>
      </c>
      <c r="L1203" s="1" t="s">
        <v>5385</v>
      </c>
      <c r="M1203" t="s">
        <v>309</v>
      </c>
      <c r="N1203" t="s">
        <v>23</v>
      </c>
      <c r="O1203" s="1" t="s">
        <v>1575</v>
      </c>
      <c r="P1203" s="1" t="s">
        <v>5386</v>
      </c>
    </row>
    <row r="1204" spans="1:17" x14ac:dyDescent="0.25">
      <c r="A1204" t="s">
        <v>5387</v>
      </c>
      <c r="B1204" t="str">
        <f>HYPERLINK("https://staging-dtl-pattern-api.hfm-weimar.de/static/audio/solos/dtl/AQANqDnFRNmEPOEQSvuRLOOHfXiOH3cV_0.04.49.020453-0.06.20.038929.mp3", "link")</f>
        <v>link</v>
      </c>
      <c r="D1204" t="s">
        <v>5381</v>
      </c>
      <c r="E1204" t="s">
        <v>1517</v>
      </c>
      <c r="F1204" t="s">
        <v>5382</v>
      </c>
      <c r="G1204" t="s">
        <v>1517</v>
      </c>
      <c r="H1204" t="s">
        <v>5383</v>
      </c>
      <c r="I1204">
        <v>63</v>
      </c>
      <c r="J1204" t="s">
        <v>141</v>
      </c>
      <c r="K1204" t="s">
        <v>5384</v>
      </c>
      <c r="L1204" s="1" t="s">
        <v>5385</v>
      </c>
      <c r="M1204" t="s">
        <v>309</v>
      </c>
      <c r="N1204" t="s">
        <v>23</v>
      </c>
      <c r="O1204" s="1" t="s">
        <v>5388</v>
      </c>
      <c r="P1204" s="1" t="s">
        <v>5389</v>
      </c>
    </row>
    <row r="1205" spans="1:17" x14ac:dyDescent="0.25">
      <c r="A1205" t="s">
        <v>5390</v>
      </c>
      <c r="B1205" t="str">
        <f>HYPERLINK("https://staging-dtl-pattern-api.hfm-weimar.de/static/audio/solos/dtl/AQANqEmSJMmUKJKEZ0S4OzjR9AhP9GGx_0.03.17.061632-0.03.50.092244.mp3", "link")</f>
        <v>link</v>
      </c>
      <c r="D1205" t="s">
        <v>5391</v>
      </c>
      <c r="E1205" t="s">
        <v>5392</v>
      </c>
      <c r="F1205" t="s">
        <v>5393</v>
      </c>
      <c r="G1205" t="s">
        <v>5393</v>
      </c>
      <c r="J1205" t="s">
        <v>5394</v>
      </c>
      <c r="K1205" t="s">
        <v>5395</v>
      </c>
      <c r="L1205" s="1" t="s">
        <v>5396</v>
      </c>
      <c r="M1205" t="s">
        <v>3396</v>
      </c>
      <c r="N1205" t="s">
        <v>449</v>
      </c>
      <c r="O1205" s="1" t="s">
        <v>5397</v>
      </c>
      <c r="P1205" s="1" t="s">
        <v>5398</v>
      </c>
    </row>
    <row r="1206" spans="1:17" x14ac:dyDescent="0.25">
      <c r="A1206" t="s">
        <v>5399</v>
      </c>
      <c r="B1206" t="str">
        <f>HYPERLINK("https://staging-dtl-pattern-api.hfm-weimar.de/static/audio/solos/dtl/AQANqInG5NIEbyrxBX-C4_QF1D1wHL6D_0.01.03.087809-0.03.07.082621.mp3", "link")</f>
        <v>link</v>
      </c>
      <c r="D1206" t="s">
        <v>5400</v>
      </c>
      <c r="E1206" t="s">
        <v>2795</v>
      </c>
      <c r="F1206" t="s">
        <v>2795</v>
      </c>
      <c r="G1206" t="s">
        <v>2795</v>
      </c>
      <c r="H1206" t="s">
        <v>5401</v>
      </c>
      <c r="I1206">
        <v>64</v>
      </c>
      <c r="J1206" t="s">
        <v>141</v>
      </c>
      <c r="K1206" t="s">
        <v>5402</v>
      </c>
      <c r="L1206" s="1" t="s">
        <v>5403</v>
      </c>
      <c r="M1206" t="s">
        <v>309</v>
      </c>
      <c r="N1206" t="s">
        <v>46</v>
      </c>
      <c r="O1206" s="1" t="s">
        <v>5404</v>
      </c>
      <c r="P1206" s="1" t="s">
        <v>5405</v>
      </c>
    </row>
    <row r="1207" spans="1:17" x14ac:dyDescent="0.25">
      <c r="A1207" t="s">
        <v>5406</v>
      </c>
      <c r="B1207" t="str">
        <f>HYPERLINK("https://staging-dtl-pattern-api.hfm-weimar.de/static/audio/solos/dtl/AQANqInG5NIEbyrxBX-C4_QF1D1wHL6D_0.03.07.082621-0.04.08.089469.mp3", "link")</f>
        <v>link</v>
      </c>
      <c r="D1207" t="s">
        <v>5400</v>
      </c>
      <c r="E1207" t="s">
        <v>1517</v>
      </c>
      <c r="F1207" t="s">
        <v>2795</v>
      </c>
      <c r="G1207" t="s">
        <v>2795</v>
      </c>
      <c r="H1207" t="s">
        <v>5401</v>
      </c>
      <c r="I1207">
        <v>64</v>
      </c>
      <c r="J1207" t="s">
        <v>141</v>
      </c>
      <c r="K1207" t="s">
        <v>5402</v>
      </c>
      <c r="L1207" s="1" t="s">
        <v>5403</v>
      </c>
      <c r="M1207" t="s">
        <v>309</v>
      </c>
      <c r="N1207" t="s">
        <v>23</v>
      </c>
      <c r="O1207" s="1" t="s">
        <v>5405</v>
      </c>
      <c r="P1207" s="1" t="s">
        <v>5407</v>
      </c>
    </row>
    <row r="1208" spans="1:17" x14ac:dyDescent="0.25">
      <c r="A1208" t="s">
        <v>5408</v>
      </c>
      <c r="B1208" t="str">
        <f>HYPERLINK("https://staging-dtl-pattern-api.hfm-weimar.de/static/audio/solos/dtl/AQAnQUwyJVKnJAgTJkmO5JTQR8nR8DuO_0.00.45.048789-0.03.35.038829.mp3", "link")</f>
        <v>link</v>
      </c>
      <c r="D1208" t="s">
        <v>7135</v>
      </c>
      <c r="E1208" t="s">
        <v>5409</v>
      </c>
      <c r="F1208" t="s">
        <v>5410</v>
      </c>
      <c r="G1208" t="s">
        <v>3903</v>
      </c>
      <c r="H1208" t="s">
        <v>3905</v>
      </c>
      <c r="I1208">
        <v>81</v>
      </c>
      <c r="J1208" t="s">
        <v>616</v>
      </c>
      <c r="K1208" t="s">
        <v>5411</v>
      </c>
      <c r="L1208" s="1" t="s">
        <v>5412</v>
      </c>
      <c r="M1208" t="s">
        <v>3583</v>
      </c>
      <c r="N1208" t="s">
        <v>172</v>
      </c>
      <c r="O1208" s="1" t="s">
        <v>5413</v>
      </c>
      <c r="P1208" s="1" t="s">
        <v>5414</v>
      </c>
    </row>
    <row r="1209" spans="1:17" x14ac:dyDescent="0.25">
      <c r="A1209" t="s">
        <v>5415</v>
      </c>
      <c r="B1209" t="str">
        <f>HYPERLINK("https://staging-dtl-pattern-api.hfm-weimar.de/static/audio/solos/dtl/AQAnQUwyJVKnJAgTJkmO5JTQR8nR8DuO_0.03.35.038829-0.06.49.078575.mp3", "link")</f>
        <v>link</v>
      </c>
      <c r="D1209" t="s">
        <v>7135</v>
      </c>
      <c r="E1209" t="s">
        <v>3903</v>
      </c>
      <c r="F1209" t="s">
        <v>5410</v>
      </c>
      <c r="G1209" t="s">
        <v>3903</v>
      </c>
      <c r="H1209" t="s">
        <v>3905</v>
      </c>
      <c r="I1209">
        <v>81</v>
      </c>
      <c r="J1209" t="s">
        <v>616</v>
      </c>
      <c r="K1209" t="s">
        <v>5411</v>
      </c>
      <c r="L1209" s="1" t="s">
        <v>5412</v>
      </c>
      <c r="M1209" t="s">
        <v>3583</v>
      </c>
      <c r="N1209" t="s">
        <v>23</v>
      </c>
      <c r="O1209" s="1" t="s">
        <v>5414</v>
      </c>
      <c r="P1209" s="1" t="s">
        <v>5416</v>
      </c>
      <c r="Q1209" s="1" t="s">
        <v>7224</v>
      </c>
    </row>
    <row r="1210" spans="1:17" x14ac:dyDescent="0.25">
      <c r="A1210" t="s">
        <v>5417</v>
      </c>
      <c r="B1210" t="str">
        <f>HYPERLINK("https://staging-dtl-pattern-api.hfm-weimar.de/static/audio/solos/dtl/AQAnQUwyJVKnJAgTJkmO5JTQR8nR8DuO_0.06.49.078575-0.09.20.027428.mp3", "link")</f>
        <v>link</v>
      </c>
      <c r="D1210" t="s">
        <v>7135</v>
      </c>
      <c r="E1210" t="s">
        <v>5418</v>
      </c>
      <c r="F1210" t="s">
        <v>5410</v>
      </c>
      <c r="G1210" t="s">
        <v>3903</v>
      </c>
      <c r="H1210" t="s">
        <v>3905</v>
      </c>
      <c r="I1210">
        <v>81</v>
      </c>
      <c r="J1210" t="s">
        <v>616</v>
      </c>
      <c r="K1210" t="s">
        <v>5411</v>
      </c>
      <c r="L1210" s="1" t="s">
        <v>5412</v>
      </c>
      <c r="M1210" t="s">
        <v>3583</v>
      </c>
      <c r="N1210" t="s">
        <v>46</v>
      </c>
      <c r="O1210" s="1" t="s">
        <v>5416</v>
      </c>
      <c r="P1210" s="1" t="s">
        <v>5419</v>
      </c>
    </row>
    <row r="1211" spans="1:17" x14ac:dyDescent="0.25">
      <c r="A1211" t="s">
        <v>5420</v>
      </c>
      <c r="B1211" t="str">
        <f>HYPERLINK("https://staging-dtl-pattern-api.hfm-weimar.de/static/audio/solos/dtl/AQAnQUwyJVKnJAgTJkmO5JTQR8nR8DuO_0.09.20.027428-0.10.32.044190.mp3", "link")</f>
        <v>link</v>
      </c>
      <c r="D1211" t="s">
        <v>7135</v>
      </c>
      <c r="E1211" t="s">
        <v>5409</v>
      </c>
      <c r="F1211" t="s">
        <v>5410</v>
      </c>
      <c r="G1211" t="s">
        <v>3903</v>
      </c>
      <c r="H1211" t="s">
        <v>3905</v>
      </c>
      <c r="I1211">
        <v>81</v>
      </c>
      <c r="J1211" t="s">
        <v>616</v>
      </c>
      <c r="K1211" t="s">
        <v>5411</v>
      </c>
      <c r="L1211" s="1" t="s">
        <v>5412</v>
      </c>
      <c r="M1211" t="s">
        <v>3583</v>
      </c>
      <c r="N1211" t="s">
        <v>172</v>
      </c>
      <c r="O1211" s="1" t="s">
        <v>5419</v>
      </c>
      <c r="P1211" s="1" t="s">
        <v>5421</v>
      </c>
    </row>
    <row r="1212" spans="1:17" x14ac:dyDescent="0.25">
      <c r="A1212" t="s">
        <v>5422</v>
      </c>
      <c r="B1212" t="str">
        <f>HYPERLINK("https://staging-dtl-pattern-api.hfm-weimar.de/static/audio/solos/dtl/AQAnQUwyJVKnJAgTJkmO5JTQR8nR8DuO_0.10.32.044190-0.12.30.067791.mp3", "link")</f>
        <v>link</v>
      </c>
      <c r="D1212" t="s">
        <v>7135</v>
      </c>
      <c r="E1212" t="s">
        <v>3903</v>
      </c>
      <c r="F1212" t="s">
        <v>5410</v>
      </c>
      <c r="G1212" t="s">
        <v>3903</v>
      </c>
      <c r="H1212" t="s">
        <v>3905</v>
      </c>
      <c r="I1212">
        <v>81</v>
      </c>
      <c r="J1212" t="s">
        <v>616</v>
      </c>
      <c r="K1212" t="s">
        <v>5411</v>
      </c>
      <c r="L1212" s="1" t="s">
        <v>5412</v>
      </c>
      <c r="M1212" t="s">
        <v>3583</v>
      </c>
      <c r="N1212" t="s">
        <v>202</v>
      </c>
      <c r="O1212" s="1" t="s">
        <v>5421</v>
      </c>
      <c r="P1212" s="1" t="s">
        <v>5423</v>
      </c>
    </row>
    <row r="1213" spans="1:17" x14ac:dyDescent="0.25">
      <c r="A1213" t="s">
        <v>5424</v>
      </c>
      <c r="B1213" t="str">
        <f>HYPERLINK("https://staging-dtl-pattern-api.hfm-weimar.de/static/audio/solos/dtl/AQANR0zCLJmYDE3SLMePH79Q-kFCckfI_0.01.45.013995-0.03.36.040997.mp3", "link")</f>
        <v>link</v>
      </c>
      <c r="D1213" t="s">
        <v>5425</v>
      </c>
      <c r="F1213" t="s">
        <v>5426</v>
      </c>
      <c r="G1213" t="s">
        <v>5426</v>
      </c>
      <c r="J1213" t="s">
        <v>5427</v>
      </c>
      <c r="K1213" t="s">
        <v>5428</v>
      </c>
      <c r="L1213" s="1" t="s">
        <v>5429</v>
      </c>
      <c r="M1213" t="s">
        <v>5430</v>
      </c>
      <c r="N1213" t="s">
        <v>288</v>
      </c>
      <c r="O1213" s="1" t="s">
        <v>5431</v>
      </c>
      <c r="P1213" s="1" t="s">
        <v>5432</v>
      </c>
    </row>
    <row r="1214" spans="1:17" x14ac:dyDescent="0.25">
      <c r="A1214" t="s">
        <v>5433</v>
      </c>
      <c r="B1214" t="str">
        <f>HYPERLINK("https://staging-dtl-pattern-api.hfm-weimar.de/static/audio/solos/dtl/AQANRn-EXPyQ7HxwGf1wYfyGBzX-wz-S_0.03.29.047780-0.03.52.024752.mp3", "link")</f>
        <v>link</v>
      </c>
      <c r="D1214" t="s">
        <v>5434</v>
      </c>
      <c r="E1214" t="s">
        <v>3469</v>
      </c>
      <c r="F1214" t="s">
        <v>3470</v>
      </c>
      <c r="J1214" t="s">
        <v>3471</v>
      </c>
      <c r="K1214" t="s">
        <v>5435</v>
      </c>
      <c r="L1214" s="1" t="s">
        <v>3473</v>
      </c>
      <c r="M1214" t="s">
        <v>2824</v>
      </c>
      <c r="N1214" t="s">
        <v>23</v>
      </c>
      <c r="O1214" s="1" t="s">
        <v>5436</v>
      </c>
      <c r="P1214" s="1" t="s">
        <v>5437</v>
      </c>
    </row>
    <row r="1215" spans="1:17" x14ac:dyDescent="0.25">
      <c r="A1215" t="s">
        <v>5438</v>
      </c>
      <c r="B1215" t="str">
        <f>HYPERLINK("https://staging-dtl-pattern-api.hfm-weimar.de/static/audio/solos/dtl/AQANRn-EXPyQ7HxwGf1wYfyGBzX-wz-S_0.04.14.034972-0.05.06.047510.mp3", "link")</f>
        <v>link</v>
      </c>
      <c r="D1215" t="s">
        <v>5434</v>
      </c>
      <c r="E1215" t="s">
        <v>3469</v>
      </c>
      <c r="F1215" t="s">
        <v>3470</v>
      </c>
      <c r="J1215" t="s">
        <v>3471</v>
      </c>
      <c r="K1215" t="s">
        <v>5435</v>
      </c>
      <c r="L1215" s="1" t="s">
        <v>3473</v>
      </c>
      <c r="M1215" t="s">
        <v>2824</v>
      </c>
      <c r="N1215" t="s">
        <v>23</v>
      </c>
      <c r="O1215" s="1" t="s">
        <v>5439</v>
      </c>
      <c r="P1215" s="1" t="s">
        <v>5440</v>
      </c>
    </row>
    <row r="1216" spans="1:17" x14ac:dyDescent="0.25">
      <c r="A1216" t="s">
        <v>5441</v>
      </c>
      <c r="B1216" t="str">
        <f>HYPERLINK("https://staging-dtl-pattern-api.hfm-weimar.de/static/audio/solos/dtl/AQANRomSKJqmJBHxH-9xbMcPAz8-fPAJ_0.03.38.077551-0.04.32.097959.mp3", "link")</f>
        <v>link</v>
      </c>
      <c r="C1216" t="s">
        <v>5442</v>
      </c>
      <c r="D1216" t="s">
        <v>5443</v>
      </c>
      <c r="F1216" t="s">
        <v>5444</v>
      </c>
      <c r="G1216" t="s">
        <v>5444</v>
      </c>
      <c r="J1216" t="s">
        <v>5445</v>
      </c>
      <c r="K1216" t="s">
        <v>5446</v>
      </c>
      <c r="L1216" s="1" t="s">
        <v>5447</v>
      </c>
      <c r="M1216" t="s">
        <v>58</v>
      </c>
      <c r="N1216" t="s">
        <v>172</v>
      </c>
      <c r="O1216" s="1" t="s">
        <v>5448</v>
      </c>
      <c r="P1216" s="1" t="s">
        <v>5449</v>
      </c>
    </row>
    <row r="1217" spans="1:17" x14ac:dyDescent="0.25">
      <c r="A1217" t="s">
        <v>5450</v>
      </c>
      <c r="B1217" t="str">
        <f>HYPERLINK("https://staging-dtl-pattern-api.hfm-weimar.de/static/audio/solos/dtl/AQANS0lSSRGTUNB5NA-NozKPTh3847vw_0.03.00.024489-0.03.59.015102.mp3", "link")</f>
        <v>link</v>
      </c>
      <c r="D1217" t="s">
        <v>5451</v>
      </c>
      <c r="E1217" t="s">
        <v>2958</v>
      </c>
      <c r="F1217" t="s">
        <v>2958</v>
      </c>
      <c r="G1217" t="s">
        <v>2958</v>
      </c>
      <c r="J1217" t="s">
        <v>4188</v>
      </c>
      <c r="K1217" t="s">
        <v>5452</v>
      </c>
      <c r="L1217" s="1" t="s">
        <v>4190</v>
      </c>
      <c r="M1217" t="s">
        <v>182</v>
      </c>
      <c r="N1217" t="s">
        <v>3348</v>
      </c>
      <c r="O1217" s="1" t="s">
        <v>5453</v>
      </c>
      <c r="P1217" s="1" t="s">
        <v>5454</v>
      </c>
      <c r="Q1217" s="1" t="s">
        <v>7285</v>
      </c>
    </row>
    <row r="1218" spans="1:17" x14ac:dyDescent="0.25">
      <c r="A1218" t="s">
        <v>5455</v>
      </c>
      <c r="B1218" t="str">
        <f>HYPERLINK("https://staging-dtl-pattern-api.hfm-weimar.de/static/audio/solos/dtl/AQANT5q0KEoaBv3xJTx29CmaI0EeNKfB_0.00.53.049877-0.02.22.010612.mp3", "link")</f>
        <v>link</v>
      </c>
      <c r="D1218" t="s">
        <v>1054</v>
      </c>
      <c r="E1218" t="s">
        <v>1055</v>
      </c>
      <c r="F1218" t="s">
        <v>1055</v>
      </c>
      <c r="G1218" t="s">
        <v>1055</v>
      </c>
      <c r="J1218" t="s">
        <v>1056</v>
      </c>
      <c r="K1218" t="s">
        <v>5456</v>
      </c>
      <c r="L1218" s="1" t="s">
        <v>1058</v>
      </c>
      <c r="M1218" t="s">
        <v>1059</v>
      </c>
      <c r="N1218" t="s">
        <v>202</v>
      </c>
      <c r="O1218" s="1" t="s">
        <v>5457</v>
      </c>
      <c r="P1218" s="1" t="s">
        <v>5458</v>
      </c>
    </row>
    <row r="1219" spans="1:17" x14ac:dyDescent="0.25">
      <c r="A1219" t="s">
        <v>5459</v>
      </c>
      <c r="B1219" t="str">
        <f>HYPERLINK("https://staging-dtl-pattern-api.hfm-weimar.de/static/audio/solos/dtl/AQANtUySLEw4on-QOOGH_MEROtFuaNlP_0.01.48.001632-0.02.42.087346.mp3", "link")</f>
        <v>link</v>
      </c>
      <c r="D1219" t="s">
        <v>7137</v>
      </c>
      <c r="E1219" t="s">
        <v>1954</v>
      </c>
      <c r="F1219" t="s">
        <v>54</v>
      </c>
      <c r="G1219" t="s">
        <v>54</v>
      </c>
      <c r="J1219" t="s">
        <v>702</v>
      </c>
      <c r="K1219" t="s">
        <v>5460</v>
      </c>
      <c r="L1219" s="1" t="s">
        <v>5461</v>
      </c>
      <c r="M1219" t="s">
        <v>705</v>
      </c>
      <c r="N1219" t="s">
        <v>202</v>
      </c>
      <c r="O1219" s="1" t="s">
        <v>5462</v>
      </c>
      <c r="P1219" s="1" t="s">
        <v>5463</v>
      </c>
      <c r="Q1219" s="1" t="s">
        <v>7321</v>
      </c>
    </row>
    <row r="1220" spans="1:17" x14ac:dyDescent="0.25">
      <c r="A1220" t="s">
        <v>5464</v>
      </c>
      <c r="B1220" t="str">
        <f>HYPERLINK("https://staging-dtl-pattern-api.hfm-weimar.de/static/audio/solos/dtl/AQANtUySLEw4on-QOOGH_MEROtFuaNlP_0.02.42.087346-0.04.29.019183.mp3", "link")</f>
        <v>link</v>
      </c>
      <c r="D1220" t="s">
        <v>7136</v>
      </c>
      <c r="E1220" t="s">
        <v>54</v>
      </c>
      <c r="F1220" t="s">
        <v>54</v>
      </c>
      <c r="G1220" t="s">
        <v>54</v>
      </c>
      <c r="J1220" t="s">
        <v>702</v>
      </c>
      <c r="K1220" t="s">
        <v>5460</v>
      </c>
      <c r="L1220" s="1" t="s">
        <v>5461</v>
      </c>
      <c r="M1220" t="s">
        <v>705</v>
      </c>
      <c r="N1220" t="s">
        <v>46</v>
      </c>
      <c r="O1220" s="1" t="s">
        <v>5463</v>
      </c>
      <c r="P1220" s="1" t="s">
        <v>5465</v>
      </c>
      <c r="Q1220" s="1" t="s">
        <v>7322</v>
      </c>
    </row>
    <row r="1221" spans="1:17" x14ac:dyDescent="0.25">
      <c r="A1221" t="s">
        <v>5466</v>
      </c>
      <c r="B1221" t="str">
        <f>HYPERLINK("https://staging-dtl-pattern-api.hfm-weimar.de/static/audio/solos/dtl/AQANU8oSqYqq4MTzID_Ey8j14JIiXK2C_0.01.45.088299-0.03.26.037895.mp3", "link")</f>
        <v>link</v>
      </c>
      <c r="D1221" t="s">
        <v>5467</v>
      </c>
      <c r="E1221" t="s">
        <v>5468</v>
      </c>
      <c r="F1221" t="s">
        <v>5468</v>
      </c>
      <c r="G1221" t="s">
        <v>5468</v>
      </c>
      <c r="J1221" t="s">
        <v>5469</v>
      </c>
      <c r="K1221" t="s">
        <v>5470</v>
      </c>
      <c r="L1221" s="1" t="s">
        <v>5471</v>
      </c>
      <c r="M1221" t="s">
        <v>129</v>
      </c>
      <c r="N1221" t="s">
        <v>46</v>
      </c>
      <c r="O1221" s="1" t="s">
        <v>5072</v>
      </c>
      <c r="P1221" s="1" t="s">
        <v>5472</v>
      </c>
    </row>
    <row r="1222" spans="1:17" x14ac:dyDescent="0.25">
      <c r="A1222" t="s">
        <v>5473</v>
      </c>
      <c r="B1222" t="str">
        <f>HYPERLINK("https://staging-dtl-pattern-api.hfm-weimar.de/static/audio/solos/dtl/AQANWFmSKxmTREGeFdOPBznD4xukPqhp_0.02.47.044489-0.03.53.027346.mp3", "link")</f>
        <v>link</v>
      </c>
      <c r="D1222" t="s">
        <v>7138</v>
      </c>
      <c r="E1222" t="s">
        <v>7132</v>
      </c>
      <c r="F1222" t="s">
        <v>2820</v>
      </c>
      <c r="J1222" t="s">
        <v>3111</v>
      </c>
      <c r="K1222" t="s">
        <v>5474</v>
      </c>
      <c r="L1222" s="1" t="s">
        <v>3113</v>
      </c>
      <c r="M1222" t="s">
        <v>129</v>
      </c>
      <c r="N1222" t="s">
        <v>172</v>
      </c>
      <c r="O1222" s="1" t="s">
        <v>5475</v>
      </c>
      <c r="P1222" s="1" t="s">
        <v>5476</v>
      </c>
      <c r="Q1222" s="1" t="s">
        <v>7311</v>
      </c>
    </row>
    <row r="1223" spans="1:17" x14ac:dyDescent="0.25">
      <c r="A1223" t="s">
        <v>5477</v>
      </c>
      <c r="B1223" t="str">
        <f>HYPERLINK("https://staging-dtl-pattern-api.hfm-weimar.de/static/audio/solos/dtl/AQANWFmSKxmTREGeFdOPBznD4xukPqhp_0.03.53.027346-0.04.21.074693.mp3", "link")</f>
        <v>link</v>
      </c>
      <c r="D1223" t="s">
        <v>7138</v>
      </c>
      <c r="E1223" t="s">
        <v>5058</v>
      </c>
      <c r="F1223" t="s">
        <v>2820</v>
      </c>
      <c r="J1223" t="s">
        <v>3111</v>
      </c>
      <c r="K1223" t="s">
        <v>5474</v>
      </c>
      <c r="L1223" s="1" t="s">
        <v>3113</v>
      </c>
      <c r="M1223" t="s">
        <v>129</v>
      </c>
      <c r="N1223" t="s">
        <v>46</v>
      </c>
      <c r="O1223" s="1" t="s">
        <v>5476</v>
      </c>
      <c r="P1223" s="1" t="s">
        <v>5478</v>
      </c>
    </row>
    <row r="1224" spans="1:17" x14ac:dyDescent="0.25">
      <c r="A1224" t="s">
        <v>5479</v>
      </c>
      <c r="B1224" t="str">
        <f>HYPERLINK("https://staging-dtl-pattern-api.hfm-weimar.de/static/audio/solos/dtl/AQANYtSZMcMlPErK4CmSSFkQKfGP58VT_0.01.07.089514-0.02.06.095510.mp3", "link")</f>
        <v>link</v>
      </c>
      <c r="D1224" t="s">
        <v>5480</v>
      </c>
      <c r="E1224" t="s">
        <v>5481</v>
      </c>
      <c r="F1224" t="s">
        <v>5482</v>
      </c>
      <c r="G1224" t="s">
        <v>5482</v>
      </c>
      <c r="J1224" t="s">
        <v>5483</v>
      </c>
      <c r="K1224" t="s">
        <v>5484</v>
      </c>
      <c r="L1224" s="1" t="s">
        <v>5485</v>
      </c>
      <c r="M1224" t="s">
        <v>2180</v>
      </c>
      <c r="N1224" t="s">
        <v>23</v>
      </c>
      <c r="O1224" s="1" t="s">
        <v>5486</v>
      </c>
      <c r="P1224" s="1" t="s">
        <v>5487</v>
      </c>
    </row>
    <row r="1225" spans="1:17" x14ac:dyDescent="0.25">
      <c r="A1225" t="s">
        <v>5488</v>
      </c>
      <c r="B1225" t="str">
        <f>HYPERLINK("https://staging-dtl-pattern-api.hfm-weimar.de/static/audio/solos/dtl/AQANYtSZMcMlPErK4CmSSFkQKfGP58VT_0.02.06.095510-0.03.03.015900.mp3", "link")</f>
        <v>link</v>
      </c>
      <c r="D1225" t="s">
        <v>5480</v>
      </c>
      <c r="E1225" t="s">
        <v>5489</v>
      </c>
      <c r="F1225" t="s">
        <v>5482</v>
      </c>
      <c r="G1225" t="s">
        <v>5482</v>
      </c>
      <c r="J1225" t="s">
        <v>5483</v>
      </c>
      <c r="K1225" t="s">
        <v>5484</v>
      </c>
      <c r="L1225" s="1" t="s">
        <v>5485</v>
      </c>
      <c r="M1225" t="s">
        <v>2180</v>
      </c>
      <c r="N1225" t="s">
        <v>46</v>
      </c>
      <c r="O1225" s="1" t="s">
        <v>5487</v>
      </c>
      <c r="P1225" s="1" t="s">
        <v>5490</v>
      </c>
    </row>
    <row r="1226" spans="1:17" x14ac:dyDescent="0.25">
      <c r="A1226" t="s">
        <v>5491</v>
      </c>
      <c r="B1226" t="str">
        <f>HYPERLINK("https://staging-dtl-pattern-api.hfm-weimar.de/static/audio/solos/dtl/AQANYtSZMcMlPErK4CmSSFkQKfGP58VT_0.05.19.021632-0.05.54.061224.mp3", "link")</f>
        <v>link</v>
      </c>
      <c r="D1226" t="s">
        <v>5480</v>
      </c>
      <c r="E1226" t="s">
        <v>5489</v>
      </c>
      <c r="F1226" t="s">
        <v>5482</v>
      </c>
      <c r="G1226" t="s">
        <v>5482</v>
      </c>
      <c r="J1226" t="s">
        <v>5483</v>
      </c>
      <c r="K1226" t="s">
        <v>5484</v>
      </c>
      <c r="L1226" s="1" t="s">
        <v>5485</v>
      </c>
      <c r="M1226" t="s">
        <v>2180</v>
      </c>
      <c r="N1226" t="s">
        <v>46</v>
      </c>
      <c r="O1226" s="1" t="s">
        <v>5492</v>
      </c>
      <c r="P1226" s="1" t="s">
        <v>5493</v>
      </c>
    </row>
    <row r="1227" spans="1:17" x14ac:dyDescent="0.25">
      <c r="A1227" t="s">
        <v>5494</v>
      </c>
      <c r="B1227" t="str">
        <f>HYPERLINK("https://staging-dtl-pattern-api.hfm-weimar.de/static/audio/solos/dtl/AQANYtSZMcMlPErK4CmSSFkQKfGP58VT_0.05.54.061224-0.06.38.023673.mp3", "link")</f>
        <v>link</v>
      </c>
      <c r="D1227" t="s">
        <v>5480</v>
      </c>
      <c r="E1227" t="s">
        <v>5481</v>
      </c>
      <c r="F1227" t="s">
        <v>5482</v>
      </c>
      <c r="G1227" t="s">
        <v>5482</v>
      </c>
      <c r="J1227" t="s">
        <v>5483</v>
      </c>
      <c r="K1227" t="s">
        <v>5484</v>
      </c>
      <c r="L1227" s="1" t="s">
        <v>5485</v>
      </c>
      <c r="M1227" t="s">
        <v>2180</v>
      </c>
      <c r="N1227" t="s">
        <v>23</v>
      </c>
      <c r="O1227" s="1" t="s">
        <v>5493</v>
      </c>
      <c r="P1227" s="1" t="s">
        <v>5495</v>
      </c>
    </row>
    <row r="1228" spans="1:17" x14ac:dyDescent="0.25">
      <c r="A1228" t="s">
        <v>5496</v>
      </c>
      <c r="B1228" t="str">
        <f>HYPERLINK("https://staging-dtl-pattern-api.hfm-weimar.de/static/audio/solos/dtl/AQANZkmUi6oUiE-EIn2wk8TVUQq6JM_g_0.00.49.078358-0.04.29.044435.mp3", "link")</f>
        <v>link</v>
      </c>
      <c r="D1228" t="s">
        <v>5042</v>
      </c>
      <c r="E1228" t="s">
        <v>5043</v>
      </c>
      <c r="F1228" t="s">
        <v>5043</v>
      </c>
      <c r="G1228" t="s">
        <v>5043</v>
      </c>
      <c r="J1228" t="s">
        <v>5044</v>
      </c>
      <c r="K1228" t="s">
        <v>5497</v>
      </c>
      <c r="L1228" s="1" t="s">
        <v>5046</v>
      </c>
      <c r="M1228" t="s">
        <v>5047</v>
      </c>
      <c r="N1228" t="s">
        <v>119</v>
      </c>
      <c r="O1228" s="1" t="s">
        <v>5498</v>
      </c>
      <c r="P1228" s="1" t="s">
        <v>5499</v>
      </c>
    </row>
    <row r="1229" spans="1:17" x14ac:dyDescent="0.25">
      <c r="A1229" t="s">
        <v>5500</v>
      </c>
      <c r="B1229" t="str">
        <f>HYPERLINK("https://staging-dtl-pattern-api.hfm-weimar.de/static/audio/solos/dtl/AQAO_0q26FSDI38Ofc1T8EN4pphyCj-P_0.01.28.032870-0.01.44.002539.mp3", "link")</f>
        <v>link</v>
      </c>
      <c r="D1229" t="s">
        <v>3790</v>
      </c>
      <c r="E1229" t="s">
        <v>3792</v>
      </c>
      <c r="F1229" t="s">
        <v>3792</v>
      </c>
      <c r="G1229" t="s">
        <v>3792</v>
      </c>
      <c r="J1229" t="s">
        <v>3793</v>
      </c>
      <c r="K1229" t="s">
        <v>5501</v>
      </c>
      <c r="L1229" s="1" t="s">
        <v>3795</v>
      </c>
      <c r="N1229" t="s">
        <v>202</v>
      </c>
      <c r="O1229" s="1" t="s">
        <v>5502</v>
      </c>
      <c r="P1229" s="1" t="s">
        <v>5503</v>
      </c>
      <c r="Q1229" s="1" t="s">
        <v>7323</v>
      </c>
    </row>
    <row r="1230" spans="1:17" x14ac:dyDescent="0.25">
      <c r="A1230" t="s">
        <v>5504</v>
      </c>
      <c r="B1230" t="str">
        <f>HYPERLINK("https://staging-dtl-pattern-api.hfm-weimar.de/static/audio/solos/dtl/AQAO_0q26FSDI38Ofc1T8EN4pphyCj-P_0.02.42.035392-0.04.14.086222.mp3", "link")</f>
        <v>link</v>
      </c>
      <c r="D1230" t="s">
        <v>3790</v>
      </c>
      <c r="E1230" t="s">
        <v>3791</v>
      </c>
      <c r="F1230" t="s">
        <v>3792</v>
      </c>
      <c r="G1230" t="s">
        <v>3792</v>
      </c>
      <c r="J1230" t="s">
        <v>3793</v>
      </c>
      <c r="K1230" t="s">
        <v>5501</v>
      </c>
      <c r="L1230" s="1" t="s">
        <v>3795</v>
      </c>
      <c r="N1230" t="s">
        <v>46</v>
      </c>
      <c r="O1230" s="1" t="s">
        <v>5505</v>
      </c>
      <c r="P1230" s="1" t="s">
        <v>5506</v>
      </c>
    </row>
    <row r="1231" spans="1:17" x14ac:dyDescent="0.25">
      <c r="A1231" t="s">
        <v>5507</v>
      </c>
      <c r="B1231" t="str">
        <f>HYPERLINK("https://staging-dtl-pattern-api.hfm-weimar.de/static/audio/solos/dtl/AQAO_0q26FSDI38Ofc1T8EN4pphyCj-P_0.05.32.040816-0.07.13.050204.mp3", "link")</f>
        <v>link</v>
      </c>
      <c r="D1231" t="s">
        <v>3790</v>
      </c>
      <c r="E1231" t="s">
        <v>3792</v>
      </c>
      <c r="F1231" t="s">
        <v>3792</v>
      </c>
      <c r="G1231" t="s">
        <v>3792</v>
      </c>
      <c r="J1231" t="s">
        <v>3793</v>
      </c>
      <c r="K1231" t="s">
        <v>5501</v>
      </c>
      <c r="L1231" s="1" t="s">
        <v>3795</v>
      </c>
      <c r="N1231" t="s">
        <v>202</v>
      </c>
      <c r="O1231" s="1" t="s">
        <v>5508</v>
      </c>
      <c r="P1231" s="1" t="s">
        <v>5509</v>
      </c>
    </row>
    <row r="1232" spans="1:17" x14ac:dyDescent="0.25">
      <c r="A1232" t="s">
        <v>5510</v>
      </c>
      <c r="B1232" t="str">
        <f>HYPERLINK("https://staging-dtl-pattern-api.hfm-weimar.de/static/audio/solos/dtl/AQAO_mIURaGSbPgetNuRLE6LPNVR62g-_0.01.38.048163-0.03.48.070204.mp3", "link")</f>
        <v>link</v>
      </c>
      <c r="D1232" t="s">
        <v>5511</v>
      </c>
      <c r="E1232" t="s">
        <v>5512</v>
      </c>
      <c r="F1232" t="s">
        <v>5512</v>
      </c>
      <c r="G1232" t="s">
        <v>5512</v>
      </c>
      <c r="J1232" t="s">
        <v>5513</v>
      </c>
      <c r="K1232" t="s">
        <v>5514</v>
      </c>
      <c r="L1232" s="1" t="s">
        <v>5515</v>
      </c>
      <c r="M1232" t="s">
        <v>5516</v>
      </c>
      <c r="N1232" t="s">
        <v>202</v>
      </c>
      <c r="O1232" s="1" t="s">
        <v>999</v>
      </c>
      <c r="P1232" s="1" t="s">
        <v>5517</v>
      </c>
      <c r="Q1232" s="1" t="s">
        <v>7324</v>
      </c>
    </row>
    <row r="1233" spans="1:17" x14ac:dyDescent="0.25">
      <c r="A1233" t="s">
        <v>5518</v>
      </c>
      <c r="B1233" t="str">
        <f>HYPERLINK("https://staging-dtl-pattern-api.hfm-weimar.de/static/audio/solos/dtl/AQAO6EnXqJGQB77xLKWCh8fhI7-hM8gn_0.01.04.034249-0.03.55.049678.mp3", "link")</f>
        <v>link</v>
      </c>
      <c r="D1233" t="s">
        <v>5519</v>
      </c>
      <c r="E1233" t="s">
        <v>287</v>
      </c>
      <c r="F1233" t="s">
        <v>4473</v>
      </c>
      <c r="H1233" t="s">
        <v>5520</v>
      </c>
      <c r="I1233">
        <v>13</v>
      </c>
      <c r="J1233" t="s">
        <v>616</v>
      </c>
      <c r="K1233" t="s">
        <v>5521</v>
      </c>
      <c r="L1233" s="1" t="s">
        <v>5522</v>
      </c>
      <c r="M1233" t="s">
        <v>3583</v>
      </c>
      <c r="N1233" t="s">
        <v>288</v>
      </c>
      <c r="O1233" s="1" t="s">
        <v>5523</v>
      </c>
      <c r="P1233" s="1" t="s">
        <v>5524</v>
      </c>
    </row>
    <row r="1234" spans="1:17" x14ac:dyDescent="0.25">
      <c r="A1234" t="s">
        <v>5525</v>
      </c>
      <c r="B1234" t="str">
        <f>HYPERLINK("https://staging-dtl-pattern-api.hfm-weimar.de/static/audio/solos/dtl/AQAO6ImSSkk-oT9iZ8aPHv_h6jh-I__x_0.02.44.096326-0.03.48.085587.mp3", "link")</f>
        <v>link</v>
      </c>
      <c r="D1234" t="s">
        <v>5526</v>
      </c>
      <c r="E1234" t="s">
        <v>3469</v>
      </c>
      <c r="F1234" t="s">
        <v>3469</v>
      </c>
      <c r="G1234" t="s">
        <v>3469</v>
      </c>
      <c r="J1234" t="s">
        <v>5527</v>
      </c>
      <c r="K1234" t="s">
        <v>5528</v>
      </c>
      <c r="L1234" s="1" t="s">
        <v>5529</v>
      </c>
      <c r="M1234" t="s">
        <v>129</v>
      </c>
      <c r="N1234" t="s">
        <v>23</v>
      </c>
      <c r="O1234" s="1" t="s">
        <v>5530</v>
      </c>
      <c r="P1234" s="1" t="s">
        <v>5531</v>
      </c>
    </row>
    <row r="1235" spans="1:17" x14ac:dyDescent="0.25">
      <c r="A1235" t="s">
        <v>5532</v>
      </c>
      <c r="B1235" t="str">
        <f>HYPERLINK("https://staging-dtl-pattern-api.hfm-weimar.de/static/audio/solos/dtl/AQAO6ImSSkk-oT9iZ8aPHv_h6jh-I__x_0.04.47.004507-0.04.55.096734.mp3", "link")</f>
        <v>link</v>
      </c>
      <c r="D1235" t="s">
        <v>5526</v>
      </c>
      <c r="E1235" t="s">
        <v>3469</v>
      </c>
      <c r="F1235" t="s">
        <v>3469</v>
      </c>
      <c r="G1235" t="s">
        <v>3469</v>
      </c>
      <c r="J1235" t="s">
        <v>5527</v>
      </c>
      <c r="K1235" t="s">
        <v>5528</v>
      </c>
      <c r="L1235" s="1" t="s">
        <v>5529</v>
      </c>
      <c r="M1235" t="s">
        <v>129</v>
      </c>
      <c r="N1235" t="s">
        <v>23</v>
      </c>
      <c r="O1235" s="1" t="s">
        <v>5533</v>
      </c>
      <c r="P1235" s="1" t="s">
        <v>5534</v>
      </c>
    </row>
    <row r="1236" spans="1:17" x14ac:dyDescent="0.25">
      <c r="A1236" t="s">
        <v>5535</v>
      </c>
      <c r="B1236" t="str">
        <f>HYPERLINK("https://staging-dtl-pattern-api.hfm-weimar.de/static/audio/solos/dtl/AQAO6ImSSkk-oT9iZ8aPHv_h6jh-I__x_0.05.05.011020-0.05.09.084489.mp3", "link")</f>
        <v>link</v>
      </c>
      <c r="D1236" t="s">
        <v>5526</v>
      </c>
      <c r="E1236" t="s">
        <v>3469</v>
      </c>
      <c r="F1236" t="s">
        <v>3469</v>
      </c>
      <c r="G1236" t="s">
        <v>3469</v>
      </c>
      <c r="J1236" t="s">
        <v>5527</v>
      </c>
      <c r="K1236" t="s">
        <v>5528</v>
      </c>
      <c r="L1236" s="1" t="s">
        <v>5529</v>
      </c>
      <c r="M1236" t="s">
        <v>129</v>
      </c>
      <c r="N1236" t="s">
        <v>23</v>
      </c>
      <c r="O1236" s="1" t="s">
        <v>5536</v>
      </c>
      <c r="P1236" s="1" t="s">
        <v>5537</v>
      </c>
    </row>
    <row r="1237" spans="1:17" x14ac:dyDescent="0.25">
      <c r="A1237" t="s">
        <v>5538</v>
      </c>
      <c r="B1237" t="str">
        <f>HYPERLINK("https://staging-dtl-pattern-api.hfm-weimar.de/static/audio/solos/dtl/AQAO6ImSSkk-oT9iZ8aPHv_h6jh-I__x_0.05.14.054693-0.05.19.060816.mp3", "link")</f>
        <v>link</v>
      </c>
      <c r="D1237" t="s">
        <v>5526</v>
      </c>
      <c r="E1237" t="s">
        <v>3469</v>
      </c>
      <c r="F1237" t="s">
        <v>3469</v>
      </c>
      <c r="G1237" t="s">
        <v>3469</v>
      </c>
      <c r="J1237" t="s">
        <v>5527</v>
      </c>
      <c r="K1237" t="s">
        <v>5528</v>
      </c>
      <c r="L1237" s="1" t="s">
        <v>5529</v>
      </c>
      <c r="M1237" t="s">
        <v>129</v>
      </c>
      <c r="N1237" t="s">
        <v>23</v>
      </c>
      <c r="O1237" s="1" t="s">
        <v>5539</v>
      </c>
      <c r="P1237" s="1" t="s">
        <v>5540</v>
      </c>
    </row>
    <row r="1238" spans="1:17" x14ac:dyDescent="0.25">
      <c r="A1238" t="s">
        <v>5541</v>
      </c>
      <c r="B1238" t="str">
        <f>HYPERLINK("https://staging-dtl-pattern-api.hfm-weimar.de/static/audio/solos/dtl/AQAO6ImSSkk-oT9iZ8aPHv_h6jh-I__x_0.05.24.021224-0.05.26.088979.mp3", "link")</f>
        <v>link</v>
      </c>
      <c r="D1238" t="s">
        <v>5526</v>
      </c>
      <c r="E1238" t="s">
        <v>3469</v>
      </c>
      <c r="F1238" t="s">
        <v>3469</v>
      </c>
      <c r="G1238" t="s">
        <v>3469</v>
      </c>
      <c r="J1238" t="s">
        <v>5527</v>
      </c>
      <c r="K1238" t="s">
        <v>5528</v>
      </c>
      <c r="L1238" s="1" t="s">
        <v>5529</v>
      </c>
      <c r="M1238" t="s">
        <v>129</v>
      </c>
      <c r="N1238" t="s">
        <v>23</v>
      </c>
      <c r="O1238" s="1" t="s">
        <v>5542</v>
      </c>
      <c r="P1238" s="1" t="s">
        <v>5543</v>
      </c>
    </row>
    <row r="1239" spans="1:17" x14ac:dyDescent="0.25">
      <c r="A1239" t="s">
        <v>5544</v>
      </c>
      <c r="B1239" t="str">
        <f>HYPERLINK("https://staging-dtl-pattern-api.hfm-weimar.de/static/audio/solos/dtl/AQAO6ImSSkk-oT9iZ8aPHv_h6jh-I__x_0.05.29.004489-0.05.31.055918.mp3", "link")</f>
        <v>link</v>
      </c>
      <c r="D1239" t="s">
        <v>5526</v>
      </c>
      <c r="E1239" t="s">
        <v>3469</v>
      </c>
      <c r="F1239" t="s">
        <v>3469</v>
      </c>
      <c r="G1239" t="s">
        <v>3469</v>
      </c>
      <c r="J1239" t="s">
        <v>5527</v>
      </c>
      <c r="K1239" t="s">
        <v>5528</v>
      </c>
      <c r="L1239" s="1" t="s">
        <v>5529</v>
      </c>
      <c r="M1239" t="s">
        <v>129</v>
      </c>
      <c r="N1239" t="s">
        <v>23</v>
      </c>
      <c r="O1239" s="1" t="s">
        <v>5545</v>
      </c>
      <c r="P1239" s="1" t="s">
        <v>5546</v>
      </c>
    </row>
    <row r="1240" spans="1:17" x14ac:dyDescent="0.25">
      <c r="A1240" t="s">
        <v>5547</v>
      </c>
      <c r="B1240" t="str">
        <f>HYPERLINK("https://staging-dtl-pattern-api.hfm-weimar.de/static/audio/solos/dtl/AQAO8ZlISoskKHT4IV9BSw_6a7iOw-dR_0.00.59.007156-0.02.31.020834.mp3", "link")</f>
        <v>link</v>
      </c>
      <c r="D1240" t="s">
        <v>3158</v>
      </c>
      <c r="E1240" t="s">
        <v>1055</v>
      </c>
      <c r="F1240" t="s">
        <v>1055</v>
      </c>
      <c r="G1240" t="s">
        <v>1055</v>
      </c>
      <c r="J1240" t="s">
        <v>1056</v>
      </c>
      <c r="K1240" t="s">
        <v>5548</v>
      </c>
      <c r="L1240" s="1" t="s">
        <v>3160</v>
      </c>
      <c r="M1240" t="s">
        <v>3161</v>
      </c>
      <c r="N1240" t="s">
        <v>202</v>
      </c>
      <c r="O1240" s="1" t="s">
        <v>5549</v>
      </c>
      <c r="P1240" s="1" t="s">
        <v>5550</v>
      </c>
      <c r="Q1240" s="1" t="s">
        <v>7209</v>
      </c>
    </row>
    <row r="1241" spans="1:17" x14ac:dyDescent="0.25">
      <c r="A1241" t="s">
        <v>5551</v>
      </c>
      <c r="B1241" t="str">
        <f>HYPERLINK("https://staging-dtl-pattern-api.hfm-weimar.de/static/audio/solos/dtl/AQAO8ZlISoskKHT4IV9BSw_6a7iOw-dR_0.05.29.060000-0.05.39.019999.mp3", "link")</f>
        <v>link</v>
      </c>
      <c r="D1241" t="s">
        <v>3158</v>
      </c>
      <c r="E1241" t="s">
        <v>1055</v>
      </c>
      <c r="F1241" t="s">
        <v>1055</v>
      </c>
      <c r="G1241" t="s">
        <v>1055</v>
      </c>
      <c r="J1241" t="s">
        <v>1056</v>
      </c>
      <c r="K1241" t="s">
        <v>5548</v>
      </c>
      <c r="L1241" s="1" t="s">
        <v>3160</v>
      </c>
      <c r="M1241" t="s">
        <v>3161</v>
      </c>
      <c r="N1241" t="s">
        <v>202</v>
      </c>
      <c r="O1241" s="1" t="s">
        <v>5552</v>
      </c>
      <c r="P1241" s="1" t="s">
        <v>5553</v>
      </c>
      <c r="Q1241" s="1" t="s">
        <v>7209</v>
      </c>
    </row>
    <row r="1242" spans="1:17" x14ac:dyDescent="0.25">
      <c r="A1242" t="s">
        <v>5554</v>
      </c>
      <c r="B1242" t="str">
        <f>HYPERLINK("https://staging-dtl-pattern-api.hfm-weimar.de/static/audio/solos/dtl/AQAO8ZlISoskKHT4IV9BSw_6a7iOw-dR_0.05.42.098775-0.05.49.077959.mp3", "link")</f>
        <v>link</v>
      </c>
      <c r="D1242" t="s">
        <v>3158</v>
      </c>
      <c r="E1242" t="s">
        <v>1055</v>
      </c>
      <c r="F1242" t="s">
        <v>1055</v>
      </c>
      <c r="G1242" t="s">
        <v>1055</v>
      </c>
      <c r="J1242" t="s">
        <v>1056</v>
      </c>
      <c r="K1242" t="s">
        <v>5548</v>
      </c>
      <c r="L1242" s="1" t="s">
        <v>3160</v>
      </c>
      <c r="M1242" t="s">
        <v>3161</v>
      </c>
      <c r="N1242" t="s">
        <v>202</v>
      </c>
      <c r="O1242" s="1" t="s">
        <v>5555</v>
      </c>
      <c r="P1242" s="1" t="s">
        <v>5556</v>
      </c>
      <c r="Q1242" s="1" t="s">
        <v>7209</v>
      </c>
    </row>
    <row r="1243" spans="1:17" x14ac:dyDescent="0.25">
      <c r="A1243" t="s">
        <v>5557</v>
      </c>
      <c r="B1243" t="str">
        <f>HYPERLINK("https://staging-dtl-pattern-api.hfm-weimar.de/static/audio/solos/dtl/AQAO8ZlISoskKHT4IV9BSw_6a7iOw-dR_0.05.54.041632-0.06.00.068571.mp3", "link")</f>
        <v>link</v>
      </c>
      <c r="D1243" t="s">
        <v>3158</v>
      </c>
      <c r="E1243" t="s">
        <v>1055</v>
      </c>
      <c r="F1243" t="s">
        <v>1055</v>
      </c>
      <c r="G1243" t="s">
        <v>1055</v>
      </c>
      <c r="J1243" t="s">
        <v>1056</v>
      </c>
      <c r="K1243" t="s">
        <v>5548</v>
      </c>
      <c r="L1243" s="1" t="s">
        <v>3160</v>
      </c>
      <c r="M1243" t="s">
        <v>3161</v>
      </c>
      <c r="N1243" t="s">
        <v>202</v>
      </c>
      <c r="O1243" s="1" t="s">
        <v>5558</v>
      </c>
      <c r="P1243" s="1" t="s">
        <v>5559</v>
      </c>
      <c r="Q1243" s="1" t="s">
        <v>7209</v>
      </c>
    </row>
    <row r="1244" spans="1:17" x14ac:dyDescent="0.25">
      <c r="A1244" t="s">
        <v>5560</v>
      </c>
      <c r="B1244" t="str">
        <f>HYPERLINK("https://staging-dtl-pattern-api.hfm-weimar.de/static/audio/solos/dtl/AQAO8ZlISoskKHT4IV9BSw_6a7iOw-dR_0.06.05.032244-0.06.12.044081.mp3", "link")</f>
        <v>link</v>
      </c>
      <c r="D1244" t="s">
        <v>3158</v>
      </c>
      <c r="E1244" t="s">
        <v>1055</v>
      </c>
      <c r="F1244" t="s">
        <v>1055</v>
      </c>
      <c r="G1244" t="s">
        <v>1055</v>
      </c>
      <c r="J1244" t="s">
        <v>1056</v>
      </c>
      <c r="K1244" t="s">
        <v>5548</v>
      </c>
      <c r="L1244" s="1" t="s">
        <v>3160</v>
      </c>
      <c r="M1244" t="s">
        <v>3161</v>
      </c>
      <c r="N1244" t="s">
        <v>202</v>
      </c>
      <c r="O1244" s="1" t="s">
        <v>5561</v>
      </c>
      <c r="P1244" s="1" t="s">
        <v>5562</v>
      </c>
      <c r="Q1244" s="1" t="s">
        <v>7209</v>
      </c>
    </row>
    <row r="1245" spans="1:17" x14ac:dyDescent="0.25">
      <c r="A1245" t="s">
        <v>5563</v>
      </c>
      <c r="B1245" t="str">
        <f>HYPERLINK("https://staging-dtl-pattern-api.hfm-weimar.de/static/audio/solos/dtl/AQAO8ZlISoskKHT4IV9BSw_6a7iOw-dR_0.06.15.090204-0.06.22.056326.mp3", "link")</f>
        <v>link</v>
      </c>
      <c r="D1245" t="s">
        <v>3158</v>
      </c>
      <c r="E1245" t="s">
        <v>1055</v>
      </c>
      <c r="F1245" t="s">
        <v>1055</v>
      </c>
      <c r="G1245" t="s">
        <v>1055</v>
      </c>
      <c r="J1245" t="s">
        <v>1056</v>
      </c>
      <c r="K1245" t="s">
        <v>5548</v>
      </c>
      <c r="L1245" s="1" t="s">
        <v>3160</v>
      </c>
      <c r="M1245" t="s">
        <v>3161</v>
      </c>
      <c r="N1245" t="s">
        <v>202</v>
      </c>
      <c r="O1245" s="1" t="s">
        <v>5564</v>
      </c>
      <c r="P1245" s="1" t="s">
        <v>5565</v>
      </c>
      <c r="Q1245" s="1" t="s">
        <v>7209</v>
      </c>
    </row>
    <row r="1246" spans="1:17" x14ac:dyDescent="0.25">
      <c r="A1246" t="s">
        <v>5566</v>
      </c>
      <c r="B1246" t="str">
        <f>HYPERLINK("https://staging-dtl-pattern-api.hfm-weimar.de/static/audio/solos/dtl/AQAO8ZlISoskKHT4IV9BSw_6a7iOw-dR_0.06.27.033061-0.06.33.086122.mp3", "link")</f>
        <v>link</v>
      </c>
      <c r="D1246" t="s">
        <v>3158</v>
      </c>
      <c r="E1246" t="s">
        <v>1055</v>
      </c>
      <c r="F1246" t="s">
        <v>1055</v>
      </c>
      <c r="G1246" t="s">
        <v>1055</v>
      </c>
      <c r="J1246" t="s">
        <v>1056</v>
      </c>
      <c r="K1246" t="s">
        <v>5548</v>
      </c>
      <c r="L1246" s="1" t="s">
        <v>3160</v>
      </c>
      <c r="M1246" t="s">
        <v>3161</v>
      </c>
      <c r="N1246" t="s">
        <v>202</v>
      </c>
      <c r="O1246" s="1" t="s">
        <v>5567</v>
      </c>
      <c r="P1246" s="1" t="s">
        <v>5568</v>
      </c>
      <c r="Q1246" s="1" t="s">
        <v>7209</v>
      </c>
    </row>
    <row r="1247" spans="1:17" x14ac:dyDescent="0.25">
      <c r="A1247" t="s">
        <v>5569</v>
      </c>
      <c r="B1247" t="str">
        <f>HYPERLINK("https://staging-dtl-pattern-api.hfm-weimar.de/static/audio/solos/dtl/AQAO8ZlISoskKHT4IV9BSw_6a7iOw-dR_0.06.38.056326-0.06.44.080000.mp3", "link")</f>
        <v>link</v>
      </c>
      <c r="D1247" t="s">
        <v>3158</v>
      </c>
      <c r="E1247" t="s">
        <v>1055</v>
      </c>
      <c r="F1247" t="s">
        <v>1055</v>
      </c>
      <c r="G1247" t="s">
        <v>1055</v>
      </c>
      <c r="J1247" t="s">
        <v>1056</v>
      </c>
      <c r="K1247" t="s">
        <v>5548</v>
      </c>
      <c r="L1247" s="1" t="s">
        <v>3160</v>
      </c>
      <c r="M1247" t="s">
        <v>3161</v>
      </c>
      <c r="N1247" t="s">
        <v>202</v>
      </c>
      <c r="O1247" s="1" t="s">
        <v>5570</v>
      </c>
      <c r="P1247" s="1" t="s">
        <v>5571</v>
      </c>
      <c r="Q1247" s="1" t="s">
        <v>7209</v>
      </c>
    </row>
    <row r="1248" spans="1:17" x14ac:dyDescent="0.25">
      <c r="A1248" t="s">
        <v>5572</v>
      </c>
      <c r="B1248" t="str">
        <f>HYPERLINK("https://staging-dtl-pattern-api.hfm-weimar.de/static/audio/solos/dtl/AQAO8ZlISoskKHT4IV9BSw_6a7iOw-dR_0.06.50.022040-0.06.56.009795.mp3", "link")</f>
        <v>link</v>
      </c>
      <c r="D1248" t="s">
        <v>3158</v>
      </c>
      <c r="E1248" t="s">
        <v>1055</v>
      </c>
      <c r="F1248" t="s">
        <v>1055</v>
      </c>
      <c r="G1248" t="s">
        <v>1055</v>
      </c>
      <c r="J1248" t="s">
        <v>1056</v>
      </c>
      <c r="K1248" t="s">
        <v>5548</v>
      </c>
      <c r="L1248" s="1" t="s">
        <v>3160</v>
      </c>
      <c r="M1248" t="s">
        <v>3161</v>
      </c>
      <c r="N1248" t="s">
        <v>202</v>
      </c>
      <c r="O1248" s="1" t="s">
        <v>5573</v>
      </c>
      <c r="P1248" s="1" t="s">
        <v>5574</v>
      </c>
      <c r="Q1248" s="1" t="s">
        <v>7209</v>
      </c>
    </row>
    <row r="1249" spans="1:17" x14ac:dyDescent="0.25">
      <c r="A1249" t="s">
        <v>5575</v>
      </c>
      <c r="B1249" t="str">
        <f>HYPERLINK("https://staging-dtl-pattern-api.hfm-weimar.de/static/audio/solos/dtl/AQAO9kkiKXNSCc-C8x5-aOmD8MCZvIiZ_0.00.50.041632-0.01.29.054775.mp3", "link")</f>
        <v>link</v>
      </c>
      <c r="C1249" t="s">
        <v>4964</v>
      </c>
      <c r="D1249" t="s">
        <v>5576</v>
      </c>
      <c r="E1249" t="s">
        <v>1517</v>
      </c>
      <c r="F1249" t="s">
        <v>5577</v>
      </c>
      <c r="G1249" t="s">
        <v>4958</v>
      </c>
      <c r="H1249" t="s">
        <v>3877</v>
      </c>
      <c r="I1249">
        <v>100</v>
      </c>
      <c r="J1249" t="s">
        <v>141</v>
      </c>
      <c r="K1249" t="s">
        <v>4959</v>
      </c>
      <c r="L1249" s="1" t="s">
        <v>3879</v>
      </c>
      <c r="M1249" t="s">
        <v>129</v>
      </c>
      <c r="N1249" t="s">
        <v>23</v>
      </c>
      <c r="O1249" s="1" t="s">
        <v>5578</v>
      </c>
      <c r="P1249" s="1" t="s">
        <v>5579</v>
      </c>
      <c r="Q1249" s="1" t="s">
        <v>7306</v>
      </c>
    </row>
    <row r="1250" spans="1:17" x14ac:dyDescent="0.25">
      <c r="A1250" t="s">
        <v>5580</v>
      </c>
      <c r="B1250" t="str">
        <f>HYPERLINK("https://staging-dtl-pattern-api.hfm-weimar.de/static/audio/solos/dtl/AQAO9kkiKXNSCc-C8x5-aOmD8MCZvIiZ_0.01.29.054775-0.02.06.030204.mp3", "link")</f>
        <v>link</v>
      </c>
      <c r="C1250" t="s">
        <v>4964</v>
      </c>
      <c r="D1250" t="s">
        <v>5576</v>
      </c>
      <c r="E1250" t="s">
        <v>266</v>
      </c>
      <c r="F1250" t="s">
        <v>5577</v>
      </c>
      <c r="G1250" t="s">
        <v>4958</v>
      </c>
      <c r="H1250" t="s">
        <v>3877</v>
      </c>
      <c r="I1250">
        <v>100</v>
      </c>
      <c r="J1250" t="s">
        <v>141</v>
      </c>
      <c r="K1250" t="s">
        <v>4959</v>
      </c>
      <c r="L1250" s="1" t="s">
        <v>3879</v>
      </c>
      <c r="M1250" t="s">
        <v>129</v>
      </c>
      <c r="N1250" t="s">
        <v>23</v>
      </c>
      <c r="O1250" s="1" t="s">
        <v>5579</v>
      </c>
      <c r="P1250" s="1" t="s">
        <v>5581</v>
      </c>
      <c r="Q1250" s="1" t="s">
        <v>7255</v>
      </c>
    </row>
    <row r="1251" spans="1:17" x14ac:dyDescent="0.25">
      <c r="A1251" t="s">
        <v>5582</v>
      </c>
      <c r="B1251" t="str">
        <f>HYPERLINK("https://staging-dtl-pattern-api.hfm-weimar.de/static/audio/solos/dtl/AQAO9kkiKXNSCc-C8x5-aOmD8MCZvIiZ_0.02.42.096925-0.03.20.013278.mp3", "link")</f>
        <v>link</v>
      </c>
      <c r="D1251" t="s">
        <v>5576</v>
      </c>
      <c r="E1251" t="s">
        <v>4976</v>
      </c>
      <c r="F1251" t="s">
        <v>5577</v>
      </c>
      <c r="G1251" t="s">
        <v>4958</v>
      </c>
      <c r="H1251" t="s">
        <v>3877</v>
      </c>
      <c r="I1251">
        <v>100</v>
      </c>
      <c r="J1251" t="s">
        <v>141</v>
      </c>
      <c r="K1251" t="s">
        <v>4959</v>
      </c>
      <c r="L1251" s="1" t="s">
        <v>3879</v>
      </c>
      <c r="M1251" t="s">
        <v>129</v>
      </c>
      <c r="N1251" t="s">
        <v>172</v>
      </c>
      <c r="O1251" s="1" t="s">
        <v>5583</v>
      </c>
      <c r="P1251" s="1" t="s">
        <v>5584</v>
      </c>
    </row>
    <row r="1252" spans="1:17" x14ac:dyDescent="0.25">
      <c r="A1252" t="s">
        <v>5585</v>
      </c>
      <c r="B1252" t="str">
        <f>HYPERLINK("https://staging-dtl-pattern-api.hfm-weimar.de/static/audio/solos/dtl/AQAO9kkiKXNSCc-C8x5-aOmD8MCZvIiZ_0.03.20.013278-0.03.59.045578.mp3", "link")</f>
        <v>link</v>
      </c>
      <c r="D1252" t="s">
        <v>5576</v>
      </c>
      <c r="E1252" t="s">
        <v>614</v>
      </c>
      <c r="F1252" t="s">
        <v>5577</v>
      </c>
      <c r="G1252" t="s">
        <v>4958</v>
      </c>
      <c r="H1252" t="s">
        <v>3877</v>
      </c>
      <c r="I1252">
        <v>100</v>
      </c>
      <c r="J1252" t="s">
        <v>141</v>
      </c>
      <c r="K1252" t="s">
        <v>4959</v>
      </c>
      <c r="L1252" s="1" t="s">
        <v>3879</v>
      </c>
      <c r="M1252" t="s">
        <v>129</v>
      </c>
      <c r="N1252" t="s">
        <v>622</v>
      </c>
      <c r="O1252" s="1" t="s">
        <v>5584</v>
      </c>
      <c r="P1252" s="1" t="s">
        <v>5586</v>
      </c>
    </row>
    <row r="1253" spans="1:17" x14ac:dyDescent="0.25">
      <c r="A1253" t="s">
        <v>5587</v>
      </c>
      <c r="B1253" t="str">
        <f>HYPERLINK("https://staging-dtl-pattern-api.hfm-weimar.de/static/audio/solos/dtl/AQAO9kkiKXNSCc-C8x5-aOmD8MCZvIiZ_0.04.36.044517-0.05.15.087265.mp3", "link")</f>
        <v>link</v>
      </c>
      <c r="C1253" t="s">
        <v>4964</v>
      </c>
      <c r="D1253" t="s">
        <v>5576</v>
      </c>
      <c r="E1253" t="s">
        <v>235</v>
      </c>
      <c r="F1253" t="s">
        <v>5577</v>
      </c>
      <c r="G1253" t="s">
        <v>4958</v>
      </c>
      <c r="H1253" t="s">
        <v>3877</v>
      </c>
      <c r="I1253">
        <v>100</v>
      </c>
      <c r="J1253" t="s">
        <v>141</v>
      </c>
      <c r="K1253" t="s">
        <v>4959</v>
      </c>
      <c r="L1253" s="1" t="s">
        <v>3879</v>
      </c>
      <c r="M1253" t="s">
        <v>129</v>
      </c>
      <c r="N1253" t="s">
        <v>23</v>
      </c>
      <c r="O1253" s="1" t="s">
        <v>5588</v>
      </c>
      <c r="P1253" s="1" t="s">
        <v>5589</v>
      </c>
      <c r="Q1253" s="1" t="s">
        <v>7217</v>
      </c>
    </row>
    <row r="1254" spans="1:17" x14ac:dyDescent="0.25">
      <c r="A1254" t="s">
        <v>5590</v>
      </c>
      <c r="B1254" t="str">
        <f>HYPERLINK("https://staging-dtl-pattern-api.hfm-weimar.de/static/audio/solos/dtl/AQAO9kkiKXNSCc-C8x5-aOmD8MCZvIiZ_0.05.15.087265-0.06.35.000625.mp3", "link")</f>
        <v>link</v>
      </c>
      <c r="C1254" t="s">
        <v>5591</v>
      </c>
      <c r="D1254" t="s">
        <v>5576</v>
      </c>
      <c r="E1254" t="s">
        <v>486</v>
      </c>
      <c r="F1254" t="s">
        <v>5577</v>
      </c>
      <c r="G1254" t="s">
        <v>4958</v>
      </c>
      <c r="H1254" t="s">
        <v>3877</v>
      </c>
      <c r="I1254">
        <v>100</v>
      </c>
      <c r="J1254" t="s">
        <v>141</v>
      </c>
      <c r="K1254" t="s">
        <v>4959</v>
      </c>
      <c r="L1254" s="1" t="s">
        <v>3879</v>
      </c>
      <c r="M1254" t="s">
        <v>129</v>
      </c>
      <c r="N1254" t="s">
        <v>172</v>
      </c>
      <c r="O1254" s="1" t="s">
        <v>5589</v>
      </c>
      <c r="P1254" s="1" t="s">
        <v>5592</v>
      </c>
      <c r="Q1254" s="1" t="s">
        <v>7325</v>
      </c>
    </row>
    <row r="1255" spans="1:17" x14ac:dyDescent="0.25">
      <c r="A1255" t="s">
        <v>5593</v>
      </c>
      <c r="B1255" t="str">
        <f>HYPERLINK("https://staging-dtl-pattern-api.hfm-weimar.de/static/audio/solos/dtl/AQAO9kkiKXNSCc-C8x5-aOmD8MCZvIiZ_0.06.35.000625-0.07.56.079999.mp3", "link")</f>
        <v>link</v>
      </c>
      <c r="D1255" t="s">
        <v>5576</v>
      </c>
      <c r="E1255" t="s">
        <v>4958</v>
      </c>
      <c r="F1255" t="s">
        <v>5577</v>
      </c>
      <c r="G1255" t="s">
        <v>4958</v>
      </c>
      <c r="H1255" t="s">
        <v>3877</v>
      </c>
      <c r="I1255">
        <v>100</v>
      </c>
      <c r="J1255" t="s">
        <v>141</v>
      </c>
      <c r="K1255" t="s">
        <v>4959</v>
      </c>
      <c r="L1255" s="1" t="s">
        <v>3879</v>
      </c>
      <c r="M1255" t="s">
        <v>129</v>
      </c>
      <c r="N1255" t="s">
        <v>329</v>
      </c>
      <c r="O1255" s="1" t="s">
        <v>5592</v>
      </c>
      <c r="P1255" s="1" t="s">
        <v>5594</v>
      </c>
    </row>
    <row r="1256" spans="1:17" x14ac:dyDescent="0.25">
      <c r="A1256" t="s">
        <v>5595</v>
      </c>
      <c r="B1256" t="str">
        <f>HYPERLINK("https://staging-dtl-pattern-api.hfm-weimar.de/static/audio/solos/dtl/AQAOAkm2sFGcBNnxD0fDCrWmHpey46eE_0.03.08.091755-0.03.49.055102.mp3", "link")</f>
        <v>link</v>
      </c>
      <c r="D1256" t="s">
        <v>5596</v>
      </c>
      <c r="E1256" t="s">
        <v>5597</v>
      </c>
      <c r="F1256" t="s">
        <v>5598</v>
      </c>
      <c r="G1256" t="s">
        <v>5598</v>
      </c>
      <c r="J1256" t="s">
        <v>5599</v>
      </c>
      <c r="K1256" t="s">
        <v>5600</v>
      </c>
      <c r="L1256" s="1" t="s">
        <v>5601</v>
      </c>
      <c r="M1256" t="s">
        <v>129</v>
      </c>
      <c r="N1256" t="s">
        <v>46</v>
      </c>
      <c r="O1256" s="1" t="s">
        <v>5602</v>
      </c>
      <c r="P1256" s="1" t="s">
        <v>5603</v>
      </c>
    </row>
    <row r="1257" spans="1:17" x14ac:dyDescent="0.25">
      <c r="A1257" t="s">
        <v>5604</v>
      </c>
      <c r="B1257" t="str">
        <f>HYPERLINK("https://staging-dtl-pattern-api.hfm-weimar.de/static/audio/solos/dtl/AQAOAkm2sFGcBNnxD0fDCrWmHpey46eE_0.04.10.096126-0.05.03.090276.mp3", "link")</f>
        <v>link</v>
      </c>
      <c r="D1257" t="s">
        <v>5596</v>
      </c>
      <c r="E1257" t="s">
        <v>5598</v>
      </c>
      <c r="F1257" t="s">
        <v>5598</v>
      </c>
      <c r="G1257" t="s">
        <v>5598</v>
      </c>
      <c r="J1257" t="s">
        <v>5599</v>
      </c>
      <c r="K1257" t="s">
        <v>5600</v>
      </c>
      <c r="L1257" s="1" t="s">
        <v>5601</v>
      </c>
      <c r="M1257" t="s">
        <v>129</v>
      </c>
      <c r="N1257" t="s">
        <v>119</v>
      </c>
      <c r="O1257" s="1" t="s">
        <v>5605</v>
      </c>
      <c r="P1257" s="1" t="s">
        <v>5606</v>
      </c>
    </row>
    <row r="1258" spans="1:17" x14ac:dyDescent="0.25">
      <c r="A1258" t="s">
        <v>5607</v>
      </c>
      <c r="B1258" t="str">
        <f>HYPERLINK("https://staging-dtl-pattern-api.hfm-weimar.de/static/audio/solos/dtl/AQAOAtQiScyiJPhx9DTS8kNSJlFSNMkl_0.01.24.021877-0.02.49.087718.mp3", "link")</f>
        <v>link</v>
      </c>
      <c r="D1258" t="s">
        <v>4812</v>
      </c>
      <c r="E1258" t="s">
        <v>3453</v>
      </c>
      <c r="F1258" t="s">
        <v>5608</v>
      </c>
      <c r="G1258" t="s">
        <v>5609</v>
      </c>
      <c r="H1258" t="s">
        <v>5610</v>
      </c>
      <c r="I1258">
        <v>54</v>
      </c>
      <c r="J1258" t="s">
        <v>616</v>
      </c>
      <c r="K1258" t="s">
        <v>5611</v>
      </c>
      <c r="L1258" s="1" t="s">
        <v>5612</v>
      </c>
      <c r="M1258" t="s">
        <v>3583</v>
      </c>
      <c r="N1258" t="s">
        <v>23</v>
      </c>
      <c r="O1258" s="1" t="s">
        <v>5613</v>
      </c>
      <c r="P1258" s="1" t="s">
        <v>5614</v>
      </c>
    </row>
    <row r="1259" spans="1:17" x14ac:dyDescent="0.25">
      <c r="A1259" t="s">
        <v>5615</v>
      </c>
      <c r="B1259" t="str">
        <f>HYPERLINK("https://staging-dtl-pattern-api.hfm-weimar.de/static/audio/solos/dtl/AQAOAtQiScyiJPhx9DTS8kNSJlFSNMkl_0.02.49.087718-0.04.14.076934.mp3", "link")</f>
        <v>link</v>
      </c>
      <c r="D1259" t="s">
        <v>4812</v>
      </c>
      <c r="E1259" t="s">
        <v>663</v>
      </c>
      <c r="F1259" t="s">
        <v>5608</v>
      </c>
      <c r="G1259" t="s">
        <v>5609</v>
      </c>
      <c r="H1259" t="s">
        <v>5610</v>
      </c>
      <c r="I1259">
        <v>54</v>
      </c>
      <c r="J1259" t="s">
        <v>616</v>
      </c>
      <c r="K1259" t="s">
        <v>5611</v>
      </c>
      <c r="L1259" s="1" t="s">
        <v>5612</v>
      </c>
      <c r="M1259" t="s">
        <v>3583</v>
      </c>
      <c r="N1259" t="s">
        <v>46</v>
      </c>
      <c r="O1259" s="1" t="s">
        <v>5614</v>
      </c>
      <c r="P1259" s="1" t="s">
        <v>5616</v>
      </c>
    </row>
    <row r="1260" spans="1:17" x14ac:dyDescent="0.25">
      <c r="A1260" t="s">
        <v>5617</v>
      </c>
      <c r="B1260" t="str">
        <f>HYPERLINK("https://staging-dtl-pattern-api.hfm-weimar.de/static/audio/solos/dtl/AQAOAYuYJFKSKEkS4W2CpPERKz9-CT-O_0.01.01.012653-0.02.05.051836.mp3", "link")</f>
        <v>link</v>
      </c>
      <c r="D1260" t="s">
        <v>4351</v>
      </c>
      <c r="E1260" t="s">
        <v>612</v>
      </c>
      <c r="F1260" t="s">
        <v>612</v>
      </c>
      <c r="G1260" t="s">
        <v>612</v>
      </c>
      <c r="J1260" t="s">
        <v>4352</v>
      </c>
      <c r="K1260" t="s">
        <v>5618</v>
      </c>
      <c r="L1260" s="1" t="s">
        <v>4354</v>
      </c>
      <c r="M1260" t="s">
        <v>4355</v>
      </c>
      <c r="N1260" t="s">
        <v>46</v>
      </c>
      <c r="O1260" s="1" t="s">
        <v>5619</v>
      </c>
      <c r="P1260" s="1" t="s">
        <v>4183</v>
      </c>
    </row>
    <row r="1261" spans="1:17" x14ac:dyDescent="0.25">
      <c r="A1261" t="s">
        <v>5620</v>
      </c>
      <c r="B1261" t="str">
        <f>HYPERLINK("https://staging-dtl-pattern-api.hfm-weimar.de/static/audio/solos/dtl/AQAOAYuYJFKSKEkS4W2CpPERKz9-CT-O_0.05.07.033061-0.06.09.024081.mp3", "link")</f>
        <v>link</v>
      </c>
      <c r="D1261" t="s">
        <v>4351</v>
      </c>
      <c r="E1261" t="s">
        <v>612</v>
      </c>
      <c r="F1261" t="s">
        <v>612</v>
      </c>
      <c r="G1261" t="s">
        <v>612</v>
      </c>
      <c r="J1261" t="s">
        <v>4352</v>
      </c>
      <c r="K1261" t="s">
        <v>5618</v>
      </c>
      <c r="L1261" s="1" t="s">
        <v>4354</v>
      </c>
      <c r="M1261" t="s">
        <v>4355</v>
      </c>
      <c r="N1261" t="s">
        <v>46</v>
      </c>
      <c r="O1261" s="1" t="s">
        <v>5621</v>
      </c>
      <c r="P1261" s="1" t="s">
        <v>5622</v>
      </c>
    </row>
    <row r="1262" spans="1:17" x14ac:dyDescent="0.25">
      <c r="A1262" t="s">
        <v>5623</v>
      </c>
      <c r="B1262" t="str">
        <f>HYPERLINK("https://staging-dtl-pattern-api.hfm-weimar.de/static/audio/solos/dtl/AQAOBlHyJImyELmEqvjRP4F_XI_QLL_w_0.01.28.042158-0.02.33.086122.mp3", "link")</f>
        <v>link</v>
      </c>
      <c r="D1262" t="s">
        <v>5624</v>
      </c>
      <c r="E1262" t="s">
        <v>4851</v>
      </c>
      <c r="F1262" t="s">
        <v>5625</v>
      </c>
      <c r="G1262" t="s">
        <v>5625</v>
      </c>
      <c r="J1262" t="s">
        <v>5626</v>
      </c>
      <c r="K1262" t="s">
        <v>5627</v>
      </c>
      <c r="L1262" s="1" t="s">
        <v>5628</v>
      </c>
      <c r="M1262" t="s">
        <v>309</v>
      </c>
      <c r="N1262" t="s">
        <v>46</v>
      </c>
      <c r="O1262" s="1" t="s">
        <v>3358</v>
      </c>
      <c r="P1262" s="1" t="s">
        <v>5629</v>
      </c>
    </row>
    <row r="1263" spans="1:17" x14ac:dyDescent="0.25">
      <c r="A1263" t="s">
        <v>5630</v>
      </c>
      <c r="B1263" t="str">
        <f>HYPERLINK("https://staging-dtl-pattern-api.hfm-weimar.de/static/audio/solos/dtl/AQAOBlHyJImyELmEqvjRP4F_XI_QLL_w_0.02.33.086122-0.03.34.020408.mp3", "link")</f>
        <v>link</v>
      </c>
      <c r="D1263" t="s">
        <v>5624</v>
      </c>
      <c r="E1263" t="s">
        <v>5631</v>
      </c>
      <c r="F1263" t="s">
        <v>5625</v>
      </c>
      <c r="G1263" t="s">
        <v>5625</v>
      </c>
      <c r="J1263" t="s">
        <v>5626</v>
      </c>
      <c r="K1263" t="s">
        <v>5627</v>
      </c>
      <c r="L1263" s="1" t="s">
        <v>5628</v>
      </c>
      <c r="M1263" t="s">
        <v>309</v>
      </c>
      <c r="N1263" t="s">
        <v>172</v>
      </c>
      <c r="O1263" s="1" t="s">
        <v>5629</v>
      </c>
      <c r="P1263" s="1" t="s">
        <v>5632</v>
      </c>
    </row>
    <row r="1264" spans="1:17" x14ac:dyDescent="0.25">
      <c r="A1264" t="s">
        <v>5633</v>
      </c>
      <c r="B1264" t="str">
        <f>HYPERLINK("https://staging-dtl-pattern-api.hfm-weimar.de/static/audio/solos/dtl/AQAOe3KSJMykKdiTI2wuiEcW6cOPlYgp_0.04.13.077959-0.05.39.059183.mp3", "link")</f>
        <v>link</v>
      </c>
      <c r="D1264" t="s">
        <v>3790</v>
      </c>
      <c r="E1264" t="s">
        <v>3792</v>
      </c>
      <c r="F1264" t="s">
        <v>3792</v>
      </c>
      <c r="G1264" t="s">
        <v>3792</v>
      </c>
      <c r="J1264" t="s">
        <v>3793</v>
      </c>
      <c r="K1264" t="s">
        <v>5634</v>
      </c>
      <c r="L1264" s="1" t="s">
        <v>3795</v>
      </c>
      <c r="N1264" t="s">
        <v>202</v>
      </c>
      <c r="O1264" s="1" t="s">
        <v>5635</v>
      </c>
      <c r="P1264" s="1" t="s">
        <v>5636</v>
      </c>
      <c r="Q1264" s="1" t="s">
        <v>7323</v>
      </c>
    </row>
    <row r="1265" spans="1:17" x14ac:dyDescent="0.25">
      <c r="A1265" t="s">
        <v>5637</v>
      </c>
      <c r="B1265" t="str">
        <f>HYPERLINK("https://staging-dtl-pattern-api.hfm-weimar.de/static/audio/solos/dtl/AQAOe3KSJMykKdiTI2wuiEcW6cOPlYgp_0.05.39.059183-0.07.01.009387.mp3", "link")</f>
        <v>link</v>
      </c>
      <c r="D1265" t="s">
        <v>3790</v>
      </c>
      <c r="E1265" t="s">
        <v>3791</v>
      </c>
      <c r="F1265" t="s">
        <v>3792</v>
      </c>
      <c r="G1265" t="s">
        <v>3792</v>
      </c>
      <c r="J1265" t="s">
        <v>3793</v>
      </c>
      <c r="K1265" t="s">
        <v>5634</v>
      </c>
      <c r="L1265" s="1" t="s">
        <v>3795</v>
      </c>
      <c r="N1265" t="s">
        <v>46</v>
      </c>
      <c r="O1265" s="1" t="s">
        <v>5636</v>
      </c>
      <c r="P1265" s="1" t="s">
        <v>5638</v>
      </c>
    </row>
    <row r="1266" spans="1:17" x14ac:dyDescent="0.25">
      <c r="A1266" t="s">
        <v>5639</v>
      </c>
      <c r="B1266" t="str">
        <f>HYPERLINK("https://staging-dtl-pattern-api.hfm-weimar.de/static/audio/solos/dtl/AQAOGNKkZEmiJMqCp8hPaDn6C7eDzpnQ_0.00.27.068979-0.04.04.024489.mp3", "link")</f>
        <v>link</v>
      </c>
      <c r="D1266" t="s">
        <v>5640</v>
      </c>
      <c r="E1266" t="s">
        <v>5641</v>
      </c>
      <c r="F1266" t="s">
        <v>5641</v>
      </c>
      <c r="G1266" t="s">
        <v>5641</v>
      </c>
      <c r="J1266" t="s">
        <v>5642</v>
      </c>
      <c r="K1266" t="s">
        <v>5643</v>
      </c>
      <c r="L1266" s="1" t="s">
        <v>5644</v>
      </c>
      <c r="M1266" t="s">
        <v>5645</v>
      </c>
      <c r="N1266" t="s">
        <v>891</v>
      </c>
      <c r="O1266" s="1" t="s">
        <v>5646</v>
      </c>
      <c r="P1266" s="1" t="s">
        <v>5647</v>
      </c>
    </row>
    <row r="1267" spans="1:17" x14ac:dyDescent="0.25">
      <c r="A1267" t="s">
        <v>5648</v>
      </c>
      <c r="B1267" t="str">
        <f>HYPERLINK("https://staging-dtl-pattern-api.hfm-weimar.de/static/audio/solos/dtl/AQAOHtIjKTP6Gs1w5Me_BvqDbkHKWHiR_0.02.03.015863-0.04.05.001696.mp3", "link")</f>
        <v>link</v>
      </c>
      <c r="D1267" t="s">
        <v>5649</v>
      </c>
      <c r="E1267" t="s">
        <v>5650</v>
      </c>
      <c r="F1267" t="s">
        <v>5650</v>
      </c>
      <c r="G1267" t="s">
        <v>5650</v>
      </c>
      <c r="J1267" t="s">
        <v>5651</v>
      </c>
      <c r="K1267" t="s">
        <v>5652</v>
      </c>
      <c r="L1267" s="1" t="s">
        <v>5653</v>
      </c>
      <c r="M1267" t="s">
        <v>5654</v>
      </c>
      <c r="N1267" t="s">
        <v>23</v>
      </c>
      <c r="O1267" s="1" t="s">
        <v>5655</v>
      </c>
      <c r="P1267" s="1" t="s">
        <v>5656</v>
      </c>
    </row>
    <row r="1268" spans="1:17" x14ac:dyDescent="0.25">
      <c r="A1268" t="s">
        <v>5657</v>
      </c>
      <c r="B1268" t="str">
        <f>HYPERLINK("https://staging-dtl-pattern-api.hfm-weimar.de/static/audio/solos/dtl/AQAOIV0VJZ7wFM1wZXmEO0XyIC-u40fD_0.04.34.073850-0.05.57.095882.mp3", "link")</f>
        <v>link</v>
      </c>
      <c r="D1268" t="s">
        <v>5658</v>
      </c>
      <c r="E1268" t="s">
        <v>5659</v>
      </c>
      <c r="F1268" t="s">
        <v>5660</v>
      </c>
      <c r="G1268" t="s">
        <v>5660</v>
      </c>
      <c r="J1268" t="s">
        <v>5661</v>
      </c>
      <c r="K1268" t="s">
        <v>5662</v>
      </c>
      <c r="L1268" s="1" t="s">
        <v>5663</v>
      </c>
      <c r="M1268" t="s">
        <v>129</v>
      </c>
      <c r="N1268" t="s">
        <v>23</v>
      </c>
      <c r="O1268" s="1" t="s">
        <v>5664</v>
      </c>
      <c r="P1268" s="1" t="s">
        <v>5665</v>
      </c>
    </row>
    <row r="1269" spans="1:17" x14ac:dyDescent="0.25">
      <c r="A1269" t="s">
        <v>5666</v>
      </c>
      <c r="B1269" t="str">
        <f>HYPERLINK("https://staging-dtl-pattern-api.hfm-weimar.de/static/audio/solos/dtl/AQAOj9kUJcqYJQl-XCkReodjVshTVGeg_0.03.59.025841-0.05.29.072335.mp3", "link")</f>
        <v>link</v>
      </c>
      <c r="D1269" t="s">
        <v>5667</v>
      </c>
      <c r="E1269" t="s">
        <v>5668</v>
      </c>
      <c r="F1269" t="s">
        <v>5668</v>
      </c>
      <c r="G1269" t="s">
        <v>5668</v>
      </c>
      <c r="J1269" t="s">
        <v>5669</v>
      </c>
      <c r="K1269" t="s">
        <v>5670</v>
      </c>
      <c r="L1269" s="1" t="s">
        <v>5671</v>
      </c>
      <c r="M1269" t="s">
        <v>3507</v>
      </c>
      <c r="N1269" t="s">
        <v>891</v>
      </c>
      <c r="O1269" s="1" t="s">
        <v>5672</v>
      </c>
      <c r="P1269" s="1" t="s">
        <v>5673</v>
      </c>
    </row>
    <row r="1270" spans="1:17" x14ac:dyDescent="0.25">
      <c r="A1270" t="s">
        <v>5674</v>
      </c>
      <c r="B1270" t="str">
        <f>HYPERLINK("https://staging-dtl-pattern-api.hfm-weimar.de/static/audio/solos/dtl/AQAOktSyiGmiBHmmI3nQ56gd9MrR4M2P_0.01.19.093469-0.02.40.052244.mp3", "link")</f>
        <v>link</v>
      </c>
      <c r="D1270" t="s">
        <v>7139</v>
      </c>
      <c r="E1270" t="s">
        <v>4423</v>
      </c>
      <c r="F1270" t="s">
        <v>5444</v>
      </c>
      <c r="G1270" t="s">
        <v>5444</v>
      </c>
      <c r="J1270" t="s">
        <v>5675</v>
      </c>
      <c r="K1270" t="s">
        <v>5676</v>
      </c>
      <c r="L1270" s="1" t="s">
        <v>5677</v>
      </c>
      <c r="M1270" t="s">
        <v>2180</v>
      </c>
      <c r="N1270" t="s">
        <v>23</v>
      </c>
      <c r="O1270" s="1" t="s">
        <v>5678</v>
      </c>
      <c r="P1270" s="1" t="s">
        <v>5679</v>
      </c>
      <c r="Q1270" s="1" t="s">
        <v>7326</v>
      </c>
    </row>
    <row r="1271" spans="1:17" x14ac:dyDescent="0.25">
      <c r="A1271" t="s">
        <v>5680</v>
      </c>
      <c r="B1271" t="str">
        <f>HYPERLINK("https://staging-dtl-pattern-api.hfm-weimar.de/static/audio/solos/dtl/AQAOktSyiGmiBHmmI3nQ56gd9MrR4M2P_0.04.00.006530-0.05.21.056734.mp3", "link")</f>
        <v>link</v>
      </c>
      <c r="D1271" t="s">
        <v>7139</v>
      </c>
      <c r="E1271" t="s">
        <v>6988</v>
      </c>
      <c r="F1271" t="s">
        <v>5444</v>
      </c>
      <c r="G1271" t="s">
        <v>5444</v>
      </c>
      <c r="J1271" t="s">
        <v>5675</v>
      </c>
      <c r="K1271" t="s">
        <v>5676</v>
      </c>
      <c r="L1271" s="1" t="s">
        <v>5677</v>
      </c>
      <c r="M1271" t="s">
        <v>2180</v>
      </c>
      <c r="N1271" t="s">
        <v>119</v>
      </c>
      <c r="O1271" s="1" t="s">
        <v>5681</v>
      </c>
      <c r="P1271" s="1" t="s">
        <v>5682</v>
      </c>
      <c r="Q1271" s="1" t="s">
        <v>7327</v>
      </c>
    </row>
    <row r="1272" spans="1:17" x14ac:dyDescent="0.25">
      <c r="A1272" t="s">
        <v>5683</v>
      </c>
      <c r="B1272" t="str">
        <f>HYPERLINK("https://staging-dtl-pattern-api.hfm-weimar.de/static/audio/solos/dtl/AQAOktSyiGmiBHmmI3nQ56gd9MrR4M2P_0.06.39.093469-0.07.39.023265.mp3", "link")</f>
        <v>link</v>
      </c>
      <c r="D1272" t="s">
        <v>7139</v>
      </c>
      <c r="E1272" t="s">
        <v>4423</v>
      </c>
      <c r="F1272" t="s">
        <v>5444</v>
      </c>
      <c r="G1272" t="s">
        <v>5444</v>
      </c>
      <c r="J1272" t="s">
        <v>5675</v>
      </c>
      <c r="K1272" t="s">
        <v>5676</v>
      </c>
      <c r="L1272" s="1" t="s">
        <v>5677</v>
      </c>
      <c r="M1272" t="s">
        <v>2180</v>
      </c>
      <c r="N1272" t="s">
        <v>23</v>
      </c>
      <c r="O1272" s="1" t="s">
        <v>5684</v>
      </c>
      <c r="P1272" s="1" t="s">
        <v>5685</v>
      </c>
      <c r="Q1272" s="1" t="s">
        <v>7326</v>
      </c>
    </row>
    <row r="1273" spans="1:17" x14ac:dyDescent="0.25">
      <c r="A1273" t="s">
        <v>5686</v>
      </c>
      <c r="B1273" t="str">
        <f>HYPERLINK("https://staging-dtl-pattern-api.hfm-weimar.de/static/audio/solos/dtl/AQAOL43KJEqEH73xWMYTa7gtYT9K5UgX_0.01.44.022857-0.03.39.056789.mp3", "link")</f>
        <v>link</v>
      </c>
      <c r="D1273" t="s">
        <v>3546</v>
      </c>
      <c r="E1273" t="s">
        <v>3469</v>
      </c>
      <c r="F1273" t="s">
        <v>3469</v>
      </c>
      <c r="G1273" t="s">
        <v>3469</v>
      </c>
      <c r="J1273" t="s">
        <v>3547</v>
      </c>
      <c r="K1273" t="s">
        <v>4142</v>
      </c>
      <c r="L1273" s="1" t="s">
        <v>3549</v>
      </c>
      <c r="M1273" t="s">
        <v>129</v>
      </c>
      <c r="N1273" t="s">
        <v>23</v>
      </c>
      <c r="O1273" s="1" t="s">
        <v>5687</v>
      </c>
      <c r="P1273" s="1" t="s">
        <v>5688</v>
      </c>
    </row>
    <row r="1274" spans="1:17" x14ac:dyDescent="0.25">
      <c r="A1274" t="s">
        <v>5689</v>
      </c>
      <c r="B1274" t="str">
        <f>HYPERLINK("https://staging-dtl-pattern-api.hfm-weimar.de/static/audio/solos/dtl/AQAOMIwkhsoSJIt-5DjRG-6WGA_54zlc_0.02.21.027020-0.03.04.027356.mp3", "link")</f>
        <v>link</v>
      </c>
      <c r="D1274" t="s">
        <v>5690</v>
      </c>
      <c r="E1274" t="s">
        <v>4722</v>
      </c>
      <c r="F1274" t="s">
        <v>2845</v>
      </c>
      <c r="J1274" t="s">
        <v>3011</v>
      </c>
      <c r="K1274" t="s">
        <v>5691</v>
      </c>
      <c r="L1274" s="1" t="s">
        <v>3013</v>
      </c>
      <c r="M1274" t="s">
        <v>3014</v>
      </c>
      <c r="N1274" t="s">
        <v>202</v>
      </c>
      <c r="O1274" s="1" t="s">
        <v>5692</v>
      </c>
      <c r="P1274" s="1" t="s">
        <v>5693</v>
      </c>
      <c r="Q1274" s="1" t="s">
        <v>7328</v>
      </c>
    </row>
    <row r="1275" spans="1:17" x14ac:dyDescent="0.25">
      <c r="A1275" t="s">
        <v>5694</v>
      </c>
      <c r="B1275" t="str">
        <f>HYPERLINK("https://staging-dtl-pattern-api.hfm-weimar.de/static/audio/solos/dtl/AQAOMIwkhsoSJIt-5DjRG-6WGA_54zlc_0.03.04.027356-0.03.08.026739.mp3", "link")</f>
        <v>link</v>
      </c>
      <c r="D1275" t="s">
        <v>5690</v>
      </c>
      <c r="E1275" t="s">
        <v>4722</v>
      </c>
      <c r="F1275" t="s">
        <v>2845</v>
      </c>
      <c r="J1275" t="s">
        <v>3011</v>
      </c>
      <c r="K1275" t="s">
        <v>5691</v>
      </c>
      <c r="L1275" s="1" t="s">
        <v>3013</v>
      </c>
      <c r="M1275" t="s">
        <v>3014</v>
      </c>
      <c r="N1275" t="s">
        <v>202</v>
      </c>
      <c r="O1275" s="1" t="s">
        <v>5693</v>
      </c>
      <c r="P1275" s="1" t="s">
        <v>4106</v>
      </c>
      <c r="Q1275" s="1" t="s">
        <v>7328</v>
      </c>
    </row>
    <row r="1276" spans="1:17" x14ac:dyDescent="0.25">
      <c r="A1276" t="s">
        <v>5695</v>
      </c>
      <c r="B1276" t="str">
        <f>HYPERLINK("https://staging-dtl-pattern-api.hfm-weimar.de/static/audio/solos/dtl/AQAOMIwkhsoSJIt-5DjRG-6WGA_54zlc_0.03.11.061106-0.03.14.095473.mp3", "link")</f>
        <v>link</v>
      </c>
      <c r="D1276" t="s">
        <v>5690</v>
      </c>
      <c r="E1276" t="s">
        <v>4722</v>
      </c>
      <c r="F1276" t="s">
        <v>2845</v>
      </c>
      <c r="J1276" t="s">
        <v>3011</v>
      </c>
      <c r="K1276" t="s">
        <v>5691</v>
      </c>
      <c r="L1276" s="1" t="s">
        <v>3013</v>
      </c>
      <c r="M1276" t="s">
        <v>3014</v>
      </c>
      <c r="N1276" t="s">
        <v>202</v>
      </c>
      <c r="O1276" s="1" t="s">
        <v>5696</v>
      </c>
      <c r="P1276" s="1" t="s">
        <v>5697</v>
      </c>
      <c r="Q1276" s="1" t="s">
        <v>7328</v>
      </c>
    </row>
    <row r="1277" spans="1:17" x14ac:dyDescent="0.25">
      <c r="A1277" t="s">
        <v>5698</v>
      </c>
      <c r="B1277" t="str">
        <f>HYPERLINK("https://staging-dtl-pattern-api.hfm-weimar.de/static/audio/solos/dtl/AQAOMIwkhsoSJIt-5DjRG-6WGA_54zlc_0.03.32.017959-0.04.40.086857.mp3", "link")</f>
        <v>link</v>
      </c>
      <c r="D1277" t="s">
        <v>5690</v>
      </c>
      <c r="E1277" t="s">
        <v>4722</v>
      </c>
      <c r="F1277" t="s">
        <v>2845</v>
      </c>
      <c r="J1277" t="s">
        <v>3011</v>
      </c>
      <c r="K1277" t="s">
        <v>5691</v>
      </c>
      <c r="L1277" s="1" t="s">
        <v>3013</v>
      </c>
      <c r="M1277" t="s">
        <v>3014</v>
      </c>
      <c r="N1277" t="s">
        <v>202</v>
      </c>
      <c r="O1277" s="1" t="s">
        <v>5699</v>
      </c>
      <c r="P1277" s="1" t="s">
        <v>5700</v>
      </c>
    </row>
    <row r="1278" spans="1:17" x14ac:dyDescent="0.25">
      <c r="A1278" t="s">
        <v>5701</v>
      </c>
      <c r="B1278" t="str">
        <f>HYPERLINK("https://staging-dtl-pattern-api.hfm-weimar.de/static/audio/solos/dtl/AQAOMIwkhsoSJIt-5DjRG-6WGA_54zlc_0.04.40.086857-0.05.26.075120.mp3", "link")</f>
        <v>link</v>
      </c>
      <c r="D1278" t="s">
        <v>5690</v>
      </c>
      <c r="E1278" t="s">
        <v>4722</v>
      </c>
      <c r="F1278" t="s">
        <v>2845</v>
      </c>
      <c r="J1278" t="s">
        <v>3011</v>
      </c>
      <c r="K1278" t="s">
        <v>5691</v>
      </c>
      <c r="L1278" s="1" t="s">
        <v>3013</v>
      </c>
      <c r="M1278" t="s">
        <v>3014</v>
      </c>
      <c r="N1278" t="s">
        <v>202</v>
      </c>
      <c r="O1278" s="1" t="s">
        <v>5700</v>
      </c>
      <c r="P1278" s="1" t="s">
        <v>5702</v>
      </c>
      <c r="Q1278" s="1" t="s">
        <v>7328</v>
      </c>
    </row>
    <row r="1279" spans="1:17" x14ac:dyDescent="0.25">
      <c r="A1279" t="s">
        <v>5703</v>
      </c>
      <c r="B1279" t="str">
        <f>HYPERLINK("https://staging-dtl-pattern-api.hfm-weimar.de/static/audio/solos/dtl/AQAOMIwkhsoSJIt-5DjRG-6WGA_54zlc_0.05.26.075120-0.06.58.070222.mp3", "link")</f>
        <v>link</v>
      </c>
      <c r="D1279" t="s">
        <v>5690</v>
      </c>
      <c r="E1279" t="s">
        <v>4722</v>
      </c>
      <c r="F1279" t="s">
        <v>2845</v>
      </c>
      <c r="J1279" t="s">
        <v>3011</v>
      </c>
      <c r="K1279" t="s">
        <v>5691</v>
      </c>
      <c r="L1279" s="1" t="s">
        <v>3013</v>
      </c>
      <c r="M1279" t="s">
        <v>3014</v>
      </c>
      <c r="N1279" t="s">
        <v>202</v>
      </c>
      <c r="O1279" s="1" t="s">
        <v>5702</v>
      </c>
      <c r="P1279" s="1" t="s">
        <v>5704</v>
      </c>
      <c r="Q1279" s="1" t="s">
        <v>7328</v>
      </c>
    </row>
    <row r="1280" spans="1:17" x14ac:dyDescent="0.25">
      <c r="A1280" t="s">
        <v>5705</v>
      </c>
      <c r="B1280" t="str">
        <f>HYPERLINK("https://staging-dtl-pattern-api.hfm-weimar.de/static/audio/solos/dtl/AQAON4kiJSsVCWEWnQlOtfBznHiOK0eZ_0.01.38.008979-0.04.00.018721.mp3", "link")</f>
        <v>link</v>
      </c>
      <c r="D1280" t="s">
        <v>5706</v>
      </c>
      <c r="E1280" t="s">
        <v>4233</v>
      </c>
      <c r="F1280" t="s">
        <v>4233</v>
      </c>
      <c r="G1280" t="s">
        <v>4233</v>
      </c>
      <c r="J1280" t="s">
        <v>4234</v>
      </c>
      <c r="K1280" t="s">
        <v>5707</v>
      </c>
      <c r="L1280" s="1" t="s">
        <v>4236</v>
      </c>
      <c r="N1280" t="s">
        <v>288</v>
      </c>
      <c r="O1280" s="1" t="s">
        <v>5708</v>
      </c>
      <c r="P1280" s="1" t="s">
        <v>5709</v>
      </c>
    </row>
    <row r="1281" spans="1:17" x14ac:dyDescent="0.25">
      <c r="A1281" t="s">
        <v>5710</v>
      </c>
      <c r="B1281" t="str">
        <f>HYPERLINK("https://staging-dtl-pattern-api.hfm-weimar.de/static/audio/solos/dtl/AQAON4kiJSsVCWEWnQlOtfBznHiOK0eZ_0.04.00.018721-0.05.35.048190.mp3", "link")</f>
        <v>link</v>
      </c>
      <c r="D1281" t="s">
        <v>5706</v>
      </c>
      <c r="E1281" t="s">
        <v>4232</v>
      </c>
      <c r="F1281" t="s">
        <v>4233</v>
      </c>
      <c r="G1281" t="s">
        <v>4233</v>
      </c>
      <c r="J1281" t="s">
        <v>4234</v>
      </c>
      <c r="K1281" t="s">
        <v>5707</v>
      </c>
      <c r="L1281" s="1" t="s">
        <v>4236</v>
      </c>
      <c r="N1281" t="s">
        <v>23</v>
      </c>
      <c r="O1281" s="1" t="s">
        <v>5709</v>
      </c>
      <c r="P1281" s="1" t="s">
        <v>5711</v>
      </c>
    </row>
    <row r="1282" spans="1:17" x14ac:dyDescent="0.25">
      <c r="A1282" t="s">
        <v>5712</v>
      </c>
      <c r="B1282" t="str">
        <f>HYPERLINK("https://staging-dtl-pattern-api.hfm-weimar.de/static/audio/solos/dtl/AQAOPsoUSlGybHgoDx_qHT4z4enxCFSe_0.01.20.052680-0.02.57.037142.mp3", "link")</f>
        <v>link</v>
      </c>
      <c r="D1282" t="s">
        <v>5713</v>
      </c>
      <c r="E1282" t="s">
        <v>5714</v>
      </c>
      <c r="F1282" t="s">
        <v>5714</v>
      </c>
      <c r="G1282" t="s">
        <v>5714</v>
      </c>
      <c r="J1282" t="s">
        <v>5715</v>
      </c>
      <c r="K1282" t="s">
        <v>1186</v>
      </c>
      <c r="L1282" s="1" t="s">
        <v>5716</v>
      </c>
      <c r="M1282" t="s">
        <v>5717</v>
      </c>
      <c r="N1282" t="s">
        <v>202</v>
      </c>
      <c r="O1282" s="1" t="s">
        <v>5718</v>
      </c>
      <c r="P1282" s="1" t="s">
        <v>1112</v>
      </c>
      <c r="Q1282" s="1" t="s">
        <v>7329</v>
      </c>
    </row>
    <row r="1283" spans="1:17" x14ac:dyDescent="0.25">
      <c r="A1283" t="s">
        <v>5719</v>
      </c>
      <c r="B1283" t="str">
        <f>HYPERLINK("https://staging-dtl-pattern-api.hfm-weimar.de/static/audio/solos/dtl/AQAOPsoUSlGybHgoDx_qHT4z4enxCFSe_0.04.47.073877-0.06.05.019183.mp3", "link")</f>
        <v>link</v>
      </c>
      <c r="D1283" t="s">
        <v>5713</v>
      </c>
      <c r="E1283" t="s">
        <v>3629</v>
      </c>
      <c r="F1283" t="s">
        <v>5714</v>
      </c>
      <c r="G1283" t="s">
        <v>5714</v>
      </c>
      <c r="J1283" t="s">
        <v>5715</v>
      </c>
      <c r="K1283" t="s">
        <v>1186</v>
      </c>
      <c r="L1283" s="1" t="s">
        <v>5716</v>
      </c>
      <c r="M1283" t="s">
        <v>5717</v>
      </c>
      <c r="N1283" t="s">
        <v>46</v>
      </c>
      <c r="O1283" s="1" t="s">
        <v>5720</v>
      </c>
      <c r="P1283" s="1" t="s">
        <v>5721</v>
      </c>
    </row>
    <row r="1284" spans="1:17" x14ac:dyDescent="0.25">
      <c r="A1284" t="s">
        <v>5722</v>
      </c>
      <c r="B1284" t="str">
        <f>HYPERLINK("https://staging-dtl-pattern-api.hfm-weimar.de/static/audio/solos/dtl/AQAOPsoUSlGybHgoDx_qHT4z4enxCFSe_0.06.29.053795-0.07.10.049795.mp3", "link")</f>
        <v>link</v>
      </c>
      <c r="D1284" t="s">
        <v>5713</v>
      </c>
      <c r="E1284" t="s">
        <v>3629</v>
      </c>
      <c r="F1284" t="s">
        <v>5714</v>
      </c>
      <c r="G1284" t="s">
        <v>5714</v>
      </c>
      <c r="J1284" t="s">
        <v>5715</v>
      </c>
      <c r="K1284" t="s">
        <v>1186</v>
      </c>
      <c r="L1284" s="1" t="s">
        <v>5716</v>
      </c>
      <c r="M1284" t="s">
        <v>5717</v>
      </c>
      <c r="N1284" t="s">
        <v>46</v>
      </c>
      <c r="O1284" s="1" t="s">
        <v>5723</v>
      </c>
      <c r="P1284" s="1" t="s">
        <v>5724</v>
      </c>
    </row>
    <row r="1285" spans="1:17" x14ac:dyDescent="0.25">
      <c r="A1285" t="s">
        <v>5725</v>
      </c>
      <c r="B1285" t="str">
        <f>HYPERLINK("https://staging-dtl-pattern-api.hfm-weimar.de/static/audio/solos/dtl/AQAOQEmSSEmWJ1oQ6c7xCM94PFFCVAoe_0.06.03.023265-0.06.16.029387.mp3", "link")</f>
        <v>link</v>
      </c>
      <c r="D1285" t="s">
        <v>5726</v>
      </c>
      <c r="E1285" t="s">
        <v>5239</v>
      </c>
      <c r="F1285" t="s">
        <v>5240</v>
      </c>
      <c r="G1285" t="s">
        <v>5240</v>
      </c>
      <c r="J1285" t="s">
        <v>5241</v>
      </c>
      <c r="K1285" t="s">
        <v>5727</v>
      </c>
      <c r="L1285" s="1" t="s">
        <v>5243</v>
      </c>
      <c r="M1285" t="s">
        <v>705</v>
      </c>
      <c r="N1285" t="s">
        <v>23</v>
      </c>
      <c r="O1285" s="1" t="s">
        <v>5728</v>
      </c>
      <c r="P1285" s="1" t="s">
        <v>5729</v>
      </c>
    </row>
    <row r="1286" spans="1:17" x14ac:dyDescent="0.25">
      <c r="A1286" t="s">
        <v>5730</v>
      </c>
      <c r="B1286" t="str">
        <f>HYPERLINK("https://staging-dtl-pattern-api.hfm-weimar.de/static/audio/solos/dtl/AQAOQEmSSEmWJ1oQ6c7xCM94PFFCVAoe_0.06.29.074693-0.06.35.042857.mp3", "link")</f>
        <v>link</v>
      </c>
      <c r="D1286" t="s">
        <v>5726</v>
      </c>
      <c r="E1286" t="s">
        <v>5239</v>
      </c>
      <c r="F1286" t="s">
        <v>5240</v>
      </c>
      <c r="G1286" t="s">
        <v>5240</v>
      </c>
      <c r="J1286" t="s">
        <v>5241</v>
      </c>
      <c r="K1286" t="s">
        <v>5727</v>
      </c>
      <c r="L1286" s="1" t="s">
        <v>5243</v>
      </c>
      <c r="M1286" t="s">
        <v>705</v>
      </c>
      <c r="N1286" t="s">
        <v>23</v>
      </c>
      <c r="O1286" s="1" t="s">
        <v>5731</v>
      </c>
      <c r="P1286" s="1" t="s">
        <v>5732</v>
      </c>
    </row>
    <row r="1287" spans="1:17" x14ac:dyDescent="0.25">
      <c r="A1287" t="s">
        <v>5733</v>
      </c>
      <c r="B1287" t="str">
        <f>HYPERLINK("https://staging-dtl-pattern-api.hfm-weimar.de/static/audio/solos/dtl/AQAOqMycaFGDJvmOHw_6EK5z9MmRk0Hy_0.00.00.006530-0.00.29.038775.mp3", "link")</f>
        <v>link</v>
      </c>
      <c r="D1287" t="s">
        <v>5734</v>
      </c>
      <c r="E1287" t="s">
        <v>123</v>
      </c>
      <c r="F1287" t="s">
        <v>123</v>
      </c>
      <c r="G1287" t="s">
        <v>123</v>
      </c>
      <c r="J1287" t="s">
        <v>5735</v>
      </c>
      <c r="K1287" t="s">
        <v>5736</v>
      </c>
      <c r="L1287" s="1" t="s">
        <v>5737</v>
      </c>
      <c r="M1287" t="s">
        <v>5738</v>
      </c>
      <c r="N1287" t="s">
        <v>23</v>
      </c>
      <c r="O1287" s="1" t="s">
        <v>4532</v>
      </c>
      <c r="P1287" s="1" t="s">
        <v>5739</v>
      </c>
    </row>
    <row r="1288" spans="1:17" x14ac:dyDescent="0.25">
      <c r="A1288" t="s">
        <v>5740</v>
      </c>
      <c r="B1288" t="str">
        <f>HYPERLINK("https://staging-dtl-pattern-api.hfm-weimar.de/static/audio/solos/dtl/AQAOqMycaFGDJvmOHw_6EK5z9MmRk0Hy_0.01.02.013659-0.04.20.070204.mp3", "link")</f>
        <v>link</v>
      </c>
      <c r="D1288" t="s">
        <v>5734</v>
      </c>
      <c r="E1288" t="s">
        <v>123</v>
      </c>
      <c r="F1288" t="s">
        <v>123</v>
      </c>
      <c r="G1288" t="s">
        <v>123</v>
      </c>
      <c r="J1288" t="s">
        <v>5735</v>
      </c>
      <c r="K1288" t="s">
        <v>5736</v>
      </c>
      <c r="L1288" s="1" t="s">
        <v>5737</v>
      </c>
      <c r="M1288" t="s">
        <v>5738</v>
      </c>
      <c r="N1288" t="s">
        <v>23</v>
      </c>
      <c r="O1288" s="1" t="s">
        <v>5741</v>
      </c>
      <c r="P1288" s="1" t="s">
        <v>5742</v>
      </c>
    </row>
    <row r="1289" spans="1:17" x14ac:dyDescent="0.25">
      <c r="A1289" t="s">
        <v>5743</v>
      </c>
      <c r="B1289" t="str">
        <f>HYPERLINK("https://staging-dtl-pattern-api.hfm-weimar.de/static/audio/solos/dtl/AQAOqMycaFGDJvmOHw_6EK5z9MmRk0Hy_0.06.03.000408-0.06.11.026530.mp3", "link")</f>
        <v>link</v>
      </c>
      <c r="D1289" t="s">
        <v>5734</v>
      </c>
      <c r="E1289" t="s">
        <v>123</v>
      </c>
      <c r="F1289" t="s">
        <v>123</v>
      </c>
      <c r="G1289" t="s">
        <v>123</v>
      </c>
      <c r="J1289" t="s">
        <v>5735</v>
      </c>
      <c r="K1289" t="s">
        <v>5736</v>
      </c>
      <c r="L1289" s="1" t="s">
        <v>5737</v>
      </c>
      <c r="M1289" t="s">
        <v>5738</v>
      </c>
      <c r="N1289" t="s">
        <v>23</v>
      </c>
      <c r="O1289" s="1" t="s">
        <v>5744</v>
      </c>
      <c r="P1289" s="1" t="s">
        <v>5745</v>
      </c>
    </row>
    <row r="1290" spans="1:17" x14ac:dyDescent="0.25">
      <c r="A1290" t="s">
        <v>5746</v>
      </c>
      <c r="B1290" t="str">
        <f>HYPERLINK("https://staging-dtl-pattern-api.hfm-weimar.de/static/audio/solos/dtl/AQAOqMycaFGDJvmOHw_6EK5z9MmRk0Hy_0.06.18.002448-0.06.26.038004.mp3", "link")</f>
        <v>link</v>
      </c>
      <c r="D1290" t="s">
        <v>5734</v>
      </c>
      <c r="E1290" t="s">
        <v>123</v>
      </c>
      <c r="F1290" t="s">
        <v>123</v>
      </c>
      <c r="G1290" t="s">
        <v>123</v>
      </c>
      <c r="J1290" t="s">
        <v>5735</v>
      </c>
      <c r="K1290" t="s">
        <v>5736</v>
      </c>
      <c r="L1290" s="1" t="s">
        <v>5737</v>
      </c>
      <c r="M1290" t="s">
        <v>5738</v>
      </c>
      <c r="N1290" t="s">
        <v>23</v>
      </c>
      <c r="O1290" s="1" t="s">
        <v>5747</v>
      </c>
      <c r="P1290" s="1" t="s">
        <v>5748</v>
      </c>
    </row>
    <row r="1291" spans="1:17" x14ac:dyDescent="0.25">
      <c r="A1291" t="s">
        <v>5749</v>
      </c>
      <c r="B1291" t="str">
        <f>HYPERLINK("https://staging-dtl-pattern-api.hfm-weimar.de/static/audio/solos/dtl/AQAOqMycaFGDJvmOHw_6EK5z9MmRk0Hy_0.06.34.036770-0.06.42.091265.mp3", "link")</f>
        <v>link</v>
      </c>
      <c r="D1291" t="s">
        <v>5734</v>
      </c>
      <c r="E1291" t="s">
        <v>123</v>
      </c>
      <c r="F1291" t="s">
        <v>123</v>
      </c>
      <c r="G1291" t="s">
        <v>123</v>
      </c>
      <c r="J1291" t="s">
        <v>5735</v>
      </c>
      <c r="K1291" t="s">
        <v>5736</v>
      </c>
      <c r="L1291" s="1" t="s">
        <v>5737</v>
      </c>
      <c r="M1291" t="s">
        <v>5738</v>
      </c>
      <c r="N1291" t="s">
        <v>23</v>
      </c>
      <c r="O1291" s="1" t="s">
        <v>4493</v>
      </c>
      <c r="P1291" s="1" t="s">
        <v>5750</v>
      </c>
    </row>
    <row r="1292" spans="1:17" x14ac:dyDescent="0.25">
      <c r="A1292" t="s">
        <v>5751</v>
      </c>
      <c r="B1292" t="str">
        <f>HYPERLINK("https://staging-dtl-pattern-api.hfm-weimar.de/static/audio/solos/dtl/AQAOrpIeKomIP8IdTNL6IlEUxUYu50Kf_0.01.18.029768-0.03.50.015619.mp3", "link")</f>
        <v>link</v>
      </c>
      <c r="D1292" t="s">
        <v>5752</v>
      </c>
      <c r="E1292" t="s">
        <v>1690</v>
      </c>
      <c r="F1292" t="s">
        <v>5753</v>
      </c>
      <c r="G1292" t="s">
        <v>1690</v>
      </c>
      <c r="H1292" t="s">
        <v>5754</v>
      </c>
      <c r="I1292">
        <v>97</v>
      </c>
      <c r="J1292" t="s">
        <v>126</v>
      </c>
      <c r="K1292" t="s">
        <v>5755</v>
      </c>
      <c r="L1292" s="1" t="s">
        <v>5756</v>
      </c>
      <c r="M1292" t="s">
        <v>129</v>
      </c>
      <c r="N1292" t="s">
        <v>172</v>
      </c>
      <c r="O1292" s="1" t="s">
        <v>1604</v>
      </c>
      <c r="P1292" s="1" t="s">
        <v>5757</v>
      </c>
    </row>
    <row r="1293" spans="1:17" x14ac:dyDescent="0.25">
      <c r="A1293" t="s">
        <v>5758</v>
      </c>
      <c r="B1293" t="str">
        <f>HYPERLINK("https://staging-dtl-pattern-api.hfm-weimar.de/static/audio/solos/dtl/AQAOrpIeKomIP8IdTNL6IlEUxUYu50Kf_0.03.50.015619-0.06.25.075310.mp3", "link")</f>
        <v>link</v>
      </c>
      <c r="D1293" t="s">
        <v>5752</v>
      </c>
      <c r="E1293" t="s">
        <v>5759</v>
      </c>
      <c r="F1293" t="s">
        <v>5753</v>
      </c>
      <c r="G1293" t="s">
        <v>1690</v>
      </c>
      <c r="H1293" t="s">
        <v>5754</v>
      </c>
      <c r="I1293">
        <v>97</v>
      </c>
      <c r="J1293" t="s">
        <v>126</v>
      </c>
      <c r="K1293" t="s">
        <v>5755</v>
      </c>
      <c r="L1293" s="1" t="s">
        <v>5756</v>
      </c>
      <c r="M1293" t="s">
        <v>129</v>
      </c>
      <c r="N1293" t="s">
        <v>23</v>
      </c>
      <c r="O1293" s="1" t="s">
        <v>5757</v>
      </c>
      <c r="P1293" s="1" t="s">
        <v>5760</v>
      </c>
    </row>
    <row r="1294" spans="1:17" x14ac:dyDescent="0.25">
      <c r="A1294" t="s">
        <v>5761</v>
      </c>
      <c r="B1294" t="str">
        <f>HYPERLINK("https://staging-dtl-pattern-api.hfm-weimar.de/static/audio/solos/dtl/AQAOrpIeKomIP8IdTNL6IlEUxUYu50Kf_0.06.25.075310-0.06.30.072217.mp3", "link")</f>
        <v>link</v>
      </c>
      <c r="D1294" t="s">
        <v>5752</v>
      </c>
      <c r="E1294" t="s">
        <v>1690</v>
      </c>
      <c r="F1294" t="s">
        <v>5753</v>
      </c>
      <c r="G1294" t="s">
        <v>1690</v>
      </c>
      <c r="H1294" t="s">
        <v>5754</v>
      </c>
      <c r="I1294">
        <v>97</v>
      </c>
      <c r="J1294" t="s">
        <v>126</v>
      </c>
      <c r="K1294" t="s">
        <v>5755</v>
      </c>
      <c r="L1294" s="1" t="s">
        <v>5756</v>
      </c>
      <c r="M1294" t="s">
        <v>129</v>
      </c>
      <c r="N1294" t="s">
        <v>172</v>
      </c>
      <c r="O1294" s="1" t="s">
        <v>5760</v>
      </c>
      <c r="P1294" s="1" t="s">
        <v>5762</v>
      </c>
    </row>
    <row r="1295" spans="1:17" x14ac:dyDescent="0.25">
      <c r="A1295" t="s">
        <v>5763</v>
      </c>
      <c r="B1295" t="str">
        <f>HYPERLINK("https://staging-dtl-pattern-api.hfm-weimar.de/static/audio/solos/dtl/AQAOrpIeKomIP8IdTNL6IlEUxUYu50Kf_0.06.30.072217-0.06.36.050394.mp3", "link")</f>
        <v>link</v>
      </c>
      <c r="D1295" t="s">
        <v>5752</v>
      </c>
      <c r="E1295" t="s">
        <v>5759</v>
      </c>
      <c r="F1295" t="s">
        <v>5753</v>
      </c>
      <c r="G1295" t="s">
        <v>1690</v>
      </c>
      <c r="H1295" t="s">
        <v>5754</v>
      </c>
      <c r="I1295">
        <v>97</v>
      </c>
      <c r="J1295" t="s">
        <v>126</v>
      </c>
      <c r="K1295" t="s">
        <v>5755</v>
      </c>
      <c r="L1295" s="1" t="s">
        <v>5756</v>
      </c>
      <c r="M1295" t="s">
        <v>129</v>
      </c>
      <c r="N1295" t="s">
        <v>23</v>
      </c>
      <c r="O1295" s="1" t="s">
        <v>5762</v>
      </c>
      <c r="P1295" s="1" t="s">
        <v>5764</v>
      </c>
    </row>
    <row r="1296" spans="1:17" x14ac:dyDescent="0.25">
      <c r="A1296" t="s">
        <v>5765</v>
      </c>
      <c r="B1296" t="str">
        <f>HYPERLINK("https://staging-dtl-pattern-api.hfm-weimar.de/static/audio/solos/dtl/AQAOrpIeKomIP8IdTNL6IlEUxUYu50Kf_0.06.36.050394-0.06.42.068045.mp3", "link")</f>
        <v>link</v>
      </c>
      <c r="D1296" t="s">
        <v>5752</v>
      </c>
      <c r="E1296" t="s">
        <v>1690</v>
      </c>
      <c r="F1296" t="s">
        <v>5753</v>
      </c>
      <c r="G1296" t="s">
        <v>1690</v>
      </c>
      <c r="H1296" t="s">
        <v>5754</v>
      </c>
      <c r="I1296">
        <v>97</v>
      </c>
      <c r="J1296" t="s">
        <v>126</v>
      </c>
      <c r="K1296" t="s">
        <v>5755</v>
      </c>
      <c r="L1296" s="1" t="s">
        <v>5756</v>
      </c>
      <c r="M1296" t="s">
        <v>129</v>
      </c>
      <c r="N1296" t="s">
        <v>172</v>
      </c>
      <c r="O1296" s="1" t="s">
        <v>5764</v>
      </c>
      <c r="P1296" s="1" t="s">
        <v>5766</v>
      </c>
    </row>
    <row r="1297" spans="1:17" x14ac:dyDescent="0.25">
      <c r="A1297" t="s">
        <v>5767</v>
      </c>
      <c r="B1297" t="str">
        <f>HYPERLINK("https://staging-dtl-pattern-api.hfm-weimar.de/static/audio/solos/dtl/AQAOrpIeKomIP8IdTNL6IlEUxUYu50Kf_0.06.42.068045-0.06.49.004272.mp3", "link")</f>
        <v>link</v>
      </c>
      <c r="D1297" t="s">
        <v>5752</v>
      </c>
      <c r="E1297" t="s">
        <v>5759</v>
      </c>
      <c r="F1297" t="s">
        <v>5753</v>
      </c>
      <c r="G1297" t="s">
        <v>1690</v>
      </c>
      <c r="H1297" t="s">
        <v>5754</v>
      </c>
      <c r="I1297">
        <v>97</v>
      </c>
      <c r="J1297" t="s">
        <v>126</v>
      </c>
      <c r="K1297" t="s">
        <v>5755</v>
      </c>
      <c r="L1297" s="1" t="s">
        <v>5756</v>
      </c>
      <c r="M1297" t="s">
        <v>129</v>
      </c>
      <c r="N1297" t="s">
        <v>23</v>
      </c>
      <c r="O1297" s="1" t="s">
        <v>5766</v>
      </c>
      <c r="P1297" s="1" t="s">
        <v>5768</v>
      </c>
    </row>
    <row r="1298" spans="1:17" x14ac:dyDescent="0.25">
      <c r="A1298" t="s">
        <v>5769</v>
      </c>
      <c r="B1298" t="str">
        <f>HYPERLINK("https://staging-dtl-pattern-api.hfm-weimar.de/static/audio/solos/dtl/AQAOrpIeKomIP8IdTNL6IlEUxUYu50Kf_0.06.49.004272-0.06.55.086938.mp3", "link")</f>
        <v>link</v>
      </c>
      <c r="D1298" t="s">
        <v>5752</v>
      </c>
      <c r="E1298" t="s">
        <v>1690</v>
      </c>
      <c r="F1298" t="s">
        <v>5753</v>
      </c>
      <c r="G1298" t="s">
        <v>1690</v>
      </c>
      <c r="H1298" t="s">
        <v>5754</v>
      </c>
      <c r="I1298">
        <v>97</v>
      </c>
      <c r="J1298" t="s">
        <v>126</v>
      </c>
      <c r="K1298" t="s">
        <v>5755</v>
      </c>
      <c r="L1298" s="1" t="s">
        <v>5756</v>
      </c>
      <c r="M1298" t="s">
        <v>129</v>
      </c>
      <c r="N1298" t="s">
        <v>172</v>
      </c>
      <c r="O1298" s="1" t="s">
        <v>5768</v>
      </c>
      <c r="P1298" s="1" t="s">
        <v>5770</v>
      </c>
    </row>
    <row r="1299" spans="1:17" x14ac:dyDescent="0.25">
      <c r="A1299" t="s">
        <v>5771</v>
      </c>
      <c r="B1299" t="str">
        <f>HYPERLINK("https://staging-dtl-pattern-api.hfm-weimar.de/static/audio/solos/dtl/AQAOrpIeKomIP8IdTNL6IlEUxUYu50Kf_0.06.55.086938-0.07.01.092979.mp3", "link")</f>
        <v>link</v>
      </c>
      <c r="D1299" t="s">
        <v>5752</v>
      </c>
      <c r="E1299" t="s">
        <v>5759</v>
      </c>
      <c r="F1299" t="s">
        <v>5753</v>
      </c>
      <c r="G1299" t="s">
        <v>1690</v>
      </c>
      <c r="H1299" t="s">
        <v>5754</v>
      </c>
      <c r="I1299">
        <v>97</v>
      </c>
      <c r="J1299" t="s">
        <v>126</v>
      </c>
      <c r="K1299" t="s">
        <v>5755</v>
      </c>
      <c r="L1299" s="1" t="s">
        <v>5756</v>
      </c>
      <c r="M1299" t="s">
        <v>129</v>
      </c>
      <c r="N1299" t="s">
        <v>23</v>
      </c>
      <c r="O1299" s="1" t="s">
        <v>5770</v>
      </c>
      <c r="P1299" s="1" t="s">
        <v>5772</v>
      </c>
    </row>
    <row r="1300" spans="1:17" x14ac:dyDescent="0.25">
      <c r="A1300" t="s">
        <v>5773</v>
      </c>
      <c r="B1300" t="str">
        <f>HYPERLINK("https://staging-dtl-pattern-api.hfm-weimar.de/static/audio/solos/dtl/AQAOrpIeKomIP8IdTNL6IlEUxUYu50Kf_0.07.01.092979-0.07.11.054285.mp3", "link")</f>
        <v>link</v>
      </c>
      <c r="D1300" t="s">
        <v>5752</v>
      </c>
      <c r="E1300" t="s">
        <v>1690</v>
      </c>
      <c r="F1300" t="s">
        <v>5753</v>
      </c>
      <c r="G1300" t="s">
        <v>1690</v>
      </c>
      <c r="H1300" t="s">
        <v>5754</v>
      </c>
      <c r="I1300">
        <v>97</v>
      </c>
      <c r="J1300" t="s">
        <v>126</v>
      </c>
      <c r="K1300" t="s">
        <v>5755</v>
      </c>
      <c r="L1300" s="1" t="s">
        <v>5756</v>
      </c>
      <c r="M1300" t="s">
        <v>129</v>
      </c>
      <c r="N1300" t="s">
        <v>172</v>
      </c>
      <c r="O1300" s="1" t="s">
        <v>5772</v>
      </c>
      <c r="P1300" s="1" t="s">
        <v>5774</v>
      </c>
    </row>
    <row r="1301" spans="1:17" x14ac:dyDescent="0.25">
      <c r="A1301" t="s">
        <v>5775</v>
      </c>
      <c r="B1301" t="str">
        <f>HYPERLINK("https://staging-dtl-pattern-api.hfm-weimar.de/static/audio/solos/dtl/AQAOrpIeKomIP8IdTNL6IlEUxUYu50Kf_0.07.11.054285-0.07.15.011873.mp3", "link")</f>
        <v>link</v>
      </c>
      <c r="D1301" t="s">
        <v>5752</v>
      </c>
      <c r="E1301" t="s">
        <v>5759</v>
      </c>
      <c r="F1301" t="s">
        <v>5753</v>
      </c>
      <c r="G1301" t="s">
        <v>1690</v>
      </c>
      <c r="H1301" t="s">
        <v>5754</v>
      </c>
      <c r="I1301">
        <v>97</v>
      </c>
      <c r="J1301" t="s">
        <v>126</v>
      </c>
      <c r="K1301" t="s">
        <v>5755</v>
      </c>
      <c r="L1301" s="1" t="s">
        <v>5756</v>
      </c>
      <c r="M1301" t="s">
        <v>129</v>
      </c>
      <c r="N1301" t="s">
        <v>23</v>
      </c>
      <c r="O1301" s="1" t="s">
        <v>5774</v>
      </c>
      <c r="P1301" s="1" t="s">
        <v>5776</v>
      </c>
    </row>
    <row r="1302" spans="1:17" x14ac:dyDescent="0.25">
      <c r="A1302" t="s">
        <v>5777</v>
      </c>
      <c r="B1302" t="str">
        <f>HYPERLINK("https://staging-dtl-pattern-api.hfm-weimar.de/static/audio/solos/dtl/AQAOSIuWZJqUEb-RQ36Q4ziKB5beITwu_0.05.38.080816-0.06.02.071020.mp3", "link")</f>
        <v>link</v>
      </c>
      <c r="D1302" t="s">
        <v>5778</v>
      </c>
      <c r="E1302" t="s">
        <v>5779</v>
      </c>
      <c r="F1302" t="s">
        <v>5780</v>
      </c>
      <c r="G1302" t="s">
        <v>5780</v>
      </c>
      <c r="J1302" t="s">
        <v>5781</v>
      </c>
      <c r="K1302" t="s">
        <v>5782</v>
      </c>
      <c r="L1302" s="1" t="s">
        <v>5783</v>
      </c>
      <c r="M1302" t="s">
        <v>5784</v>
      </c>
      <c r="N1302" t="s">
        <v>449</v>
      </c>
      <c r="O1302" s="1" t="s">
        <v>5785</v>
      </c>
      <c r="P1302" s="1" t="s">
        <v>5786</v>
      </c>
    </row>
    <row r="1303" spans="1:17" x14ac:dyDescent="0.25">
      <c r="A1303" t="s">
        <v>5787</v>
      </c>
      <c r="B1303" t="str">
        <f>HYPERLINK("https://staging-dtl-pattern-api.hfm-weimar.de/static/audio/solos/dtl/AQAOstLFLNEiXCfOKMfz4Dl6eKGPUMmT_0.01.20.019591-0.03.51.096734.mp3", "link")</f>
        <v>link</v>
      </c>
      <c r="D1303" t="s">
        <v>5788</v>
      </c>
      <c r="E1303" t="s">
        <v>2820</v>
      </c>
      <c r="F1303" t="s">
        <v>2820</v>
      </c>
      <c r="J1303" t="s">
        <v>5789</v>
      </c>
      <c r="K1303" t="s">
        <v>5790</v>
      </c>
      <c r="L1303" s="1" t="s">
        <v>4247</v>
      </c>
      <c r="M1303" t="s">
        <v>129</v>
      </c>
      <c r="N1303" t="s">
        <v>202</v>
      </c>
      <c r="O1303" s="1" t="s">
        <v>5791</v>
      </c>
      <c r="P1303" s="1" t="s">
        <v>3817</v>
      </c>
      <c r="Q1303" s="1" t="s">
        <v>7289</v>
      </c>
    </row>
    <row r="1304" spans="1:17" x14ac:dyDescent="0.25">
      <c r="A1304" t="s">
        <v>5792</v>
      </c>
      <c r="B1304" t="str">
        <f>HYPERLINK("https://staging-dtl-pattern-api.hfm-weimar.de/static/audio/solos/dtl/AQAOU0kuTqEC5UeYH89CXAf-4Ud6aJuy_0.01.52.094185-0.03.25.045306.mp3", "link")</f>
        <v>link</v>
      </c>
      <c r="D1304" t="s">
        <v>3941</v>
      </c>
      <c r="E1304" t="s">
        <v>4423</v>
      </c>
      <c r="F1304" t="s">
        <v>3942</v>
      </c>
      <c r="G1304" t="s">
        <v>3942</v>
      </c>
      <c r="J1304" t="s">
        <v>3943</v>
      </c>
      <c r="K1304" t="s">
        <v>5793</v>
      </c>
      <c r="L1304" s="1" t="s">
        <v>3945</v>
      </c>
      <c r="M1304" t="s">
        <v>129</v>
      </c>
      <c r="N1304" t="s">
        <v>891</v>
      </c>
      <c r="O1304" s="1" t="s">
        <v>2280</v>
      </c>
      <c r="P1304" s="1" t="s">
        <v>5794</v>
      </c>
    </row>
    <row r="1305" spans="1:17" x14ac:dyDescent="0.25">
      <c r="A1305" t="s">
        <v>5795</v>
      </c>
      <c r="B1305" t="str">
        <f>HYPERLINK("https://staging-dtl-pattern-api.hfm-weimar.de/static/audio/solos/dtl/AQAOU0kuTqEC5UeYH89CXAf-4Ud6aJuy_0.04.52.083265-0.07.32.044081.mp3", "link")</f>
        <v>link</v>
      </c>
      <c r="D1305" t="s">
        <v>3941</v>
      </c>
      <c r="E1305" t="s">
        <v>4423</v>
      </c>
      <c r="F1305" t="s">
        <v>3942</v>
      </c>
      <c r="G1305" t="s">
        <v>3942</v>
      </c>
      <c r="J1305" t="s">
        <v>3943</v>
      </c>
      <c r="K1305" t="s">
        <v>5793</v>
      </c>
      <c r="L1305" s="1" t="s">
        <v>3945</v>
      </c>
      <c r="M1305" t="s">
        <v>129</v>
      </c>
      <c r="N1305" t="s">
        <v>23</v>
      </c>
      <c r="O1305" s="1" t="s">
        <v>5796</v>
      </c>
      <c r="P1305" s="1" t="s">
        <v>5797</v>
      </c>
    </row>
    <row r="1306" spans="1:17" x14ac:dyDescent="0.25">
      <c r="A1306" t="s">
        <v>5798</v>
      </c>
      <c r="B1306" t="str">
        <f>HYPERLINK("https://staging-dtl-pattern-api.hfm-weimar.de/static/audio/solos/dtl/AQAOuwojydIS4b2IJ_xRPqHxRUIdTQ6e_0.04.18.035102-0.05.59.057551.mp3", "link")</f>
        <v>link</v>
      </c>
      <c r="D1306" t="s">
        <v>4380</v>
      </c>
      <c r="E1306" t="s">
        <v>4381</v>
      </c>
      <c r="F1306" t="s">
        <v>4381</v>
      </c>
      <c r="G1306" t="s">
        <v>4381</v>
      </c>
      <c r="J1306" t="s">
        <v>4381</v>
      </c>
      <c r="K1306" t="s">
        <v>5799</v>
      </c>
      <c r="L1306" s="1" t="s">
        <v>4383</v>
      </c>
      <c r="M1306" t="s">
        <v>4384</v>
      </c>
      <c r="N1306" t="s">
        <v>23</v>
      </c>
      <c r="O1306" s="1" t="s">
        <v>5800</v>
      </c>
      <c r="P1306" s="1" t="s">
        <v>5801</v>
      </c>
    </row>
    <row r="1307" spans="1:17" x14ac:dyDescent="0.25">
      <c r="A1307" t="s">
        <v>5802</v>
      </c>
      <c r="B1307" t="str">
        <f>HYPERLINK("https://staging-dtl-pattern-api.hfm-weimar.de/static/audio/solos/dtl/AQAoZqK0iKyCPj_84A9-4iNeNMWYSlnw_0.00.01.004489-0.13.46.025306.mp3", "link")</f>
        <v>link</v>
      </c>
      <c r="D1307" t="s">
        <v>5803</v>
      </c>
      <c r="E1307" t="s">
        <v>5804</v>
      </c>
      <c r="F1307" t="s">
        <v>5804</v>
      </c>
      <c r="G1307" t="s">
        <v>5804</v>
      </c>
      <c r="J1307" t="s">
        <v>5805</v>
      </c>
      <c r="K1307" t="s">
        <v>5806</v>
      </c>
      <c r="L1307" s="1" t="s">
        <v>5807</v>
      </c>
      <c r="M1307" t="s">
        <v>108</v>
      </c>
      <c r="N1307" t="s">
        <v>23</v>
      </c>
      <c r="O1307" s="1" t="s">
        <v>5344</v>
      </c>
      <c r="P1307" s="1" t="s">
        <v>5808</v>
      </c>
    </row>
    <row r="1308" spans="1:17" x14ac:dyDescent="0.25">
      <c r="A1308" t="s">
        <v>5809</v>
      </c>
      <c r="B1308" t="str">
        <f>HYPERLINK("https://staging-dtl-pattern-api.hfm-weimar.de/static/audio/solos/dtl/AQAoZqK0iKyCPj_84A9-4iNeNMWYSlnw_0.20.33.089387-0.21.06.002448.mp3", "link")</f>
        <v>link</v>
      </c>
      <c r="D1308" t="s">
        <v>5803</v>
      </c>
      <c r="E1308" t="s">
        <v>5804</v>
      </c>
      <c r="F1308" t="s">
        <v>5804</v>
      </c>
      <c r="G1308" t="s">
        <v>5804</v>
      </c>
      <c r="J1308" t="s">
        <v>5805</v>
      </c>
      <c r="K1308" t="s">
        <v>5806</v>
      </c>
      <c r="L1308" s="1" t="s">
        <v>5807</v>
      </c>
      <c r="M1308" t="s">
        <v>108</v>
      </c>
      <c r="N1308" t="s">
        <v>23</v>
      </c>
      <c r="O1308" s="1" t="s">
        <v>5810</v>
      </c>
      <c r="P1308" s="1" t="s">
        <v>5811</v>
      </c>
    </row>
    <row r="1309" spans="1:17" x14ac:dyDescent="0.25">
      <c r="A1309" t="s">
        <v>5812</v>
      </c>
      <c r="B1309" t="str">
        <f>HYPERLINK("https://staging-dtl-pattern-api.hfm-weimar.de/static/audio/solos/dtl/AQAP30omKUm2KYGrjInwa8SP7ENxPD_M_0.00.37.048571-0.02.58.041632.mp3", "link")</f>
        <v>link</v>
      </c>
      <c r="D1309" t="s">
        <v>7140</v>
      </c>
      <c r="E1309" t="s">
        <v>1055</v>
      </c>
      <c r="F1309" t="s">
        <v>1055</v>
      </c>
      <c r="G1309" t="s">
        <v>1055</v>
      </c>
      <c r="J1309" t="s">
        <v>1056</v>
      </c>
      <c r="K1309" t="s">
        <v>5814</v>
      </c>
      <c r="L1309" s="1" t="s">
        <v>5003</v>
      </c>
      <c r="M1309" t="s">
        <v>5004</v>
      </c>
      <c r="N1309" t="s">
        <v>119</v>
      </c>
      <c r="O1309" s="1" t="s">
        <v>5815</v>
      </c>
      <c r="P1309" s="1" t="s">
        <v>5816</v>
      </c>
      <c r="Q1309" s="1" t="s">
        <v>7330</v>
      </c>
    </row>
    <row r="1310" spans="1:17" x14ac:dyDescent="0.25">
      <c r="A1310" t="s">
        <v>5817</v>
      </c>
      <c r="B1310" t="str">
        <f>HYPERLINK("https://staging-dtl-pattern-api.hfm-weimar.de/static/audio/solos/dtl/AQAP30omKUm2KYGrjInwa8SP7ENxPD_M_0.05.07.075510-0.05.19.041224.mp3", "link")</f>
        <v>link</v>
      </c>
      <c r="D1310" t="s">
        <v>7140</v>
      </c>
      <c r="E1310" t="s">
        <v>1055</v>
      </c>
      <c r="F1310" t="s">
        <v>1055</v>
      </c>
      <c r="G1310" t="s">
        <v>1055</v>
      </c>
      <c r="J1310" t="s">
        <v>1056</v>
      </c>
      <c r="K1310" t="s">
        <v>5814</v>
      </c>
      <c r="L1310" s="1" t="s">
        <v>5003</v>
      </c>
      <c r="M1310" t="s">
        <v>5004</v>
      </c>
      <c r="N1310" t="s">
        <v>119</v>
      </c>
      <c r="O1310" s="1" t="s">
        <v>5818</v>
      </c>
      <c r="P1310" s="1" t="s">
        <v>5819</v>
      </c>
      <c r="Q1310" s="1" t="s">
        <v>7330</v>
      </c>
    </row>
    <row r="1311" spans="1:17" x14ac:dyDescent="0.25">
      <c r="A1311" t="s">
        <v>5820</v>
      </c>
      <c r="B1311" t="str">
        <f>HYPERLINK("https://staging-dtl-pattern-api.hfm-weimar.de/static/audio/solos/dtl/AQAP30omKUm2KYGrjInwa8SP7ENxPD_M_0.05.25.055102-0.05.32.080000.mp3", "link")</f>
        <v>link</v>
      </c>
      <c r="D1311" t="s">
        <v>7140</v>
      </c>
      <c r="E1311" t="s">
        <v>1055</v>
      </c>
      <c r="F1311" t="s">
        <v>1055</v>
      </c>
      <c r="G1311" t="s">
        <v>1055</v>
      </c>
      <c r="J1311" t="s">
        <v>1056</v>
      </c>
      <c r="K1311" t="s">
        <v>5814</v>
      </c>
      <c r="L1311" s="1" t="s">
        <v>5003</v>
      </c>
      <c r="M1311" t="s">
        <v>5004</v>
      </c>
      <c r="N1311" t="s">
        <v>119</v>
      </c>
      <c r="O1311" s="1" t="s">
        <v>5821</v>
      </c>
      <c r="P1311" s="1" t="s">
        <v>5822</v>
      </c>
      <c r="Q1311" s="1" t="s">
        <v>7330</v>
      </c>
    </row>
    <row r="1312" spans="1:17" x14ac:dyDescent="0.25">
      <c r="A1312" t="s">
        <v>5823</v>
      </c>
      <c r="B1312" t="str">
        <f>HYPERLINK("https://staging-dtl-pattern-api.hfm-weimar.de/static/audio/solos/dtl/AQAP30omKUm2KYGrjInwa8SP7ENxPD_M_0.05.37.092653-0.05.43.024897.mp3", "link")</f>
        <v>link</v>
      </c>
      <c r="D1312" t="s">
        <v>7140</v>
      </c>
      <c r="E1312" t="s">
        <v>1055</v>
      </c>
      <c r="F1312" t="s">
        <v>1055</v>
      </c>
      <c r="G1312" t="s">
        <v>1055</v>
      </c>
      <c r="J1312" t="s">
        <v>1056</v>
      </c>
      <c r="K1312" t="s">
        <v>5814</v>
      </c>
      <c r="L1312" s="1" t="s">
        <v>5003</v>
      </c>
      <c r="M1312" t="s">
        <v>5004</v>
      </c>
      <c r="N1312" t="s">
        <v>119</v>
      </c>
      <c r="O1312" s="1" t="s">
        <v>5824</v>
      </c>
      <c r="P1312" s="1" t="s">
        <v>5825</v>
      </c>
      <c r="Q1312" s="1" t="s">
        <v>7330</v>
      </c>
    </row>
    <row r="1313" spans="1:17" x14ac:dyDescent="0.25">
      <c r="A1313" t="s">
        <v>5826</v>
      </c>
      <c r="B1313" t="str">
        <f>HYPERLINK("https://staging-dtl-pattern-api.hfm-weimar.de/static/audio/solos/dtl/AQAP30omKUm2KYGrjInwa8SP7ENxPD_M_0.07.15.023482-0.08.22.057269.mp3", "link")</f>
        <v>link</v>
      </c>
      <c r="D1313" t="s">
        <v>7140</v>
      </c>
      <c r="E1313" t="s">
        <v>1055</v>
      </c>
      <c r="F1313" t="s">
        <v>1055</v>
      </c>
      <c r="G1313" t="s">
        <v>1055</v>
      </c>
      <c r="J1313" t="s">
        <v>1056</v>
      </c>
      <c r="K1313" t="s">
        <v>5814</v>
      </c>
      <c r="L1313" s="1" t="s">
        <v>5003</v>
      </c>
      <c r="M1313" t="s">
        <v>5004</v>
      </c>
      <c r="N1313" t="s">
        <v>119</v>
      </c>
      <c r="O1313" s="1" t="s">
        <v>5827</v>
      </c>
      <c r="P1313" s="1" t="s">
        <v>5828</v>
      </c>
      <c r="Q1313" s="1" t="s">
        <v>7330</v>
      </c>
    </row>
    <row r="1314" spans="1:17" x14ac:dyDescent="0.25">
      <c r="A1314" t="s">
        <v>5829</v>
      </c>
      <c r="B1314" t="str">
        <f>HYPERLINK("https://staging-dtl-pattern-api.hfm-weimar.de/static/audio/solos/dtl/AQAP7pEWKVKSjEH1z_g2MHNk_MZzvKEw_0.03.22.084952-0.05.21.017841.mp3", "link")</f>
        <v>link</v>
      </c>
      <c r="D1314" t="s">
        <v>7141</v>
      </c>
      <c r="E1314" t="s">
        <v>7142</v>
      </c>
      <c r="F1314" t="s">
        <v>5830</v>
      </c>
      <c r="G1314" t="s">
        <v>5830</v>
      </c>
      <c r="J1314" t="s">
        <v>5831</v>
      </c>
      <c r="K1314" t="s">
        <v>5832</v>
      </c>
      <c r="L1314" s="1" t="s">
        <v>5833</v>
      </c>
      <c r="M1314" t="s">
        <v>5834</v>
      </c>
      <c r="N1314" t="s">
        <v>202</v>
      </c>
      <c r="O1314" s="1" t="s">
        <v>4150</v>
      </c>
      <c r="P1314" s="1" t="s">
        <v>5835</v>
      </c>
      <c r="Q1314" s="1" t="s">
        <v>7331</v>
      </c>
    </row>
    <row r="1315" spans="1:17" x14ac:dyDescent="0.25">
      <c r="A1315" t="s">
        <v>5836</v>
      </c>
      <c r="B1315" t="str">
        <f>HYPERLINK("https://staging-dtl-pattern-api.hfm-weimar.de/static/audio/solos/dtl/AQAP7pEWKVKSjEH1z_g2MHNk_MZzvKEw_0.06.57.030612-0.07.07.016734.mp3", "link")</f>
        <v>link</v>
      </c>
      <c r="D1315" t="s">
        <v>7141</v>
      </c>
      <c r="E1315" t="s">
        <v>7142</v>
      </c>
      <c r="F1315" t="s">
        <v>5830</v>
      </c>
      <c r="G1315" t="s">
        <v>5830</v>
      </c>
      <c r="J1315" t="s">
        <v>5831</v>
      </c>
      <c r="K1315" t="s">
        <v>5832</v>
      </c>
      <c r="L1315" s="1" t="s">
        <v>5833</v>
      </c>
      <c r="M1315" t="s">
        <v>5834</v>
      </c>
      <c r="N1315" t="s">
        <v>202</v>
      </c>
      <c r="O1315" s="1" t="s">
        <v>5837</v>
      </c>
      <c r="P1315" s="1" t="s">
        <v>5838</v>
      </c>
      <c r="Q1315" s="1" t="s">
        <v>7331</v>
      </c>
    </row>
    <row r="1316" spans="1:17" x14ac:dyDescent="0.25">
      <c r="A1316" t="s">
        <v>5839</v>
      </c>
      <c r="B1316" t="str">
        <f>HYPERLINK("https://staging-dtl-pattern-api.hfm-weimar.de/static/audio/solos/dtl/AQAP7pEWKVKSjEH1z_g2MHNk_MZzvKEw_0.07.36.009795-0.07.46.015510.mp3", "link")</f>
        <v>link</v>
      </c>
      <c r="D1316" t="s">
        <v>7141</v>
      </c>
      <c r="E1316" t="s">
        <v>7142</v>
      </c>
      <c r="F1316" t="s">
        <v>5830</v>
      </c>
      <c r="G1316" t="s">
        <v>5830</v>
      </c>
      <c r="J1316" t="s">
        <v>5831</v>
      </c>
      <c r="K1316" t="s">
        <v>5832</v>
      </c>
      <c r="L1316" s="1" t="s">
        <v>5833</v>
      </c>
      <c r="M1316" t="s">
        <v>5834</v>
      </c>
      <c r="N1316" t="s">
        <v>202</v>
      </c>
      <c r="O1316" s="1" t="s">
        <v>5840</v>
      </c>
      <c r="P1316" s="1" t="s">
        <v>5841</v>
      </c>
      <c r="Q1316" s="1" t="s">
        <v>7331</v>
      </c>
    </row>
    <row r="1317" spans="1:17" x14ac:dyDescent="0.25">
      <c r="A1317" t="s">
        <v>5842</v>
      </c>
      <c r="B1317" t="str">
        <f>HYPERLINK("https://staging-dtl-pattern-api.hfm-weimar.de/static/audio/solos/dtl/AQAP8EqkhZeSCL-F6kEjKSSeCNyTQIvR_0.00.55.064081-0.02.08.026122.mp3", "link")</f>
        <v>link</v>
      </c>
      <c r="D1317" t="s">
        <v>5843</v>
      </c>
      <c r="E1317" t="s">
        <v>4722</v>
      </c>
      <c r="F1317" t="s">
        <v>2845</v>
      </c>
      <c r="J1317" t="s">
        <v>3011</v>
      </c>
      <c r="K1317" t="s">
        <v>5844</v>
      </c>
      <c r="L1317" s="1" t="s">
        <v>3013</v>
      </c>
      <c r="M1317" t="s">
        <v>3014</v>
      </c>
      <c r="N1317" t="s">
        <v>891</v>
      </c>
      <c r="O1317" s="1" t="s">
        <v>5845</v>
      </c>
      <c r="P1317" s="1" t="s">
        <v>5846</v>
      </c>
    </row>
    <row r="1318" spans="1:17" x14ac:dyDescent="0.25">
      <c r="A1318" t="s">
        <v>5847</v>
      </c>
      <c r="B1318" t="str">
        <f>HYPERLINK("https://staging-dtl-pattern-api.hfm-weimar.de/static/audio/solos/dtl/AQAP8EqkhZeSCL-F6kEjKSSeCNyTQIvR_0.02.45.087755-0.03.25.071428.mp3", "link")</f>
        <v>link</v>
      </c>
      <c r="C1318" t="s">
        <v>5848</v>
      </c>
      <c r="D1318" t="s">
        <v>7143</v>
      </c>
      <c r="E1318" t="s">
        <v>7144</v>
      </c>
      <c r="F1318" t="s">
        <v>2845</v>
      </c>
      <c r="J1318" t="s">
        <v>3011</v>
      </c>
      <c r="K1318" t="s">
        <v>5844</v>
      </c>
      <c r="L1318" s="1" t="s">
        <v>3013</v>
      </c>
      <c r="M1318" t="s">
        <v>3014</v>
      </c>
      <c r="N1318" t="s">
        <v>172</v>
      </c>
      <c r="O1318" s="1" t="s">
        <v>5849</v>
      </c>
      <c r="P1318" s="1" t="s">
        <v>5850</v>
      </c>
      <c r="Q1318" s="1" t="s">
        <v>7332</v>
      </c>
    </row>
    <row r="1319" spans="1:17" x14ac:dyDescent="0.25">
      <c r="A1319" t="s">
        <v>5851</v>
      </c>
      <c r="B1319" t="str">
        <f>HYPERLINK("https://staging-dtl-pattern-api.hfm-weimar.de/static/audio/solos/dtl/AQAP8EqkhZeSCL-F6kEjKSSeCNyTQIvR_0.04.33.006666-0.06.05.032244.mp3", "link")</f>
        <v>link</v>
      </c>
      <c r="D1319" t="s">
        <v>5843</v>
      </c>
      <c r="E1319" t="s">
        <v>4722</v>
      </c>
      <c r="F1319" t="s">
        <v>2845</v>
      </c>
      <c r="J1319" t="s">
        <v>3011</v>
      </c>
      <c r="K1319" t="s">
        <v>5844</v>
      </c>
      <c r="L1319" s="1" t="s">
        <v>3013</v>
      </c>
      <c r="M1319" t="s">
        <v>3014</v>
      </c>
      <c r="N1319" t="s">
        <v>891</v>
      </c>
      <c r="O1319" s="1" t="s">
        <v>5852</v>
      </c>
      <c r="P1319" s="1" t="s">
        <v>5561</v>
      </c>
    </row>
    <row r="1320" spans="1:17" x14ac:dyDescent="0.25">
      <c r="A1320" t="s">
        <v>5853</v>
      </c>
      <c r="B1320" t="str">
        <f>HYPERLINK("https://staging-dtl-pattern-api.hfm-weimar.de/static/audio/solos/dtl/AQAPBtESZUmkMEoCPch4_MfJ4XXRLKiO_0.04.11.005414-0.06.18.039238.mp3", "link")</f>
        <v>link</v>
      </c>
      <c r="D1320" t="s">
        <v>5854</v>
      </c>
      <c r="E1320" t="s">
        <v>5855</v>
      </c>
      <c r="F1320" t="s">
        <v>5856</v>
      </c>
      <c r="G1320" t="s">
        <v>5856</v>
      </c>
      <c r="J1320" t="s">
        <v>5857</v>
      </c>
      <c r="K1320" t="s">
        <v>5858</v>
      </c>
      <c r="L1320" s="1" t="s">
        <v>5859</v>
      </c>
      <c r="M1320" t="s">
        <v>5860</v>
      </c>
      <c r="N1320" t="s">
        <v>449</v>
      </c>
      <c r="O1320" s="1" t="s">
        <v>5861</v>
      </c>
      <c r="P1320" s="1" t="s">
        <v>5862</v>
      </c>
    </row>
    <row r="1321" spans="1:17" x14ac:dyDescent="0.25">
      <c r="A1321" t="s">
        <v>5863</v>
      </c>
      <c r="B1321" t="str">
        <f>HYPERLINK("https://staging-dtl-pattern-api.hfm-weimar.de/static/audio/solos/dtl/AQAPeVEuTS30Bt-hWdzQPMGNhoyDWh8q_0.00.38.008072-0.03.07.016734.mp3", "link")</f>
        <v>link</v>
      </c>
      <c r="D1321" t="s">
        <v>5864</v>
      </c>
      <c r="E1321" t="s">
        <v>4807</v>
      </c>
      <c r="F1321" t="s">
        <v>4807</v>
      </c>
      <c r="G1321" t="s">
        <v>4807</v>
      </c>
      <c r="J1321" t="s">
        <v>5228</v>
      </c>
      <c r="K1321" t="s">
        <v>5865</v>
      </c>
      <c r="L1321" s="1" t="s">
        <v>5866</v>
      </c>
      <c r="M1321" t="s">
        <v>5231</v>
      </c>
      <c r="N1321" t="s">
        <v>172</v>
      </c>
      <c r="O1321" s="1" t="s">
        <v>5867</v>
      </c>
      <c r="P1321" s="1" t="s">
        <v>5868</v>
      </c>
    </row>
    <row r="1322" spans="1:17" x14ac:dyDescent="0.25">
      <c r="A1322" t="s">
        <v>5869</v>
      </c>
      <c r="B1322" t="str">
        <f>HYPERLINK("https://staging-dtl-pattern-api.hfm-weimar.de/static/audio/solos/dtl/AQAPeVEuTS30Bt-hWdzQPMGNhoyDWh8q_0.05.58.023746-0.06.05.099292.mp3", "link")</f>
        <v>link</v>
      </c>
      <c r="D1322" t="s">
        <v>5864</v>
      </c>
      <c r="E1322" t="s">
        <v>4807</v>
      </c>
      <c r="F1322" t="s">
        <v>4807</v>
      </c>
      <c r="G1322" t="s">
        <v>4807</v>
      </c>
      <c r="J1322" t="s">
        <v>5228</v>
      </c>
      <c r="K1322" t="s">
        <v>5865</v>
      </c>
      <c r="L1322" s="1" t="s">
        <v>5866</v>
      </c>
      <c r="M1322" t="s">
        <v>5231</v>
      </c>
      <c r="N1322" t="s">
        <v>172</v>
      </c>
      <c r="O1322" s="1" t="s">
        <v>5870</v>
      </c>
      <c r="P1322" s="1" t="s">
        <v>5871</v>
      </c>
    </row>
    <row r="1323" spans="1:17" x14ac:dyDescent="0.25">
      <c r="A1323" t="s">
        <v>5872</v>
      </c>
      <c r="B1323" t="str">
        <f>HYPERLINK("https://staging-dtl-pattern-api.hfm-weimar.de/static/audio/solos/dtl/AQAPeVEuTS30Bt-hWdzQPMGNhoyDWh8q_0.06.12.007655-0.06.19.087845.mp3", "link")</f>
        <v>link</v>
      </c>
      <c r="D1323" t="s">
        <v>5864</v>
      </c>
      <c r="E1323" t="s">
        <v>4807</v>
      </c>
      <c r="F1323" t="s">
        <v>4807</v>
      </c>
      <c r="G1323" t="s">
        <v>4807</v>
      </c>
      <c r="J1323" t="s">
        <v>5228</v>
      </c>
      <c r="K1323" t="s">
        <v>5865</v>
      </c>
      <c r="L1323" s="1" t="s">
        <v>5866</v>
      </c>
      <c r="M1323" t="s">
        <v>5231</v>
      </c>
      <c r="N1323" t="s">
        <v>172</v>
      </c>
      <c r="O1323" s="1" t="s">
        <v>5873</v>
      </c>
      <c r="P1323" s="1" t="s">
        <v>5874</v>
      </c>
    </row>
    <row r="1324" spans="1:17" x14ac:dyDescent="0.25">
      <c r="A1324" t="s">
        <v>5875</v>
      </c>
      <c r="B1324" t="str">
        <f>HYPERLINK("https://staging-dtl-pattern-api.hfm-weimar.de/static/audio/solos/dtl/AQAPeVEuTS30Bt-hWdzQPMGNhoyDWh8q_0.06.26.051936-0.06.33.081043.mp3", "link")</f>
        <v>link</v>
      </c>
      <c r="D1324" t="s">
        <v>5864</v>
      </c>
      <c r="E1324" t="s">
        <v>4807</v>
      </c>
      <c r="F1324" t="s">
        <v>4807</v>
      </c>
      <c r="G1324" t="s">
        <v>4807</v>
      </c>
      <c r="J1324" t="s">
        <v>5228</v>
      </c>
      <c r="K1324" t="s">
        <v>5865</v>
      </c>
      <c r="L1324" s="1" t="s">
        <v>5866</v>
      </c>
      <c r="M1324" t="s">
        <v>5231</v>
      </c>
      <c r="N1324" t="s">
        <v>172</v>
      </c>
      <c r="O1324" s="1" t="s">
        <v>5876</v>
      </c>
      <c r="P1324" s="1" t="s">
        <v>5877</v>
      </c>
    </row>
    <row r="1325" spans="1:17" x14ac:dyDescent="0.25">
      <c r="A1325" t="s">
        <v>5878</v>
      </c>
      <c r="B1325" t="str">
        <f>HYPERLINK("https://staging-dtl-pattern-api.hfm-weimar.de/static/audio/solos/dtl/AQAPeVEuTS30Bt-hWdzQPMGNhoyDWh8q_0.06.39.098693-0.06.47.074240.mp3", "link")</f>
        <v>link</v>
      </c>
      <c r="D1325" t="s">
        <v>5864</v>
      </c>
      <c r="E1325" t="s">
        <v>4807</v>
      </c>
      <c r="F1325" t="s">
        <v>4807</v>
      </c>
      <c r="G1325" t="s">
        <v>4807</v>
      </c>
      <c r="J1325" t="s">
        <v>5228</v>
      </c>
      <c r="K1325" t="s">
        <v>5865</v>
      </c>
      <c r="L1325" s="1" t="s">
        <v>5866</v>
      </c>
      <c r="M1325" t="s">
        <v>5231</v>
      </c>
      <c r="N1325" t="s">
        <v>172</v>
      </c>
      <c r="O1325" s="1" t="s">
        <v>5879</v>
      </c>
      <c r="P1325" s="1" t="s">
        <v>5880</v>
      </c>
    </row>
    <row r="1326" spans="1:17" x14ac:dyDescent="0.25">
      <c r="A1326" t="s">
        <v>5881</v>
      </c>
      <c r="B1326" t="str">
        <f>HYPERLINK("https://staging-dtl-pattern-api.hfm-weimar.de/static/audio/solos/dtl/AQAPeVEuTS30Bt-hWdzQPMGNhoyDWh8q_0.06.53.087247-0.07.01.067437.mp3", "link")</f>
        <v>link</v>
      </c>
      <c r="D1326" t="s">
        <v>5864</v>
      </c>
      <c r="E1326" t="s">
        <v>4807</v>
      </c>
      <c r="F1326" t="s">
        <v>4807</v>
      </c>
      <c r="G1326" t="s">
        <v>4807</v>
      </c>
      <c r="J1326" t="s">
        <v>5228</v>
      </c>
      <c r="K1326" t="s">
        <v>5865</v>
      </c>
      <c r="L1326" s="1" t="s">
        <v>5866</v>
      </c>
      <c r="M1326" t="s">
        <v>5231</v>
      </c>
      <c r="N1326" t="s">
        <v>172</v>
      </c>
      <c r="O1326" s="1" t="s">
        <v>5882</v>
      </c>
      <c r="P1326" s="1" t="s">
        <v>5883</v>
      </c>
    </row>
    <row r="1327" spans="1:17" x14ac:dyDescent="0.25">
      <c r="A1327" t="s">
        <v>5884</v>
      </c>
      <c r="B1327" t="str">
        <f>HYPERLINK("https://staging-dtl-pattern-api.hfm-weimar.de/static/audio/solos/dtl/AQAPeVEuTS30Bt-hWdzQPMGNhoyDWh8q_0.07.07.057224-0.07.15.000263.mp3", "link")</f>
        <v>link</v>
      </c>
      <c r="D1327" t="s">
        <v>5864</v>
      </c>
      <c r="E1327" t="s">
        <v>4807</v>
      </c>
      <c r="F1327" t="s">
        <v>4807</v>
      </c>
      <c r="G1327" t="s">
        <v>4807</v>
      </c>
      <c r="J1327" t="s">
        <v>5228</v>
      </c>
      <c r="K1327" t="s">
        <v>5865</v>
      </c>
      <c r="L1327" s="1" t="s">
        <v>5866</v>
      </c>
      <c r="M1327" t="s">
        <v>5231</v>
      </c>
      <c r="N1327" t="s">
        <v>172</v>
      </c>
      <c r="O1327" s="1" t="s">
        <v>5885</v>
      </c>
      <c r="P1327" s="1" t="s">
        <v>5886</v>
      </c>
    </row>
    <row r="1328" spans="1:17" x14ac:dyDescent="0.25">
      <c r="A1328" t="s">
        <v>5887</v>
      </c>
      <c r="B1328" t="str">
        <f>HYPERLINK("https://staging-dtl-pattern-api.hfm-weimar.de/static/audio/solos/dtl/AQAPf1MSVk-CJlQWfDlRpkWY7yn4ZAlx_0.00.35.039591-0.02.42.016816.mp3", "link")</f>
        <v>link</v>
      </c>
      <c r="D1328" t="s">
        <v>4216</v>
      </c>
      <c r="E1328" t="s">
        <v>4223</v>
      </c>
      <c r="F1328" t="s">
        <v>4217</v>
      </c>
      <c r="G1328" t="s">
        <v>4217</v>
      </c>
      <c r="J1328" t="s">
        <v>2220</v>
      </c>
      <c r="K1328" t="s">
        <v>5888</v>
      </c>
      <c r="L1328" s="1" t="s">
        <v>4219</v>
      </c>
      <c r="M1328" t="s">
        <v>309</v>
      </c>
      <c r="N1328" t="s">
        <v>46</v>
      </c>
      <c r="O1328" s="1" t="s">
        <v>5889</v>
      </c>
      <c r="P1328" s="1" t="s">
        <v>5890</v>
      </c>
    </row>
    <row r="1329" spans="1:17" x14ac:dyDescent="0.25">
      <c r="A1329" t="s">
        <v>5891</v>
      </c>
      <c r="B1329" t="str">
        <f>HYPERLINK("https://staging-dtl-pattern-api.hfm-weimar.de/static/audio/solos/dtl/AQAPf1MSVk-CJlQWfDlRpkWY7yn4ZAlx_0.02.42.016816-0.04.49.078503.mp3", "link")</f>
        <v>link</v>
      </c>
      <c r="D1329" t="s">
        <v>4216</v>
      </c>
      <c r="E1329" t="s">
        <v>4217</v>
      </c>
      <c r="F1329" t="s">
        <v>4217</v>
      </c>
      <c r="G1329" t="s">
        <v>4217</v>
      </c>
      <c r="J1329" t="s">
        <v>2220</v>
      </c>
      <c r="K1329" t="s">
        <v>5888</v>
      </c>
      <c r="L1329" s="1" t="s">
        <v>4219</v>
      </c>
      <c r="M1329" t="s">
        <v>309</v>
      </c>
      <c r="N1329" t="s">
        <v>23</v>
      </c>
      <c r="O1329" s="1" t="s">
        <v>5890</v>
      </c>
      <c r="P1329" s="1" t="s">
        <v>5892</v>
      </c>
    </row>
    <row r="1330" spans="1:17" x14ac:dyDescent="0.25">
      <c r="A1330" t="s">
        <v>5893</v>
      </c>
      <c r="B1330" t="str">
        <f>HYPERLINK("https://staging-dtl-pattern-api.hfm-weimar.de/static/audio/solos/dtl/AQAPjIk2ZZLCQDe-PHCjGroePOKJ3MTx_0.04.51.082839-0.06.01.092653.mp3", "link")</f>
        <v>link</v>
      </c>
      <c r="D1330" t="s">
        <v>5894</v>
      </c>
      <c r="E1330" t="s">
        <v>3834</v>
      </c>
      <c r="F1330" t="s">
        <v>3826</v>
      </c>
      <c r="J1330" t="s">
        <v>3827</v>
      </c>
      <c r="K1330" t="s">
        <v>5895</v>
      </c>
      <c r="L1330" s="1" t="s">
        <v>3829</v>
      </c>
      <c r="M1330" t="s">
        <v>3830</v>
      </c>
      <c r="N1330" t="s">
        <v>46</v>
      </c>
      <c r="O1330" s="1" t="s">
        <v>5896</v>
      </c>
      <c r="P1330" s="1" t="s">
        <v>5897</v>
      </c>
    </row>
    <row r="1331" spans="1:17" x14ac:dyDescent="0.25">
      <c r="A1331" t="s">
        <v>5898</v>
      </c>
      <c r="B1331" t="str">
        <f>HYPERLINK("https://staging-dtl-pattern-api.hfm-weimar.de/static/audio/solos/dtl/AQAPk5umNEq2BPsL7RkeRjm8ZF1R6Tse_0.00.53.031301-0.03.31.085306.mp3", "link")</f>
        <v>link</v>
      </c>
      <c r="D1331" t="s">
        <v>5813</v>
      </c>
      <c r="E1331" t="s">
        <v>1055</v>
      </c>
      <c r="F1331" t="s">
        <v>1055</v>
      </c>
      <c r="G1331" t="s">
        <v>1055</v>
      </c>
      <c r="J1331" t="s">
        <v>1056</v>
      </c>
      <c r="K1331" t="s">
        <v>5899</v>
      </c>
      <c r="L1331" s="1" t="s">
        <v>5003</v>
      </c>
      <c r="M1331" t="s">
        <v>5004</v>
      </c>
      <c r="N1331" t="s">
        <v>202</v>
      </c>
      <c r="O1331" s="1" t="s">
        <v>5900</v>
      </c>
      <c r="P1331" s="1" t="s">
        <v>5901</v>
      </c>
      <c r="Q1331" s="1" t="s">
        <v>7333</v>
      </c>
    </row>
    <row r="1332" spans="1:17" x14ac:dyDescent="0.25">
      <c r="A1332" t="s">
        <v>5902</v>
      </c>
      <c r="B1332" t="str">
        <f>HYPERLINK("https://staging-dtl-pattern-api.hfm-weimar.de/static/audio/solos/dtl/AQAPkBQzURZy4cnxH3InvB_Oo67gAz_a_0.04.09.084671-0.06.01.085977.mp3", "link")</f>
        <v>link</v>
      </c>
      <c r="D1332" t="s">
        <v>4422</v>
      </c>
      <c r="E1332" t="s">
        <v>4423</v>
      </c>
      <c r="F1332" t="s">
        <v>3942</v>
      </c>
      <c r="G1332" t="s">
        <v>3942</v>
      </c>
      <c r="J1332" t="s">
        <v>4424</v>
      </c>
      <c r="K1332" t="s">
        <v>5903</v>
      </c>
      <c r="L1332" s="1" t="s">
        <v>4426</v>
      </c>
      <c r="M1332" t="s">
        <v>129</v>
      </c>
      <c r="N1332" t="s">
        <v>23</v>
      </c>
      <c r="O1332" s="1" t="s">
        <v>5904</v>
      </c>
      <c r="P1332" s="1" t="s">
        <v>5905</v>
      </c>
    </row>
    <row r="1333" spans="1:17" x14ac:dyDescent="0.25">
      <c r="A1333" t="s">
        <v>5906</v>
      </c>
      <c r="B1333" t="str">
        <f>HYPERLINK("https://staging-dtl-pattern-api.hfm-weimar.de/static/audio/solos/dtl/AQAPlJSUJVGUHBG7yDmkH3mO88Kx7-iW_0.02.57.050204-0.04.56.047238.mp3", "link")</f>
        <v>link</v>
      </c>
      <c r="D1333" t="s">
        <v>5907</v>
      </c>
      <c r="E1333" t="s">
        <v>5908</v>
      </c>
      <c r="F1333" t="s">
        <v>5909</v>
      </c>
      <c r="G1333" t="s">
        <v>5909</v>
      </c>
      <c r="J1333" t="s">
        <v>5910</v>
      </c>
      <c r="K1333" t="s">
        <v>5911</v>
      </c>
      <c r="L1333" s="1" t="s">
        <v>5912</v>
      </c>
      <c r="M1333" t="s">
        <v>3058</v>
      </c>
      <c r="N1333" t="s">
        <v>3348</v>
      </c>
      <c r="O1333" s="1" t="s">
        <v>5913</v>
      </c>
      <c r="P1333" s="1" t="s">
        <v>5914</v>
      </c>
    </row>
    <row r="1334" spans="1:17" x14ac:dyDescent="0.25">
      <c r="A1334" t="s">
        <v>5915</v>
      </c>
      <c r="B1334" t="str">
        <f>HYPERLINK("https://staging-dtl-pattern-api.hfm-weimar.de/static/audio/solos/dtl/AQAPOlMkpdLR_MTz4NmD2PmRjseNv3jQ_0.00.50.024798-0.03.59.007265.mp3", "link")</f>
        <v>link</v>
      </c>
      <c r="D1334" t="s">
        <v>5381</v>
      </c>
      <c r="E1334" t="s">
        <v>1517</v>
      </c>
      <c r="F1334" t="s">
        <v>5382</v>
      </c>
      <c r="G1334" t="s">
        <v>1517</v>
      </c>
      <c r="H1334" t="s">
        <v>5383</v>
      </c>
      <c r="I1334">
        <v>63</v>
      </c>
      <c r="J1334" t="s">
        <v>141</v>
      </c>
      <c r="K1334" t="s">
        <v>5916</v>
      </c>
      <c r="L1334" s="1" t="s">
        <v>5385</v>
      </c>
      <c r="M1334" t="s">
        <v>309</v>
      </c>
      <c r="N1334" t="s">
        <v>23</v>
      </c>
      <c r="O1334" s="1" t="s">
        <v>5917</v>
      </c>
      <c r="P1334" s="1" t="s">
        <v>3388</v>
      </c>
    </row>
    <row r="1335" spans="1:17" x14ac:dyDescent="0.25">
      <c r="A1335" t="s">
        <v>5918</v>
      </c>
      <c r="B1335" t="str">
        <f>HYPERLINK("https://staging-dtl-pattern-api.hfm-weimar.de/static/audio/solos/dtl/AQAPOlMkpdLR_MTz4NmD2PmRjseNv3jQ_0.06.23.066040-0.08.05.025333.mp3", "link")</f>
        <v>link</v>
      </c>
      <c r="D1335" t="s">
        <v>5381</v>
      </c>
      <c r="E1335" t="s">
        <v>1517</v>
      </c>
      <c r="F1335" t="s">
        <v>5382</v>
      </c>
      <c r="G1335" t="s">
        <v>1517</v>
      </c>
      <c r="H1335" t="s">
        <v>5383</v>
      </c>
      <c r="I1335">
        <v>63</v>
      </c>
      <c r="J1335" t="s">
        <v>141</v>
      </c>
      <c r="K1335" t="s">
        <v>5916</v>
      </c>
      <c r="L1335" s="1" t="s">
        <v>5385</v>
      </c>
      <c r="M1335" t="s">
        <v>309</v>
      </c>
      <c r="N1335" t="s">
        <v>23</v>
      </c>
      <c r="O1335" s="1" t="s">
        <v>5919</v>
      </c>
      <c r="P1335" s="1" t="s">
        <v>5920</v>
      </c>
    </row>
    <row r="1336" spans="1:17" x14ac:dyDescent="0.25">
      <c r="A1336" t="s">
        <v>5921</v>
      </c>
      <c r="B1336" t="str">
        <f>HYPERLINK("https://staging-dtl-pattern-api.hfm-weimar.de/static/audio/solos/dtl/AQAPsGGkLNKURIL4I-cIH_3xN5h6WC1i_0.01.37.017551-0.02.59.019999.mp3", "link")</f>
        <v>link</v>
      </c>
      <c r="D1336" t="s">
        <v>4175</v>
      </c>
      <c r="E1336" t="s">
        <v>2811</v>
      </c>
      <c r="F1336" t="s">
        <v>2811</v>
      </c>
      <c r="G1336" t="s">
        <v>2811</v>
      </c>
      <c r="J1336" t="s">
        <v>2812</v>
      </c>
      <c r="K1336" t="s">
        <v>5922</v>
      </c>
      <c r="L1336" s="1" t="s">
        <v>2814</v>
      </c>
      <c r="M1336" t="s">
        <v>2815</v>
      </c>
      <c r="N1336" t="s">
        <v>23</v>
      </c>
      <c r="O1336" s="1" t="s">
        <v>5923</v>
      </c>
      <c r="P1336" s="1" t="s">
        <v>5924</v>
      </c>
    </row>
    <row r="1337" spans="1:17" x14ac:dyDescent="0.25">
      <c r="A1337" t="s">
        <v>5925</v>
      </c>
      <c r="B1337" t="str">
        <f>HYPERLINK("https://staging-dtl-pattern-api.hfm-weimar.de/static/audio/solos/dtl/AQAPsGGkLNKURIL4I-cIH_3xN5h6WC1i_0.03.09.051836-0.03.34.046530.mp3", "link")</f>
        <v>link</v>
      </c>
      <c r="D1337" t="s">
        <v>4175</v>
      </c>
      <c r="E1337" t="s">
        <v>2811</v>
      </c>
      <c r="F1337" t="s">
        <v>2811</v>
      </c>
      <c r="G1337" t="s">
        <v>2811</v>
      </c>
      <c r="J1337" t="s">
        <v>2812</v>
      </c>
      <c r="K1337" t="s">
        <v>5922</v>
      </c>
      <c r="L1337" s="1" t="s">
        <v>2814</v>
      </c>
      <c r="M1337" t="s">
        <v>2815</v>
      </c>
      <c r="N1337" t="s">
        <v>23</v>
      </c>
      <c r="O1337" s="1" t="s">
        <v>5926</v>
      </c>
      <c r="P1337" s="1" t="s">
        <v>5927</v>
      </c>
    </row>
    <row r="1338" spans="1:17" x14ac:dyDescent="0.25">
      <c r="A1338" t="s">
        <v>5928</v>
      </c>
      <c r="B1338" t="str">
        <f>HYPERLINK("https://staging-dtl-pattern-api.hfm-weimar.de/static/audio/solos/dtl/AQAPTtGUPJODkD98MOdwEX-GyHrxLTiT_0.00.00.013061-0.01.52.026122.mp3", "link")</f>
        <v>link</v>
      </c>
      <c r="D1338" t="s">
        <v>5929</v>
      </c>
      <c r="E1338" t="s">
        <v>5468</v>
      </c>
      <c r="F1338" t="s">
        <v>5468</v>
      </c>
      <c r="G1338" t="s">
        <v>5468</v>
      </c>
      <c r="J1338" t="s">
        <v>5930</v>
      </c>
      <c r="K1338" t="s">
        <v>5931</v>
      </c>
      <c r="L1338" s="1" t="s">
        <v>5932</v>
      </c>
      <c r="M1338" t="s">
        <v>5933</v>
      </c>
      <c r="N1338" t="s">
        <v>46</v>
      </c>
      <c r="O1338" s="1" t="s">
        <v>3123</v>
      </c>
      <c r="P1338" s="1" t="s">
        <v>5934</v>
      </c>
    </row>
    <row r="1339" spans="1:17" x14ac:dyDescent="0.25">
      <c r="A1339" t="s">
        <v>5935</v>
      </c>
      <c r="B1339" t="str">
        <f>HYPERLINK("https://staging-dtl-pattern-api.hfm-weimar.de/static/audio/solos/dtl/AQAPTtGUPJODkD98MOdwEX-GyHrxLTiT_0.03.46.087346-0.05.50.062131.mp3", "link")</f>
        <v>link</v>
      </c>
      <c r="D1339" t="s">
        <v>5929</v>
      </c>
      <c r="E1339" t="s">
        <v>5468</v>
      </c>
      <c r="F1339" t="s">
        <v>5468</v>
      </c>
      <c r="G1339" t="s">
        <v>5468</v>
      </c>
      <c r="J1339" t="s">
        <v>5930</v>
      </c>
      <c r="K1339" t="s">
        <v>5931</v>
      </c>
      <c r="L1339" s="1" t="s">
        <v>5932</v>
      </c>
      <c r="M1339" t="s">
        <v>5933</v>
      </c>
      <c r="N1339" t="s">
        <v>46</v>
      </c>
      <c r="O1339" s="1" t="s">
        <v>5936</v>
      </c>
      <c r="P1339" s="1" t="s">
        <v>5937</v>
      </c>
    </row>
    <row r="1340" spans="1:17" x14ac:dyDescent="0.25">
      <c r="A1340" t="s">
        <v>5938</v>
      </c>
      <c r="B1340" t="str">
        <f>HYPERLINK("https://staging-dtl-pattern-api.hfm-weimar.de/static/audio/solos/dtl/AQAPvYmSSJKUSAmDP_Bx34Cf43zw4Y9x_0.00.43.036326-0.03.40.073469.mp3", "link")</f>
        <v>link</v>
      </c>
      <c r="D1340" t="s">
        <v>5939</v>
      </c>
      <c r="E1340" t="s">
        <v>3802</v>
      </c>
      <c r="F1340" t="s">
        <v>3802</v>
      </c>
      <c r="G1340" t="s">
        <v>3802</v>
      </c>
      <c r="J1340" t="s">
        <v>5940</v>
      </c>
      <c r="K1340" t="s">
        <v>5941</v>
      </c>
      <c r="L1340" s="1" t="s">
        <v>5942</v>
      </c>
      <c r="M1340" t="s">
        <v>5943</v>
      </c>
      <c r="N1340" t="s">
        <v>202</v>
      </c>
      <c r="O1340" s="1" t="s">
        <v>5944</v>
      </c>
      <c r="P1340" s="1" t="s">
        <v>5945</v>
      </c>
      <c r="Q1340" s="1" t="s">
        <v>7334</v>
      </c>
    </row>
    <row r="1341" spans="1:17" x14ac:dyDescent="0.25">
      <c r="A1341" t="s">
        <v>5946</v>
      </c>
      <c r="B1341" t="str">
        <f>HYPERLINK("https://staging-dtl-pattern-api.hfm-weimar.de/static/audio/solos/dtl/AQAPvYmSSJKUSAmDP_Bx34Cf43zw4Y9x_0.05.50.062857-0.05.58.098775.mp3", "link")</f>
        <v>link</v>
      </c>
      <c r="D1341" t="s">
        <v>5939</v>
      </c>
      <c r="E1341" t="s">
        <v>3802</v>
      </c>
      <c r="F1341" t="s">
        <v>3802</v>
      </c>
      <c r="G1341" t="s">
        <v>3802</v>
      </c>
      <c r="J1341" t="s">
        <v>5940</v>
      </c>
      <c r="K1341" t="s">
        <v>5941</v>
      </c>
      <c r="L1341" s="1" t="s">
        <v>5942</v>
      </c>
      <c r="M1341" t="s">
        <v>5943</v>
      </c>
      <c r="N1341" t="s">
        <v>202</v>
      </c>
      <c r="O1341" s="1" t="s">
        <v>5947</v>
      </c>
      <c r="P1341" s="1" t="s">
        <v>5948</v>
      </c>
      <c r="Q1341" s="1" t="s">
        <v>7334</v>
      </c>
    </row>
    <row r="1342" spans="1:17" x14ac:dyDescent="0.25">
      <c r="A1342" t="s">
        <v>5949</v>
      </c>
      <c r="B1342" t="str">
        <f>HYPERLINK("https://staging-dtl-pattern-api.hfm-weimar.de/static/audio/solos/dtl/AQAPvYmSSJKUSAmDP_Bx34Cf43zw4Y9x_0.06.06.088979-0.06.11.091836.mp3", "link")</f>
        <v>link</v>
      </c>
      <c r="D1342" t="s">
        <v>5939</v>
      </c>
      <c r="E1342" t="s">
        <v>3802</v>
      </c>
      <c r="F1342" t="s">
        <v>3802</v>
      </c>
      <c r="G1342" t="s">
        <v>3802</v>
      </c>
      <c r="J1342" t="s">
        <v>5940</v>
      </c>
      <c r="K1342" t="s">
        <v>5941</v>
      </c>
      <c r="L1342" s="1" t="s">
        <v>5942</v>
      </c>
      <c r="M1342" t="s">
        <v>5943</v>
      </c>
      <c r="N1342" t="s">
        <v>202</v>
      </c>
      <c r="O1342" s="1" t="s">
        <v>5950</v>
      </c>
      <c r="P1342" s="1" t="s">
        <v>5951</v>
      </c>
      <c r="Q1342" s="1" t="s">
        <v>7334</v>
      </c>
    </row>
    <row r="1343" spans="1:17" x14ac:dyDescent="0.25">
      <c r="A1343" t="s">
        <v>5952</v>
      </c>
      <c r="B1343" t="str">
        <f>HYPERLINK("https://staging-dtl-pattern-api.hfm-weimar.de/static/audio/solos/dtl/AQAPvYmSSJKUSAmDP_Bx34Cf43zw4Y9x_0.06.15.005306-0.06.19.003673.mp3", "link")</f>
        <v>link</v>
      </c>
      <c r="D1343" t="s">
        <v>5939</v>
      </c>
      <c r="E1343" t="s">
        <v>3802</v>
      </c>
      <c r="F1343" t="s">
        <v>3802</v>
      </c>
      <c r="G1343" t="s">
        <v>3802</v>
      </c>
      <c r="J1343" t="s">
        <v>5940</v>
      </c>
      <c r="K1343" t="s">
        <v>5941</v>
      </c>
      <c r="L1343" s="1" t="s">
        <v>5942</v>
      </c>
      <c r="M1343" t="s">
        <v>5943</v>
      </c>
      <c r="N1343" t="s">
        <v>202</v>
      </c>
      <c r="O1343" s="1" t="s">
        <v>5953</v>
      </c>
      <c r="P1343" s="1" t="s">
        <v>5954</v>
      </c>
      <c r="Q1343" s="1" t="s">
        <v>7334</v>
      </c>
    </row>
    <row r="1344" spans="1:17" x14ac:dyDescent="0.25">
      <c r="A1344" t="s">
        <v>5955</v>
      </c>
      <c r="B1344" t="str">
        <f>HYPERLINK("https://staging-dtl-pattern-api.hfm-weimar.de/static/audio/solos/dtl/AQAPvYmSSJKUSAmDP_Bx34Cf43zw4Y9x_0.06.22.043265-0.06.27.016734.mp3", "link")</f>
        <v>link</v>
      </c>
      <c r="D1344" t="s">
        <v>5939</v>
      </c>
      <c r="E1344" t="s">
        <v>3802</v>
      </c>
      <c r="F1344" t="s">
        <v>3802</v>
      </c>
      <c r="G1344" t="s">
        <v>3802</v>
      </c>
      <c r="J1344" t="s">
        <v>5940</v>
      </c>
      <c r="K1344" t="s">
        <v>5941</v>
      </c>
      <c r="L1344" s="1" t="s">
        <v>5942</v>
      </c>
      <c r="M1344" t="s">
        <v>5943</v>
      </c>
      <c r="N1344" t="s">
        <v>202</v>
      </c>
      <c r="O1344" s="1" t="s">
        <v>5956</v>
      </c>
      <c r="P1344" s="1" t="s">
        <v>5957</v>
      </c>
      <c r="Q1344" s="1" t="s">
        <v>7334</v>
      </c>
    </row>
    <row r="1345" spans="1:17" x14ac:dyDescent="0.25">
      <c r="A1345" t="s">
        <v>5958</v>
      </c>
      <c r="B1345" t="str">
        <f>HYPERLINK("https://staging-dtl-pattern-api.hfm-weimar.de/static/audio/solos/dtl/AQAPvYmSSJKUSAmDP_Bx34Cf43zw4Y9x_0.06.38.013877-0.06.42.077551.mp3", "link")</f>
        <v>link</v>
      </c>
      <c r="D1345" t="s">
        <v>5939</v>
      </c>
      <c r="E1345" t="s">
        <v>3802</v>
      </c>
      <c r="F1345" t="s">
        <v>3802</v>
      </c>
      <c r="G1345" t="s">
        <v>3802</v>
      </c>
      <c r="J1345" t="s">
        <v>5940</v>
      </c>
      <c r="K1345" t="s">
        <v>5941</v>
      </c>
      <c r="L1345" s="1" t="s">
        <v>5942</v>
      </c>
      <c r="M1345" t="s">
        <v>5943</v>
      </c>
      <c r="N1345" t="s">
        <v>202</v>
      </c>
      <c r="O1345" s="1" t="s">
        <v>5959</v>
      </c>
      <c r="P1345" s="1" t="s">
        <v>5960</v>
      </c>
      <c r="Q1345" s="1" t="s">
        <v>7334</v>
      </c>
    </row>
    <row r="1346" spans="1:17" x14ac:dyDescent="0.25">
      <c r="A1346" t="s">
        <v>5961</v>
      </c>
      <c r="B1346" t="str">
        <f>HYPERLINK("https://staging-dtl-pattern-api.hfm-weimar.de/static/audio/solos/dtl/AQAPvYmSSJKUSAmDP_Bx34Cf43zw4Y9x_0.07.26.030204-0.08.16.084897.mp3", "link")</f>
        <v>link</v>
      </c>
      <c r="D1346" t="s">
        <v>5939</v>
      </c>
      <c r="E1346" t="s">
        <v>3802</v>
      </c>
      <c r="F1346" t="s">
        <v>3802</v>
      </c>
      <c r="G1346" t="s">
        <v>3802</v>
      </c>
      <c r="J1346" t="s">
        <v>5940</v>
      </c>
      <c r="K1346" t="s">
        <v>5941</v>
      </c>
      <c r="L1346" s="1" t="s">
        <v>5942</v>
      </c>
      <c r="M1346" t="s">
        <v>5943</v>
      </c>
      <c r="N1346" t="s">
        <v>202</v>
      </c>
      <c r="O1346" s="1" t="s">
        <v>5962</v>
      </c>
      <c r="P1346" s="1" t="s">
        <v>5963</v>
      </c>
      <c r="Q1346" s="1" t="s">
        <v>7334</v>
      </c>
    </row>
    <row r="1347" spans="1:17" x14ac:dyDescent="0.25">
      <c r="A1347" t="s">
        <v>5964</v>
      </c>
      <c r="B1347" t="str">
        <f>HYPERLINK("https://staging-dtl-pattern-api.hfm-weimar.de/static/audio/solos/dtl/AQAPXIqUMEkURUJ-iDnyDm3Eo8_hZ8cr_0.03.46.044099-0.04.34.041632.mp3", "link")</f>
        <v>link</v>
      </c>
      <c r="D1347" t="s">
        <v>4637</v>
      </c>
      <c r="E1347" t="s">
        <v>4638</v>
      </c>
      <c r="F1347" t="s">
        <v>4638</v>
      </c>
      <c r="G1347" t="s">
        <v>4638</v>
      </c>
      <c r="J1347" t="s">
        <v>4639</v>
      </c>
      <c r="K1347" t="s">
        <v>5965</v>
      </c>
      <c r="L1347" s="1" t="s">
        <v>4641</v>
      </c>
      <c r="M1347" t="s">
        <v>129</v>
      </c>
      <c r="N1347" t="s">
        <v>3348</v>
      </c>
      <c r="O1347" s="1" t="s">
        <v>5195</v>
      </c>
      <c r="P1347" s="1" t="s">
        <v>5966</v>
      </c>
    </row>
    <row r="1348" spans="1:17" x14ac:dyDescent="0.25">
      <c r="A1348" t="s">
        <v>5967</v>
      </c>
      <c r="B1348" t="str">
        <f>HYPERLINK("https://staging-dtl-pattern-api.hfm-weimar.de/static/audio/solos/dtl/AQAPXIqUMEkURUJ-iDnyDm3Eo8_hZ8cr_0.04.34.041632-0.05.19.073877.mp3", "link")</f>
        <v>link</v>
      </c>
      <c r="D1348" t="s">
        <v>4637</v>
      </c>
      <c r="E1348" t="s">
        <v>2811</v>
      </c>
      <c r="F1348" t="s">
        <v>4638</v>
      </c>
      <c r="G1348" t="s">
        <v>4638</v>
      </c>
      <c r="J1348" t="s">
        <v>4639</v>
      </c>
      <c r="K1348" t="s">
        <v>5965</v>
      </c>
      <c r="L1348" s="1" t="s">
        <v>4641</v>
      </c>
      <c r="M1348" t="s">
        <v>129</v>
      </c>
      <c r="N1348" t="s">
        <v>23</v>
      </c>
      <c r="O1348" s="1" t="s">
        <v>5966</v>
      </c>
      <c r="P1348" s="1" t="s">
        <v>5968</v>
      </c>
    </row>
    <row r="1349" spans="1:17" x14ac:dyDescent="0.25">
      <c r="A1349" t="s">
        <v>5969</v>
      </c>
      <c r="B1349" t="str">
        <f>HYPERLINK("https://staging-dtl-pattern-api.hfm-weimar.de/static/audio/solos/dtl/AQAPxZKSRZQSScKVpURzorvwaTqeJMKP_0.01.42.013877-0.03.15.097641.mp3", "link")</f>
        <v>link</v>
      </c>
      <c r="D1349" t="s">
        <v>5970</v>
      </c>
      <c r="E1349" t="s">
        <v>4544</v>
      </c>
      <c r="F1349" t="s">
        <v>5482</v>
      </c>
      <c r="G1349" t="s">
        <v>5482</v>
      </c>
      <c r="J1349" t="s">
        <v>5971</v>
      </c>
      <c r="K1349" t="s">
        <v>5972</v>
      </c>
      <c r="L1349" s="1" t="s">
        <v>5973</v>
      </c>
      <c r="M1349" t="s">
        <v>2180</v>
      </c>
      <c r="N1349" t="s">
        <v>46</v>
      </c>
      <c r="O1349" s="1" t="s">
        <v>5974</v>
      </c>
      <c r="P1349" s="1" t="s">
        <v>5975</v>
      </c>
    </row>
    <row r="1350" spans="1:17" x14ac:dyDescent="0.25">
      <c r="A1350" t="s">
        <v>5976</v>
      </c>
      <c r="B1350" t="str">
        <f>HYPERLINK("https://staging-dtl-pattern-api.hfm-weimar.de/static/audio/solos/dtl/AQAPxZKSRZQSScKVpURzorvwaTqeJMKP_0.03.15.097641-0.04.46.053424.mp3", "link")</f>
        <v>link</v>
      </c>
      <c r="D1350" t="s">
        <v>5970</v>
      </c>
      <c r="E1350" t="s">
        <v>5481</v>
      </c>
      <c r="F1350" t="s">
        <v>5482</v>
      </c>
      <c r="G1350" t="s">
        <v>5482</v>
      </c>
      <c r="J1350" t="s">
        <v>5971</v>
      </c>
      <c r="K1350" t="s">
        <v>5972</v>
      </c>
      <c r="L1350" s="1" t="s">
        <v>5973</v>
      </c>
      <c r="M1350" t="s">
        <v>2180</v>
      </c>
      <c r="N1350" t="s">
        <v>23</v>
      </c>
      <c r="O1350" s="1" t="s">
        <v>5975</v>
      </c>
      <c r="P1350" s="1" t="s">
        <v>5977</v>
      </c>
    </row>
    <row r="1351" spans="1:17" x14ac:dyDescent="0.25">
      <c r="A1351" t="s">
        <v>5978</v>
      </c>
      <c r="B1351" t="str">
        <f>HYPERLINK("https://staging-dtl-pattern-api.hfm-weimar.de/static/audio/solos/dtl/AQAPY0ySLBGnRUj3aEjs_ehx4j-eLEFN_0.01.18.062857-0.03.59.080408.mp3", "link")</f>
        <v>link</v>
      </c>
      <c r="D1351" t="s">
        <v>17</v>
      </c>
      <c r="E1351" t="s">
        <v>18</v>
      </c>
      <c r="F1351" t="s">
        <v>18</v>
      </c>
      <c r="G1351" t="s">
        <v>18</v>
      </c>
      <c r="J1351" t="s">
        <v>19</v>
      </c>
      <c r="K1351" t="s">
        <v>5979</v>
      </c>
      <c r="L1351" s="1" t="s">
        <v>21</v>
      </c>
      <c r="M1351" t="s">
        <v>22</v>
      </c>
      <c r="N1351" t="s">
        <v>23</v>
      </c>
      <c r="O1351" s="1" t="s">
        <v>5980</v>
      </c>
      <c r="P1351" s="1" t="s">
        <v>5981</v>
      </c>
    </row>
    <row r="1352" spans="1:17" x14ac:dyDescent="0.25">
      <c r="A1352" t="s">
        <v>5982</v>
      </c>
      <c r="B1352" t="str">
        <f>HYPERLINK("https://staging-dtl-pattern-api.hfm-weimar.de/static/audio/solos/dtl/AQAPyFuiKNkVxDKRPMeLq8kS9MIlH42-_0.01.55.046122-0.03.22.057959.mp3", "link")</f>
        <v>link</v>
      </c>
      <c r="D1352" t="s">
        <v>5983</v>
      </c>
      <c r="F1352" t="s">
        <v>5984</v>
      </c>
      <c r="G1352" t="s">
        <v>5984</v>
      </c>
      <c r="J1352" t="s">
        <v>5985</v>
      </c>
      <c r="K1352" t="s">
        <v>5986</v>
      </c>
      <c r="L1352" s="1" t="s">
        <v>3517</v>
      </c>
      <c r="M1352" t="s">
        <v>5987</v>
      </c>
      <c r="N1352" t="s">
        <v>119</v>
      </c>
      <c r="O1352" s="1" t="s">
        <v>5988</v>
      </c>
      <c r="P1352" s="1" t="s">
        <v>5989</v>
      </c>
    </row>
    <row r="1353" spans="1:17" x14ac:dyDescent="0.25">
      <c r="A1353" t="s">
        <v>5990</v>
      </c>
      <c r="B1353" t="str">
        <f>HYPERLINK("https://staging-dtl-pattern-api.hfm-weimar.de/static/audio/solos/dtl/AQAQ0kl0KeUCHz-ejIafEP3xvPhSKriC_0.03.33.025206-0.05.38.008253.mp3", "link")</f>
        <v>link</v>
      </c>
      <c r="D1353" t="s">
        <v>5991</v>
      </c>
      <c r="E1353" t="s">
        <v>2820</v>
      </c>
      <c r="F1353" t="s">
        <v>2820</v>
      </c>
      <c r="J1353" t="s">
        <v>5992</v>
      </c>
      <c r="K1353" t="s">
        <v>5993</v>
      </c>
      <c r="L1353" s="1" t="s">
        <v>5994</v>
      </c>
      <c r="M1353" t="s">
        <v>129</v>
      </c>
      <c r="N1353" t="s">
        <v>202</v>
      </c>
      <c r="O1353" s="1" t="s">
        <v>5995</v>
      </c>
      <c r="P1353" s="1" t="s">
        <v>5996</v>
      </c>
    </row>
    <row r="1354" spans="1:17" x14ac:dyDescent="0.25">
      <c r="A1354" t="s">
        <v>5997</v>
      </c>
      <c r="B1354" t="str">
        <f>HYPERLINK("https://staging-dtl-pattern-api.hfm-weimar.de/static/audio/solos/dtl/AQAQ1aJSJdKUBd9RKtOHE_WUB19W9CGF_0.01.52.084897-0.04.50.093877.mp3", "link")</f>
        <v>link</v>
      </c>
      <c r="F1354" t="s">
        <v>2845</v>
      </c>
      <c r="G1354" t="s">
        <v>2845</v>
      </c>
      <c r="J1354" t="s">
        <v>3090</v>
      </c>
      <c r="K1354" t="s">
        <v>5998</v>
      </c>
      <c r="L1354" s="1" t="s">
        <v>3092</v>
      </c>
      <c r="M1354" t="s">
        <v>3093</v>
      </c>
      <c r="N1354" t="s">
        <v>23</v>
      </c>
      <c r="O1354" s="1" t="s">
        <v>5999</v>
      </c>
      <c r="P1354" s="1" t="s">
        <v>6000</v>
      </c>
      <c r="Q1354" s="1" t="s">
        <v>7335</v>
      </c>
    </row>
    <row r="1355" spans="1:17" x14ac:dyDescent="0.25">
      <c r="A1355" t="s">
        <v>6001</v>
      </c>
      <c r="B1355" t="str">
        <f>HYPERLINK("https://staging-dtl-pattern-api.hfm-weimar.de/static/audio/solos/dtl/AQAQ1aJSJdKUBd9RKtOHE_WUB19W9CGF_0.05.12.094693-0.07.35.005306.mp3", "link")</f>
        <v>link</v>
      </c>
      <c r="F1355" t="s">
        <v>2845</v>
      </c>
      <c r="G1355" t="s">
        <v>2845</v>
      </c>
      <c r="J1355" t="s">
        <v>3090</v>
      </c>
      <c r="K1355" t="s">
        <v>5998</v>
      </c>
      <c r="L1355" s="1" t="s">
        <v>3092</v>
      </c>
      <c r="M1355" t="s">
        <v>3093</v>
      </c>
      <c r="N1355" t="s">
        <v>46</v>
      </c>
      <c r="O1355" s="1" t="s">
        <v>6002</v>
      </c>
      <c r="P1355" s="1" t="s">
        <v>6003</v>
      </c>
      <c r="Q1355" s="1" t="s">
        <v>7335</v>
      </c>
    </row>
    <row r="1356" spans="1:17" x14ac:dyDescent="0.25">
      <c r="A1356" t="s">
        <v>6004</v>
      </c>
      <c r="B1356" t="str">
        <f>HYPERLINK("https://staging-dtl-pattern-api.hfm-weimar.de/static/audio/solos/dtl/AQAQ1k6YJLqEZ_jTBO0pBcpe4oPlGe1j_0.00.43.072317-0.02.56.056453.mp3", "link")</f>
        <v>link</v>
      </c>
      <c r="D1356" t="s">
        <v>6005</v>
      </c>
      <c r="E1356" t="s">
        <v>3079</v>
      </c>
      <c r="F1356" t="s">
        <v>6006</v>
      </c>
      <c r="H1356" t="s">
        <v>3951</v>
      </c>
      <c r="I1356">
        <v>64</v>
      </c>
      <c r="J1356" t="s">
        <v>616</v>
      </c>
      <c r="K1356" t="s">
        <v>6007</v>
      </c>
      <c r="L1356" s="1" t="s">
        <v>6008</v>
      </c>
      <c r="M1356" t="s">
        <v>3583</v>
      </c>
      <c r="N1356" t="s">
        <v>202</v>
      </c>
      <c r="O1356" s="1" t="s">
        <v>6009</v>
      </c>
      <c r="P1356" s="1" t="s">
        <v>6010</v>
      </c>
    </row>
    <row r="1357" spans="1:17" x14ac:dyDescent="0.25">
      <c r="A1357" t="s">
        <v>6011</v>
      </c>
      <c r="B1357" t="str">
        <f>HYPERLINK("https://staging-dtl-pattern-api.hfm-weimar.de/static/audio/solos/dtl/AQAQ1k6YJLqEZ_jTBO0pBcpe4oPlGe1j_0.02.56.056453-0.05.17.055609.mp3", "link")</f>
        <v>link</v>
      </c>
      <c r="D1357" t="s">
        <v>6005</v>
      </c>
      <c r="E1357" t="s">
        <v>3087</v>
      </c>
      <c r="F1357" t="s">
        <v>6006</v>
      </c>
      <c r="H1357" t="s">
        <v>3951</v>
      </c>
      <c r="I1357">
        <v>64</v>
      </c>
      <c r="J1357" t="s">
        <v>616</v>
      </c>
      <c r="K1357" t="s">
        <v>6007</v>
      </c>
      <c r="L1357" s="1" t="s">
        <v>6008</v>
      </c>
      <c r="M1357" t="s">
        <v>3583</v>
      </c>
      <c r="N1357" t="s">
        <v>826</v>
      </c>
      <c r="O1357" s="1" t="s">
        <v>6010</v>
      </c>
      <c r="P1357" s="1" t="s">
        <v>6012</v>
      </c>
    </row>
    <row r="1358" spans="1:17" x14ac:dyDescent="0.25">
      <c r="A1358" t="s">
        <v>6013</v>
      </c>
      <c r="B1358" t="str">
        <f>HYPERLINK("https://staging-dtl-pattern-api.hfm-weimar.de/static/audio/solos/dtl/AQAQ8lOSKGSSRMWt4vgKqz2erUO5W8j1_0.01.33.043709-0.03.35.066693.mp3", "link")</f>
        <v>link</v>
      </c>
      <c r="D1358" t="s">
        <v>6014</v>
      </c>
      <c r="E1358" t="s">
        <v>6015</v>
      </c>
      <c r="F1358" t="s">
        <v>6016</v>
      </c>
      <c r="G1358" t="s">
        <v>6016</v>
      </c>
      <c r="J1358" t="s">
        <v>6017</v>
      </c>
      <c r="K1358" t="s">
        <v>6018</v>
      </c>
      <c r="L1358" s="1" t="s">
        <v>6019</v>
      </c>
      <c r="M1358" t="s">
        <v>6020</v>
      </c>
      <c r="N1358" t="s">
        <v>891</v>
      </c>
      <c r="O1358" s="1" t="s">
        <v>6021</v>
      </c>
      <c r="P1358" s="1" t="s">
        <v>6022</v>
      </c>
    </row>
    <row r="1359" spans="1:17" x14ac:dyDescent="0.25">
      <c r="A1359" t="s">
        <v>6023</v>
      </c>
      <c r="B1359" t="str">
        <f>HYPERLINK("https://staging-dtl-pattern-api.hfm-weimar.de/static/audio/solos/dtl/AQAQ8lOSKGSSRMWt4vgKqz2erUO5W8j1_0.03.35.066693-0.05.35.066766.mp3", "link")</f>
        <v>link</v>
      </c>
      <c r="D1359" t="s">
        <v>6014</v>
      </c>
      <c r="E1359" t="s">
        <v>6024</v>
      </c>
      <c r="F1359" t="s">
        <v>6016</v>
      </c>
      <c r="G1359" t="s">
        <v>6016</v>
      </c>
      <c r="J1359" t="s">
        <v>6017</v>
      </c>
      <c r="K1359" t="s">
        <v>6018</v>
      </c>
      <c r="L1359" s="1" t="s">
        <v>6019</v>
      </c>
      <c r="M1359" t="s">
        <v>6020</v>
      </c>
      <c r="N1359" t="s">
        <v>46</v>
      </c>
      <c r="O1359" s="1" t="s">
        <v>6022</v>
      </c>
      <c r="P1359" s="1" t="s">
        <v>6025</v>
      </c>
    </row>
    <row r="1360" spans="1:17" x14ac:dyDescent="0.25">
      <c r="A1360" t="s">
        <v>6026</v>
      </c>
      <c r="B1360" t="str">
        <f>HYPERLINK("https://staging-dtl-pattern-api.hfm-weimar.de/static/audio/solos/dtl/AQAQA5qSJEu0COayo6vw42i2BpV5XDma_0.02.40.007836-0.04.06.098775.mp3", "link")</f>
        <v>link</v>
      </c>
      <c r="D1360" t="s">
        <v>6027</v>
      </c>
      <c r="E1360" t="s">
        <v>4296</v>
      </c>
      <c r="F1360" t="s">
        <v>4297</v>
      </c>
      <c r="G1360" t="s">
        <v>4297</v>
      </c>
      <c r="J1360" t="s">
        <v>4298</v>
      </c>
      <c r="K1360" t="s">
        <v>6028</v>
      </c>
      <c r="L1360" s="1" t="s">
        <v>4300</v>
      </c>
      <c r="M1360" t="s">
        <v>4301</v>
      </c>
      <c r="N1360" t="s">
        <v>46</v>
      </c>
      <c r="O1360" s="1" t="s">
        <v>6029</v>
      </c>
      <c r="P1360" s="1" t="s">
        <v>6030</v>
      </c>
    </row>
    <row r="1361" spans="1:17" x14ac:dyDescent="0.25">
      <c r="A1361" t="s">
        <v>6031</v>
      </c>
      <c r="B1361" s="3" t="str">
        <f>HYPERLINK("https://staging-dtl-pattern-api.hfm-weimar.de/static/audio/solos/dtl/AQAQaJyySeICbQ-arDp-3JiVrfgDJkey_0.01.54.041632-0.04.50.074285.mp3", "link")</f>
        <v>link</v>
      </c>
      <c r="C1361" s="3" t="s">
        <v>7150</v>
      </c>
      <c r="D1361" s="3" t="s">
        <v>7145</v>
      </c>
      <c r="E1361" s="3"/>
      <c r="F1361" s="3" t="s">
        <v>1339</v>
      </c>
      <c r="G1361" s="3" t="s">
        <v>1339</v>
      </c>
      <c r="H1361" s="3"/>
      <c r="I1361" s="3"/>
      <c r="J1361" s="3" t="s">
        <v>6032</v>
      </c>
      <c r="K1361" s="3" t="s">
        <v>6033</v>
      </c>
      <c r="L1361" s="4" t="s">
        <v>6034</v>
      </c>
      <c r="M1361" s="3" t="s">
        <v>2129</v>
      </c>
      <c r="N1361" s="3" t="s">
        <v>202</v>
      </c>
      <c r="O1361" s="4" t="s">
        <v>6035</v>
      </c>
      <c r="P1361" s="4" t="s">
        <v>7358</v>
      </c>
      <c r="Q1361" s="4" t="s">
        <v>7357</v>
      </c>
    </row>
    <row r="1362" spans="1:17" x14ac:dyDescent="0.25">
      <c r="A1362" t="s">
        <v>6036</v>
      </c>
      <c r="B1362" t="str">
        <f>HYPERLINK("https://staging-dtl-pattern-api.hfm-weimar.de/static/audio/solos/dtl/AQAQaJyySeICbQ-arDp-3JiVrfgDJkey_0.06.14.002702-0.06.20.066793.mp3", "link")</f>
        <v>link</v>
      </c>
      <c r="C1362" t="s">
        <v>7150</v>
      </c>
      <c r="D1362" t="s">
        <v>7145</v>
      </c>
      <c r="F1362" t="s">
        <v>1339</v>
      </c>
      <c r="G1362" t="s">
        <v>1339</v>
      </c>
      <c r="J1362" t="s">
        <v>6032</v>
      </c>
      <c r="K1362" t="s">
        <v>6033</v>
      </c>
      <c r="L1362" s="1" t="s">
        <v>6034</v>
      </c>
      <c r="M1362" t="s">
        <v>2129</v>
      </c>
      <c r="N1362" t="s">
        <v>202</v>
      </c>
      <c r="O1362" s="1" t="s">
        <v>6037</v>
      </c>
      <c r="P1362" s="1" t="s">
        <v>6038</v>
      </c>
    </row>
    <row r="1363" spans="1:17" x14ac:dyDescent="0.25">
      <c r="A1363" t="s">
        <v>6039</v>
      </c>
      <c r="B1363" t="str">
        <f>HYPERLINK("https://staging-dtl-pattern-api.hfm-weimar.de/static/audio/solos/dtl/AQAQaJyySeICbQ-arDp-3JiVrfgDJkey_0.06.20.066793-0.06.27.091256.mp3", "link")</f>
        <v>link</v>
      </c>
      <c r="C1363" t="s">
        <v>7150</v>
      </c>
      <c r="D1363" t="s">
        <v>7145</v>
      </c>
      <c r="E1363" t="s">
        <v>3802</v>
      </c>
      <c r="F1363" t="s">
        <v>1339</v>
      </c>
      <c r="G1363" t="s">
        <v>1339</v>
      </c>
      <c r="J1363" t="s">
        <v>6032</v>
      </c>
      <c r="K1363" t="s">
        <v>6033</v>
      </c>
      <c r="L1363" s="1" t="s">
        <v>6034</v>
      </c>
      <c r="M1363" t="s">
        <v>2129</v>
      </c>
      <c r="N1363" t="s">
        <v>202</v>
      </c>
      <c r="O1363" s="1" t="s">
        <v>6038</v>
      </c>
      <c r="P1363" s="1" t="s">
        <v>6040</v>
      </c>
    </row>
    <row r="1364" spans="1:17" x14ac:dyDescent="0.25">
      <c r="A1364" t="s">
        <v>6041</v>
      </c>
      <c r="B1364" t="str">
        <f>HYPERLINK("https://staging-dtl-pattern-api.hfm-weimar.de/static/audio/solos/dtl/AQAQaJyySeICbQ-arDp-3JiVrfgDJkey_0.06.27.091256-0.06.34.050702.mp3", "link")</f>
        <v>link</v>
      </c>
      <c r="C1364" t="s">
        <v>7150</v>
      </c>
      <c r="D1364" t="s">
        <v>7145</v>
      </c>
      <c r="F1364" t="s">
        <v>1339</v>
      </c>
      <c r="G1364" t="s">
        <v>1339</v>
      </c>
      <c r="J1364" t="s">
        <v>6032</v>
      </c>
      <c r="K1364" t="s">
        <v>6033</v>
      </c>
      <c r="L1364" s="1" t="s">
        <v>6034</v>
      </c>
      <c r="M1364" t="s">
        <v>2129</v>
      </c>
      <c r="N1364" t="s">
        <v>202</v>
      </c>
      <c r="O1364" s="1" t="s">
        <v>6040</v>
      </c>
      <c r="P1364" s="1" t="s">
        <v>6042</v>
      </c>
    </row>
    <row r="1365" spans="1:17" x14ac:dyDescent="0.25">
      <c r="A1365" t="s">
        <v>6043</v>
      </c>
      <c r="B1365" t="str">
        <f>HYPERLINK("https://staging-dtl-pattern-api.hfm-weimar.de/static/audio/solos/dtl/AQAQaJyySeICbQ-arDp-3JiVrfgDJkey_0.06.34.050702-0.06.41.028725.mp3", "link")</f>
        <v>link</v>
      </c>
      <c r="C1365" t="s">
        <v>7150</v>
      </c>
      <c r="D1365" t="s">
        <v>7145</v>
      </c>
      <c r="E1365" t="s">
        <v>3802</v>
      </c>
      <c r="F1365" t="s">
        <v>1339</v>
      </c>
      <c r="G1365" t="s">
        <v>1339</v>
      </c>
      <c r="J1365" t="s">
        <v>6032</v>
      </c>
      <c r="K1365" t="s">
        <v>6033</v>
      </c>
      <c r="L1365" s="1" t="s">
        <v>6034</v>
      </c>
      <c r="M1365" t="s">
        <v>2129</v>
      </c>
      <c r="N1365" t="s">
        <v>202</v>
      </c>
      <c r="O1365" s="1" t="s">
        <v>6042</v>
      </c>
      <c r="P1365" s="1" t="s">
        <v>6044</v>
      </c>
    </row>
    <row r="1366" spans="1:17" x14ac:dyDescent="0.25">
      <c r="A1366" t="s">
        <v>6045</v>
      </c>
      <c r="B1366" t="str">
        <f>HYPERLINK("https://staging-dtl-pattern-api.hfm-weimar.de/static/audio/solos/dtl/AQAQaJyySeICbQ-arDp-3JiVrfgDJkey_0.06.41.028725-0.06.44.030585.mp3", "link")</f>
        <v>link</v>
      </c>
      <c r="C1366" t="s">
        <v>7150</v>
      </c>
      <c r="D1366" t="s">
        <v>7145</v>
      </c>
      <c r="F1366" t="s">
        <v>1339</v>
      </c>
      <c r="G1366" t="s">
        <v>1339</v>
      </c>
      <c r="J1366" t="s">
        <v>6032</v>
      </c>
      <c r="K1366" t="s">
        <v>6033</v>
      </c>
      <c r="L1366" s="1" t="s">
        <v>6034</v>
      </c>
      <c r="M1366" t="s">
        <v>2129</v>
      </c>
      <c r="N1366" t="s">
        <v>202</v>
      </c>
      <c r="O1366" s="1" t="s">
        <v>6044</v>
      </c>
      <c r="P1366" s="1" t="s">
        <v>6046</v>
      </c>
    </row>
    <row r="1367" spans="1:17" x14ac:dyDescent="0.25">
      <c r="A1367" t="s">
        <v>6047</v>
      </c>
      <c r="B1367" t="str">
        <f>HYPERLINK("https://staging-dtl-pattern-api.hfm-weimar.de/static/audio/solos/dtl/AQAQaJyySeICbQ-arDp-3JiVrfgDJkey_0.06.44.030585-0.06.47.097460.mp3", "link")</f>
        <v>link</v>
      </c>
      <c r="C1367" t="s">
        <v>7150</v>
      </c>
      <c r="D1367" t="s">
        <v>7145</v>
      </c>
      <c r="E1367" t="s">
        <v>3802</v>
      </c>
      <c r="F1367" t="s">
        <v>1339</v>
      </c>
      <c r="G1367" t="s">
        <v>1339</v>
      </c>
      <c r="J1367" t="s">
        <v>6032</v>
      </c>
      <c r="K1367" t="s">
        <v>6033</v>
      </c>
      <c r="L1367" s="1" t="s">
        <v>6034</v>
      </c>
      <c r="M1367" t="s">
        <v>2129</v>
      </c>
      <c r="N1367" t="s">
        <v>202</v>
      </c>
      <c r="O1367" s="1" t="s">
        <v>6046</v>
      </c>
      <c r="P1367" s="1" t="s">
        <v>6048</v>
      </c>
    </row>
    <row r="1368" spans="1:17" x14ac:dyDescent="0.25">
      <c r="A1368" t="s">
        <v>6049</v>
      </c>
      <c r="B1368" t="str">
        <f>HYPERLINK("https://staging-dtl-pattern-api.hfm-weimar.de/static/audio/solos/dtl/AQAQaJyySeICbQ-arDp-3JiVrfgDJkey_0.06.47.097460-0.06.51.031827.mp3", "link")</f>
        <v>link</v>
      </c>
      <c r="C1368" t="s">
        <v>7150</v>
      </c>
      <c r="D1368" t="s">
        <v>7145</v>
      </c>
      <c r="F1368" t="s">
        <v>1339</v>
      </c>
      <c r="G1368" t="s">
        <v>1339</v>
      </c>
      <c r="J1368" t="s">
        <v>6032</v>
      </c>
      <c r="K1368" t="s">
        <v>6033</v>
      </c>
      <c r="L1368" s="1" t="s">
        <v>6034</v>
      </c>
      <c r="M1368" t="s">
        <v>2129</v>
      </c>
      <c r="N1368" t="s">
        <v>202</v>
      </c>
      <c r="O1368" s="1" t="s">
        <v>6048</v>
      </c>
      <c r="P1368" s="1" t="s">
        <v>6050</v>
      </c>
    </row>
    <row r="1369" spans="1:17" x14ac:dyDescent="0.25">
      <c r="A1369" t="s">
        <v>6051</v>
      </c>
      <c r="B1369" t="str">
        <f>HYPERLINK("https://staging-dtl-pattern-api.hfm-weimar.de/static/audio/solos/dtl/AQAQaJyySeICbQ-arDp-3JiVrfgDJkey_0.06.51.031827-0.06.54.098702.mp3", "link")</f>
        <v>link</v>
      </c>
      <c r="C1369" t="s">
        <v>7150</v>
      </c>
      <c r="D1369" t="s">
        <v>7145</v>
      </c>
      <c r="E1369" t="s">
        <v>3802</v>
      </c>
      <c r="F1369" t="s">
        <v>1339</v>
      </c>
      <c r="G1369" t="s">
        <v>1339</v>
      </c>
      <c r="J1369" t="s">
        <v>6032</v>
      </c>
      <c r="K1369" t="s">
        <v>6033</v>
      </c>
      <c r="L1369" s="1" t="s">
        <v>6034</v>
      </c>
      <c r="M1369" t="s">
        <v>2129</v>
      </c>
      <c r="N1369" t="s">
        <v>202</v>
      </c>
      <c r="O1369" s="1" t="s">
        <v>6050</v>
      </c>
      <c r="P1369" s="1" t="s">
        <v>6052</v>
      </c>
    </row>
    <row r="1370" spans="1:17" x14ac:dyDescent="0.25">
      <c r="A1370" t="s">
        <v>6053</v>
      </c>
      <c r="B1370" t="str">
        <f>HYPERLINK("https://staging-dtl-pattern-api.hfm-weimar.de/static/audio/solos/dtl/AQAQaJyySeICbQ-arDp-3JiVrfgDJkey_0.06.54.098702-0.06.58.065578.mp3", "link")</f>
        <v>link</v>
      </c>
      <c r="C1370" t="s">
        <v>7150</v>
      </c>
      <c r="D1370" t="s">
        <v>7145</v>
      </c>
      <c r="F1370" t="s">
        <v>1339</v>
      </c>
      <c r="G1370" t="s">
        <v>1339</v>
      </c>
      <c r="J1370" t="s">
        <v>6032</v>
      </c>
      <c r="K1370" t="s">
        <v>6033</v>
      </c>
      <c r="L1370" s="1" t="s">
        <v>6034</v>
      </c>
      <c r="M1370" t="s">
        <v>2129</v>
      </c>
      <c r="N1370" t="s">
        <v>202</v>
      </c>
      <c r="O1370" s="1" t="s">
        <v>6052</v>
      </c>
      <c r="P1370" s="1" t="s">
        <v>6054</v>
      </c>
    </row>
    <row r="1371" spans="1:17" x14ac:dyDescent="0.25">
      <c r="A1371" t="s">
        <v>6055</v>
      </c>
      <c r="B1371" t="str">
        <f>HYPERLINK("https://staging-dtl-pattern-api.hfm-weimar.de/static/audio/solos/dtl/AQAQaJyySeICbQ-arDp-3JiVrfgDJkey_0.06.58.065578-0.07.02.064961.mp3", "link")</f>
        <v>link</v>
      </c>
      <c r="C1371" t="s">
        <v>7150</v>
      </c>
      <c r="D1371" t="s">
        <v>7145</v>
      </c>
      <c r="E1371" t="s">
        <v>3802</v>
      </c>
      <c r="F1371" t="s">
        <v>1339</v>
      </c>
      <c r="G1371" t="s">
        <v>1339</v>
      </c>
      <c r="J1371" t="s">
        <v>6032</v>
      </c>
      <c r="K1371" t="s">
        <v>6033</v>
      </c>
      <c r="L1371" s="1" t="s">
        <v>6034</v>
      </c>
      <c r="M1371" t="s">
        <v>2129</v>
      </c>
      <c r="N1371" t="s">
        <v>202</v>
      </c>
      <c r="O1371" s="1" t="s">
        <v>6054</v>
      </c>
      <c r="P1371" s="1" t="s">
        <v>6056</v>
      </c>
    </row>
    <row r="1372" spans="1:17" x14ac:dyDescent="0.25">
      <c r="A1372" t="s">
        <v>6057</v>
      </c>
      <c r="B1372" t="str">
        <f>HYPERLINK("https://staging-dtl-pattern-api.hfm-weimar.de/static/audio/solos/dtl/AQAQaJyySeICbQ-arDp-3JiVrfgDJkey_0.07.02.064961-0.07.07.071156.mp3", "link")</f>
        <v>link</v>
      </c>
      <c r="C1372" t="s">
        <v>7150</v>
      </c>
      <c r="D1372" t="s">
        <v>7145</v>
      </c>
      <c r="F1372" t="s">
        <v>1339</v>
      </c>
      <c r="G1372" t="s">
        <v>1339</v>
      </c>
      <c r="J1372" t="s">
        <v>6032</v>
      </c>
      <c r="K1372" t="s">
        <v>6033</v>
      </c>
      <c r="L1372" s="1" t="s">
        <v>6034</v>
      </c>
      <c r="M1372" t="s">
        <v>2129</v>
      </c>
      <c r="N1372" t="s">
        <v>202</v>
      </c>
      <c r="O1372" s="1" t="s">
        <v>6056</v>
      </c>
      <c r="P1372" s="1" t="s">
        <v>6058</v>
      </c>
    </row>
    <row r="1373" spans="1:17" x14ac:dyDescent="0.25">
      <c r="A1373" t="s">
        <v>6059</v>
      </c>
      <c r="B1373" t="str">
        <f>HYPERLINK("https://staging-dtl-pattern-api.hfm-weimar.de/static/audio/solos/dtl/AQAQBlGjZMoiRD--6HjQJHnR1xqeoy9y_0.00.56.074956-0.02.42.063256.mp3", "link")</f>
        <v>link</v>
      </c>
      <c r="D1373" t="s">
        <v>6060</v>
      </c>
      <c r="E1373" t="s">
        <v>7146</v>
      </c>
      <c r="F1373" t="s">
        <v>6061</v>
      </c>
      <c r="G1373" t="s">
        <v>6061</v>
      </c>
      <c r="J1373" t="s">
        <v>6062</v>
      </c>
      <c r="K1373" t="s">
        <v>6063</v>
      </c>
      <c r="L1373" s="1" t="s">
        <v>6064</v>
      </c>
      <c r="M1373" t="s">
        <v>6065</v>
      </c>
      <c r="N1373" t="s">
        <v>202</v>
      </c>
      <c r="O1373" s="1" t="s">
        <v>6066</v>
      </c>
      <c r="P1373" s="1" t="s">
        <v>6067</v>
      </c>
      <c r="Q1373" s="1" t="s">
        <v>7336</v>
      </c>
    </row>
    <row r="1374" spans="1:17" x14ac:dyDescent="0.25">
      <c r="A1374" t="s">
        <v>6068</v>
      </c>
      <c r="B1374" t="str">
        <f>HYPERLINK("https://staging-dtl-pattern-api.hfm-weimar.de/static/audio/solos/dtl/AQAQBlGjZMoiRD--6HjQJHnR1xqeoy9y_0.02.42.063256-0.04.22.029260.mp3", "link")</f>
        <v>link</v>
      </c>
      <c r="D1374" t="s">
        <v>6060</v>
      </c>
      <c r="E1374" t="s">
        <v>6061</v>
      </c>
      <c r="F1374" t="s">
        <v>6061</v>
      </c>
      <c r="G1374" t="s">
        <v>6061</v>
      </c>
      <c r="J1374" t="s">
        <v>6062</v>
      </c>
      <c r="K1374" t="s">
        <v>6063</v>
      </c>
      <c r="L1374" s="1" t="s">
        <v>6064</v>
      </c>
      <c r="M1374" t="s">
        <v>6065</v>
      </c>
      <c r="N1374" t="s">
        <v>288</v>
      </c>
      <c r="O1374" s="1" t="s">
        <v>6067</v>
      </c>
      <c r="P1374" s="1" t="s">
        <v>6069</v>
      </c>
    </row>
    <row r="1375" spans="1:17" x14ac:dyDescent="0.25">
      <c r="A1375" t="s">
        <v>6070</v>
      </c>
      <c r="B1375" t="str">
        <f>HYPERLINK("https://staging-dtl-pattern-api.hfm-weimar.de/static/audio/solos/dtl/AQAQBlGjZMoiRD--6HjQJHnR1xqeoy9y_0.07.43.009877-0.08.28.060988.mp3", "link")</f>
        <v>link</v>
      </c>
      <c r="D1375" t="s">
        <v>6060</v>
      </c>
      <c r="E1375" t="s">
        <v>7146</v>
      </c>
      <c r="F1375" t="s">
        <v>6061</v>
      </c>
      <c r="G1375" t="s">
        <v>6061</v>
      </c>
      <c r="J1375" t="s">
        <v>6062</v>
      </c>
      <c r="K1375" t="s">
        <v>6063</v>
      </c>
      <c r="L1375" s="1" t="s">
        <v>6064</v>
      </c>
      <c r="M1375" t="s">
        <v>6065</v>
      </c>
      <c r="N1375" t="s">
        <v>202</v>
      </c>
      <c r="O1375" s="1" t="s">
        <v>6071</v>
      </c>
      <c r="P1375" s="1" t="s">
        <v>6072</v>
      </c>
      <c r="Q1375" s="1" t="s">
        <v>7336</v>
      </c>
    </row>
    <row r="1376" spans="1:17" x14ac:dyDescent="0.25">
      <c r="A1376" t="s">
        <v>6073</v>
      </c>
      <c r="B1376" t="str">
        <f>HYPERLINK("https://staging-dtl-pattern-api.hfm-weimar.de/static/audio/solos/dtl/AQAQC1OkpIvyINlp5EuKJzp-EH8wJU-S_0.00.50.099102-0.02.09.056734.mp3", "link")</f>
        <v>link</v>
      </c>
      <c r="D1376" t="s">
        <v>6074</v>
      </c>
      <c r="E1376" t="s">
        <v>6075</v>
      </c>
      <c r="F1376" t="s">
        <v>5240</v>
      </c>
      <c r="G1376" t="s">
        <v>5240</v>
      </c>
      <c r="J1376" t="s">
        <v>5241</v>
      </c>
      <c r="K1376" t="s">
        <v>6076</v>
      </c>
      <c r="L1376" s="1" t="s">
        <v>5243</v>
      </c>
      <c r="M1376" t="s">
        <v>705</v>
      </c>
      <c r="N1376" t="s">
        <v>202</v>
      </c>
      <c r="O1376" s="1" t="s">
        <v>6077</v>
      </c>
      <c r="P1376" s="1" t="s">
        <v>6078</v>
      </c>
    </row>
    <row r="1377" spans="1:16" x14ac:dyDescent="0.25">
      <c r="A1377" t="s">
        <v>6079</v>
      </c>
      <c r="B1377" t="str">
        <f>HYPERLINK("https://staging-dtl-pattern-api.hfm-weimar.de/static/audio/solos/dtl/AQAQC1OkpIvyINlp5EuKJzp-EH8wJU-S_0.02.09.056734-0.03.25.082167.mp3", "link")</f>
        <v>link</v>
      </c>
      <c r="D1377" t="s">
        <v>6074</v>
      </c>
      <c r="E1377" t="s">
        <v>5239</v>
      </c>
      <c r="F1377" t="s">
        <v>5240</v>
      </c>
      <c r="G1377" t="s">
        <v>5240</v>
      </c>
      <c r="J1377" t="s">
        <v>5241</v>
      </c>
      <c r="K1377" t="s">
        <v>6076</v>
      </c>
      <c r="L1377" s="1" t="s">
        <v>5243</v>
      </c>
      <c r="M1377" t="s">
        <v>705</v>
      </c>
      <c r="N1377" t="s">
        <v>23</v>
      </c>
      <c r="O1377" s="1" t="s">
        <v>6078</v>
      </c>
      <c r="P1377" s="1" t="s">
        <v>6080</v>
      </c>
    </row>
    <row r="1378" spans="1:16" x14ac:dyDescent="0.25">
      <c r="A1378" t="s">
        <v>6081</v>
      </c>
      <c r="B1378" t="str">
        <f>HYPERLINK("https://staging-dtl-pattern-api.hfm-weimar.de/static/audio/solos/dtl/AQAQC1OkpIvyINlp5EuKJzp-EH8wJU-S_0.03.25.082167-0.04.43.003673.mp3", "link")</f>
        <v>link</v>
      </c>
      <c r="D1378" t="s">
        <v>6074</v>
      </c>
      <c r="E1378" t="s">
        <v>6082</v>
      </c>
      <c r="F1378" t="s">
        <v>5240</v>
      </c>
      <c r="G1378" t="s">
        <v>5240</v>
      </c>
      <c r="J1378" t="s">
        <v>5241</v>
      </c>
      <c r="K1378" t="s">
        <v>6076</v>
      </c>
      <c r="L1378" s="1" t="s">
        <v>5243</v>
      </c>
      <c r="M1378" t="s">
        <v>705</v>
      </c>
      <c r="N1378" t="s">
        <v>46</v>
      </c>
      <c r="O1378" s="1" t="s">
        <v>6080</v>
      </c>
      <c r="P1378" s="1" t="s">
        <v>6083</v>
      </c>
    </row>
    <row r="1379" spans="1:16" x14ac:dyDescent="0.25">
      <c r="A1379" t="s">
        <v>6084</v>
      </c>
      <c r="B1379" t="str">
        <f>HYPERLINK("https://staging-dtl-pattern-api.hfm-weimar.de/static/audio/solos/dtl/AQAQeVO2LIriAP0knMd5VMdzB7uRPDnC_0.06.53.091020-0.08.42.057959.mp3", "link")</f>
        <v>link</v>
      </c>
      <c r="D1379" t="s">
        <v>6085</v>
      </c>
      <c r="E1379" t="s">
        <v>6086</v>
      </c>
      <c r="F1379" t="s">
        <v>6087</v>
      </c>
      <c r="G1379" t="s">
        <v>6087</v>
      </c>
      <c r="J1379" t="s">
        <v>6088</v>
      </c>
      <c r="K1379" t="s">
        <v>6089</v>
      </c>
      <c r="L1379" s="1" t="s">
        <v>6090</v>
      </c>
      <c r="M1379" t="s">
        <v>705</v>
      </c>
      <c r="N1379" t="s">
        <v>23</v>
      </c>
      <c r="O1379" s="1" t="s">
        <v>6091</v>
      </c>
      <c r="P1379" s="1" t="s">
        <v>6092</v>
      </c>
    </row>
    <row r="1380" spans="1:16" x14ac:dyDescent="0.25">
      <c r="A1380" t="s">
        <v>6093</v>
      </c>
      <c r="B1380" t="str">
        <f>HYPERLINK("https://staging-dtl-pattern-api.hfm-weimar.de/static/audio/solos/dtl/AQAQEYkkO2EGPMsTPCWVoMlRJsGlhDau_0.00.41.023863-0.01.30.097578.mp3", "link")</f>
        <v>link</v>
      </c>
      <c r="D1380" t="s">
        <v>4704</v>
      </c>
      <c r="E1380" t="s">
        <v>4638</v>
      </c>
      <c r="F1380" t="s">
        <v>4638</v>
      </c>
      <c r="G1380" t="s">
        <v>4638</v>
      </c>
      <c r="J1380" t="s">
        <v>4639</v>
      </c>
      <c r="K1380" t="s">
        <v>6094</v>
      </c>
      <c r="L1380" s="1" t="s">
        <v>4641</v>
      </c>
      <c r="M1380" t="s">
        <v>129</v>
      </c>
      <c r="N1380" t="s">
        <v>46</v>
      </c>
      <c r="O1380" s="1" t="s">
        <v>2162</v>
      </c>
      <c r="P1380" s="1" t="s">
        <v>6095</v>
      </c>
    </row>
    <row r="1381" spans="1:16" x14ac:dyDescent="0.25">
      <c r="A1381" t="s">
        <v>6096</v>
      </c>
      <c r="B1381" t="str">
        <f>HYPERLINK("https://staging-dtl-pattern-api.hfm-weimar.de/static/audio/solos/dtl/AQAQEYkkO2EGPMsTPCWVoMlRJsGlhDau_0.01.30.097578-0.02.20.052716.mp3", "link")</f>
        <v>link</v>
      </c>
      <c r="D1381" t="s">
        <v>4704</v>
      </c>
      <c r="E1381" t="s">
        <v>2811</v>
      </c>
      <c r="F1381" t="s">
        <v>4638</v>
      </c>
      <c r="G1381" t="s">
        <v>4638</v>
      </c>
      <c r="J1381" t="s">
        <v>4639</v>
      </c>
      <c r="K1381" t="s">
        <v>6094</v>
      </c>
      <c r="L1381" s="1" t="s">
        <v>4641</v>
      </c>
      <c r="M1381" t="s">
        <v>129</v>
      </c>
      <c r="N1381" t="s">
        <v>23</v>
      </c>
      <c r="O1381" s="1" t="s">
        <v>6095</v>
      </c>
      <c r="P1381" s="1" t="s">
        <v>6097</v>
      </c>
    </row>
    <row r="1382" spans="1:16" x14ac:dyDescent="0.25">
      <c r="A1382" t="s">
        <v>6098</v>
      </c>
      <c r="B1382" t="str">
        <f>HYPERLINK("https://staging-dtl-pattern-api.hfm-weimar.de/static/audio/solos/dtl/AQAQF5ISJ4ymJMF3HO9E4iduKYjUiAmR_0.01.01.051836-0.03.40.012517.mp3", "link")</f>
        <v>link</v>
      </c>
      <c r="D1382" t="s">
        <v>2157</v>
      </c>
      <c r="E1382" t="s">
        <v>18</v>
      </c>
      <c r="F1382" t="s">
        <v>18</v>
      </c>
      <c r="G1382" t="s">
        <v>18</v>
      </c>
      <c r="J1382" t="s">
        <v>2158</v>
      </c>
      <c r="K1382" t="s">
        <v>6099</v>
      </c>
      <c r="L1382" s="1" t="s">
        <v>2160</v>
      </c>
      <c r="M1382" t="s">
        <v>2161</v>
      </c>
      <c r="N1382" t="s">
        <v>23</v>
      </c>
      <c r="O1382" s="1" t="s">
        <v>6100</v>
      </c>
      <c r="P1382" s="1" t="s">
        <v>6101</v>
      </c>
    </row>
    <row r="1383" spans="1:16" x14ac:dyDescent="0.25">
      <c r="A1383" t="s">
        <v>6102</v>
      </c>
      <c r="B1383" t="str">
        <f>HYPERLINK("https://staging-dtl-pattern-api.hfm-weimar.de/static/audio/solos/dtl/AQAQF5ISJ4ymJMF3HO9E4iduKYjUiAmR_0.05.24.028988-0.05.36.087510.mp3", "link")</f>
        <v>link</v>
      </c>
      <c r="D1383" t="s">
        <v>2157</v>
      </c>
      <c r="E1383" t="s">
        <v>18</v>
      </c>
      <c r="F1383" t="s">
        <v>18</v>
      </c>
      <c r="G1383" t="s">
        <v>18</v>
      </c>
      <c r="J1383" t="s">
        <v>2158</v>
      </c>
      <c r="K1383" t="s">
        <v>6099</v>
      </c>
      <c r="L1383" s="1" t="s">
        <v>2160</v>
      </c>
      <c r="M1383" t="s">
        <v>2161</v>
      </c>
      <c r="N1383" t="s">
        <v>23</v>
      </c>
      <c r="O1383" s="1" t="s">
        <v>6103</v>
      </c>
      <c r="P1383" s="1" t="s">
        <v>6104</v>
      </c>
    </row>
    <row r="1384" spans="1:16" x14ac:dyDescent="0.25">
      <c r="A1384" t="s">
        <v>6105</v>
      </c>
      <c r="B1384" t="str">
        <f>HYPERLINK("https://staging-dtl-pattern-api.hfm-weimar.de/static/audio/solos/dtl/AQAQF5ISJ4ymJMF3HO9E4iduKYjUiAmR_0.05.47.064916-0.06.00.051301.mp3", "link")</f>
        <v>link</v>
      </c>
      <c r="D1384" t="s">
        <v>2157</v>
      </c>
      <c r="E1384" t="s">
        <v>18</v>
      </c>
      <c r="F1384" t="s">
        <v>18</v>
      </c>
      <c r="G1384" t="s">
        <v>18</v>
      </c>
      <c r="J1384" t="s">
        <v>2158</v>
      </c>
      <c r="K1384" t="s">
        <v>6099</v>
      </c>
      <c r="L1384" s="1" t="s">
        <v>2160</v>
      </c>
      <c r="M1384" t="s">
        <v>2161</v>
      </c>
      <c r="N1384" t="s">
        <v>23</v>
      </c>
      <c r="O1384" s="1" t="s">
        <v>6106</v>
      </c>
      <c r="P1384" s="1" t="s">
        <v>6107</v>
      </c>
    </row>
    <row r="1385" spans="1:16" x14ac:dyDescent="0.25">
      <c r="A1385" t="s">
        <v>6108</v>
      </c>
      <c r="B1385" t="str">
        <f>HYPERLINK("https://staging-dtl-pattern-api.hfm-weimar.de/static/audio/solos/dtl/AQAQF5ISJ4ymJMF3HO9E4iduKYjUiAmR_0.06.17.069578-0.06.24.033668.mp3", "link")</f>
        <v>link</v>
      </c>
      <c r="D1385" t="s">
        <v>2157</v>
      </c>
      <c r="E1385" t="s">
        <v>18</v>
      </c>
      <c r="F1385" t="s">
        <v>18</v>
      </c>
      <c r="G1385" t="s">
        <v>18</v>
      </c>
      <c r="J1385" t="s">
        <v>2158</v>
      </c>
      <c r="K1385" t="s">
        <v>6099</v>
      </c>
      <c r="L1385" s="1" t="s">
        <v>2160</v>
      </c>
      <c r="M1385" t="s">
        <v>2161</v>
      </c>
      <c r="N1385" t="s">
        <v>23</v>
      </c>
      <c r="O1385" s="1" t="s">
        <v>6109</v>
      </c>
      <c r="P1385" s="1" t="s">
        <v>6110</v>
      </c>
    </row>
    <row r="1386" spans="1:16" x14ac:dyDescent="0.25">
      <c r="A1386" t="s">
        <v>6111</v>
      </c>
      <c r="B1386" t="str">
        <f>HYPERLINK("https://staging-dtl-pattern-api.hfm-weimar.de/static/audio/solos/dtl/AQAQF5ISJ4ymJMF3HO9E4iduKYjUiAmR_0.06.29.053795-0.06.36.027174.mp3", "link")</f>
        <v>link</v>
      </c>
      <c r="D1386" t="s">
        <v>2157</v>
      </c>
      <c r="E1386" t="s">
        <v>18</v>
      </c>
      <c r="F1386" t="s">
        <v>18</v>
      </c>
      <c r="G1386" t="s">
        <v>18</v>
      </c>
      <c r="J1386" t="s">
        <v>2158</v>
      </c>
      <c r="K1386" t="s">
        <v>6099</v>
      </c>
      <c r="L1386" s="1" t="s">
        <v>2160</v>
      </c>
      <c r="M1386" t="s">
        <v>2161</v>
      </c>
      <c r="N1386" t="s">
        <v>23</v>
      </c>
      <c r="O1386" s="1" t="s">
        <v>5723</v>
      </c>
      <c r="P1386" s="1" t="s">
        <v>6112</v>
      </c>
    </row>
    <row r="1387" spans="1:16" x14ac:dyDescent="0.25">
      <c r="A1387" t="s">
        <v>6113</v>
      </c>
      <c r="B1387" t="str">
        <f>HYPERLINK("https://staging-dtl-pattern-api.hfm-weimar.de/static/audio/solos/dtl/AQAQF5ISJ4ymJMF3HO9E4iduKYjUiAmR_0.06.41.056589-0.06.48.057832.mp3", "link")</f>
        <v>link</v>
      </c>
      <c r="D1387" t="s">
        <v>2157</v>
      </c>
      <c r="E1387" t="s">
        <v>18</v>
      </c>
      <c r="F1387" t="s">
        <v>18</v>
      </c>
      <c r="G1387" t="s">
        <v>18</v>
      </c>
      <c r="J1387" t="s">
        <v>2158</v>
      </c>
      <c r="K1387" t="s">
        <v>6099</v>
      </c>
      <c r="L1387" s="1" t="s">
        <v>2160</v>
      </c>
      <c r="M1387" t="s">
        <v>2161</v>
      </c>
      <c r="N1387" t="s">
        <v>23</v>
      </c>
      <c r="O1387" s="1" t="s">
        <v>6114</v>
      </c>
      <c r="P1387" s="1" t="s">
        <v>6115</v>
      </c>
    </row>
    <row r="1388" spans="1:16" x14ac:dyDescent="0.25">
      <c r="A1388" t="s">
        <v>6116</v>
      </c>
      <c r="B1388" t="str">
        <f>HYPERLINK("https://staging-dtl-pattern-api.hfm-weimar.de/static/audio/solos/dtl/AQAQF5ISJ4ymJMF3HO9E4iduKYjUiAmR_0.06.53.040807-0.07.00.074557.mp3", "link")</f>
        <v>link</v>
      </c>
      <c r="D1388" t="s">
        <v>2157</v>
      </c>
      <c r="E1388" t="s">
        <v>18</v>
      </c>
      <c r="F1388" t="s">
        <v>18</v>
      </c>
      <c r="G1388" t="s">
        <v>18</v>
      </c>
      <c r="J1388" t="s">
        <v>2158</v>
      </c>
      <c r="K1388" t="s">
        <v>6099</v>
      </c>
      <c r="L1388" s="1" t="s">
        <v>2160</v>
      </c>
      <c r="M1388" t="s">
        <v>2161</v>
      </c>
      <c r="N1388" t="s">
        <v>23</v>
      </c>
      <c r="O1388" s="1" t="s">
        <v>6117</v>
      </c>
      <c r="P1388" s="1" t="s">
        <v>6118</v>
      </c>
    </row>
    <row r="1389" spans="1:16" x14ac:dyDescent="0.25">
      <c r="A1389" t="s">
        <v>6119</v>
      </c>
      <c r="B1389" t="str">
        <f>HYPERLINK("https://staging-dtl-pattern-api.hfm-weimar.de/static/audio/solos/dtl/AQAQn0okPkqOCk2yNMd9PPmRXFSHMFQY_0.00.52.019845-0.03.53.001224.mp3", "link")</f>
        <v>link</v>
      </c>
      <c r="D1389" t="s">
        <v>3914</v>
      </c>
      <c r="E1389" t="s">
        <v>3469</v>
      </c>
      <c r="F1389" t="s">
        <v>3469</v>
      </c>
      <c r="G1389" t="s">
        <v>3469</v>
      </c>
      <c r="J1389" t="s">
        <v>3915</v>
      </c>
      <c r="K1389" t="s">
        <v>3056</v>
      </c>
      <c r="L1389" s="1" t="s">
        <v>3917</v>
      </c>
      <c r="M1389" t="s">
        <v>3918</v>
      </c>
      <c r="N1389" t="s">
        <v>23</v>
      </c>
      <c r="O1389" s="1" t="s">
        <v>3038</v>
      </c>
      <c r="P1389" s="1" t="s">
        <v>6120</v>
      </c>
    </row>
    <row r="1390" spans="1:16" x14ac:dyDescent="0.25">
      <c r="A1390" t="s">
        <v>6121</v>
      </c>
      <c r="B1390" t="str">
        <f>HYPERLINK("https://staging-dtl-pattern-api.hfm-weimar.de/static/audio/solos/dtl/AQAQn0okPkqOCk2yNMd9PPmRXFSHMFQY_0.05.55.013469-0.06.08.052244.mp3", "link")</f>
        <v>link</v>
      </c>
      <c r="D1390" t="s">
        <v>3914</v>
      </c>
      <c r="E1390" t="s">
        <v>3469</v>
      </c>
      <c r="F1390" t="s">
        <v>3469</v>
      </c>
      <c r="G1390" t="s">
        <v>3469</v>
      </c>
      <c r="J1390" t="s">
        <v>3915</v>
      </c>
      <c r="K1390" t="s">
        <v>3056</v>
      </c>
      <c r="L1390" s="1" t="s">
        <v>3917</v>
      </c>
      <c r="M1390" t="s">
        <v>3918</v>
      </c>
      <c r="N1390" t="s">
        <v>23</v>
      </c>
      <c r="O1390" s="1" t="s">
        <v>6122</v>
      </c>
      <c r="P1390" s="1" t="s">
        <v>6123</v>
      </c>
    </row>
    <row r="1391" spans="1:16" x14ac:dyDescent="0.25">
      <c r="A1391" t="s">
        <v>6124</v>
      </c>
      <c r="B1391" t="str">
        <f>HYPERLINK("https://staging-dtl-pattern-api.hfm-weimar.de/static/audio/solos/dtl/AQAQn0okPkqOCk2yNMd9PPmRXFSHMFQY_0.06.19.022829-0.06.32.026122.mp3", "link")</f>
        <v>link</v>
      </c>
      <c r="D1391" t="s">
        <v>3914</v>
      </c>
      <c r="E1391" t="s">
        <v>3469</v>
      </c>
      <c r="F1391" t="s">
        <v>3469</v>
      </c>
      <c r="G1391" t="s">
        <v>3469</v>
      </c>
      <c r="J1391" t="s">
        <v>3915</v>
      </c>
      <c r="K1391" t="s">
        <v>3056</v>
      </c>
      <c r="L1391" s="1" t="s">
        <v>3917</v>
      </c>
      <c r="M1391" t="s">
        <v>3918</v>
      </c>
      <c r="N1391" t="s">
        <v>23</v>
      </c>
      <c r="O1391" s="1" t="s">
        <v>6125</v>
      </c>
      <c r="P1391" s="1" t="s">
        <v>6126</v>
      </c>
    </row>
    <row r="1392" spans="1:16" x14ac:dyDescent="0.25">
      <c r="A1392" t="s">
        <v>6127</v>
      </c>
      <c r="B1392" t="str">
        <f>HYPERLINK("https://staging-dtl-pattern-api.hfm-weimar.de/static/audio/solos/dtl/AQAQn0okPkqOCk2yNMd9PPmRXFSHMFQY_0.06.43.036326-0.06.50.028571.mp3", "link")</f>
        <v>link</v>
      </c>
      <c r="D1392" t="s">
        <v>3914</v>
      </c>
      <c r="E1392" t="s">
        <v>3469</v>
      </c>
      <c r="F1392" t="s">
        <v>3469</v>
      </c>
      <c r="G1392" t="s">
        <v>3469</v>
      </c>
      <c r="J1392" t="s">
        <v>3915</v>
      </c>
      <c r="K1392" t="s">
        <v>3056</v>
      </c>
      <c r="L1392" s="1" t="s">
        <v>3917</v>
      </c>
      <c r="M1392" t="s">
        <v>3918</v>
      </c>
      <c r="N1392" t="s">
        <v>23</v>
      </c>
      <c r="O1392" s="1" t="s">
        <v>6128</v>
      </c>
      <c r="P1392" s="1" t="s">
        <v>6129</v>
      </c>
    </row>
    <row r="1393" spans="1:17" x14ac:dyDescent="0.25">
      <c r="A1393" t="s">
        <v>6130</v>
      </c>
      <c r="B1393" t="str">
        <f>HYPERLINK("https://staging-dtl-pattern-api.hfm-weimar.de/static/audio/solos/dtl/AQAQn0okPkqOCk2yNMd9PPmRXFSHMFQY_0.06.55.012634-0.07.01.081369.mp3", "link")</f>
        <v>link</v>
      </c>
      <c r="D1393" t="s">
        <v>3914</v>
      </c>
      <c r="E1393" t="s">
        <v>3469</v>
      </c>
      <c r="F1393" t="s">
        <v>3469</v>
      </c>
      <c r="G1393" t="s">
        <v>3469</v>
      </c>
      <c r="J1393" t="s">
        <v>3915</v>
      </c>
      <c r="K1393" t="s">
        <v>3056</v>
      </c>
      <c r="L1393" s="1" t="s">
        <v>3917</v>
      </c>
      <c r="M1393" t="s">
        <v>3918</v>
      </c>
      <c r="N1393" t="s">
        <v>23</v>
      </c>
      <c r="O1393" s="1" t="s">
        <v>6131</v>
      </c>
      <c r="P1393" s="1" t="s">
        <v>6132</v>
      </c>
    </row>
    <row r="1394" spans="1:17" x14ac:dyDescent="0.25">
      <c r="A1394" t="s">
        <v>6133</v>
      </c>
      <c r="B1394" t="str">
        <f>HYPERLINK("https://staging-dtl-pattern-api.hfm-weimar.de/static/audio/solos/dtl/AQAQn0okPkqOCk2yNMd9PPmRXFSHMFQY_0.07.07.024716-0.07.13.084163.mp3", "link")</f>
        <v>link</v>
      </c>
      <c r="D1394" t="s">
        <v>3914</v>
      </c>
      <c r="E1394" t="s">
        <v>3469</v>
      </c>
      <c r="F1394" t="s">
        <v>3469</v>
      </c>
      <c r="G1394" t="s">
        <v>3469</v>
      </c>
      <c r="J1394" t="s">
        <v>3915</v>
      </c>
      <c r="K1394" t="s">
        <v>3056</v>
      </c>
      <c r="L1394" s="1" t="s">
        <v>3917</v>
      </c>
      <c r="M1394" t="s">
        <v>3918</v>
      </c>
      <c r="N1394" t="s">
        <v>23</v>
      </c>
      <c r="O1394" s="1" t="s">
        <v>6134</v>
      </c>
      <c r="P1394" s="1" t="s">
        <v>6135</v>
      </c>
    </row>
    <row r="1395" spans="1:17" x14ac:dyDescent="0.25">
      <c r="A1395" t="s">
        <v>6136</v>
      </c>
      <c r="B1395" t="str">
        <f>HYPERLINK("https://staging-dtl-pattern-api.hfm-weimar.de/static/audio/solos/dtl/AQAQn0okPkqOCk2yNMd9PPmRXFSHMFQY_0.07.19.046086-0.07.25.086956.mp3", "link")</f>
        <v>link</v>
      </c>
      <c r="D1395" t="s">
        <v>3914</v>
      </c>
      <c r="E1395" t="s">
        <v>3469</v>
      </c>
      <c r="F1395" t="s">
        <v>3469</v>
      </c>
      <c r="G1395" t="s">
        <v>3469</v>
      </c>
      <c r="J1395" t="s">
        <v>3915</v>
      </c>
      <c r="K1395" t="s">
        <v>3056</v>
      </c>
      <c r="L1395" s="1" t="s">
        <v>3917</v>
      </c>
      <c r="M1395" t="s">
        <v>3918</v>
      </c>
      <c r="N1395" t="s">
        <v>23</v>
      </c>
      <c r="O1395" s="1" t="s">
        <v>6137</v>
      </c>
      <c r="P1395" s="1" t="s">
        <v>6138</v>
      </c>
    </row>
    <row r="1396" spans="1:17" x14ac:dyDescent="0.25">
      <c r="A1396" t="s">
        <v>6139</v>
      </c>
      <c r="B1396" t="str">
        <f>HYPERLINK("https://staging-dtl-pattern-api.hfm-weimar.de/static/audio/solos/dtl/AQAQn0okPkqOCk2yNMd9PPmRXFSHMFQY_0.07.31.011727-0.07.34.046095.mp3", "link")</f>
        <v>link</v>
      </c>
      <c r="D1396" t="s">
        <v>3914</v>
      </c>
      <c r="E1396" t="s">
        <v>3469</v>
      </c>
      <c r="F1396" t="s">
        <v>3469</v>
      </c>
      <c r="G1396" t="s">
        <v>3469</v>
      </c>
      <c r="J1396" t="s">
        <v>3915</v>
      </c>
      <c r="K1396" t="s">
        <v>3056</v>
      </c>
      <c r="L1396" s="1" t="s">
        <v>3917</v>
      </c>
      <c r="M1396" t="s">
        <v>3918</v>
      </c>
      <c r="N1396" t="s">
        <v>23</v>
      </c>
      <c r="O1396" s="1" t="s">
        <v>6140</v>
      </c>
      <c r="P1396" s="1" t="s">
        <v>6141</v>
      </c>
    </row>
    <row r="1397" spans="1:17" x14ac:dyDescent="0.25">
      <c r="A1397" t="s">
        <v>6142</v>
      </c>
      <c r="B1397" t="str">
        <f>HYPERLINK("https://staging-dtl-pattern-api.hfm-weimar.de/static/audio/solos/dtl/AQAQn0okPkqOCk2yNMd9PPmRXFSHMFQY_0.07.36.096870-0.07.40.017306.mp3", "link")</f>
        <v>link</v>
      </c>
      <c r="D1397" t="s">
        <v>3914</v>
      </c>
      <c r="E1397" t="s">
        <v>3469</v>
      </c>
      <c r="F1397" t="s">
        <v>3469</v>
      </c>
      <c r="G1397" t="s">
        <v>3469</v>
      </c>
      <c r="J1397" t="s">
        <v>3915</v>
      </c>
      <c r="K1397" t="s">
        <v>3056</v>
      </c>
      <c r="L1397" s="1" t="s">
        <v>3917</v>
      </c>
      <c r="M1397" t="s">
        <v>3918</v>
      </c>
      <c r="N1397" t="s">
        <v>23</v>
      </c>
      <c r="O1397" s="1" t="s">
        <v>6143</v>
      </c>
      <c r="P1397" s="1" t="s">
        <v>6144</v>
      </c>
    </row>
    <row r="1398" spans="1:17" x14ac:dyDescent="0.25">
      <c r="A1398" t="s">
        <v>6145</v>
      </c>
      <c r="B1398" t="str">
        <f>HYPERLINK("https://staging-dtl-pattern-api.hfm-weimar.de/static/audio/solos/dtl/AQAQn0okPkqOCk2yNMd9PPmRXFSHMFQY_0.07.42.091301-0.07.45.069941.mp3", "link")</f>
        <v>link</v>
      </c>
      <c r="D1398" t="s">
        <v>3914</v>
      </c>
      <c r="E1398" t="s">
        <v>3469</v>
      </c>
      <c r="F1398" t="s">
        <v>3469</v>
      </c>
      <c r="G1398" t="s">
        <v>3469</v>
      </c>
      <c r="J1398" t="s">
        <v>3915</v>
      </c>
      <c r="K1398" t="s">
        <v>3056</v>
      </c>
      <c r="L1398" s="1" t="s">
        <v>3917</v>
      </c>
      <c r="M1398" t="s">
        <v>3918</v>
      </c>
      <c r="N1398" t="s">
        <v>23</v>
      </c>
      <c r="O1398" s="1" t="s">
        <v>6146</v>
      </c>
      <c r="P1398" s="1" t="s">
        <v>6147</v>
      </c>
    </row>
    <row r="1399" spans="1:17" x14ac:dyDescent="0.25">
      <c r="A1399" t="s">
        <v>6148</v>
      </c>
      <c r="B1399" t="str">
        <f>HYPERLINK("https://staging-dtl-pattern-api.hfm-weimar.de/static/audio/solos/dtl/AQAQn0okPkqOCk2yNMd9PPmRXFSHMFQY_0.07.48.085732-0.07.52.024743.mp3", "link")</f>
        <v>link</v>
      </c>
      <c r="D1399" t="s">
        <v>3914</v>
      </c>
      <c r="E1399" t="s">
        <v>3469</v>
      </c>
      <c r="F1399" t="s">
        <v>3469</v>
      </c>
      <c r="G1399" t="s">
        <v>3469</v>
      </c>
      <c r="J1399" t="s">
        <v>3915</v>
      </c>
      <c r="K1399" t="s">
        <v>3056</v>
      </c>
      <c r="L1399" s="1" t="s">
        <v>3917</v>
      </c>
      <c r="M1399" t="s">
        <v>3918</v>
      </c>
      <c r="N1399" t="s">
        <v>23</v>
      </c>
      <c r="O1399" s="1" t="s">
        <v>6149</v>
      </c>
      <c r="P1399" s="1" t="s">
        <v>6150</v>
      </c>
    </row>
    <row r="1400" spans="1:17" x14ac:dyDescent="0.25">
      <c r="A1400" t="s">
        <v>6151</v>
      </c>
      <c r="B1400" t="str">
        <f>HYPERLINK("https://staging-dtl-pattern-api.hfm-weimar.de/static/audio/solos/dtl/AQAQsEkSLkqyVKgoHpePD211WCYOHnbg_0.03.28.005079-0.06.05.045306.mp3", "link")</f>
        <v>link</v>
      </c>
      <c r="D1400" t="s">
        <v>6152</v>
      </c>
      <c r="E1400" t="s">
        <v>6153</v>
      </c>
      <c r="F1400" t="s">
        <v>5909</v>
      </c>
      <c r="G1400" t="s">
        <v>5909</v>
      </c>
      <c r="J1400" t="s">
        <v>5910</v>
      </c>
      <c r="K1400" t="s">
        <v>6154</v>
      </c>
      <c r="L1400" s="1" t="s">
        <v>5912</v>
      </c>
      <c r="M1400" t="s">
        <v>3058</v>
      </c>
      <c r="N1400" t="s">
        <v>119</v>
      </c>
      <c r="O1400" s="1" t="s">
        <v>6155</v>
      </c>
      <c r="P1400" s="1" t="s">
        <v>6156</v>
      </c>
    </row>
    <row r="1401" spans="1:17" x14ac:dyDescent="0.25">
      <c r="A1401" t="s">
        <v>6157</v>
      </c>
      <c r="B1401" t="str">
        <f>HYPERLINK("https://staging-dtl-pattern-api.hfm-weimar.de/static/audio/solos/dtl/AQAQSUyWJdMyuEef4ccRDw1TQbuPHB8x_0.01.37.061668-0.02.31.085850.mp3", "link")</f>
        <v>link</v>
      </c>
      <c r="C1401" t="s">
        <v>7149</v>
      </c>
      <c r="D1401" t="s">
        <v>7148</v>
      </c>
      <c r="F1401" t="s">
        <v>4337</v>
      </c>
      <c r="G1401" t="s">
        <v>4337</v>
      </c>
      <c r="J1401" t="s">
        <v>6158</v>
      </c>
      <c r="K1401" t="s">
        <v>5221</v>
      </c>
      <c r="L1401" s="1" t="s">
        <v>6159</v>
      </c>
      <c r="M1401" t="s">
        <v>3531</v>
      </c>
      <c r="N1401" t="s">
        <v>46</v>
      </c>
      <c r="O1401" s="1" t="s">
        <v>6160</v>
      </c>
      <c r="P1401" s="1" t="s">
        <v>6161</v>
      </c>
      <c r="Q1401" s="1" t="s">
        <v>7164</v>
      </c>
    </row>
    <row r="1402" spans="1:17" x14ac:dyDescent="0.25">
      <c r="A1402" t="s">
        <v>6162</v>
      </c>
      <c r="B1402" t="str">
        <f>HYPERLINK("https://staging-dtl-pattern-api.hfm-weimar.de/static/audio/solos/dtl/AQAQSUyWJdMyuEef4ccRDw1TQbuPHB8x_0.02.31.085850-0.03.27.067346.mp3", "link")</f>
        <v>link</v>
      </c>
      <c r="D1402" t="s">
        <v>7148</v>
      </c>
      <c r="E1402" t="s">
        <v>4178</v>
      </c>
      <c r="F1402" t="s">
        <v>4337</v>
      </c>
      <c r="G1402" t="s">
        <v>4337</v>
      </c>
      <c r="J1402" t="s">
        <v>6158</v>
      </c>
      <c r="K1402" t="s">
        <v>5221</v>
      </c>
      <c r="L1402" s="1" t="s">
        <v>6159</v>
      </c>
      <c r="M1402" t="s">
        <v>3531</v>
      </c>
      <c r="N1402" t="s">
        <v>23</v>
      </c>
      <c r="O1402" s="1" t="s">
        <v>6161</v>
      </c>
      <c r="P1402" s="1" t="s">
        <v>6163</v>
      </c>
      <c r="Q1402" s="1" t="s">
        <v>7164</v>
      </c>
    </row>
    <row r="1403" spans="1:17" x14ac:dyDescent="0.25">
      <c r="A1403" t="s">
        <v>6164</v>
      </c>
      <c r="B1403" t="str">
        <f>HYPERLINK("https://staging-dtl-pattern-api.hfm-weimar.de/static/audio/solos/dtl/AQAQSUyWJdMyuEef4ccRDw1TQbuPHB8x_0.03.27.067346-0.04.24.088163.mp3", "link")</f>
        <v>link</v>
      </c>
      <c r="C1403" t="s">
        <v>7149</v>
      </c>
      <c r="D1403" t="s">
        <v>7148</v>
      </c>
      <c r="F1403" t="s">
        <v>4337</v>
      </c>
      <c r="G1403" t="s">
        <v>4337</v>
      </c>
      <c r="J1403" t="s">
        <v>6158</v>
      </c>
      <c r="K1403" t="s">
        <v>5221</v>
      </c>
      <c r="L1403" s="1" t="s">
        <v>6159</v>
      </c>
      <c r="M1403" t="s">
        <v>3531</v>
      </c>
      <c r="N1403" t="s">
        <v>46</v>
      </c>
      <c r="O1403" s="1" t="s">
        <v>6163</v>
      </c>
      <c r="P1403" s="1" t="s">
        <v>6165</v>
      </c>
      <c r="Q1403" s="1" t="s">
        <v>7164</v>
      </c>
    </row>
    <row r="1404" spans="1:17" x14ac:dyDescent="0.25">
      <c r="A1404" t="s">
        <v>6166</v>
      </c>
      <c r="B1404" t="str">
        <f>HYPERLINK("https://staging-dtl-pattern-api.hfm-weimar.de/static/audio/solos/dtl/AQAQSUyWJdMyuEef4ccRDw1TQbuPHB8x_0.04.24.088163-0.05.18.004081.mp3", "link")</f>
        <v>link</v>
      </c>
      <c r="D1404" t="s">
        <v>7148</v>
      </c>
      <c r="E1404" t="s">
        <v>7147</v>
      </c>
      <c r="F1404" t="s">
        <v>4337</v>
      </c>
      <c r="G1404" t="s">
        <v>4337</v>
      </c>
      <c r="J1404" t="s">
        <v>6158</v>
      </c>
      <c r="K1404" t="s">
        <v>5221</v>
      </c>
      <c r="L1404" s="1" t="s">
        <v>6159</v>
      </c>
      <c r="M1404" t="s">
        <v>3531</v>
      </c>
      <c r="N1404" t="s">
        <v>119</v>
      </c>
      <c r="O1404" s="1" t="s">
        <v>6165</v>
      </c>
      <c r="P1404" s="1" t="s">
        <v>6167</v>
      </c>
      <c r="Q1404" s="1" t="s">
        <v>7164</v>
      </c>
    </row>
    <row r="1405" spans="1:17" x14ac:dyDescent="0.25">
      <c r="A1405" t="s">
        <v>6168</v>
      </c>
      <c r="B1405" s="3" t="str">
        <f>HYPERLINK("https://staging-dtl-pattern-api.hfm-weimar.de/static/audio/solos/dtl/AQAQUlGUJEkS7YmCjNvxLbNSTB-aSQ8e_0.00.46.062566-0.04.36.089795.mp3", "link")</f>
        <v>link</v>
      </c>
      <c r="C1405" s="3" t="s">
        <v>7150</v>
      </c>
      <c r="D1405" s="3" t="s">
        <v>7145</v>
      </c>
      <c r="E1405" s="3"/>
      <c r="F1405" s="3" t="s">
        <v>1339</v>
      </c>
      <c r="G1405" s="3" t="s">
        <v>1339</v>
      </c>
      <c r="H1405" s="3"/>
      <c r="I1405" s="3"/>
      <c r="J1405" s="3" t="s">
        <v>6032</v>
      </c>
      <c r="K1405" s="3" t="s">
        <v>6169</v>
      </c>
      <c r="L1405" s="4" t="s">
        <v>6034</v>
      </c>
      <c r="M1405" s="3" t="s">
        <v>2129</v>
      </c>
      <c r="N1405" s="3" t="s">
        <v>202</v>
      </c>
      <c r="O1405" s="4" t="s">
        <v>6170</v>
      </c>
      <c r="P1405" s="4" t="s">
        <v>6171</v>
      </c>
      <c r="Q1405" s="4" t="s">
        <v>7337</v>
      </c>
    </row>
    <row r="1406" spans="1:17" x14ac:dyDescent="0.25">
      <c r="A1406" t="s">
        <v>6172</v>
      </c>
      <c r="B1406" t="str">
        <f>HYPERLINK("https://staging-dtl-pattern-api.hfm-weimar.de/static/audio/solos/dtl/AQAQUlGUJEkS7YmCjNvxLbNSTB-aSQ8e_0.05.50.020335-0.05.58.080816.mp3", "link")</f>
        <v>link</v>
      </c>
      <c r="C1406" t="s">
        <v>7150</v>
      </c>
      <c r="D1406" t="s">
        <v>7145</v>
      </c>
      <c r="E1406" t="s">
        <v>3802</v>
      </c>
      <c r="F1406" t="s">
        <v>1339</v>
      </c>
      <c r="G1406" t="s">
        <v>1339</v>
      </c>
      <c r="J1406" t="s">
        <v>6032</v>
      </c>
      <c r="K1406" t="s">
        <v>6169</v>
      </c>
      <c r="L1406" s="1" t="s">
        <v>6034</v>
      </c>
      <c r="M1406" t="s">
        <v>2129</v>
      </c>
      <c r="N1406" t="s">
        <v>202</v>
      </c>
      <c r="O1406" s="1" t="s">
        <v>6173</v>
      </c>
      <c r="P1406" s="1" t="s">
        <v>6174</v>
      </c>
    </row>
    <row r="1407" spans="1:17" x14ac:dyDescent="0.25">
      <c r="A1407" t="s">
        <v>6175</v>
      </c>
      <c r="B1407" t="str">
        <f>HYPERLINK("https://staging-dtl-pattern-api.hfm-weimar.de/static/audio/solos/dtl/AQAQUlGUJEkS7YmCjNvxLbNSTB-aSQ8e_0.05.58.080816-0.06.08.037551.mp3", "link")</f>
        <v>link</v>
      </c>
      <c r="C1407" t="s">
        <v>7150</v>
      </c>
      <c r="D1407" t="s">
        <v>7145</v>
      </c>
      <c r="F1407" t="s">
        <v>1339</v>
      </c>
      <c r="G1407" t="s">
        <v>1339</v>
      </c>
      <c r="J1407" t="s">
        <v>6032</v>
      </c>
      <c r="K1407" t="s">
        <v>6169</v>
      </c>
      <c r="L1407" s="1" t="s">
        <v>6034</v>
      </c>
      <c r="M1407" t="s">
        <v>2129</v>
      </c>
      <c r="N1407" t="s">
        <v>202</v>
      </c>
      <c r="O1407" s="1" t="s">
        <v>6174</v>
      </c>
      <c r="P1407" s="1" t="s">
        <v>6176</v>
      </c>
      <c r="Q1407" s="1" t="s">
        <v>7168</v>
      </c>
    </row>
    <row r="1408" spans="1:17" x14ac:dyDescent="0.25">
      <c r="A1408" t="s">
        <v>6177</v>
      </c>
      <c r="B1408" t="str">
        <f>HYPERLINK("https://staging-dtl-pattern-api.hfm-weimar.de/static/audio/solos/dtl/AQAQUlGUJEkS7YmCjNvxLbNSTB-aSQ8e_0.06.08.037551-0.06.18.026938.mp3", "link")</f>
        <v>link</v>
      </c>
      <c r="C1408" t="s">
        <v>7150</v>
      </c>
      <c r="D1408" t="s">
        <v>7145</v>
      </c>
      <c r="E1408" t="s">
        <v>3802</v>
      </c>
      <c r="F1408" t="s">
        <v>1339</v>
      </c>
      <c r="G1408" t="s">
        <v>1339</v>
      </c>
      <c r="J1408" t="s">
        <v>6032</v>
      </c>
      <c r="K1408" t="s">
        <v>6169</v>
      </c>
      <c r="L1408" s="1" t="s">
        <v>6034</v>
      </c>
      <c r="M1408" t="s">
        <v>2129</v>
      </c>
      <c r="N1408" t="s">
        <v>202</v>
      </c>
      <c r="O1408" s="1" t="s">
        <v>6176</v>
      </c>
      <c r="P1408" s="1" t="s">
        <v>6178</v>
      </c>
    </row>
    <row r="1409" spans="1:17" x14ac:dyDescent="0.25">
      <c r="A1409" t="s">
        <v>6179</v>
      </c>
      <c r="B1409" t="str">
        <f>HYPERLINK("https://staging-dtl-pattern-api.hfm-weimar.de/static/audio/solos/dtl/AQAQUlGUJEkS7YmCjNvxLbNSTB-aSQ8e_0.06.18.026938-0.06.27.041224.mp3", "link")</f>
        <v>link</v>
      </c>
      <c r="C1409" t="s">
        <v>7150</v>
      </c>
      <c r="D1409" t="s">
        <v>7145</v>
      </c>
      <c r="F1409" t="s">
        <v>1339</v>
      </c>
      <c r="G1409" t="s">
        <v>1339</v>
      </c>
      <c r="J1409" t="s">
        <v>6032</v>
      </c>
      <c r="K1409" t="s">
        <v>6169</v>
      </c>
      <c r="L1409" s="1" t="s">
        <v>6034</v>
      </c>
      <c r="M1409" t="s">
        <v>2129</v>
      </c>
      <c r="N1409" t="s">
        <v>202</v>
      </c>
      <c r="O1409" s="1" t="s">
        <v>6178</v>
      </c>
      <c r="P1409" s="1" t="s">
        <v>6180</v>
      </c>
      <c r="Q1409" s="1" t="s">
        <v>7168</v>
      </c>
    </row>
    <row r="1410" spans="1:17" x14ac:dyDescent="0.25">
      <c r="A1410" t="s">
        <v>6181</v>
      </c>
      <c r="B1410" t="str">
        <f>HYPERLINK("https://staging-dtl-pattern-api.hfm-weimar.de/static/audio/solos/dtl/AQAQUlGUJEkS7YmCjNvxLbNSTB-aSQ8e_0.06.27.041224-0.06.32.031020.mp3", "link")</f>
        <v>link</v>
      </c>
      <c r="C1410" t="s">
        <v>7150</v>
      </c>
      <c r="D1410" t="s">
        <v>7145</v>
      </c>
      <c r="E1410" t="s">
        <v>3802</v>
      </c>
      <c r="F1410" t="s">
        <v>1339</v>
      </c>
      <c r="G1410" t="s">
        <v>1339</v>
      </c>
      <c r="J1410" t="s">
        <v>6032</v>
      </c>
      <c r="K1410" t="s">
        <v>6169</v>
      </c>
      <c r="L1410" s="1" t="s">
        <v>6034</v>
      </c>
      <c r="M1410" t="s">
        <v>2129</v>
      </c>
      <c r="N1410" t="s">
        <v>202</v>
      </c>
      <c r="O1410" s="1" t="s">
        <v>6180</v>
      </c>
      <c r="P1410" s="1" t="s">
        <v>6182</v>
      </c>
    </row>
    <row r="1411" spans="1:17" x14ac:dyDescent="0.25">
      <c r="A1411" t="s">
        <v>6183</v>
      </c>
      <c r="B1411" t="str">
        <f>HYPERLINK("https://staging-dtl-pattern-api.hfm-weimar.de/static/audio/solos/dtl/AQAQUlGUJEkS7YmCjNvxLbNSTB-aSQ8e_0.06.32.031020-0.06.37.012653.mp3", "link")</f>
        <v>link</v>
      </c>
      <c r="C1411" t="s">
        <v>7150</v>
      </c>
      <c r="D1411" t="s">
        <v>7145</v>
      </c>
      <c r="F1411" t="s">
        <v>1339</v>
      </c>
      <c r="G1411" t="s">
        <v>1339</v>
      </c>
      <c r="J1411" t="s">
        <v>6032</v>
      </c>
      <c r="K1411" t="s">
        <v>6169</v>
      </c>
      <c r="L1411" s="1" t="s">
        <v>6034</v>
      </c>
      <c r="M1411" t="s">
        <v>2129</v>
      </c>
      <c r="N1411" t="s">
        <v>202</v>
      </c>
      <c r="O1411" s="1" t="s">
        <v>6182</v>
      </c>
      <c r="P1411" s="1" t="s">
        <v>6184</v>
      </c>
      <c r="Q1411" s="1" t="s">
        <v>7168</v>
      </c>
    </row>
    <row r="1412" spans="1:17" x14ac:dyDescent="0.25">
      <c r="A1412" t="s">
        <v>6185</v>
      </c>
      <c r="B1412" t="str">
        <f>HYPERLINK("https://staging-dtl-pattern-api.hfm-weimar.de/static/audio/solos/dtl/AQAQUlGUJEkS7YmCjNvxLbNSTB-aSQ8e_0.06.37.012653-0.06.40.076734.mp3", "link")</f>
        <v>link</v>
      </c>
      <c r="C1412" t="s">
        <v>7150</v>
      </c>
      <c r="D1412" t="s">
        <v>7145</v>
      </c>
      <c r="E1412" t="s">
        <v>3802</v>
      </c>
      <c r="F1412" t="s">
        <v>1339</v>
      </c>
      <c r="G1412" t="s">
        <v>1339</v>
      </c>
      <c r="J1412" t="s">
        <v>6032</v>
      </c>
      <c r="K1412" t="s">
        <v>6169</v>
      </c>
      <c r="L1412" s="1" t="s">
        <v>6034</v>
      </c>
      <c r="M1412" t="s">
        <v>2129</v>
      </c>
      <c r="N1412" t="s">
        <v>202</v>
      </c>
      <c r="O1412" s="1" t="s">
        <v>6184</v>
      </c>
      <c r="P1412" s="1" t="s">
        <v>6186</v>
      </c>
    </row>
    <row r="1413" spans="1:17" x14ac:dyDescent="0.25">
      <c r="A1413" t="s">
        <v>6187</v>
      </c>
      <c r="B1413" t="str">
        <f>HYPERLINK("https://staging-dtl-pattern-api.hfm-weimar.de/static/audio/solos/dtl/AQAQUlGUJEkS7YmCjNvxLbNSTB-aSQ8e_0.06.40.076734-0.06.46.061224.mp3", "link")</f>
        <v>link</v>
      </c>
      <c r="C1413" t="s">
        <v>7150</v>
      </c>
      <c r="D1413" t="s">
        <v>7145</v>
      </c>
      <c r="F1413" t="s">
        <v>1339</v>
      </c>
      <c r="G1413" t="s">
        <v>1339</v>
      </c>
      <c r="J1413" t="s">
        <v>6032</v>
      </c>
      <c r="K1413" t="s">
        <v>6169</v>
      </c>
      <c r="L1413" s="1" t="s">
        <v>6034</v>
      </c>
      <c r="M1413" t="s">
        <v>2129</v>
      </c>
      <c r="N1413" t="s">
        <v>202</v>
      </c>
      <c r="O1413" s="1" t="s">
        <v>6186</v>
      </c>
      <c r="P1413" s="1" t="s">
        <v>6188</v>
      </c>
      <c r="Q1413" s="1" t="s">
        <v>7168</v>
      </c>
    </row>
    <row r="1414" spans="1:17" x14ac:dyDescent="0.25">
      <c r="A1414" t="s">
        <v>6189</v>
      </c>
      <c r="B1414" t="str">
        <f>HYPERLINK("https://staging-dtl-pattern-api.hfm-weimar.de/static/audio/solos/dtl/AQAQUlGUJEkS7YmCjNvxLbNSTB-aSQ8e_0.06.46.061224-0.06.50.062857.mp3", "link")</f>
        <v>link</v>
      </c>
      <c r="C1414" t="s">
        <v>7150</v>
      </c>
      <c r="D1414" t="s">
        <v>7145</v>
      </c>
      <c r="E1414" t="s">
        <v>3802</v>
      </c>
      <c r="F1414" t="s">
        <v>1339</v>
      </c>
      <c r="G1414" t="s">
        <v>1339</v>
      </c>
      <c r="J1414" t="s">
        <v>6032</v>
      </c>
      <c r="K1414" t="s">
        <v>6169</v>
      </c>
      <c r="L1414" s="1" t="s">
        <v>6034</v>
      </c>
      <c r="M1414" t="s">
        <v>2129</v>
      </c>
      <c r="N1414" t="s">
        <v>202</v>
      </c>
      <c r="O1414" s="1" t="s">
        <v>6188</v>
      </c>
      <c r="P1414" s="1" t="s">
        <v>6190</v>
      </c>
    </row>
    <row r="1415" spans="1:17" x14ac:dyDescent="0.25">
      <c r="A1415" t="s">
        <v>6191</v>
      </c>
      <c r="B1415" t="str">
        <f>HYPERLINK("https://staging-dtl-pattern-api.hfm-weimar.de/static/audio/solos/dtl/AQAQUlGUJEkS7YmCjNvxLbNSTB-aSQ8e_0.06.50.062857-0.06.55.041224.mp3", "link")</f>
        <v>link</v>
      </c>
      <c r="C1415" t="s">
        <v>7150</v>
      </c>
      <c r="D1415" t="s">
        <v>7145</v>
      </c>
      <c r="F1415" t="s">
        <v>1339</v>
      </c>
      <c r="G1415" t="s">
        <v>1339</v>
      </c>
      <c r="J1415" t="s">
        <v>6032</v>
      </c>
      <c r="K1415" t="s">
        <v>6169</v>
      </c>
      <c r="L1415" s="1" t="s">
        <v>6034</v>
      </c>
      <c r="M1415" t="s">
        <v>2129</v>
      </c>
      <c r="N1415" t="s">
        <v>202</v>
      </c>
      <c r="O1415" s="1" t="s">
        <v>6190</v>
      </c>
      <c r="P1415" s="1" t="s">
        <v>6192</v>
      </c>
      <c r="Q1415" s="1" t="s">
        <v>7168</v>
      </c>
    </row>
    <row r="1416" spans="1:17" x14ac:dyDescent="0.25">
      <c r="A1416" t="s">
        <v>6193</v>
      </c>
      <c r="B1416" t="str">
        <f>HYPERLINK("https://staging-dtl-pattern-api.hfm-weimar.de/static/audio/solos/dtl/AQAQUlGUJEkS7YmCjNvxLbNSTB-aSQ8e_0.06.55.041224-0.06.59.093469.mp3", "link")</f>
        <v>link</v>
      </c>
      <c r="C1416" t="s">
        <v>7150</v>
      </c>
      <c r="D1416" t="s">
        <v>7145</v>
      </c>
      <c r="E1416" t="s">
        <v>3802</v>
      </c>
      <c r="F1416" t="s">
        <v>1339</v>
      </c>
      <c r="G1416" t="s">
        <v>1339</v>
      </c>
      <c r="J1416" t="s">
        <v>6032</v>
      </c>
      <c r="K1416" t="s">
        <v>6169</v>
      </c>
      <c r="L1416" s="1" t="s">
        <v>6034</v>
      </c>
      <c r="M1416" t="s">
        <v>2129</v>
      </c>
      <c r="N1416" t="s">
        <v>202</v>
      </c>
      <c r="O1416" s="1" t="s">
        <v>6192</v>
      </c>
      <c r="P1416" s="1" t="s">
        <v>6194</v>
      </c>
    </row>
    <row r="1417" spans="1:17" x14ac:dyDescent="0.25">
      <c r="A1417" t="s">
        <v>6195</v>
      </c>
      <c r="B1417" t="str">
        <f>HYPERLINK("https://staging-dtl-pattern-api.hfm-weimar.de/static/audio/solos/dtl/AQAQUlGUJEkS7YmCjNvxLbNSTB-aSQ8e_0.06.59.093469-0.07.04.093061.mp3", "link")</f>
        <v>link</v>
      </c>
      <c r="C1417" t="s">
        <v>7150</v>
      </c>
      <c r="D1417" t="s">
        <v>7145</v>
      </c>
      <c r="F1417" t="s">
        <v>1339</v>
      </c>
      <c r="G1417" t="s">
        <v>1339</v>
      </c>
      <c r="J1417" t="s">
        <v>6032</v>
      </c>
      <c r="K1417" t="s">
        <v>6169</v>
      </c>
      <c r="L1417" s="1" t="s">
        <v>6034</v>
      </c>
      <c r="M1417" t="s">
        <v>2129</v>
      </c>
      <c r="N1417" t="s">
        <v>202</v>
      </c>
      <c r="O1417" s="1" t="s">
        <v>6194</v>
      </c>
      <c r="P1417" s="1" t="s">
        <v>6196</v>
      </c>
      <c r="Q1417" s="1" t="s">
        <v>7168</v>
      </c>
    </row>
    <row r="1418" spans="1:17" x14ac:dyDescent="0.25">
      <c r="A1418" t="s">
        <v>6197</v>
      </c>
      <c r="B1418" t="str">
        <f>HYPERLINK("https://staging-dtl-pattern-api.hfm-weimar.de/static/audio/solos/dtl/AQAQUlGUJEkS7YmCjNvxLbNSTB-aSQ8e_0.07.04.093061-0.07.09.012653.mp3", "link")</f>
        <v>link</v>
      </c>
      <c r="C1418" t="s">
        <v>7150</v>
      </c>
      <c r="D1418" t="s">
        <v>7145</v>
      </c>
      <c r="E1418" t="s">
        <v>3802</v>
      </c>
      <c r="F1418" t="s">
        <v>1339</v>
      </c>
      <c r="G1418" t="s">
        <v>1339</v>
      </c>
      <c r="J1418" t="s">
        <v>6032</v>
      </c>
      <c r="K1418" t="s">
        <v>6169</v>
      </c>
      <c r="L1418" s="1" t="s">
        <v>6034</v>
      </c>
      <c r="M1418" t="s">
        <v>2129</v>
      </c>
      <c r="N1418" t="s">
        <v>202</v>
      </c>
      <c r="O1418" s="1" t="s">
        <v>6196</v>
      </c>
      <c r="P1418" s="1" t="s">
        <v>6198</v>
      </c>
    </row>
    <row r="1419" spans="1:17" x14ac:dyDescent="0.25">
      <c r="A1419" t="s">
        <v>6199</v>
      </c>
      <c r="B1419" t="str">
        <f>HYPERLINK("https://staging-dtl-pattern-api.hfm-weimar.de/static/audio/solos/dtl/AQAQUlGUJEkS7YmCjNvxLbNSTB-aSQ8e_0.07.09.012653-0.07.14.039891.mp3", "link")</f>
        <v>link</v>
      </c>
      <c r="C1419" t="s">
        <v>7150</v>
      </c>
      <c r="D1419" t="s">
        <v>7145</v>
      </c>
      <c r="F1419" t="s">
        <v>1339</v>
      </c>
      <c r="G1419" t="s">
        <v>1339</v>
      </c>
      <c r="J1419" t="s">
        <v>6032</v>
      </c>
      <c r="K1419" t="s">
        <v>6169</v>
      </c>
      <c r="L1419" s="1" t="s">
        <v>6034</v>
      </c>
      <c r="M1419" t="s">
        <v>2129</v>
      </c>
      <c r="N1419" t="s">
        <v>202</v>
      </c>
      <c r="O1419" s="1" t="s">
        <v>6198</v>
      </c>
      <c r="P1419" s="1" t="s">
        <v>6200</v>
      </c>
      <c r="Q1419" s="1" t="s">
        <v>7168</v>
      </c>
    </row>
    <row r="1420" spans="1:17" x14ac:dyDescent="0.25">
      <c r="A1420" t="s">
        <v>6201</v>
      </c>
      <c r="B1420" t="str">
        <f>HYPERLINK("https://staging-dtl-pattern-api.hfm-weimar.de/static/audio/solos/dtl/AQAQUlGUJEkS7YmCjNvxLbNSTB-aSQ8e_0.07.14.039891-0.07.18.027664.mp3", "link")</f>
        <v>link</v>
      </c>
      <c r="C1420" t="s">
        <v>7150</v>
      </c>
      <c r="D1420" t="s">
        <v>7145</v>
      </c>
      <c r="E1420" t="s">
        <v>3802</v>
      </c>
      <c r="F1420" t="s">
        <v>1339</v>
      </c>
      <c r="G1420" t="s">
        <v>1339</v>
      </c>
      <c r="J1420" t="s">
        <v>6032</v>
      </c>
      <c r="K1420" t="s">
        <v>6169</v>
      </c>
      <c r="L1420" s="1" t="s">
        <v>6034</v>
      </c>
      <c r="M1420" t="s">
        <v>2129</v>
      </c>
      <c r="N1420" t="s">
        <v>202</v>
      </c>
      <c r="O1420" s="1" t="s">
        <v>6200</v>
      </c>
      <c r="P1420" s="1" t="s">
        <v>6202</v>
      </c>
    </row>
    <row r="1421" spans="1:17" x14ac:dyDescent="0.25">
      <c r="A1421" t="s">
        <v>6203</v>
      </c>
      <c r="B1421" t="str">
        <f>HYPERLINK("https://staging-dtl-pattern-api.hfm-weimar.de/static/audio/solos/dtl/AQAQUlGUJEkS7YmCjNvxLbNSTB-aSQ8e_0.07.18.027664-0.07.23.080299.mp3", "link")</f>
        <v>link</v>
      </c>
      <c r="C1421" t="s">
        <v>7150</v>
      </c>
      <c r="D1421" t="s">
        <v>7145</v>
      </c>
      <c r="F1421" t="s">
        <v>1339</v>
      </c>
      <c r="G1421" t="s">
        <v>1339</v>
      </c>
      <c r="J1421" t="s">
        <v>6032</v>
      </c>
      <c r="K1421" t="s">
        <v>6169</v>
      </c>
      <c r="L1421" s="1" t="s">
        <v>6034</v>
      </c>
      <c r="M1421" t="s">
        <v>2129</v>
      </c>
      <c r="N1421" t="s">
        <v>202</v>
      </c>
      <c r="O1421" s="1" t="s">
        <v>6202</v>
      </c>
      <c r="P1421" s="1" t="s">
        <v>6204</v>
      </c>
      <c r="Q1421" s="1" t="s">
        <v>7168</v>
      </c>
    </row>
    <row r="1422" spans="1:17" x14ac:dyDescent="0.25">
      <c r="A1422" t="s">
        <v>6205</v>
      </c>
      <c r="B1422" t="str">
        <f>HYPERLINK("https://staging-dtl-pattern-api.hfm-weimar.de/static/audio/solos/dtl/AQAQUlGUJEkS7YmCjNvxLbNSTB-aSQ8e_0.07.23.080299-0.07.28.002902.mp3", "link")</f>
        <v>link</v>
      </c>
      <c r="C1422" t="s">
        <v>7150</v>
      </c>
      <c r="D1422" t="s">
        <v>7145</v>
      </c>
      <c r="E1422" t="s">
        <v>3802</v>
      </c>
      <c r="F1422" t="s">
        <v>1339</v>
      </c>
      <c r="G1422" t="s">
        <v>1339</v>
      </c>
      <c r="J1422" t="s">
        <v>6032</v>
      </c>
      <c r="K1422" t="s">
        <v>6169</v>
      </c>
      <c r="L1422" s="1" t="s">
        <v>6034</v>
      </c>
      <c r="M1422" t="s">
        <v>2129</v>
      </c>
      <c r="N1422" t="s">
        <v>202</v>
      </c>
      <c r="O1422" s="1" t="s">
        <v>6204</v>
      </c>
      <c r="P1422" s="1" t="s">
        <v>6206</v>
      </c>
    </row>
    <row r="1423" spans="1:17" x14ac:dyDescent="0.25">
      <c r="A1423" t="s">
        <v>6207</v>
      </c>
      <c r="B1423" t="str">
        <f>HYPERLINK("https://staging-dtl-pattern-api.hfm-weimar.de/static/audio/solos/dtl/AQAQUlGUJEkS7YmCjNvxLbNSTB-aSQ8e_0.07.28.002902-0.07.33.013741.mp3", "link")</f>
        <v>link</v>
      </c>
      <c r="C1423" t="s">
        <v>7150</v>
      </c>
      <c r="D1423" t="s">
        <v>7145</v>
      </c>
      <c r="F1423" t="s">
        <v>1339</v>
      </c>
      <c r="G1423" t="s">
        <v>1339</v>
      </c>
      <c r="J1423" t="s">
        <v>6032</v>
      </c>
      <c r="K1423" t="s">
        <v>6169</v>
      </c>
      <c r="L1423" s="1" t="s">
        <v>6034</v>
      </c>
      <c r="M1423" t="s">
        <v>2129</v>
      </c>
      <c r="N1423" t="s">
        <v>202</v>
      </c>
      <c r="O1423" s="1" t="s">
        <v>6206</v>
      </c>
      <c r="P1423" s="1" t="s">
        <v>6208</v>
      </c>
      <c r="Q1423" s="1" t="s">
        <v>7168</v>
      </c>
    </row>
    <row r="1424" spans="1:17" x14ac:dyDescent="0.25">
      <c r="A1424" t="s">
        <v>6209</v>
      </c>
      <c r="B1424" t="str">
        <f>HYPERLINK("https://staging-dtl-pattern-api.hfm-weimar.de/static/audio/solos/dtl/AQAQUlGUJEkS7YmCjNvxLbNSTB-aSQ8e_0.07.33.013741-0.07.37.059564.mp3", "link")</f>
        <v>link</v>
      </c>
      <c r="C1424" t="s">
        <v>7150</v>
      </c>
      <c r="D1424" t="s">
        <v>7145</v>
      </c>
      <c r="E1424" t="s">
        <v>3802</v>
      </c>
      <c r="F1424" t="s">
        <v>1339</v>
      </c>
      <c r="G1424" t="s">
        <v>1339</v>
      </c>
      <c r="J1424" t="s">
        <v>6032</v>
      </c>
      <c r="K1424" t="s">
        <v>6169</v>
      </c>
      <c r="L1424" s="1" t="s">
        <v>6034</v>
      </c>
      <c r="M1424" t="s">
        <v>2129</v>
      </c>
      <c r="N1424" t="s">
        <v>202</v>
      </c>
      <c r="O1424" s="1" t="s">
        <v>6208</v>
      </c>
      <c r="P1424" s="1" t="s">
        <v>6210</v>
      </c>
    </row>
    <row r="1425" spans="1:17" x14ac:dyDescent="0.25">
      <c r="A1425" t="s">
        <v>6211</v>
      </c>
      <c r="B1425" t="str">
        <f>HYPERLINK("https://staging-dtl-pattern-api.hfm-weimar.de/static/audio/solos/dtl/AQAQUlGUJEkS7YmCjNvxLbNSTB-aSQ8e_0.07.37.059564-0.07.42.054149.mp3", "link")</f>
        <v>link</v>
      </c>
      <c r="C1425" t="s">
        <v>7150</v>
      </c>
      <c r="D1425" t="s">
        <v>7145</v>
      </c>
      <c r="F1425" t="s">
        <v>1339</v>
      </c>
      <c r="G1425" t="s">
        <v>1339</v>
      </c>
      <c r="J1425" t="s">
        <v>6032</v>
      </c>
      <c r="K1425" t="s">
        <v>6169</v>
      </c>
      <c r="L1425" s="1" t="s">
        <v>6034</v>
      </c>
      <c r="M1425" t="s">
        <v>2129</v>
      </c>
      <c r="N1425" t="s">
        <v>202</v>
      </c>
      <c r="O1425" s="1" t="s">
        <v>6210</v>
      </c>
      <c r="P1425" s="1" t="s">
        <v>6212</v>
      </c>
      <c r="Q1425" s="1" t="s">
        <v>7168</v>
      </c>
    </row>
    <row r="1426" spans="1:17" x14ac:dyDescent="0.25">
      <c r="A1426" t="s">
        <v>6213</v>
      </c>
      <c r="B1426" t="str">
        <f>HYPERLINK("https://staging-dtl-pattern-api.hfm-weimar.de/static/audio/solos/dtl/AQAQwlESZUkSJkngMLqCWj3Wq_gHZ1x2_0.01.16.027755-0.03.57.021505.mp3", "link")</f>
        <v>link</v>
      </c>
      <c r="D1426" t="s">
        <v>6214</v>
      </c>
      <c r="E1426" t="s">
        <v>3469</v>
      </c>
      <c r="F1426" t="s">
        <v>3469</v>
      </c>
      <c r="G1426" t="s">
        <v>3469</v>
      </c>
      <c r="J1426" t="s">
        <v>6215</v>
      </c>
      <c r="K1426" t="s">
        <v>6216</v>
      </c>
      <c r="L1426" s="1" t="s">
        <v>6217</v>
      </c>
      <c r="M1426" t="s">
        <v>129</v>
      </c>
      <c r="N1426" t="s">
        <v>23</v>
      </c>
      <c r="O1426" s="1" t="s">
        <v>6218</v>
      </c>
      <c r="P1426" s="1" t="s">
        <v>6219</v>
      </c>
    </row>
    <row r="1427" spans="1:17" x14ac:dyDescent="0.25">
      <c r="A1427" t="s">
        <v>6220</v>
      </c>
      <c r="B1427" t="str">
        <f>HYPERLINK("https://staging-dtl-pattern-api.hfm-weimar.de/static/audio/solos/dtl/AQAQz-KXKFJwhMoOR0tOmNmO__BR_cQl_0.00.00.013931-0.00.44.021224.mp3", "link")</f>
        <v>link</v>
      </c>
      <c r="D1427" t="s">
        <v>7151</v>
      </c>
      <c r="E1427" t="s">
        <v>42</v>
      </c>
      <c r="F1427" t="s">
        <v>42</v>
      </c>
      <c r="G1427" t="s">
        <v>42</v>
      </c>
      <c r="K1427" t="s">
        <v>6221</v>
      </c>
      <c r="L1427" s="1" t="s">
        <v>44</v>
      </c>
      <c r="M1427" t="s">
        <v>45</v>
      </c>
      <c r="N1427" t="s">
        <v>46</v>
      </c>
      <c r="O1427" s="1" t="s">
        <v>6222</v>
      </c>
      <c r="P1427" s="1" t="s">
        <v>6223</v>
      </c>
      <c r="Q1427" s="1" t="s">
        <v>7338</v>
      </c>
    </row>
    <row r="1428" spans="1:17" x14ac:dyDescent="0.25">
      <c r="A1428" t="s">
        <v>6224</v>
      </c>
      <c r="B1428" t="str">
        <f>HYPERLINK("https://staging-dtl-pattern-api.hfm-weimar.de/static/audio/solos/dtl/AQAQz-KXKFJwhMoOR0tOmNmO__BR_cQl_0.02.47.044489-0.03.27.015102.mp3", "link")</f>
        <v>link</v>
      </c>
      <c r="D1428" t="s">
        <v>7151</v>
      </c>
      <c r="E1428" t="s">
        <v>42</v>
      </c>
      <c r="F1428" t="s">
        <v>42</v>
      </c>
      <c r="G1428" t="s">
        <v>42</v>
      </c>
      <c r="K1428" t="s">
        <v>6221</v>
      </c>
      <c r="L1428" s="1" t="s">
        <v>44</v>
      </c>
      <c r="M1428" t="s">
        <v>45</v>
      </c>
      <c r="N1428" t="s">
        <v>46</v>
      </c>
      <c r="O1428" s="1" t="s">
        <v>5475</v>
      </c>
      <c r="P1428" s="1" t="s">
        <v>6225</v>
      </c>
      <c r="Q1428" s="1" t="s">
        <v>7338</v>
      </c>
    </row>
    <row r="1429" spans="1:17" x14ac:dyDescent="0.25">
      <c r="A1429" t="s">
        <v>6226</v>
      </c>
      <c r="B1429" t="str">
        <f>HYPERLINK("https://staging-dtl-pattern-api.hfm-weimar.de/static/audio/solos/dtl/AQAQz-KXKFJwhMoOR0tOmNmO__BR_cQl_0.03.27.015102-0.06.00.037369.mp3", "link")</f>
        <v>link</v>
      </c>
      <c r="D1429" t="s">
        <v>7151</v>
      </c>
      <c r="E1429" t="s">
        <v>2530</v>
      </c>
      <c r="F1429" t="s">
        <v>42</v>
      </c>
      <c r="G1429" t="s">
        <v>42</v>
      </c>
      <c r="K1429" t="s">
        <v>6221</v>
      </c>
      <c r="L1429" s="1" t="s">
        <v>44</v>
      </c>
      <c r="M1429" t="s">
        <v>45</v>
      </c>
      <c r="N1429" t="s">
        <v>119</v>
      </c>
      <c r="O1429" s="1" t="s">
        <v>6225</v>
      </c>
      <c r="P1429" s="1" t="s">
        <v>6227</v>
      </c>
      <c r="Q1429" s="1" t="s">
        <v>7339</v>
      </c>
    </row>
    <row r="1430" spans="1:17" x14ac:dyDescent="0.25">
      <c r="A1430" t="s">
        <v>6228</v>
      </c>
      <c r="B1430" t="str">
        <f>HYPERLINK("https://staging-dtl-pattern-api.hfm-weimar.de/static/audio/solos/dtl/AQAR06IUS1sS7Clx5vCyJ8Kt4sFjMKGe_0.02.25.012471-0.04.42.067972.mp3", "link")</f>
        <v>link</v>
      </c>
      <c r="D1430" t="s">
        <v>6229</v>
      </c>
      <c r="E1430" t="s">
        <v>4976</v>
      </c>
      <c r="F1430" t="s">
        <v>6230</v>
      </c>
      <c r="H1430" t="s">
        <v>6231</v>
      </c>
      <c r="I1430">
        <v>84</v>
      </c>
      <c r="J1430" t="s">
        <v>141</v>
      </c>
      <c r="K1430" t="s">
        <v>6232</v>
      </c>
      <c r="L1430" s="1" t="s">
        <v>6233</v>
      </c>
      <c r="M1430" t="s">
        <v>129</v>
      </c>
      <c r="N1430" t="s">
        <v>172</v>
      </c>
      <c r="O1430" s="1" t="s">
        <v>6234</v>
      </c>
      <c r="P1430" s="1" t="s">
        <v>6235</v>
      </c>
    </row>
    <row r="1431" spans="1:17" x14ac:dyDescent="0.25">
      <c r="A1431" t="s">
        <v>6236</v>
      </c>
      <c r="B1431" t="str">
        <f>HYPERLINK("https://staging-dtl-pattern-api.hfm-weimar.de/static/audio/solos/dtl/AQAR06IUS1sS7Clx5vCyJ8Kt4sFjMKGe_0.06.59.016662-0.09.27.054666.mp3", "link")</f>
        <v>link</v>
      </c>
      <c r="D1431" t="s">
        <v>6229</v>
      </c>
      <c r="E1431" t="s">
        <v>486</v>
      </c>
      <c r="F1431" t="s">
        <v>6230</v>
      </c>
      <c r="H1431" t="s">
        <v>6231</v>
      </c>
      <c r="I1431">
        <v>84</v>
      </c>
      <c r="J1431" t="s">
        <v>141</v>
      </c>
      <c r="K1431" t="s">
        <v>6232</v>
      </c>
      <c r="L1431" s="1" t="s">
        <v>6233</v>
      </c>
      <c r="M1431" t="s">
        <v>129</v>
      </c>
      <c r="N1431" t="s">
        <v>46</v>
      </c>
      <c r="O1431" s="1" t="s">
        <v>6237</v>
      </c>
      <c r="P1431" s="1" t="s">
        <v>6238</v>
      </c>
    </row>
    <row r="1432" spans="1:17" x14ac:dyDescent="0.25">
      <c r="A1432" t="s">
        <v>6239</v>
      </c>
      <c r="B1432" t="str">
        <f>HYPERLINK("https://staging-dtl-pattern-api.hfm-weimar.de/static/audio/solos/dtl/AQAR3BelhIvwHE4e4omQb0LyJJgz1MKm_0.02.10.096054-0.04.40.029387.mp3", "link")</f>
        <v>link</v>
      </c>
      <c r="D1432" t="s">
        <v>6240</v>
      </c>
      <c r="E1432" t="s">
        <v>2820</v>
      </c>
      <c r="F1432" t="s">
        <v>2983</v>
      </c>
      <c r="J1432" t="s">
        <v>6241</v>
      </c>
      <c r="K1432" t="s">
        <v>6242</v>
      </c>
      <c r="L1432" s="1" t="s">
        <v>6243</v>
      </c>
      <c r="M1432" t="s">
        <v>129</v>
      </c>
      <c r="N1432" t="s">
        <v>23</v>
      </c>
      <c r="O1432" s="1" t="s">
        <v>4542</v>
      </c>
      <c r="P1432" s="1" t="s">
        <v>6244</v>
      </c>
    </row>
    <row r="1433" spans="1:17" x14ac:dyDescent="0.25">
      <c r="A1433" t="s">
        <v>6245</v>
      </c>
      <c r="B1433" t="str">
        <f>HYPERLINK("https://staging-dtl-pattern-api.hfm-weimar.de/static/audio/solos/dtl/AQAR3WGkRI9QHIr7IM-KH80ZolaGF85X_0.01.17.083328-0.03.42.056326.mp3", "link")</f>
        <v>link</v>
      </c>
      <c r="D1433" t="s">
        <v>3886</v>
      </c>
      <c r="E1433" t="s">
        <v>1055</v>
      </c>
      <c r="F1433" t="s">
        <v>1055</v>
      </c>
      <c r="G1433" t="s">
        <v>1055</v>
      </c>
      <c r="J1433" t="s">
        <v>1056</v>
      </c>
      <c r="K1433" t="s">
        <v>6246</v>
      </c>
      <c r="L1433" s="1" t="s">
        <v>3888</v>
      </c>
      <c r="M1433" t="s">
        <v>3889</v>
      </c>
      <c r="N1433" t="s">
        <v>202</v>
      </c>
      <c r="O1433" s="1" t="s">
        <v>6247</v>
      </c>
      <c r="P1433" s="1" t="s">
        <v>6248</v>
      </c>
    </row>
    <row r="1434" spans="1:17" x14ac:dyDescent="0.25">
      <c r="A1434" t="s">
        <v>6249</v>
      </c>
      <c r="B1434" t="str">
        <f>HYPERLINK("https://staging-dtl-pattern-api.hfm-weimar.de/static/audio/solos/dtl/AQAR3WGkRI9QHIr7IM-KH80ZolaGF85X_0.03.42.056326-0.05.54.005786.mp3", "link")</f>
        <v>link</v>
      </c>
      <c r="D1434" t="s">
        <v>3886</v>
      </c>
      <c r="E1434" t="s">
        <v>3893</v>
      </c>
      <c r="F1434" t="s">
        <v>1055</v>
      </c>
      <c r="G1434" t="s">
        <v>1055</v>
      </c>
      <c r="J1434" t="s">
        <v>1056</v>
      </c>
      <c r="K1434" t="s">
        <v>6246</v>
      </c>
      <c r="L1434" s="1" t="s">
        <v>3888</v>
      </c>
      <c r="M1434" t="s">
        <v>3889</v>
      </c>
      <c r="N1434" t="s">
        <v>46</v>
      </c>
      <c r="O1434" s="1" t="s">
        <v>6248</v>
      </c>
      <c r="P1434" s="1" t="s">
        <v>6250</v>
      </c>
    </row>
    <row r="1435" spans="1:17" x14ac:dyDescent="0.25">
      <c r="A1435" t="s">
        <v>6251</v>
      </c>
      <c r="B1435" t="str">
        <f>HYPERLINK("https://staging-dtl-pattern-api.hfm-weimar.de/static/audio/solos/dtl/AQAR9okiSUmSJFIiBeKDH1fgB1B_pHzQ_0.01.26.093551-0.03.25.082167.mp3", "link")</f>
        <v>link</v>
      </c>
      <c r="D1435" t="s">
        <v>5939</v>
      </c>
      <c r="E1435" t="s">
        <v>3802</v>
      </c>
      <c r="F1435" t="s">
        <v>3802</v>
      </c>
      <c r="G1435" t="s">
        <v>3802</v>
      </c>
      <c r="J1435" t="s">
        <v>5940</v>
      </c>
      <c r="K1435" t="s">
        <v>6252</v>
      </c>
      <c r="L1435" s="1" t="s">
        <v>5942</v>
      </c>
      <c r="M1435" t="s">
        <v>5943</v>
      </c>
      <c r="N1435" t="s">
        <v>202</v>
      </c>
      <c r="O1435" s="1" t="s">
        <v>6253</v>
      </c>
      <c r="P1435" s="1" t="s">
        <v>6080</v>
      </c>
    </row>
    <row r="1436" spans="1:17" x14ac:dyDescent="0.25">
      <c r="A1436" t="s">
        <v>6254</v>
      </c>
      <c r="B1436" t="str">
        <f>HYPERLINK("https://staging-dtl-pattern-api.hfm-weimar.de/static/audio/solos/dtl/AQAR9okiSUmSJFIiBeKDH1fgB1B_pHzQ_0.06.22.056326-0.06.33.001224.mp3", "link")</f>
        <v>link</v>
      </c>
      <c r="D1436" t="s">
        <v>5939</v>
      </c>
      <c r="E1436" t="s">
        <v>3802</v>
      </c>
      <c r="F1436" t="s">
        <v>3802</v>
      </c>
      <c r="G1436" t="s">
        <v>3802</v>
      </c>
      <c r="J1436" t="s">
        <v>5940</v>
      </c>
      <c r="K1436" t="s">
        <v>6252</v>
      </c>
      <c r="L1436" s="1" t="s">
        <v>5942</v>
      </c>
      <c r="M1436" t="s">
        <v>5943</v>
      </c>
      <c r="N1436" t="s">
        <v>202</v>
      </c>
      <c r="O1436" s="1" t="s">
        <v>5565</v>
      </c>
      <c r="P1436" s="1" t="s">
        <v>6255</v>
      </c>
    </row>
    <row r="1437" spans="1:17" x14ac:dyDescent="0.25">
      <c r="A1437" t="s">
        <v>6256</v>
      </c>
      <c r="B1437" t="str">
        <f>HYPERLINK("https://staging-dtl-pattern-api.hfm-weimar.de/static/audio/solos/dtl/AQAR9okiSUmSJFIiBeKDH1fgB1B_pHzQ_0.06.40.084897-0.06.50.051428.mp3", "link")</f>
        <v>link</v>
      </c>
      <c r="D1437" t="s">
        <v>5939</v>
      </c>
      <c r="E1437" t="s">
        <v>3802</v>
      </c>
      <c r="F1437" t="s">
        <v>3802</v>
      </c>
      <c r="G1437" t="s">
        <v>3802</v>
      </c>
      <c r="J1437" t="s">
        <v>5940</v>
      </c>
      <c r="K1437" t="s">
        <v>6252</v>
      </c>
      <c r="L1437" s="1" t="s">
        <v>5942</v>
      </c>
      <c r="M1437" t="s">
        <v>5943</v>
      </c>
      <c r="N1437" t="s">
        <v>202</v>
      </c>
      <c r="O1437" s="1" t="s">
        <v>6257</v>
      </c>
      <c r="P1437" s="1" t="s">
        <v>6258</v>
      </c>
    </row>
    <row r="1438" spans="1:17" x14ac:dyDescent="0.25">
      <c r="A1438" t="s">
        <v>6259</v>
      </c>
      <c r="B1438" t="str">
        <f>HYPERLINK("https://staging-dtl-pattern-api.hfm-weimar.de/static/audio/solos/dtl/AQAR9okiSUmSJFIiBeKDH1fgB1B_pHzQ_0.06.59.072244-0.07.08.073469.mp3", "link")</f>
        <v>link</v>
      </c>
      <c r="D1438" t="s">
        <v>5939</v>
      </c>
      <c r="E1438" t="s">
        <v>3802</v>
      </c>
      <c r="F1438" t="s">
        <v>3802</v>
      </c>
      <c r="G1438" t="s">
        <v>3802</v>
      </c>
      <c r="J1438" t="s">
        <v>5940</v>
      </c>
      <c r="K1438" t="s">
        <v>6252</v>
      </c>
      <c r="L1438" s="1" t="s">
        <v>5942</v>
      </c>
      <c r="M1438" t="s">
        <v>5943</v>
      </c>
      <c r="N1438" t="s">
        <v>202</v>
      </c>
      <c r="O1438" s="1" t="s">
        <v>6260</v>
      </c>
      <c r="P1438" s="1" t="s">
        <v>6261</v>
      </c>
    </row>
    <row r="1439" spans="1:17" x14ac:dyDescent="0.25">
      <c r="A1439" t="s">
        <v>6262</v>
      </c>
      <c r="B1439" t="str">
        <f>HYPERLINK("https://staging-dtl-pattern-api.hfm-weimar.de/static/audio/solos/dtl/AQAR9okiSUmSJFIiBeKDH1fgB1B_pHzQ_0.07.17.068163-0.07.27.054140.mp3", "link")</f>
        <v>link</v>
      </c>
      <c r="D1439" t="s">
        <v>5939</v>
      </c>
      <c r="E1439" t="s">
        <v>3802</v>
      </c>
      <c r="F1439" t="s">
        <v>3802</v>
      </c>
      <c r="G1439" t="s">
        <v>3802</v>
      </c>
      <c r="J1439" t="s">
        <v>5940</v>
      </c>
      <c r="K1439" t="s">
        <v>6252</v>
      </c>
      <c r="L1439" s="1" t="s">
        <v>5942</v>
      </c>
      <c r="M1439" t="s">
        <v>5943</v>
      </c>
      <c r="N1439" t="s">
        <v>202</v>
      </c>
      <c r="O1439" s="1" t="s">
        <v>6263</v>
      </c>
      <c r="P1439" s="1" t="s">
        <v>6264</v>
      </c>
    </row>
    <row r="1440" spans="1:17" x14ac:dyDescent="0.25">
      <c r="A1440" t="s">
        <v>6265</v>
      </c>
      <c r="B1440" t="str">
        <f>HYPERLINK("https://staging-dtl-pattern-api.hfm-weimar.de/static/audio/solos/dtl/AQAR9okiSUmSJFIiBeKDH1fgB1B_pHzQ_0.07.34.069315-0.07.44.016689.mp3", "link")</f>
        <v>link</v>
      </c>
      <c r="D1440" t="s">
        <v>5939</v>
      </c>
      <c r="E1440" t="s">
        <v>3802</v>
      </c>
      <c r="F1440" t="s">
        <v>3802</v>
      </c>
      <c r="G1440" t="s">
        <v>3802</v>
      </c>
      <c r="J1440" t="s">
        <v>5940</v>
      </c>
      <c r="K1440" t="s">
        <v>6252</v>
      </c>
      <c r="L1440" s="1" t="s">
        <v>5942</v>
      </c>
      <c r="M1440" t="s">
        <v>5943</v>
      </c>
      <c r="N1440" t="s">
        <v>202</v>
      </c>
      <c r="O1440" s="1" t="s">
        <v>6266</v>
      </c>
      <c r="P1440" s="1" t="s">
        <v>6267</v>
      </c>
    </row>
    <row r="1441" spans="1:17" x14ac:dyDescent="0.25">
      <c r="A1441" t="s">
        <v>6268</v>
      </c>
      <c r="B1441" t="str">
        <f>HYPERLINK("https://staging-dtl-pattern-api.hfm-weimar.de/static/audio/solos/dtl/AQAR9okiSUmSJFIiBeKDH1fgB1B_pHzQ_0.07.52.043319-0.08.02.018557.mp3", "link")</f>
        <v>link</v>
      </c>
      <c r="D1441" t="s">
        <v>5939</v>
      </c>
      <c r="E1441" t="s">
        <v>3802</v>
      </c>
      <c r="F1441" t="s">
        <v>3802</v>
      </c>
      <c r="G1441" t="s">
        <v>3802</v>
      </c>
      <c r="J1441" t="s">
        <v>5940</v>
      </c>
      <c r="K1441" t="s">
        <v>6252</v>
      </c>
      <c r="L1441" s="1" t="s">
        <v>5942</v>
      </c>
      <c r="M1441" t="s">
        <v>5943</v>
      </c>
      <c r="N1441" t="s">
        <v>202</v>
      </c>
      <c r="O1441" s="1" t="s">
        <v>6269</v>
      </c>
      <c r="P1441" s="1" t="s">
        <v>6270</v>
      </c>
    </row>
    <row r="1442" spans="1:17" x14ac:dyDescent="0.25">
      <c r="A1442" t="s">
        <v>6271</v>
      </c>
      <c r="B1442" t="str">
        <f>HYPERLINK("https://staging-dtl-pattern-api.hfm-weimar.de/static/audio/solos/dtl/AQARAUmSLAmXJGKE68N_3Mi9oh9OGVeC_0.02.55.017133-0.04.43.065496.mp3", "link")</f>
        <v>link</v>
      </c>
      <c r="D1442" t="s">
        <v>6272</v>
      </c>
      <c r="E1442" t="s">
        <v>6273</v>
      </c>
      <c r="F1442" t="s">
        <v>6274</v>
      </c>
      <c r="G1442" t="s">
        <v>6274</v>
      </c>
      <c r="J1442" t="s">
        <v>6275</v>
      </c>
      <c r="K1442" t="s">
        <v>6276</v>
      </c>
      <c r="L1442" s="1" t="s">
        <v>6277</v>
      </c>
      <c r="M1442" t="s">
        <v>6278</v>
      </c>
      <c r="N1442" t="s">
        <v>46</v>
      </c>
      <c r="O1442" s="1" t="s">
        <v>6279</v>
      </c>
      <c r="P1442" s="1" t="s">
        <v>6280</v>
      </c>
    </row>
    <row r="1443" spans="1:17" x14ac:dyDescent="0.25">
      <c r="A1443" t="s">
        <v>6281</v>
      </c>
      <c r="B1443" t="str">
        <f>HYPERLINK("https://staging-dtl-pattern-api.hfm-weimar.de/static/audio/solos/dtl/AQARAUmSLAmXJGKE68N_3Mi9oh9OGVeC_0.04.43.065496-0.06.32.051011.mp3", "link")</f>
        <v>link</v>
      </c>
      <c r="C1443" t="s">
        <v>6282</v>
      </c>
      <c r="D1443" t="s">
        <v>6272</v>
      </c>
      <c r="F1443" t="s">
        <v>6274</v>
      </c>
      <c r="G1443" t="s">
        <v>6274</v>
      </c>
      <c r="J1443" t="s">
        <v>6275</v>
      </c>
      <c r="K1443" t="s">
        <v>6276</v>
      </c>
      <c r="L1443" s="1" t="s">
        <v>6277</v>
      </c>
      <c r="M1443" t="s">
        <v>6278</v>
      </c>
      <c r="N1443" t="s">
        <v>23</v>
      </c>
      <c r="O1443" s="1" t="s">
        <v>6280</v>
      </c>
      <c r="P1443" s="1" t="s">
        <v>6283</v>
      </c>
    </row>
    <row r="1444" spans="1:17" x14ac:dyDescent="0.25">
      <c r="A1444" t="s">
        <v>6284</v>
      </c>
      <c r="B1444" t="str">
        <f>HYPERLINK("https://staging-dtl-pattern-api.hfm-weimar.de/static/audio/solos/dtl/AQARDaIiRRIf3PhRP_CD6sdLfHtwRTXq_0.00.00.000000-0.02.53.045306.mp3", "link")</f>
        <v>link</v>
      </c>
      <c r="D1444" t="s">
        <v>6285</v>
      </c>
      <c r="E1444" t="s">
        <v>6286</v>
      </c>
      <c r="F1444" t="s">
        <v>6287</v>
      </c>
      <c r="J1444" t="s">
        <v>6287</v>
      </c>
      <c r="K1444" t="s">
        <v>6288</v>
      </c>
      <c r="L1444" s="1" t="s">
        <v>6289</v>
      </c>
      <c r="M1444" t="s">
        <v>6290</v>
      </c>
      <c r="N1444" t="s">
        <v>46</v>
      </c>
      <c r="O1444" s="1" t="s">
        <v>271</v>
      </c>
      <c r="P1444" s="1" t="s">
        <v>6291</v>
      </c>
    </row>
    <row r="1445" spans="1:17" x14ac:dyDescent="0.25">
      <c r="A1445" t="s">
        <v>6292</v>
      </c>
      <c r="B1445" t="str">
        <f>HYPERLINK("https://staging-dtl-pattern-api.hfm-weimar.de/static/audio/solos/dtl/AQARHMslJUmo4PmDP4X_4wyyJs6Eh3xw_0.01.25.015918-0.03.54.024290.mp3", "link")</f>
        <v>link</v>
      </c>
      <c r="D1445" t="s">
        <v>6293</v>
      </c>
      <c r="E1445" t="s">
        <v>6294</v>
      </c>
      <c r="F1445" t="s">
        <v>6294</v>
      </c>
      <c r="G1445" t="s">
        <v>6294</v>
      </c>
      <c r="J1445" t="s">
        <v>6295</v>
      </c>
      <c r="K1445" t="s">
        <v>6296</v>
      </c>
      <c r="L1445" s="1" t="s">
        <v>6297</v>
      </c>
      <c r="M1445" t="s">
        <v>129</v>
      </c>
      <c r="N1445" t="s">
        <v>109</v>
      </c>
      <c r="O1445" s="1" t="s">
        <v>6298</v>
      </c>
      <c r="P1445" s="1" t="s">
        <v>6299</v>
      </c>
    </row>
    <row r="1446" spans="1:17" x14ac:dyDescent="0.25">
      <c r="A1446" t="s">
        <v>6300</v>
      </c>
      <c r="B1446" t="str">
        <f>HYPERLINK("https://staging-dtl-pattern-api.hfm-weimar.de/static/audio/solos/dtl/AQARmUryaFGiJIKTH0mp9Mgz44GfFYzf_0.01.07.013469-0.02.20.080000.mp3", "link")</f>
        <v>link</v>
      </c>
      <c r="D1446" t="s">
        <v>2689</v>
      </c>
      <c r="E1446" t="s">
        <v>2698</v>
      </c>
      <c r="F1446" t="s">
        <v>2690</v>
      </c>
      <c r="G1446" t="s">
        <v>2690</v>
      </c>
      <c r="J1446" t="s">
        <v>2691</v>
      </c>
      <c r="K1446" t="s">
        <v>6301</v>
      </c>
      <c r="L1446" s="1" t="s">
        <v>2693</v>
      </c>
      <c r="M1446" t="s">
        <v>2694</v>
      </c>
      <c r="N1446" t="s">
        <v>23</v>
      </c>
      <c r="O1446" s="1" t="s">
        <v>6302</v>
      </c>
      <c r="P1446" s="1" t="s">
        <v>6303</v>
      </c>
    </row>
    <row r="1447" spans="1:17" x14ac:dyDescent="0.25">
      <c r="A1447" t="s">
        <v>6304</v>
      </c>
      <c r="B1447" t="str">
        <f>HYPERLINK("https://staging-dtl-pattern-api.hfm-weimar.de/static/audio/solos/dtl/AQARmUryaFGiJIKTH0mp9Mgz44GfFYzf_0.02.20.080000-0.03.30.037278.mp3", "link")</f>
        <v>link</v>
      </c>
      <c r="D1447" t="s">
        <v>2689</v>
      </c>
      <c r="E1447" t="s">
        <v>2690</v>
      </c>
      <c r="F1447" t="s">
        <v>2690</v>
      </c>
      <c r="G1447" t="s">
        <v>2690</v>
      </c>
      <c r="J1447" t="s">
        <v>2691</v>
      </c>
      <c r="K1447" t="s">
        <v>6301</v>
      </c>
      <c r="L1447" s="1" t="s">
        <v>2693</v>
      </c>
      <c r="M1447" t="s">
        <v>2694</v>
      </c>
      <c r="N1447" t="s">
        <v>288</v>
      </c>
      <c r="O1447" s="1" t="s">
        <v>6303</v>
      </c>
      <c r="P1447" s="1" t="s">
        <v>6305</v>
      </c>
    </row>
    <row r="1448" spans="1:17" x14ac:dyDescent="0.25">
      <c r="A1448" t="s">
        <v>6306</v>
      </c>
      <c r="B1448" t="str">
        <f>HYPERLINK("https://staging-dtl-pattern-api.hfm-weimar.de/static/audio/solos/dtl/AQARmUryaFGiJIKTH0mp9Mgz44GfFYzf_0.03.30.037278-0.04.41.051873.mp3", "link")</f>
        <v>link</v>
      </c>
      <c r="D1448" t="s">
        <v>2689</v>
      </c>
      <c r="E1448" t="s">
        <v>7102</v>
      </c>
      <c r="F1448" t="s">
        <v>2690</v>
      </c>
      <c r="G1448" t="s">
        <v>2690</v>
      </c>
      <c r="J1448" t="s">
        <v>2691</v>
      </c>
      <c r="K1448" t="s">
        <v>6301</v>
      </c>
      <c r="L1448" s="1" t="s">
        <v>2693</v>
      </c>
      <c r="M1448" t="s">
        <v>2694</v>
      </c>
      <c r="N1448" t="s">
        <v>826</v>
      </c>
      <c r="O1448" s="1" t="s">
        <v>6305</v>
      </c>
      <c r="P1448" s="1" t="s">
        <v>6307</v>
      </c>
      <c r="Q1448" s="1" t="s">
        <v>7248</v>
      </c>
    </row>
    <row r="1449" spans="1:17" x14ac:dyDescent="0.25">
      <c r="A1449" t="s">
        <v>6308</v>
      </c>
      <c r="B1449" t="str">
        <f>HYPERLINK("https://staging-dtl-pattern-api.hfm-weimar.de/static/audio/solos/dtl/AQARmUryaFGiJIKTH0mp9Mgz44GfFYzf_0.04.41.051873-0.05.50.080707.mp3", "link")</f>
        <v>link</v>
      </c>
      <c r="D1449" t="s">
        <v>2689</v>
      </c>
      <c r="E1449" t="s">
        <v>2705</v>
      </c>
      <c r="F1449" t="s">
        <v>2690</v>
      </c>
      <c r="G1449" t="s">
        <v>2690</v>
      </c>
      <c r="J1449" t="s">
        <v>2691</v>
      </c>
      <c r="K1449" t="s">
        <v>6301</v>
      </c>
      <c r="L1449" s="1" t="s">
        <v>2693</v>
      </c>
      <c r="M1449" t="s">
        <v>2694</v>
      </c>
      <c r="N1449" t="s">
        <v>172</v>
      </c>
      <c r="O1449" s="1" t="s">
        <v>6307</v>
      </c>
      <c r="P1449" s="1" t="s">
        <v>6309</v>
      </c>
    </row>
    <row r="1450" spans="1:17" x14ac:dyDescent="0.25">
      <c r="A1450" t="s">
        <v>6310</v>
      </c>
      <c r="B1450" t="str">
        <f>HYPERLINK("https://staging-dtl-pattern-api.hfm-weimar.de/static/audio/solos/dtl/AQARmUryaFGiJIKTH0mp9Mgz44GfFYzf_0.06.59.063102-0.08.08.042448.mp3", "link")</f>
        <v>link</v>
      </c>
      <c r="D1450" t="s">
        <v>2689</v>
      </c>
      <c r="E1450" t="s">
        <v>7103</v>
      </c>
      <c r="F1450" t="s">
        <v>2690</v>
      </c>
      <c r="G1450" t="s">
        <v>2690</v>
      </c>
      <c r="J1450" t="s">
        <v>2691</v>
      </c>
      <c r="K1450" t="s">
        <v>6301</v>
      </c>
      <c r="L1450" s="1" t="s">
        <v>2693</v>
      </c>
      <c r="M1450" t="s">
        <v>2694</v>
      </c>
      <c r="N1450" t="s">
        <v>329</v>
      </c>
      <c r="O1450" s="1" t="s">
        <v>6311</v>
      </c>
      <c r="P1450" s="1" t="s">
        <v>6312</v>
      </c>
      <c r="Q1450" s="1" t="s">
        <v>7260</v>
      </c>
    </row>
    <row r="1451" spans="1:17" x14ac:dyDescent="0.25">
      <c r="A1451" t="s">
        <v>6313</v>
      </c>
      <c r="B1451" t="str">
        <f>HYPERLINK("https://staging-dtl-pattern-api.hfm-weimar.de/static/audio/solos/dtl/AQARmUryaFGiJIKTH0mp9Mgz44GfFYzf_0.08.08.042448-0.08.12.001632.mp3", "link")</f>
        <v>link</v>
      </c>
      <c r="D1451" t="s">
        <v>2689</v>
      </c>
      <c r="E1451" t="s">
        <v>2690</v>
      </c>
      <c r="F1451" t="s">
        <v>2690</v>
      </c>
      <c r="G1451" t="s">
        <v>2690</v>
      </c>
      <c r="J1451" t="s">
        <v>2691</v>
      </c>
      <c r="K1451" t="s">
        <v>6301</v>
      </c>
      <c r="L1451" s="1" t="s">
        <v>2693</v>
      </c>
      <c r="M1451" t="s">
        <v>2694</v>
      </c>
      <c r="N1451" t="s">
        <v>288</v>
      </c>
      <c r="O1451" s="1" t="s">
        <v>6312</v>
      </c>
      <c r="P1451" s="1" t="s">
        <v>6314</v>
      </c>
    </row>
    <row r="1452" spans="1:17" x14ac:dyDescent="0.25">
      <c r="A1452" t="s">
        <v>6315</v>
      </c>
      <c r="B1452" t="str">
        <f>HYPERLINK("https://staging-dtl-pattern-api.hfm-weimar.de/static/audio/solos/dtl/AQARmUryaFGiJIKTH0mp9Mgz44GfFYzf_0.08.15.041224-0.08.18.074285.mp3", "link")</f>
        <v>link</v>
      </c>
      <c r="D1452" t="s">
        <v>2689</v>
      </c>
      <c r="E1452" t="s">
        <v>2698</v>
      </c>
      <c r="F1452" t="s">
        <v>2690</v>
      </c>
      <c r="G1452" t="s">
        <v>2690</v>
      </c>
      <c r="J1452" t="s">
        <v>2691</v>
      </c>
      <c r="K1452" t="s">
        <v>6301</v>
      </c>
      <c r="L1452" s="1" t="s">
        <v>2693</v>
      </c>
      <c r="M1452" t="s">
        <v>2694</v>
      </c>
      <c r="N1452" t="s">
        <v>23</v>
      </c>
      <c r="O1452" s="1" t="s">
        <v>6316</v>
      </c>
      <c r="P1452" s="1" t="s">
        <v>6317</v>
      </c>
    </row>
    <row r="1453" spans="1:17" x14ac:dyDescent="0.25">
      <c r="A1453" t="s">
        <v>6318</v>
      </c>
      <c r="B1453" t="str">
        <f>HYPERLINK("https://staging-dtl-pattern-api.hfm-weimar.de/static/audio/solos/dtl/AQARmUryaFGiJIKTH0mp9Mgz44GfFYzf_0.08.21.061632-0.08.25.053469.mp3", "link")</f>
        <v>link</v>
      </c>
      <c r="D1453" t="s">
        <v>2689</v>
      </c>
      <c r="E1453" t="s">
        <v>7102</v>
      </c>
      <c r="F1453" t="s">
        <v>2690</v>
      </c>
      <c r="G1453" t="s">
        <v>2690</v>
      </c>
      <c r="J1453" t="s">
        <v>2691</v>
      </c>
      <c r="K1453" t="s">
        <v>6301</v>
      </c>
      <c r="L1453" s="1" t="s">
        <v>2693</v>
      </c>
      <c r="M1453" t="s">
        <v>2694</v>
      </c>
      <c r="N1453" t="s">
        <v>826</v>
      </c>
      <c r="O1453" s="1" t="s">
        <v>6319</v>
      </c>
      <c r="P1453" s="1" t="s">
        <v>6320</v>
      </c>
      <c r="Q1453" s="1" t="s">
        <v>7248</v>
      </c>
    </row>
    <row r="1454" spans="1:17" x14ac:dyDescent="0.25">
      <c r="A1454" t="s">
        <v>6321</v>
      </c>
      <c r="B1454" t="str">
        <f>HYPERLINK("https://staging-dtl-pattern-api.hfm-weimar.de/static/audio/solos/dtl/AQARmUryaFGiJIKTH0mp9Mgz44GfFYzf_0.08.28.073469-0.08.31.060816.mp3", "link")</f>
        <v>link</v>
      </c>
      <c r="D1454" t="s">
        <v>2689</v>
      </c>
      <c r="E1454" t="s">
        <v>2705</v>
      </c>
      <c r="F1454" t="s">
        <v>2690</v>
      </c>
      <c r="G1454" t="s">
        <v>2690</v>
      </c>
      <c r="J1454" t="s">
        <v>2691</v>
      </c>
      <c r="K1454" t="s">
        <v>6301</v>
      </c>
      <c r="L1454" s="1" t="s">
        <v>2693</v>
      </c>
      <c r="M1454" t="s">
        <v>2694</v>
      </c>
      <c r="N1454" t="s">
        <v>172</v>
      </c>
      <c r="O1454" s="1" t="s">
        <v>6322</v>
      </c>
      <c r="P1454" s="1" t="s">
        <v>6323</v>
      </c>
    </row>
    <row r="1455" spans="1:17" x14ac:dyDescent="0.25">
      <c r="A1455" t="s">
        <v>6324</v>
      </c>
      <c r="B1455" t="str">
        <f>HYPERLINK("https://staging-dtl-pattern-api.hfm-weimar.de/static/audio/solos/dtl/AQARNUn2cQR_6Ji8JKiYMA_y40P-oYHm_0.02.34.018049-0.04.28.079419.mp3", "link")</f>
        <v>link</v>
      </c>
      <c r="D1455" t="s">
        <v>6325</v>
      </c>
      <c r="E1455" t="s">
        <v>6294</v>
      </c>
      <c r="F1455" t="s">
        <v>6294</v>
      </c>
      <c r="G1455" t="s">
        <v>6294</v>
      </c>
      <c r="J1455" t="s">
        <v>6295</v>
      </c>
      <c r="K1455" t="s">
        <v>6326</v>
      </c>
      <c r="L1455" s="1" t="s">
        <v>6297</v>
      </c>
      <c r="M1455" t="s">
        <v>129</v>
      </c>
      <c r="N1455" t="s">
        <v>119</v>
      </c>
      <c r="O1455" s="1" t="s">
        <v>6327</v>
      </c>
      <c r="P1455" s="1" t="s">
        <v>6328</v>
      </c>
    </row>
    <row r="1456" spans="1:17" x14ac:dyDescent="0.25">
      <c r="A1456" t="s">
        <v>6329</v>
      </c>
      <c r="B1456" t="str">
        <f>HYPERLINK("https://staging-dtl-pattern-api.hfm-weimar.de/static/audio/solos/dtl/AQARnY2iSJSk4T_-w9PD4LGO5h3uFGMK_0.06.54.082448-0.08.21.081224.mp3", "link")</f>
        <v>link</v>
      </c>
      <c r="D1456" t="s">
        <v>4153</v>
      </c>
      <c r="E1456" t="s">
        <v>4154</v>
      </c>
      <c r="F1456" t="s">
        <v>364</v>
      </c>
      <c r="G1456" t="s">
        <v>364</v>
      </c>
      <c r="J1456" t="s">
        <v>6330</v>
      </c>
      <c r="K1456" t="s">
        <v>6331</v>
      </c>
      <c r="L1456" s="1" t="s">
        <v>6332</v>
      </c>
      <c r="M1456" t="s">
        <v>129</v>
      </c>
      <c r="N1456" t="s">
        <v>23</v>
      </c>
      <c r="O1456" s="1" t="s">
        <v>6333</v>
      </c>
      <c r="P1456" s="1" t="s">
        <v>6334</v>
      </c>
    </row>
    <row r="1457" spans="1:17" x14ac:dyDescent="0.25">
      <c r="A1457" t="s">
        <v>6335</v>
      </c>
      <c r="B1457" t="str">
        <f>HYPERLINK("https://staging-dtl-pattern-api.hfm-weimar.de/static/audio/solos/dtl/AQAS1iKVKH2wPQp-lD8aJtFwKR_4iHiu_0.03.49.059891-0.06.13.000535.mp3", "link")</f>
        <v>link</v>
      </c>
      <c r="F1457" t="s">
        <v>2845</v>
      </c>
      <c r="J1457" t="s">
        <v>3090</v>
      </c>
      <c r="K1457" t="s">
        <v>6336</v>
      </c>
      <c r="L1457" s="1" t="s">
        <v>3092</v>
      </c>
      <c r="M1457" t="s">
        <v>3093</v>
      </c>
      <c r="N1457" t="s">
        <v>46</v>
      </c>
      <c r="O1457" s="1" t="s">
        <v>6337</v>
      </c>
      <c r="P1457" s="1" t="s">
        <v>6338</v>
      </c>
    </row>
    <row r="1458" spans="1:17" x14ac:dyDescent="0.25">
      <c r="A1458" t="s">
        <v>6339</v>
      </c>
      <c r="B1458" t="str">
        <f>HYPERLINK("https://staging-dtl-pattern-api.hfm-weimar.de/static/audio/solos/dtl/AQAS3VxEZUknXIGf4jnyqE2RHOt8MHkY_0.03.40.031092-0.05.51.008571.mp3", "link")</f>
        <v>link</v>
      </c>
      <c r="D1458" t="s">
        <v>6340</v>
      </c>
      <c r="E1458" t="s">
        <v>3802</v>
      </c>
      <c r="F1458" t="s">
        <v>6341</v>
      </c>
      <c r="G1458" t="s">
        <v>6341</v>
      </c>
      <c r="J1458" t="s">
        <v>6342</v>
      </c>
      <c r="K1458" t="s">
        <v>6343</v>
      </c>
      <c r="L1458" s="1" t="s">
        <v>6344</v>
      </c>
      <c r="M1458" t="s">
        <v>1936</v>
      </c>
      <c r="N1458" t="s">
        <v>202</v>
      </c>
      <c r="O1458" s="1" t="s">
        <v>6345</v>
      </c>
      <c r="P1458" s="1" t="s">
        <v>6346</v>
      </c>
      <c r="Q1458" s="1" t="s">
        <v>7334</v>
      </c>
    </row>
    <row r="1459" spans="1:17" x14ac:dyDescent="0.25">
      <c r="A1459" t="s">
        <v>6347</v>
      </c>
      <c r="B1459" t="str">
        <f>HYPERLINK("https://staging-dtl-pattern-api.hfm-weimar.de/static/audio/solos/dtl/AQAS3VxEZUknXIGf4jnyqE2RHOt8MHkY_0.06.59.067746-0.07.05.052888.mp3", "link")</f>
        <v>link</v>
      </c>
      <c r="D1459" t="s">
        <v>6340</v>
      </c>
      <c r="E1459" t="s">
        <v>3802</v>
      </c>
      <c r="F1459" t="s">
        <v>6341</v>
      </c>
      <c r="G1459" t="s">
        <v>6341</v>
      </c>
      <c r="J1459" t="s">
        <v>6342</v>
      </c>
      <c r="K1459" t="s">
        <v>6343</v>
      </c>
      <c r="L1459" s="1" t="s">
        <v>6344</v>
      </c>
      <c r="M1459" t="s">
        <v>1936</v>
      </c>
      <c r="N1459" t="s">
        <v>202</v>
      </c>
      <c r="O1459" s="1" t="s">
        <v>6348</v>
      </c>
      <c r="P1459" s="1" t="s">
        <v>6349</v>
      </c>
      <c r="Q1459" s="1" t="s">
        <v>7334</v>
      </c>
    </row>
    <row r="1460" spans="1:17" x14ac:dyDescent="0.25">
      <c r="A1460" t="s">
        <v>6350</v>
      </c>
      <c r="B1460" t="str">
        <f>HYPERLINK("https://staging-dtl-pattern-api.hfm-weimar.de/static/audio/solos/dtl/AQAS3VxEZUknXIGf4jnyqE2RHOt8MHkY_0.07.10.086947-0.07.16.058158.mp3", "link")</f>
        <v>link</v>
      </c>
      <c r="D1460" t="s">
        <v>6340</v>
      </c>
      <c r="E1460" t="s">
        <v>3802</v>
      </c>
      <c r="F1460" t="s">
        <v>6341</v>
      </c>
      <c r="G1460" t="s">
        <v>6341</v>
      </c>
      <c r="J1460" t="s">
        <v>6342</v>
      </c>
      <c r="K1460" t="s">
        <v>6343</v>
      </c>
      <c r="L1460" s="1" t="s">
        <v>6344</v>
      </c>
      <c r="M1460" t="s">
        <v>1936</v>
      </c>
      <c r="N1460" t="s">
        <v>202</v>
      </c>
      <c r="O1460" s="1" t="s">
        <v>6351</v>
      </c>
      <c r="P1460" s="1" t="s">
        <v>6352</v>
      </c>
      <c r="Q1460" s="1" t="s">
        <v>7334</v>
      </c>
    </row>
    <row r="1461" spans="1:17" x14ac:dyDescent="0.25">
      <c r="A1461" t="s">
        <v>6353</v>
      </c>
      <c r="B1461" t="str">
        <f>HYPERLINK("https://staging-dtl-pattern-api.hfm-weimar.de/static/audio/solos/dtl/AQAS3VxEZUknXIGf4jnyqE2RHOt8MHkY_0.07.21.017913-0.07.26.061260.mp3", "link")</f>
        <v>link</v>
      </c>
      <c r="D1461" t="s">
        <v>6340</v>
      </c>
      <c r="E1461" t="s">
        <v>3802</v>
      </c>
      <c r="F1461" t="s">
        <v>6341</v>
      </c>
      <c r="G1461" t="s">
        <v>6341</v>
      </c>
      <c r="J1461" t="s">
        <v>6342</v>
      </c>
      <c r="K1461" t="s">
        <v>6343</v>
      </c>
      <c r="L1461" s="1" t="s">
        <v>6344</v>
      </c>
      <c r="M1461" t="s">
        <v>1936</v>
      </c>
      <c r="N1461" t="s">
        <v>202</v>
      </c>
      <c r="O1461" s="1" t="s">
        <v>6354</v>
      </c>
      <c r="P1461" s="1" t="s">
        <v>6355</v>
      </c>
      <c r="Q1461" s="1" t="s">
        <v>7334</v>
      </c>
    </row>
    <row r="1462" spans="1:17" x14ac:dyDescent="0.25">
      <c r="A1462" t="s">
        <v>6356</v>
      </c>
      <c r="B1462" t="str">
        <f>HYPERLINK("https://staging-dtl-pattern-api.hfm-weimar.de/static/audio/solos/dtl/AQAS3VxEZUknXIGf4jnyqE2RHOt8MHkY_0.07.32.083555-0.07.37.047954.mp3", "link")</f>
        <v>link</v>
      </c>
      <c r="D1462" t="s">
        <v>6340</v>
      </c>
      <c r="E1462" t="s">
        <v>3802</v>
      </c>
      <c r="F1462" t="s">
        <v>6341</v>
      </c>
      <c r="G1462" t="s">
        <v>6341</v>
      </c>
      <c r="J1462" t="s">
        <v>6342</v>
      </c>
      <c r="K1462" t="s">
        <v>6343</v>
      </c>
      <c r="L1462" s="1" t="s">
        <v>6344</v>
      </c>
      <c r="M1462" t="s">
        <v>1936</v>
      </c>
      <c r="N1462" t="s">
        <v>202</v>
      </c>
      <c r="O1462" s="1" t="s">
        <v>6357</v>
      </c>
      <c r="P1462" s="1" t="s">
        <v>6358</v>
      </c>
      <c r="Q1462" s="1" t="s">
        <v>7334</v>
      </c>
    </row>
    <row r="1463" spans="1:17" x14ac:dyDescent="0.25">
      <c r="A1463" t="s">
        <v>6359</v>
      </c>
      <c r="B1463" t="str">
        <f>HYPERLINK("https://staging-dtl-pattern-api.hfm-weimar.de/static/audio/solos/dtl/AQAS3VxEZUknXIGf4jnyqE2RHOt8MHkY_0.07.42.086657-0.07.48.090376.mp3", "link")</f>
        <v>link</v>
      </c>
      <c r="D1463" t="s">
        <v>6340</v>
      </c>
      <c r="E1463" t="s">
        <v>3802</v>
      </c>
      <c r="F1463" t="s">
        <v>6341</v>
      </c>
      <c r="G1463" t="s">
        <v>6341</v>
      </c>
      <c r="J1463" t="s">
        <v>6342</v>
      </c>
      <c r="K1463" t="s">
        <v>6343</v>
      </c>
      <c r="L1463" s="1" t="s">
        <v>6344</v>
      </c>
      <c r="M1463" t="s">
        <v>1936</v>
      </c>
      <c r="N1463" t="s">
        <v>202</v>
      </c>
      <c r="O1463" s="1" t="s">
        <v>6360</v>
      </c>
      <c r="P1463" s="1" t="s">
        <v>6361</v>
      </c>
      <c r="Q1463" s="1" t="s">
        <v>7334</v>
      </c>
    </row>
    <row r="1464" spans="1:17" x14ac:dyDescent="0.25">
      <c r="A1464" t="s">
        <v>6362</v>
      </c>
      <c r="B1464" t="str">
        <f>HYPERLINK("https://staging-dtl-pattern-api.hfm-weimar.de/static/audio/solos/dtl/AQAS3VxEZUknXIGf4jnyqE2RHOt8MHkY_0.07.54.001215-0.07.58.014530.mp3", "link")</f>
        <v>link</v>
      </c>
      <c r="D1464" t="s">
        <v>6340</v>
      </c>
      <c r="E1464" t="s">
        <v>3802</v>
      </c>
      <c r="F1464" t="s">
        <v>6341</v>
      </c>
      <c r="G1464" t="s">
        <v>6341</v>
      </c>
      <c r="J1464" t="s">
        <v>6342</v>
      </c>
      <c r="K1464" t="s">
        <v>6343</v>
      </c>
      <c r="L1464" s="1" t="s">
        <v>6344</v>
      </c>
      <c r="M1464" t="s">
        <v>1936</v>
      </c>
      <c r="N1464" t="s">
        <v>202</v>
      </c>
      <c r="O1464" s="1" t="s">
        <v>6363</v>
      </c>
      <c r="P1464" s="1" t="s">
        <v>6364</v>
      </c>
      <c r="Q1464" s="1" t="s">
        <v>7334</v>
      </c>
    </row>
    <row r="1465" spans="1:17" x14ac:dyDescent="0.25">
      <c r="A1465" t="s">
        <v>6365</v>
      </c>
      <c r="B1465" t="str">
        <f>HYPERLINK("https://staging-dtl-pattern-api.hfm-weimar.de/static/audio/solos/dtl/AQAS3VxEZUknXIGf4jnyqE2RHOt8MHkY_0.09.02.041814-0.09.56.047419.mp3", "link")</f>
        <v>link</v>
      </c>
      <c r="D1465" t="s">
        <v>6340</v>
      </c>
      <c r="E1465" t="s">
        <v>3802</v>
      </c>
      <c r="F1465" t="s">
        <v>6341</v>
      </c>
      <c r="G1465" t="s">
        <v>6341</v>
      </c>
      <c r="J1465" t="s">
        <v>6342</v>
      </c>
      <c r="K1465" t="s">
        <v>6343</v>
      </c>
      <c r="L1465" s="1" t="s">
        <v>6344</v>
      </c>
      <c r="M1465" t="s">
        <v>1936</v>
      </c>
      <c r="N1465" t="s">
        <v>202</v>
      </c>
      <c r="O1465" s="1" t="s">
        <v>6366</v>
      </c>
      <c r="P1465" s="1" t="s">
        <v>6367</v>
      </c>
      <c r="Q1465" s="1" t="s">
        <v>7334</v>
      </c>
    </row>
    <row r="1466" spans="1:17" x14ac:dyDescent="0.25">
      <c r="A1466" t="s">
        <v>6368</v>
      </c>
      <c r="B1466" t="str">
        <f>HYPERLINK("https://staging-dtl-pattern-api.hfm-weimar.de/static/audio/solos/dtl/AQAS3Yy0qBx-HRuZTegd-OCDi_hyPJgW_0.02.14.007201-0.04.24.008054.mp3", "link")</f>
        <v>link</v>
      </c>
      <c r="D1466" t="s">
        <v>6229</v>
      </c>
      <c r="E1466" t="s">
        <v>486</v>
      </c>
      <c r="F1466" t="s">
        <v>6230</v>
      </c>
      <c r="H1466" t="s">
        <v>6231</v>
      </c>
      <c r="I1466">
        <v>84</v>
      </c>
      <c r="J1466" t="s">
        <v>141</v>
      </c>
      <c r="K1466" t="s">
        <v>6369</v>
      </c>
      <c r="L1466" s="1" t="s">
        <v>6233</v>
      </c>
      <c r="M1466" t="s">
        <v>129</v>
      </c>
      <c r="N1466" t="s">
        <v>46</v>
      </c>
      <c r="O1466" s="1" t="s">
        <v>2903</v>
      </c>
      <c r="P1466" s="1" t="s">
        <v>6370</v>
      </c>
    </row>
    <row r="1467" spans="1:17" x14ac:dyDescent="0.25">
      <c r="A1467" t="s">
        <v>6371</v>
      </c>
      <c r="B1467" t="str">
        <f>HYPERLINK("https://staging-dtl-pattern-api.hfm-weimar.de/static/audio/solos/dtl/AQAS3Yy0qBx-HRuZTegd-OCDi_hyPJgW_0.04.24.008054-0.06.32.030113.mp3", "link")</f>
        <v>link</v>
      </c>
      <c r="D1467" t="s">
        <v>6229</v>
      </c>
      <c r="E1467" t="s">
        <v>4976</v>
      </c>
      <c r="F1467" t="s">
        <v>6230</v>
      </c>
      <c r="H1467" t="s">
        <v>6231</v>
      </c>
      <c r="I1467">
        <v>84</v>
      </c>
      <c r="J1467" t="s">
        <v>141</v>
      </c>
      <c r="K1467" t="s">
        <v>6369</v>
      </c>
      <c r="L1467" s="1" t="s">
        <v>6233</v>
      </c>
      <c r="M1467" t="s">
        <v>129</v>
      </c>
      <c r="N1467" t="s">
        <v>172</v>
      </c>
      <c r="O1467" s="1" t="s">
        <v>6370</v>
      </c>
      <c r="P1467" s="1" t="s">
        <v>6372</v>
      </c>
    </row>
    <row r="1468" spans="1:17" x14ac:dyDescent="0.25">
      <c r="A1468" t="s">
        <v>6373</v>
      </c>
      <c r="B1468" t="str">
        <f>HYPERLINK("https://staging-dtl-pattern-api.hfm-weimar.de/static/audio/solos/dtl/AQAS69WUZE6UBEm5I916tFQyHdcuXBbC_0.00.33.090113-0.01.25.081224.mp3", "link")</f>
        <v>link</v>
      </c>
      <c r="D1468" t="s">
        <v>6374</v>
      </c>
      <c r="E1468" t="s">
        <v>6375</v>
      </c>
      <c r="F1468" t="s">
        <v>5409</v>
      </c>
      <c r="J1468" t="s">
        <v>6376</v>
      </c>
      <c r="K1468" t="s">
        <v>6377</v>
      </c>
      <c r="L1468" s="1" t="s">
        <v>6378</v>
      </c>
      <c r="M1468" t="s">
        <v>6379</v>
      </c>
      <c r="N1468" t="s">
        <v>172</v>
      </c>
      <c r="O1468" s="1" t="s">
        <v>6380</v>
      </c>
      <c r="P1468" s="1" t="s">
        <v>6381</v>
      </c>
    </row>
    <row r="1469" spans="1:17" x14ac:dyDescent="0.25">
      <c r="A1469" t="s">
        <v>6382</v>
      </c>
      <c r="B1469" t="str">
        <f>HYPERLINK("https://staging-dtl-pattern-api.hfm-weimar.de/static/audio/solos/dtl/AQAS69WUZE6UBEm5I916tFQyHdcuXBbC_0.01.25.081224-0.02.16.085841.mp3", "link")</f>
        <v>link</v>
      </c>
      <c r="D1469" t="s">
        <v>6374</v>
      </c>
      <c r="E1469" t="s">
        <v>1021</v>
      </c>
      <c r="F1469" t="s">
        <v>5409</v>
      </c>
      <c r="J1469" t="s">
        <v>6376</v>
      </c>
      <c r="K1469" t="s">
        <v>6377</v>
      </c>
      <c r="L1469" s="1" t="s">
        <v>6378</v>
      </c>
      <c r="M1469" t="s">
        <v>6379</v>
      </c>
      <c r="N1469" t="s">
        <v>622</v>
      </c>
      <c r="O1469" s="1" t="s">
        <v>6381</v>
      </c>
      <c r="P1469" s="1" t="s">
        <v>6383</v>
      </c>
    </row>
    <row r="1470" spans="1:17" x14ac:dyDescent="0.25">
      <c r="A1470" t="s">
        <v>6384</v>
      </c>
      <c r="B1470" t="str">
        <f>HYPERLINK("https://staging-dtl-pattern-api.hfm-weimar.de/static/audio/solos/dtl/AQAS69WUZE6UBEm5I916tFQyHdcuXBbC_0.02.16.085841-0.03.08.008163.mp3", "link")</f>
        <v>link</v>
      </c>
      <c r="D1470" t="s">
        <v>6374</v>
      </c>
      <c r="E1470" t="s">
        <v>6385</v>
      </c>
      <c r="F1470" t="s">
        <v>5409</v>
      </c>
      <c r="J1470" t="s">
        <v>6376</v>
      </c>
      <c r="K1470" t="s">
        <v>6377</v>
      </c>
      <c r="L1470" s="1" t="s">
        <v>6378</v>
      </c>
      <c r="M1470" t="s">
        <v>6379</v>
      </c>
      <c r="N1470" t="s">
        <v>46</v>
      </c>
      <c r="O1470" s="1" t="s">
        <v>6383</v>
      </c>
      <c r="P1470" s="1" t="s">
        <v>6386</v>
      </c>
    </row>
    <row r="1471" spans="1:17" x14ac:dyDescent="0.25">
      <c r="A1471" t="s">
        <v>6387</v>
      </c>
      <c r="B1471" t="str">
        <f>HYPERLINK("https://staging-dtl-pattern-api.hfm-weimar.de/static/audio/solos/dtl/AQAS69WUZE6UBEm5I916tFQyHdcuXBbC_0.03.08.008163-0.03.59.035129.mp3", "link")</f>
        <v>link</v>
      </c>
      <c r="D1471" t="s">
        <v>6374</v>
      </c>
      <c r="E1471" t="s">
        <v>1055</v>
      </c>
      <c r="F1471" t="s">
        <v>5409</v>
      </c>
      <c r="J1471" t="s">
        <v>6376</v>
      </c>
      <c r="K1471" t="s">
        <v>6377</v>
      </c>
      <c r="L1471" s="1" t="s">
        <v>6378</v>
      </c>
      <c r="M1471" t="s">
        <v>6379</v>
      </c>
      <c r="N1471" t="s">
        <v>202</v>
      </c>
      <c r="O1471" s="1" t="s">
        <v>6386</v>
      </c>
      <c r="P1471" s="1" t="s">
        <v>6388</v>
      </c>
    </row>
    <row r="1472" spans="1:17" x14ac:dyDescent="0.25">
      <c r="A1472" t="s">
        <v>6389</v>
      </c>
      <c r="B1472" t="str">
        <f>HYPERLINK("https://staging-dtl-pattern-api.hfm-weimar.de/static/audio/solos/dtl/AQAS69WUZE6UBEm5I916tFQyHdcuXBbC_0.03.59.035129-0.04.50.052807.mp3", "link")</f>
        <v>link</v>
      </c>
      <c r="D1472" t="s">
        <v>6374</v>
      </c>
      <c r="E1472" t="s">
        <v>6385</v>
      </c>
      <c r="F1472" t="s">
        <v>5409</v>
      </c>
      <c r="J1472" t="s">
        <v>6376</v>
      </c>
      <c r="K1472" t="s">
        <v>6377</v>
      </c>
      <c r="L1472" s="1" t="s">
        <v>6378</v>
      </c>
      <c r="M1472" t="s">
        <v>6379</v>
      </c>
      <c r="N1472" t="s">
        <v>46</v>
      </c>
      <c r="O1472" s="1" t="s">
        <v>6388</v>
      </c>
      <c r="P1472" s="1" t="s">
        <v>6390</v>
      </c>
    </row>
    <row r="1473" spans="1:17" x14ac:dyDescent="0.25">
      <c r="A1473" t="s">
        <v>6391</v>
      </c>
      <c r="B1473" t="str">
        <f>HYPERLINK("https://staging-dtl-pattern-api.hfm-weimar.de/static/audio/solos/dtl/AQAS69WUZE6UBEm5I916tFQyHdcuXBbC_0.04.50.052807-0.05.41.042621.mp3", "link")</f>
        <v>link</v>
      </c>
      <c r="D1473" t="s">
        <v>6374</v>
      </c>
      <c r="E1473" t="s">
        <v>6392</v>
      </c>
      <c r="F1473" t="s">
        <v>5409</v>
      </c>
      <c r="J1473" t="s">
        <v>6376</v>
      </c>
      <c r="K1473" t="s">
        <v>6377</v>
      </c>
      <c r="L1473" s="1" t="s">
        <v>6378</v>
      </c>
      <c r="M1473" t="s">
        <v>6379</v>
      </c>
      <c r="N1473" t="s">
        <v>23</v>
      </c>
      <c r="O1473" s="1" t="s">
        <v>6390</v>
      </c>
      <c r="P1473" s="1" t="s">
        <v>6393</v>
      </c>
    </row>
    <row r="1474" spans="1:17" x14ac:dyDescent="0.25">
      <c r="A1474" t="s">
        <v>6394</v>
      </c>
      <c r="B1474" t="str">
        <f>HYPERLINK("https://staging-dtl-pattern-api.hfm-weimar.de/static/audio/solos/dtl/AQAS69WUZE6UBEm5I916tFQyHdcuXBbC_0.05.41.042621-0.06.32.032435.mp3", "link")</f>
        <v>link</v>
      </c>
      <c r="D1474" t="s">
        <v>6374</v>
      </c>
      <c r="E1474" t="s">
        <v>6375</v>
      </c>
      <c r="F1474" t="s">
        <v>5409</v>
      </c>
      <c r="J1474" t="s">
        <v>6376</v>
      </c>
      <c r="K1474" t="s">
        <v>6377</v>
      </c>
      <c r="L1474" s="1" t="s">
        <v>6378</v>
      </c>
      <c r="M1474" t="s">
        <v>6379</v>
      </c>
      <c r="N1474" t="s">
        <v>172</v>
      </c>
      <c r="O1474" s="1" t="s">
        <v>6393</v>
      </c>
      <c r="P1474" s="1" t="s">
        <v>6395</v>
      </c>
    </row>
    <row r="1475" spans="1:17" x14ac:dyDescent="0.25">
      <c r="A1475" t="s">
        <v>6396</v>
      </c>
      <c r="B1475" t="str">
        <f>HYPERLINK("https://staging-dtl-pattern-api.hfm-weimar.de/static/audio/solos/dtl/AQAS69WUZE6UBEm5I916tFQyHdcuXBbC_0.07.46.016380-0.07.52.094403.mp3", "link")</f>
        <v>link</v>
      </c>
      <c r="D1475" t="s">
        <v>6374</v>
      </c>
      <c r="E1475" t="s">
        <v>6375</v>
      </c>
      <c r="F1475" t="s">
        <v>5409</v>
      </c>
      <c r="J1475" t="s">
        <v>6376</v>
      </c>
      <c r="K1475" t="s">
        <v>6377</v>
      </c>
      <c r="L1475" s="1" t="s">
        <v>6378</v>
      </c>
      <c r="M1475" t="s">
        <v>6379</v>
      </c>
      <c r="N1475" t="s">
        <v>172</v>
      </c>
      <c r="O1475" s="1" t="s">
        <v>6397</v>
      </c>
      <c r="P1475" s="1" t="s">
        <v>6398</v>
      </c>
    </row>
    <row r="1476" spans="1:17" x14ac:dyDescent="0.25">
      <c r="A1476" t="s">
        <v>6399</v>
      </c>
      <c r="B1476" t="str">
        <f>HYPERLINK("https://staging-dtl-pattern-api.hfm-weimar.de/static/audio/solos/dtl/AQAS69WUZE6UBEm5I916tFQyHdcuXBbC_0.07.58.084190-0.08.04.083265.mp3", "link")</f>
        <v>link</v>
      </c>
      <c r="D1476" t="s">
        <v>6374</v>
      </c>
      <c r="E1476" t="s">
        <v>1021</v>
      </c>
      <c r="F1476" t="s">
        <v>5409</v>
      </c>
      <c r="J1476" t="s">
        <v>6376</v>
      </c>
      <c r="K1476" t="s">
        <v>6377</v>
      </c>
      <c r="L1476" s="1" t="s">
        <v>6378</v>
      </c>
      <c r="M1476" t="s">
        <v>6379</v>
      </c>
      <c r="N1476" t="s">
        <v>622</v>
      </c>
      <c r="O1476" s="1" t="s">
        <v>6400</v>
      </c>
      <c r="P1476" s="1" t="s">
        <v>6401</v>
      </c>
    </row>
    <row r="1477" spans="1:17" x14ac:dyDescent="0.25">
      <c r="A1477" t="s">
        <v>6402</v>
      </c>
      <c r="B1477" t="str">
        <f>HYPERLINK("https://staging-dtl-pattern-api.hfm-weimar.de/static/audio/solos/dtl/AQAS69WUZE6UBEm5I916tFQyHdcuXBbC_0.08.10.059120-0.08.16.072126.mp3", "link")</f>
        <v>link</v>
      </c>
      <c r="D1477" t="s">
        <v>6374</v>
      </c>
      <c r="E1477" t="s">
        <v>6385</v>
      </c>
      <c r="F1477" t="s">
        <v>5409</v>
      </c>
      <c r="J1477" t="s">
        <v>6376</v>
      </c>
      <c r="K1477" t="s">
        <v>6377</v>
      </c>
      <c r="L1477" s="1" t="s">
        <v>6378</v>
      </c>
      <c r="M1477" t="s">
        <v>6379</v>
      </c>
      <c r="N1477" t="s">
        <v>46</v>
      </c>
      <c r="O1477" s="1" t="s">
        <v>6403</v>
      </c>
      <c r="P1477" s="1" t="s">
        <v>6404</v>
      </c>
    </row>
    <row r="1478" spans="1:17" x14ac:dyDescent="0.25">
      <c r="A1478" t="s">
        <v>6405</v>
      </c>
      <c r="B1478" t="str">
        <f>HYPERLINK("https://staging-dtl-pattern-api.hfm-weimar.de/static/audio/solos/dtl/AQAS69WUZE6UBEm5I916tFQyHdcuXBbC_0.08.22.047981-0.08.28.093496.mp3", "link")</f>
        <v>link</v>
      </c>
      <c r="D1478" t="s">
        <v>6374</v>
      </c>
      <c r="E1478" t="s">
        <v>1055</v>
      </c>
      <c r="F1478" t="s">
        <v>5409</v>
      </c>
      <c r="J1478" t="s">
        <v>6376</v>
      </c>
      <c r="K1478" t="s">
        <v>6377</v>
      </c>
      <c r="L1478" s="1" t="s">
        <v>6378</v>
      </c>
      <c r="M1478" t="s">
        <v>6379</v>
      </c>
      <c r="N1478" t="s">
        <v>202</v>
      </c>
      <c r="O1478" s="1" t="s">
        <v>6406</v>
      </c>
      <c r="P1478" s="1" t="s">
        <v>6407</v>
      </c>
      <c r="Q1478" s="1" t="s">
        <v>7209</v>
      </c>
    </row>
    <row r="1479" spans="1:17" x14ac:dyDescent="0.25">
      <c r="A1479" t="s">
        <v>6408</v>
      </c>
      <c r="B1479" t="str">
        <f>HYPERLINK("https://staging-dtl-pattern-api.hfm-weimar.de/static/audio/solos/dtl/AQAS69WUZE6UBEm5I916tFQyHdcuXBbC_0.08.34.032199-0.08.40.073070.mp3", "link")</f>
        <v>link</v>
      </c>
      <c r="D1479" t="s">
        <v>6374</v>
      </c>
      <c r="E1479" t="s">
        <v>6385</v>
      </c>
      <c r="F1479" t="s">
        <v>5409</v>
      </c>
      <c r="J1479" t="s">
        <v>6376</v>
      </c>
      <c r="K1479" t="s">
        <v>6377</v>
      </c>
      <c r="L1479" s="1" t="s">
        <v>6378</v>
      </c>
      <c r="M1479" t="s">
        <v>6379</v>
      </c>
      <c r="N1479" t="s">
        <v>46</v>
      </c>
      <c r="O1479" s="1" t="s">
        <v>6409</v>
      </c>
      <c r="P1479" s="1" t="s">
        <v>6410</v>
      </c>
    </row>
    <row r="1480" spans="1:17" x14ac:dyDescent="0.25">
      <c r="A1480" t="s">
        <v>6411</v>
      </c>
      <c r="B1480" t="str">
        <f>HYPERLINK("https://staging-dtl-pattern-api.hfm-weimar.de/static/audio/solos/dtl/AQAS69WUZE6UBEm5I916tFQyHdcuXBbC_0.08.46.039637-0.08.52.066575.mp3", "link")</f>
        <v>link</v>
      </c>
      <c r="D1480" t="s">
        <v>6374</v>
      </c>
      <c r="E1480" t="s">
        <v>6392</v>
      </c>
      <c r="F1480" t="s">
        <v>5409</v>
      </c>
      <c r="J1480" t="s">
        <v>6376</v>
      </c>
      <c r="K1480" t="s">
        <v>6377</v>
      </c>
      <c r="L1480" s="1" t="s">
        <v>6378</v>
      </c>
      <c r="M1480" t="s">
        <v>6379</v>
      </c>
      <c r="N1480" t="s">
        <v>23</v>
      </c>
      <c r="O1480" s="1" t="s">
        <v>6412</v>
      </c>
      <c r="P1480" s="1" t="s">
        <v>6413</v>
      </c>
    </row>
    <row r="1481" spans="1:17" x14ac:dyDescent="0.25">
      <c r="A1481" t="s">
        <v>6414</v>
      </c>
      <c r="B1481" t="str">
        <f>HYPERLINK("https://staging-dtl-pattern-api.hfm-weimar.de/static/audio/solos/dtl/AQAS69WUZE6UBEm5I916tFQyHdcuXBbC_0.08.58.070294-0.09.05.025097.mp3", "link")</f>
        <v>link</v>
      </c>
      <c r="D1481" t="s">
        <v>6374</v>
      </c>
      <c r="E1481" t="s">
        <v>6375</v>
      </c>
      <c r="F1481" t="s">
        <v>5409</v>
      </c>
      <c r="J1481" t="s">
        <v>6376</v>
      </c>
      <c r="K1481" t="s">
        <v>6377</v>
      </c>
      <c r="L1481" s="1" t="s">
        <v>6378</v>
      </c>
      <c r="M1481" t="s">
        <v>6379</v>
      </c>
      <c r="N1481" t="s">
        <v>172</v>
      </c>
      <c r="O1481" s="1" t="s">
        <v>6415</v>
      </c>
      <c r="P1481" s="1" t="s">
        <v>6416</v>
      </c>
    </row>
    <row r="1482" spans="1:17" x14ac:dyDescent="0.25">
      <c r="A1482" t="s">
        <v>6417</v>
      </c>
      <c r="B1482" t="str">
        <f>HYPERLINK("https://staging-dtl-pattern-api.hfm-weimar.de/static/audio/solos/dtl/AQASFdTyKaESFN_y4HvgKcJ9NDJLxEbC_0.01.20.043392-0.04.24.033596.mp3", "link")</f>
        <v>link</v>
      </c>
      <c r="D1482" t="s">
        <v>7152</v>
      </c>
      <c r="E1482" t="s">
        <v>6418</v>
      </c>
      <c r="F1482" t="s">
        <v>6418</v>
      </c>
      <c r="J1482" t="s">
        <v>6419</v>
      </c>
      <c r="K1482" t="s">
        <v>6420</v>
      </c>
      <c r="L1482" s="1" t="s">
        <v>6421</v>
      </c>
      <c r="M1482" t="s">
        <v>6422</v>
      </c>
      <c r="N1482" t="s">
        <v>23</v>
      </c>
      <c r="O1482" s="1" t="s">
        <v>6423</v>
      </c>
      <c r="P1482" s="1" t="s">
        <v>6424</v>
      </c>
      <c r="Q1482" s="1" t="s">
        <v>7340</v>
      </c>
    </row>
    <row r="1483" spans="1:17" x14ac:dyDescent="0.25">
      <c r="A1483" t="s">
        <v>6425</v>
      </c>
      <c r="B1483" t="str">
        <f>HYPERLINK("https://staging-dtl-pattern-api.hfm-weimar.de/static/audio/solos/dtl/AQASGMsrKdGSIGcWQ8uCSBfxB7tmnOCb_0.00.12.043428-0.03.08.089433.mp3", "link")</f>
        <v>link</v>
      </c>
      <c r="D1483" t="s">
        <v>6426</v>
      </c>
      <c r="E1483" t="s">
        <v>3417</v>
      </c>
      <c r="F1483" t="s">
        <v>6427</v>
      </c>
      <c r="G1483" t="s">
        <v>3417</v>
      </c>
      <c r="H1483" t="s">
        <v>6428</v>
      </c>
      <c r="I1483">
        <v>49</v>
      </c>
      <c r="J1483" t="s">
        <v>616</v>
      </c>
      <c r="K1483" t="s">
        <v>6429</v>
      </c>
      <c r="L1483" s="1" t="s">
        <v>6430</v>
      </c>
      <c r="M1483" t="s">
        <v>3583</v>
      </c>
      <c r="N1483" t="s">
        <v>23</v>
      </c>
      <c r="O1483" s="1" t="s">
        <v>6431</v>
      </c>
      <c r="P1483" s="1" t="s">
        <v>6432</v>
      </c>
    </row>
    <row r="1484" spans="1:17" x14ac:dyDescent="0.25">
      <c r="A1484" t="s">
        <v>6433</v>
      </c>
      <c r="B1484" t="str">
        <f>HYPERLINK("https://staging-dtl-pattern-api.hfm-weimar.de/static/audio/solos/dtl/AQASGMsrKdGSIGcWQ8uCSBfxB7tmnOCb_0.03.08.089433-0.05.04.029460.mp3", "link")</f>
        <v>link</v>
      </c>
      <c r="D1484" t="s">
        <v>6426</v>
      </c>
      <c r="E1484" t="s">
        <v>6434</v>
      </c>
      <c r="F1484" t="s">
        <v>6427</v>
      </c>
      <c r="G1484" t="s">
        <v>3417</v>
      </c>
      <c r="H1484" t="s">
        <v>6428</v>
      </c>
      <c r="I1484">
        <v>49</v>
      </c>
      <c r="J1484" t="s">
        <v>616</v>
      </c>
      <c r="K1484" t="s">
        <v>6429</v>
      </c>
      <c r="L1484" s="1" t="s">
        <v>6430</v>
      </c>
      <c r="M1484" t="s">
        <v>3583</v>
      </c>
      <c r="N1484" t="s">
        <v>46</v>
      </c>
      <c r="O1484" s="1" t="s">
        <v>6432</v>
      </c>
      <c r="P1484" s="1" t="s">
        <v>6435</v>
      </c>
    </row>
    <row r="1485" spans="1:17" x14ac:dyDescent="0.25">
      <c r="A1485" t="s">
        <v>6436</v>
      </c>
      <c r="B1485" t="str">
        <f>HYPERLINK("https://staging-dtl-pattern-api.hfm-weimar.de/static/audio/solos/dtl/AQASGMsrKdGSIGcWQ8uCSBfxB7tmnOCb_0.06.25.054412-0.06.29.064825.mp3", "link")</f>
        <v>link</v>
      </c>
      <c r="D1485" t="s">
        <v>6426</v>
      </c>
      <c r="E1485" t="s">
        <v>3417</v>
      </c>
      <c r="F1485" t="s">
        <v>6427</v>
      </c>
      <c r="G1485" t="s">
        <v>3417</v>
      </c>
      <c r="H1485" t="s">
        <v>6428</v>
      </c>
      <c r="I1485">
        <v>49</v>
      </c>
      <c r="J1485" t="s">
        <v>616</v>
      </c>
      <c r="K1485" t="s">
        <v>6429</v>
      </c>
      <c r="L1485" s="1" t="s">
        <v>6430</v>
      </c>
      <c r="M1485" t="s">
        <v>3583</v>
      </c>
      <c r="N1485" t="s">
        <v>23</v>
      </c>
      <c r="O1485" s="1" t="s">
        <v>6437</v>
      </c>
      <c r="P1485" s="1" t="s">
        <v>6438</v>
      </c>
    </row>
    <row r="1486" spans="1:17" x14ac:dyDescent="0.25">
      <c r="A1486" t="s">
        <v>6439</v>
      </c>
      <c r="B1486" t="str">
        <f>HYPERLINK("https://staging-dtl-pattern-api.hfm-weimar.de/static/audio/solos/dtl/AQASGMsrKdGSIGcWQ8uCSBfxB7tmnOCb_0.06.32.035047-0.06.36.073904.mp3", "link")</f>
        <v>link</v>
      </c>
      <c r="D1486" t="s">
        <v>6426</v>
      </c>
      <c r="E1486" t="s">
        <v>3417</v>
      </c>
      <c r="F1486" t="s">
        <v>6427</v>
      </c>
      <c r="G1486" t="s">
        <v>3417</v>
      </c>
      <c r="H1486" t="s">
        <v>6428</v>
      </c>
      <c r="I1486">
        <v>49</v>
      </c>
      <c r="J1486" t="s">
        <v>616</v>
      </c>
      <c r="K1486" t="s">
        <v>6429</v>
      </c>
      <c r="L1486" s="1" t="s">
        <v>6430</v>
      </c>
      <c r="M1486" t="s">
        <v>3583</v>
      </c>
      <c r="N1486" t="s">
        <v>23</v>
      </c>
      <c r="O1486" s="1" t="s">
        <v>6440</v>
      </c>
      <c r="P1486" s="1" t="s">
        <v>6441</v>
      </c>
    </row>
    <row r="1487" spans="1:17" x14ac:dyDescent="0.25">
      <c r="A1487" t="s">
        <v>6442</v>
      </c>
      <c r="B1487" t="str">
        <f>HYPERLINK("https://staging-dtl-pattern-api.hfm-weimar.de/static/audio/solos/dtl/AQASGMsrKdGSIGcWQ8uCSBfxB7tmnOCb_0.06.39.025841-0.06.42.075301.mp3", "link")</f>
        <v>link</v>
      </c>
      <c r="D1487" t="s">
        <v>6426</v>
      </c>
      <c r="E1487" t="s">
        <v>3417</v>
      </c>
      <c r="F1487" t="s">
        <v>6427</v>
      </c>
      <c r="G1487" t="s">
        <v>3417</v>
      </c>
      <c r="H1487" t="s">
        <v>6428</v>
      </c>
      <c r="I1487">
        <v>49</v>
      </c>
      <c r="J1487" t="s">
        <v>616</v>
      </c>
      <c r="K1487" t="s">
        <v>6429</v>
      </c>
      <c r="L1487" s="1" t="s">
        <v>6430</v>
      </c>
      <c r="M1487" t="s">
        <v>3583</v>
      </c>
      <c r="N1487" t="s">
        <v>23</v>
      </c>
      <c r="O1487" s="1" t="s">
        <v>6443</v>
      </c>
      <c r="P1487" s="1" t="s">
        <v>6444</v>
      </c>
    </row>
    <row r="1488" spans="1:17" x14ac:dyDescent="0.25">
      <c r="A1488" t="s">
        <v>6445</v>
      </c>
      <c r="B1488" t="str">
        <f>HYPERLINK("https://staging-dtl-pattern-api.hfm-weimar.de/static/audio/solos/dtl/AQASGMsrKdGSIGcWQ8uCSBfxB7tmnOCb_0.06.46.024761-0.06.49.029523.mp3", "link")</f>
        <v>link</v>
      </c>
      <c r="D1488" t="s">
        <v>6426</v>
      </c>
      <c r="E1488" t="s">
        <v>3417</v>
      </c>
      <c r="F1488" t="s">
        <v>6427</v>
      </c>
      <c r="G1488" t="s">
        <v>3417</v>
      </c>
      <c r="H1488" t="s">
        <v>6428</v>
      </c>
      <c r="I1488">
        <v>49</v>
      </c>
      <c r="J1488" t="s">
        <v>616</v>
      </c>
      <c r="K1488" t="s">
        <v>6429</v>
      </c>
      <c r="L1488" s="1" t="s">
        <v>6430</v>
      </c>
      <c r="M1488" t="s">
        <v>3583</v>
      </c>
      <c r="N1488" t="s">
        <v>23</v>
      </c>
      <c r="O1488" s="1" t="s">
        <v>6446</v>
      </c>
      <c r="P1488" s="1" t="s">
        <v>6447</v>
      </c>
    </row>
    <row r="1489" spans="1:16" x14ac:dyDescent="0.25">
      <c r="A1489" t="s">
        <v>6448</v>
      </c>
      <c r="B1489" t="str">
        <f>HYPERLINK("https://staging-dtl-pattern-api.hfm-weimar.de/static/audio/solos/dtl/AQASGMsrKdGSIGcWQ8uCSBfxB7tmnOCb_0.06.52.058666-0.06.57.015809.mp3", "link")</f>
        <v>link</v>
      </c>
      <c r="D1489" t="s">
        <v>6426</v>
      </c>
      <c r="E1489" t="s">
        <v>3417</v>
      </c>
      <c r="F1489" t="s">
        <v>6427</v>
      </c>
      <c r="G1489" t="s">
        <v>3417</v>
      </c>
      <c r="H1489" t="s">
        <v>6428</v>
      </c>
      <c r="I1489">
        <v>49</v>
      </c>
      <c r="J1489" t="s">
        <v>616</v>
      </c>
      <c r="K1489" t="s">
        <v>6429</v>
      </c>
      <c r="L1489" s="1" t="s">
        <v>6430</v>
      </c>
      <c r="M1489" t="s">
        <v>3583</v>
      </c>
      <c r="N1489" t="s">
        <v>23</v>
      </c>
      <c r="O1489" s="1" t="s">
        <v>6449</v>
      </c>
      <c r="P1489" s="1" t="s">
        <v>6450</v>
      </c>
    </row>
    <row r="1490" spans="1:16" x14ac:dyDescent="0.25">
      <c r="A1490" t="s">
        <v>6451</v>
      </c>
      <c r="B1490" t="str">
        <f>HYPERLINK("https://staging-dtl-pattern-api.hfm-weimar.de/static/audio/solos/dtl/AQASGMsrKdGSIGcWQ8uCSBfxB7tmnOCb_0.06.59.035238-0.07.03.041587.mp3", "link")</f>
        <v>link</v>
      </c>
      <c r="D1490" t="s">
        <v>6426</v>
      </c>
      <c r="E1490" t="s">
        <v>3417</v>
      </c>
      <c r="F1490" t="s">
        <v>6427</v>
      </c>
      <c r="G1490" t="s">
        <v>3417</v>
      </c>
      <c r="H1490" t="s">
        <v>6428</v>
      </c>
      <c r="I1490">
        <v>49</v>
      </c>
      <c r="J1490" t="s">
        <v>616</v>
      </c>
      <c r="K1490" t="s">
        <v>6429</v>
      </c>
      <c r="L1490" s="1" t="s">
        <v>6430</v>
      </c>
      <c r="M1490" t="s">
        <v>3583</v>
      </c>
      <c r="N1490" t="s">
        <v>23</v>
      </c>
      <c r="O1490" s="1" t="s">
        <v>6452</v>
      </c>
      <c r="P1490" s="1" t="s">
        <v>6453</v>
      </c>
    </row>
    <row r="1491" spans="1:16" x14ac:dyDescent="0.25">
      <c r="A1491" t="s">
        <v>6454</v>
      </c>
      <c r="B1491" t="str">
        <f>HYPERLINK("https://staging-dtl-pattern-api.hfm-weimar.de/static/audio/solos/dtl/AQASGMsrKdGSIGcWQ8uCSBfxB7tmnOCb_0.07.06.019936-0.07.09.083619.mp3", "link")</f>
        <v>link</v>
      </c>
      <c r="D1491" t="s">
        <v>6426</v>
      </c>
      <c r="E1491" t="s">
        <v>3417</v>
      </c>
      <c r="F1491" t="s">
        <v>6427</v>
      </c>
      <c r="G1491" t="s">
        <v>3417</v>
      </c>
      <c r="H1491" t="s">
        <v>6428</v>
      </c>
      <c r="I1491">
        <v>49</v>
      </c>
      <c r="J1491" t="s">
        <v>616</v>
      </c>
      <c r="K1491" t="s">
        <v>6429</v>
      </c>
      <c r="L1491" s="1" t="s">
        <v>6430</v>
      </c>
      <c r="M1491" t="s">
        <v>3583</v>
      </c>
      <c r="N1491" t="s">
        <v>23</v>
      </c>
      <c r="O1491" s="1" t="s">
        <v>6455</v>
      </c>
      <c r="P1491" s="1" t="s">
        <v>6456</v>
      </c>
    </row>
    <row r="1492" spans="1:16" x14ac:dyDescent="0.25">
      <c r="A1492" t="s">
        <v>6457</v>
      </c>
      <c r="B1492" t="str">
        <f>HYPERLINK("https://staging-dtl-pattern-api.hfm-weimar.de/static/audio/solos/dtl/AQASGMsrKdGSIGcWQ8uCSBfxB7tmnOCb_0.07.12.072126-0.07.16.054095.mp3", "link")</f>
        <v>link</v>
      </c>
      <c r="D1492" t="s">
        <v>6426</v>
      </c>
      <c r="E1492" t="s">
        <v>3417</v>
      </c>
      <c r="F1492" t="s">
        <v>6427</v>
      </c>
      <c r="G1492" t="s">
        <v>3417</v>
      </c>
      <c r="H1492" t="s">
        <v>6428</v>
      </c>
      <c r="I1492">
        <v>49</v>
      </c>
      <c r="J1492" t="s">
        <v>616</v>
      </c>
      <c r="K1492" t="s">
        <v>6429</v>
      </c>
      <c r="L1492" s="1" t="s">
        <v>6430</v>
      </c>
      <c r="M1492" t="s">
        <v>3583</v>
      </c>
      <c r="N1492" t="s">
        <v>23</v>
      </c>
      <c r="O1492" s="1" t="s">
        <v>6458</v>
      </c>
      <c r="P1492" s="1" t="s">
        <v>6459</v>
      </c>
    </row>
    <row r="1493" spans="1:16" x14ac:dyDescent="0.25">
      <c r="A1493" t="s">
        <v>6460</v>
      </c>
      <c r="B1493" t="str">
        <f>HYPERLINK("https://staging-dtl-pattern-api.hfm-weimar.de/static/audio/solos/dtl/AQASGMsrKdGSIGcWQ8uCSBfxB7tmnOCb_0.07.19.044634-0.07.21.019365.mp3", "link")</f>
        <v>link</v>
      </c>
      <c r="D1493" t="s">
        <v>6426</v>
      </c>
      <c r="E1493" t="s">
        <v>3417</v>
      </c>
      <c r="F1493" t="s">
        <v>6427</v>
      </c>
      <c r="G1493" t="s">
        <v>3417</v>
      </c>
      <c r="H1493" t="s">
        <v>6428</v>
      </c>
      <c r="I1493">
        <v>49</v>
      </c>
      <c r="J1493" t="s">
        <v>616</v>
      </c>
      <c r="K1493" t="s">
        <v>6429</v>
      </c>
      <c r="L1493" s="1" t="s">
        <v>6430</v>
      </c>
      <c r="M1493" t="s">
        <v>3583</v>
      </c>
      <c r="N1493" t="s">
        <v>23</v>
      </c>
      <c r="O1493" s="1" t="s">
        <v>6461</v>
      </c>
      <c r="P1493" s="1" t="s">
        <v>6462</v>
      </c>
    </row>
    <row r="1494" spans="1:16" x14ac:dyDescent="0.25">
      <c r="A1494" t="s">
        <v>6463</v>
      </c>
      <c r="B1494" t="str">
        <f>HYPERLINK("https://staging-dtl-pattern-api.hfm-weimar.de/static/audio/solos/dtl/AQASGMsrKdGSIGcWQ8uCSBfxB7tmnOCb_0.07.22.075809-0.07.24.070857.mp3", "link")</f>
        <v>link</v>
      </c>
      <c r="D1494" t="s">
        <v>6426</v>
      </c>
      <c r="E1494" t="s">
        <v>3417</v>
      </c>
      <c r="F1494" t="s">
        <v>6427</v>
      </c>
      <c r="G1494" t="s">
        <v>3417</v>
      </c>
      <c r="H1494" t="s">
        <v>6428</v>
      </c>
      <c r="I1494">
        <v>49</v>
      </c>
      <c r="J1494" t="s">
        <v>616</v>
      </c>
      <c r="K1494" t="s">
        <v>6429</v>
      </c>
      <c r="L1494" s="1" t="s">
        <v>6430</v>
      </c>
      <c r="M1494" t="s">
        <v>3583</v>
      </c>
      <c r="N1494" t="s">
        <v>23</v>
      </c>
      <c r="O1494" s="1" t="s">
        <v>6464</v>
      </c>
      <c r="P1494" s="1" t="s">
        <v>6465</v>
      </c>
    </row>
    <row r="1495" spans="1:16" x14ac:dyDescent="0.25">
      <c r="A1495" t="s">
        <v>6466</v>
      </c>
      <c r="B1495" t="str">
        <f>HYPERLINK("https://staging-dtl-pattern-api.hfm-weimar.de/static/audio/solos/dtl/AQASGMsrKdGSIGcWQ8uCSBfxB7tmnOCb_0.07.25.086666-0.07.27.057333.mp3", "link")</f>
        <v>link</v>
      </c>
      <c r="D1495" t="s">
        <v>6426</v>
      </c>
      <c r="E1495" t="s">
        <v>3417</v>
      </c>
      <c r="F1495" t="s">
        <v>6427</v>
      </c>
      <c r="G1495" t="s">
        <v>3417</v>
      </c>
      <c r="H1495" t="s">
        <v>6428</v>
      </c>
      <c r="I1495">
        <v>49</v>
      </c>
      <c r="J1495" t="s">
        <v>616</v>
      </c>
      <c r="K1495" t="s">
        <v>6429</v>
      </c>
      <c r="L1495" s="1" t="s">
        <v>6430</v>
      </c>
      <c r="M1495" t="s">
        <v>3583</v>
      </c>
      <c r="N1495" t="s">
        <v>23</v>
      </c>
      <c r="O1495" s="1" t="s">
        <v>6467</v>
      </c>
      <c r="P1495" s="1" t="s">
        <v>6468</v>
      </c>
    </row>
    <row r="1496" spans="1:16" x14ac:dyDescent="0.25">
      <c r="A1496" t="s">
        <v>6469</v>
      </c>
      <c r="B1496" t="str">
        <f>HYPERLINK("https://staging-dtl-pattern-api.hfm-weimar.de/static/audio/solos/dtl/AQASGMsrKdGSIGcWQ8uCSBfxB7tmnOCb_0.07.29.007682-0.07.30.053968.mp3", "link")</f>
        <v>link</v>
      </c>
      <c r="D1496" t="s">
        <v>6426</v>
      </c>
      <c r="E1496" t="s">
        <v>3417</v>
      </c>
      <c r="F1496" t="s">
        <v>6427</v>
      </c>
      <c r="G1496" t="s">
        <v>3417</v>
      </c>
      <c r="H1496" t="s">
        <v>6428</v>
      </c>
      <c r="I1496">
        <v>49</v>
      </c>
      <c r="J1496" t="s">
        <v>616</v>
      </c>
      <c r="K1496" t="s">
        <v>6429</v>
      </c>
      <c r="L1496" s="1" t="s">
        <v>6430</v>
      </c>
      <c r="M1496" t="s">
        <v>3583</v>
      </c>
      <c r="N1496" t="s">
        <v>23</v>
      </c>
      <c r="O1496" s="1" t="s">
        <v>6470</v>
      </c>
      <c r="P1496" s="1" t="s">
        <v>6471</v>
      </c>
    </row>
    <row r="1497" spans="1:16" x14ac:dyDescent="0.25">
      <c r="A1497" t="s">
        <v>6472</v>
      </c>
      <c r="B1497" t="str">
        <f>HYPERLINK("https://staging-dtl-pattern-api.hfm-weimar.de/static/audio/solos/dtl/AQASGMsrKdGSIGcWQ8uCSBfxB7tmnOCb_0.07.32.036825-0.07.34.013587.mp3", "link")</f>
        <v>link</v>
      </c>
      <c r="D1497" t="s">
        <v>6426</v>
      </c>
      <c r="E1497" t="s">
        <v>3417</v>
      </c>
      <c r="F1497" t="s">
        <v>6427</v>
      </c>
      <c r="G1497" t="s">
        <v>3417</v>
      </c>
      <c r="H1497" t="s">
        <v>6428</v>
      </c>
      <c r="I1497">
        <v>49</v>
      </c>
      <c r="J1497" t="s">
        <v>616</v>
      </c>
      <c r="K1497" t="s">
        <v>6429</v>
      </c>
      <c r="L1497" s="1" t="s">
        <v>6430</v>
      </c>
      <c r="M1497" t="s">
        <v>3583</v>
      </c>
      <c r="N1497" t="s">
        <v>23</v>
      </c>
      <c r="O1497" s="1" t="s">
        <v>6473</v>
      </c>
      <c r="P1497" s="1" t="s">
        <v>6474</v>
      </c>
    </row>
    <row r="1498" spans="1:16" x14ac:dyDescent="0.25">
      <c r="A1498" t="s">
        <v>6475</v>
      </c>
      <c r="B1498" t="str">
        <f>HYPERLINK("https://staging-dtl-pattern-api.hfm-weimar.de/static/audio/solos/dtl/AQASGMsrKdGSIGcWQ8uCSBfxB7tmnOCb_0.07.35.076126-0.07.37.063047.mp3", "link")</f>
        <v>link</v>
      </c>
      <c r="D1498" t="s">
        <v>6426</v>
      </c>
      <c r="E1498" t="s">
        <v>3417</v>
      </c>
      <c r="F1498" t="s">
        <v>6427</v>
      </c>
      <c r="G1498" t="s">
        <v>3417</v>
      </c>
      <c r="H1498" t="s">
        <v>6428</v>
      </c>
      <c r="I1498">
        <v>49</v>
      </c>
      <c r="J1498" t="s">
        <v>616</v>
      </c>
      <c r="K1498" t="s">
        <v>6429</v>
      </c>
      <c r="L1498" s="1" t="s">
        <v>6430</v>
      </c>
      <c r="M1498" t="s">
        <v>3583</v>
      </c>
      <c r="N1498" t="s">
        <v>23</v>
      </c>
      <c r="O1498" s="1" t="s">
        <v>6476</v>
      </c>
      <c r="P1498" s="1" t="s">
        <v>6477</v>
      </c>
    </row>
    <row r="1499" spans="1:16" x14ac:dyDescent="0.25">
      <c r="A1499" t="s">
        <v>6478</v>
      </c>
      <c r="B1499" t="str">
        <f>HYPERLINK("https://staging-dtl-pattern-api.hfm-weimar.de/static/audio/solos/dtl/AQASGMsrKdGSIGcWQ8uCSBfxB7tmnOCb_0.07.38.091047-0.07.40.096253.mp3", "link")</f>
        <v>link</v>
      </c>
      <c r="D1499" t="s">
        <v>6426</v>
      </c>
      <c r="E1499" t="s">
        <v>3417</v>
      </c>
      <c r="F1499" t="s">
        <v>6427</v>
      </c>
      <c r="G1499" t="s">
        <v>3417</v>
      </c>
      <c r="H1499" t="s">
        <v>6428</v>
      </c>
      <c r="I1499">
        <v>49</v>
      </c>
      <c r="J1499" t="s">
        <v>616</v>
      </c>
      <c r="K1499" t="s">
        <v>6429</v>
      </c>
      <c r="L1499" s="1" t="s">
        <v>6430</v>
      </c>
      <c r="M1499" t="s">
        <v>3583</v>
      </c>
      <c r="N1499" t="s">
        <v>23</v>
      </c>
      <c r="O1499" s="1" t="s">
        <v>6479</v>
      </c>
      <c r="P1499" s="1" t="s">
        <v>6480</v>
      </c>
    </row>
    <row r="1500" spans="1:16" x14ac:dyDescent="0.25">
      <c r="A1500" t="s">
        <v>6481</v>
      </c>
      <c r="B1500" t="str">
        <f>HYPERLINK("https://staging-dtl-pattern-api.hfm-weimar.de/static/audio/solos/dtl/AQASGMsrKdGSIGcWQ8uCSBfxB7tmnOCb_0.07.42.064888-0.07.44.013206.mp3", "link")</f>
        <v>link</v>
      </c>
      <c r="D1500" t="s">
        <v>6426</v>
      </c>
      <c r="E1500" t="s">
        <v>3417</v>
      </c>
      <c r="F1500" t="s">
        <v>6427</v>
      </c>
      <c r="G1500" t="s">
        <v>3417</v>
      </c>
      <c r="H1500" t="s">
        <v>6428</v>
      </c>
      <c r="I1500">
        <v>49</v>
      </c>
      <c r="J1500" t="s">
        <v>616</v>
      </c>
      <c r="K1500" t="s">
        <v>6429</v>
      </c>
      <c r="L1500" s="1" t="s">
        <v>6430</v>
      </c>
      <c r="M1500" t="s">
        <v>3583</v>
      </c>
      <c r="N1500" t="s">
        <v>23</v>
      </c>
      <c r="O1500" s="1" t="s">
        <v>6482</v>
      </c>
      <c r="P1500" s="1" t="s">
        <v>6483</v>
      </c>
    </row>
    <row r="1501" spans="1:16" x14ac:dyDescent="0.25">
      <c r="A1501" t="s">
        <v>6484</v>
      </c>
      <c r="B1501" t="str">
        <f>HYPERLINK("https://staging-dtl-pattern-api.hfm-weimar.de/static/audio/solos/dtl/AQASGMsrKdGSIGcWQ8uCSBfxB7tmnOCb_0.07.45.089968-0.07.47.064698.mp3", "link")</f>
        <v>link</v>
      </c>
      <c r="D1501" t="s">
        <v>6426</v>
      </c>
      <c r="E1501" t="s">
        <v>3417</v>
      </c>
      <c r="F1501" t="s">
        <v>6427</v>
      </c>
      <c r="G1501" t="s">
        <v>3417</v>
      </c>
      <c r="H1501" t="s">
        <v>6428</v>
      </c>
      <c r="I1501">
        <v>49</v>
      </c>
      <c r="J1501" t="s">
        <v>616</v>
      </c>
      <c r="K1501" t="s">
        <v>6429</v>
      </c>
      <c r="L1501" s="1" t="s">
        <v>6430</v>
      </c>
      <c r="M1501" t="s">
        <v>3583</v>
      </c>
      <c r="N1501" t="s">
        <v>23</v>
      </c>
      <c r="O1501" s="1" t="s">
        <v>6485</v>
      </c>
      <c r="P1501" s="1" t="s">
        <v>6486</v>
      </c>
    </row>
    <row r="1502" spans="1:16" x14ac:dyDescent="0.25">
      <c r="A1502" t="s">
        <v>6487</v>
      </c>
      <c r="B1502" t="str">
        <f>HYPERLINK("https://staging-dtl-pattern-api.hfm-weimar.de/static/audio/solos/dtl/AQASGMsrKdGSIGcWQ8uCSBfxB7tmnOCb_0.07.49.037396-0.07.51.006031.mp3", "link")</f>
        <v>link</v>
      </c>
      <c r="D1502" t="s">
        <v>6426</v>
      </c>
      <c r="E1502" t="s">
        <v>3417</v>
      </c>
      <c r="F1502" t="s">
        <v>6427</v>
      </c>
      <c r="G1502" t="s">
        <v>3417</v>
      </c>
      <c r="H1502" t="s">
        <v>6428</v>
      </c>
      <c r="I1502">
        <v>49</v>
      </c>
      <c r="J1502" t="s">
        <v>616</v>
      </c>
      <c r="K1502" t="s">
        <v>6429</v>
      </c>
      <c r="L1502" s="1" t="s">
        <v>6430</v>
      </c>
      <c r="M1502" t="s">
        <v>3583</v>
      </c>
      <c r="N1502" t="s">
        <v>23</v>
      </c>
      <c r="O1502" s="1" t="s">
        <v>6488</v>
      </c>
      <c r="P1502" s="1" t="s">
        <v>6489</v>
      </c>
    </row>
    <row r="1503" spans="1:16" x14ac:dyDescent="0.25">
      <c r="A1503" t="s">
        <v>6490</v>
      </c>
      <c r="B1503" t="str">
        <f>HYPERLINK("https://staging-dtl-pattern-api.hfm-weimar.de/static/audio/solos/dtl/AQASGMsrKdGSIGcWQ8uCSBfxB7tmnOCb_0.07.52.064507-0.07.54.043301.mp3", "link")</f>
        <v>link</v>
      </c>
      <c r="D1503" t="s">
        <v>6426</v>
      </c>
      <c r="E1503" t="s">
        <v>3417</v>
      </c>
      <c r="F1503" t="s">
        <v>6427</v>
      </c>
      <c r="G1503" t="s">
        <v>3417</v>
      </c>
      <c r="H1503" t="s">
        <v>6428</v>
      </c>
      <c r="I1503">
        <v>49</v>
      </c>
      <c r="J1503" t="s">
        <v>616</v>
      </c>
      <c r="K1503" t="s">
        <v>6429</v>
      </c>
      <c r="L1503" s="1" t="s">
        <v>6430</v>
      </c>
      <c r="M1503" t="s">
        <v>3583</v>
      </c>
      <c r="N1503" t="s">
        <v>23</v>
      </c>
      <c r="O1503" s="1" t="s">
        <v>6491</v>
      </c>
      <c r="P1503" s="1" t="s">
        <v>6492</v>
      </c>
    </row>
    <row r="1504" spans="1:16" x14ac:dyDescent="0.25">
      <c r="A1504" t="s">
        <v>6493</v>
      </c>
      <c r="B1504" t="str">
        <f>HYPERLINK("https://staging-dtl-pattern-api.hfm-weimar.de/static/audio/solos/dtl/AQASGMsrKdGSIGcWQ8uCSBfxB7tmnOCb_0.07.56.003809-0.07.57.062285.mp3", "link")</f>
        <v>link</v>
      </c>
      <c r="D1504" t="s">
        <v>6426</v>
      </c>
      <c r="E1504" t="s">
        <v>3417</v>
      </c>
      <c r="F1504" t="s">
        <v>6427</v>
      </c>
      <c r="G1504" t="s">
        <v>3417</v>
      </c>
      <c r="H1504" t="s">
        <v>6428</v>
      </c>
      <c r="I1504">
        <v>49</v>
      </c>
      <c r="J1504" t="s">
        <v>616</v>
      </c>
      <c r="K1504" t="s">
        <v>6429</v>
      </c>
      <c r="L1504" s="1" t="s">
        <v>6430</v>
      </c>
      <c r="M1504" t="s">
        <v>3583</v>
      </c>
      <c r="N1504" t="s">
        <v>23</v>
      </c>
      <c r="O1504" s="1" t="s">
        <v>6494</v>
      </c>
      <c r="P1504" s="1" t="s">
        <v>6495</v>
      </c>
    </row>
    <row r="1505" spans="1:16" x14ac:dyDescent="0.25">
      <c r="A1505" t="s">
        <v>6496</v>
      </c>
      <c r="B1505" t="str">
        <f>HYPERLINK("https://staging-dtl-pattern-api.hfm-weimar.de/static/audio/solos/dtl/AQASGMsrKdGSIGcWQ8uCSBfxB7tmnOCb_0.07.59.024825-0.08.00.085333.mp3", "link")</f>
        <v>link</v>
      </c>
      <c r="D1505" t="s">
        <v>6426</v>
      </c>
      <c r="E1505" t="s">
        <v>3417</v>
      </c>
      <c r="F1505" t="s">
        <v>6427</v>
      </c>
      <c r="G1505" t="s">
        <v>3417</v>
      </c>
      <c r="H1505" t="s">
        <v>6428</v>
      </c>
      <c r="I1505">
        <v>49</v>
      </c>
      <c r="J1505" t="s">
        <v>616</v>
      </c>
      <c r="K1505" t="s">
        <v>6429</v>
      </c>
      <c r="L1505" s="1" t="s">
        <v>6430</v>
      </c>
      <c r="M1505" t="s">
        <v>3583</v>
      </c>
      <c r="N1505" t="s">
        <v>23</v>
      </c>
      <c r="O1505" s="1" t="s">
        <v>6497</v>
      </c>
      <c r="P1505" s="1" t="s">
        <v>6498</v>
      </c>
    </row>
    <row r="1506" spans="1:16" x14ac:dyDescent="0.25">
      <c r="A1506" t="s">
        <v>6499</v>
      </c>
      <c r="B1506" t="str">
        <f>HYPERLINK("https://staging-dtl-pattern-api.hfm-weimar.de/static/audio/solos/dtl/AQASGMsrKdGSIGcWQ8uCSBfxB7tmnOCb_0.08.02.056000-0.08.04.024634.mp3", "link")</f>
        <v>link</v>
      </c>
      <c r="D1506" t="s">
        <v>6426</v>
      </c>
      <c r="E1506" t="s">
        <v>3417</v>
      </c>
      <c r="F1506" t="s">
        <v>6427</v>
      </c>
      <c r="G1506" t="s">
        <v>3417</v>
      </c>
      <c r="H1506" t="s">
        <v>6428</v>
      </c>
      <c r="I1506">
        <v>49</v>
      </c>
      <c r="J1506" t="s">
        <v>616</v>
      </c>
      <c r="K1506" t="s">
        <v>6429</v>
      </c>
      <c r="L1506" s="1" t="s">
        <v>6430</v>
      </c>
      <c r="M1506" t="s">
        <v>3583</v>
      </c>
      <c r="N1506" t="s">
        <v>23</v>
      </c>
      <c r="O1506" s="1" t="s">
        <v>6500</v>
      </c>
      <c r="P1506" s="1" t="s">
        <v>6501</v>
      </c>
    </row>
    <row r="1507" spans="1:16" x14ac:dyDescent="0.25">
      <c r="A1507" t="s">
        <v>6502</v>
      </c>
      <c r="B1507" t="str">
        <f>HYPERLINK("https://staging-dtl-pattern-api.hfm-weimar.de/static/audio/solos/dtl/AQASGMsrKdGSIGcWQ8uCSBfxB7tmnOCb_0.08.05.093269-0.08.07.063936.mp3", "link")</f>
        <v>link</v>
      </c>
      <c r="D1507" t="s">
        <v>6426</v>
      </c>
      <c r="E1507" t="s">
        <v>3417</v>
      </c>
      <c r="F1507" t="s">
        <v>6427</v>
      </c>
      <c r="G1507" t="s">
        <v>3417</v>
      </c>
      <c r="H1507" t="s">
        <v>6428</v>
      </c>
      <c r="I1507">
        <v>49</v>
      </c>
      <c r="J1507" t="s">
        <v>616</v>
      </c>
      <c r="K1507" t="s">
        <v>6429</v>
      </c>
      <c r="L1507" s="1" t="s">
        <v>6430</v>
      </c>
      <c r="M1507" t="s">
        <v>3583</v>
      </c>
      <c r="N1507" t="s">
        <v>23</v>
      </c>
      <c r="O1507" s="1" t="s">
        <v>6503</v>
      </c>
      <c r="P1507" s="1" t="s">
        <v>6504</v>
      </c>
    </row>
    <row r="1508" spans="1:16" x14ac:dyDescent="0.25">
      <c r="A1508" t="s">
        <v>6505</v>
      </c>
      <c r="B1508" t="str">
        <f>HYPERLINK("https://staging-dtl-pattern-api.hfm-weimar.de/static/audio/solos/dtl/AQASGMsrKdGSIGcWQ8uCSBfxB7tmnOCb_0.08.09.022412-0.08.10.068698.mp3", "link")</f>
        <v>link</v>
      </c>
      <c r="D1508" t="s">
        <v>6426</v>
      </c>
      <c r="E1508" t="s">
        <v>3417</v>
      </c>
      <c r="F1508" t="s">
        <v>6427</v>
      </c>
      <c r="G1508" t="s">
        <v>3417</v>
      </c>
      <c r="H1508" t="s">
        <v>6428</v>
      </c>
      <c r="I1508">
        <v>49</v>
      </c>
      <c r="J1508" t="s">
        <v>616</v>
      </c>
      <c r="K1508" t="s">
        <v>6429</v>
      </c>
      <c r="L1508" s="1" t="s">
        <v>6430</v>
      </c>
      <c r="M1508" t="s">
        <v>3583</v>
      </c>
      <c r="N1508" t="s">
        <v>23</v>
      </c>
      <c r="O1508" s="1" t="s">
        <v>6506</v>
      </c>
      <c r="P1508" s="1" t="s">
        <v>6507</v>
      </c>
    </row>
    <row r="1509" spans="1:16" x14ac:dyDescent="0.25">
      <c r="A1509" t="s">
        <v>6508</v>
      </c>
      <c r="B1509" t="str">
        <f>HYPERLINK("https://staging-dtl-pattern-api.hfm-weimar.de/static/audio/solos/dtl/AQASGMsrKdGSIGcWQ8uCSBfxB7tmnOCb_0.08.12.063746-0.08.14.034412.mp3", "link")</f>
        <v>link</v>
      </c>
      <c r="D1509" t="s">
        <v>6426</v>
      </c>
      <c r="E1509" t="s">
        <v>3417</v>
      </c>
      <c r="F1509" t="s">
        <v>6427</v>
      </c>
      <c r="G1509" t="s">
        <v>3417</v>
      </c>
      <c r="H1509" t="s">
        <v>6428</v>
      </c>
      <c r="I1509">
        <v>49</v>
      </c>
      <c r="J1509" t="s">
        <v>616</v>
      </c>
      <c r="K1509" t="s">
        <v>6429</v>
      </c>
      <c r="L1509" s="1" t="s">
        <v>6430</v>
      </c>
      <c r="M1509" t="s">
        <v>3583</v>
      </c>
      <c r="N1509" t="s">
        <v>23</v>
      </c>
      <c r="O1509" s="1" t="s">
        <v>6509</v>
      </c>
      <c r="P1509" s="1" t="s">
        <v>6510</v>
      </c>
    </row>
    <row r="1510" spans="1:16" x14ac:dyDescent="0.25">
      <c r="A1510" t="s">
        <v>6511</v>
      </c>
      <c r="B1510" t="str">
        <f>HYPERLINK("https://staging-dtl-pattern-api.hfm-weimar.de/static/audio/solos/dtl/AQASGMsrKdGSIGcWQ8uCSBfxB7tmnOCb_0.08.16.005079-0.08.17.057460.mp3", "link")</f>
        <v>link</v>
      </c>
      <c r="D1510" t="s">
        <v>6426</v>
      </c>
      <c r="E1510" t="s">
        <v>3417</v>
      </c>
      <c r="F1510" t="s">
        <v>6427</v>
      </c>
      <c r="G1510" t="s">
        <v>3417</v>
      </c>
      <c r="H1510" t="s">
        <v>6428</v>
      </c>
      <c r="I1510">
        <v>49</v>
      </c>
      <c r="J1510" t="s">
        <v>616</v>
      </c>
      <c r="K1510" t="s">
        <v>6429</v>
      </c>
      <c r="L1510" s="1" t="s">
        <v>6430</v>
      </c>
      <c r="M1510" t="s">
        <v>3583</v>
      </c>
      <c r="N1510" t="s">
        <v>23</v>
      </c>
      <c r="O1510" s="1" t="s">
        <v>6512</v>
      </c>
      <c r="P1510" s="1" t="s">
        <v>6513</v>
      </c>
    </row>
    <row r="1511" spans="1:16" x14ac:dyDescent="0.25">
      <c r="A1511" t="s">
        <v>6514</v>
      </c>
      <c r="B1511" t="str">
        <f>HYPERLINK("https://staging-dtl-pattern-api.hfm-weimar.de/static/audio/solos/dtl/AQASGMsrKdGSIGcWQ8uCSBfxB7tmnOCb_0.08.19.020580-0.08.20.073832.mp3", "link")</f>
        <v>link</v>
      </c>
      <c r="D1511" t="s">
        <v>6426</v>
      </c>
      <c r="E1511" t="s">
        <v>3417</v>
      </c>
      <c r="F1511" t="s">
        <v>6427</v>
      </c>
      <c r="G1511" t="s">
        <v>3417</v>
      </c>
      <c r="H1511" t="s">
        <v>6428</v>
      </c>
      <c r="I1511">
        <v>49</v>
      </c>
      <c r="J1511" t="s">
        <v>616</v>
      </c>
      <c r="K1511" t="s">
        <v>6429</v>
      </c>
      <c r="L1511" s="1" t="s">
        <v>6430</v>
      </c>
      <c r="M1511" t="s">
        <v>3583</v>
      </c>
      <c r="N1511" t="s">
        <v>23</v>
      </c>
      <c r="O1511" s="1" t="s">
        <v>6515</v>
      </c>
      <c r="P1511" s="1" t="s">
        <v>6516</v>
      </c>
    </row>
    <row r="1512" spans="1:16" x14ac:dyDescent="0.25">
      <c r="A1512" t="s">
        <v>6517</v>
      </c>
      <c r="B1512" t="str">
        <f>HYPERLINK("https://staging-dtl-pattern-api.hfm-weimar.de/static/audio/solos/dtl/AQASGMsrKdGSIGcWQ8uCSBfxB7tmnOCb_0.08.22.038693-0.08.24.005877.mp3", "link")</f>
        <v>link</v>
      </c>
      <c r="D1512" t="s">
        <v>6426</v>
      </c>
      <c r="E1512" t="s">
        <v>3417</v>
      </c>
      <c r="F1512" t="s">
        <v>6427</v>
      </c>
      <c r="G1512" t="s">
        <v>3417</v>
      </c>
      <c r="H1512" t="s">
        <v>6428</v>
      </c>
      <c r="I1512">
        <v>49</v>
      </c>
      <c r="J1512" t="s">
        <v>616</v>
      </c>
      <c r="K1512" t="s">
        <v>6429</v>
      </c>
      <c r="L1512" s="1" t="s">
        <v>6430</v>
      </c>
      <c r="M1512" t="s">
        <v>3583</v>
      </c>
      <c r="N1512" t="s">
        <v>23</v>
      </c>
      <c r="O1512" s="1" t="s">
        <v>6518</v>
      </c>
      <c r="P1512" s="1" t="s">
        <v>6519</v>
      </c>
    </row>
    <row r="1513" spans="1:16" x14ac:dyDescent="0.25">
      <c r="A1513" t="s">
        <v>6520</v>
      </c>
      <c r="B1513" t="str">
        <f>HYPERLINK("https://staging-dtl-pattern-api.hfm-weimar.de/static/audio/solos/dtl/AQASGMsrKdGSIGcWQ8uCSBfxB7tmnOCb_0.08.25.070739-0.08.27.040244.mp3", "link")</f>
        <v>link</v>
      </c>
      <c r="D1513" t="s">
        <v>6426</v>
      </c>
      <c r="E1513" t="s">
        <v>3417</v>
      </c>
      <c r="F1513" t="s">
        <v>6427</v>
      </c>
      <c r="G1513" t="s">
        <v>3417</v>
      </c>
      <c r="H1513" t="s">
        <v>6428</v>
      </c>
      <c r="I1513">
        <v>49</v>
      </c>
      <c r="J1513" t="s">
        <v>616</v>
      </c>
      <c r="K1513" t="s">
        <v>6429</v>
      </c>
      <c r="L1513" s="1" t="s">
        <v>6430</v>
      </c>
      <c r="M1513" t="s">
        <v>3583</v>
      </c>
      <c r="N1513" t="s">
        <v>23</v>
      </c>
      <c r="O1513" s="1" t="s">
        <v>6521</v>
      </c>
      <c r="P1513" s="1" t="s">
        <v>6522</v>
      </c>
    </row>
    <row r="1514" spans="1:16" x14ac:dyDescent="0.25">
      <c r="A1514" t="s">
        <v>6523</v>
      </c>
      <c r="B1514" t="str">
        <f>HYPERLINK("https://staging-dtl-pattern-api.hfm-weimar.de/static/audio/solos/dtl/AQASGMsrKdGSIGcWQ8uCSBfxB7tmnOCb_0.08.29.005106-0.08.30.076934.mp3", "link")</f>
        <v>link</v>
      </c>
      <c r="D1514" t="s">
        <v>6426</v>
      </c>
      <c r="E1514" t="s">
        <v>3417</v>
      </c>
      <c r="F1514" t="s">
        <v>6427</v>
      </c>
      <c r="G1514" t="s">
        <v>3417</v>
      </c>
      <c r="H1514" t="s">
        <v>6428</v>
      </c>
      <c r="I1514">
        <v>49</v>
      </c>
      <c r="J1514" t="s">
        <v>616</v>
      </c>
      <c r="K1514" t="s">
        <v>6429</v>
      </c>
      <c r="L1514" s="1" t="s">
        <v>6430</v>
      </c>
      <c r="M1514" t="s">
        <v>3583</v>
      </c>
      <c r="N1514" t="s">
        <v>23</v>
      </c>
      <c r="O1514" s="1" t="s">
        <v>6524</v>
      </c>
      <c r="P1514" s="1" t="s">
        <v>6525</v>
      </c>
    </row>
    <row r="1515" spans="1:16" x14ac:dyDescent="0.25">
      <c r="A1515" t="s">
        <v>6526</v>
      </c>
      <c r="B1515" t="str">
        <f>HYPERLINK("https://staging-dtl-pattern-api.hfm-weimar.de/static/audio/solos/dtl/AQASGMsrKdGSIGcWQ8uCSBfxB7tmnOCb_0.08.32.032507-0.08.34.013623.mp3", "link")</f>
        <v>link</v>
      </c>
      <c r="D1515" t="s">
        <v>6426</v>
      </c>
      <c r="E1515" t="s">
        <v>3417</v>
      </c>
      <c r="F1515" t="s">
        <v>6427</v>
      </c>
      <c r="G1515" t="s">
        <v>3417</v>
      </c>
      <c r="H1515" t="s">
        <v>6428</v>
      </c>
      <c r="I1515">
        <v>49</v>
      </c>
      <c r="J1515" t="s">
        <v>616</v>
      </c>
      <c r="K1515" t="s">
        <v>6429</v>
      </c>
      <c r="L1515" s="1" t="s">
        <v>6430</v>
      </c>
      <c r="M1515" t="s">
        <v>3583</v>
      </c>
      <c r="N1515" t="s">
        <v>23</v>
      </c>
      <c r="O1515" s="1" t="s">
        <v>6527</v>
      </c>
      <c r="P1515" s="1" t="s">
        <v>6528</v>
      </c>
    </row>
    <row r="1516" spans="1:16" x14ac:dyDescent="0.25">
      <c r="A1516" t="s">
        <v>6529</v>
      </c>
      <c r="B1516" t="str">
        <f>HYPERLINK("https://staging-dtl-pattern-api.hfm-weimar.de/static/audio/solos/dtl/AQASGMsrKdGSIGcWQ8uCSBfxB7tmnOCb_0.08.35.080807-0.08.37.026340.mp3", "link")</f>
        <v>link</v>
      </c>
      <c r="D1516" t="s">
        <v>6426</v>
      </c>
      <c r="E1516" t="s">
        <v>3417</v>
      </c>
      <c r="F1516" t="s">
        <v>6427</v>
      </c>
      <c r="G1516" t="s">
        <v>3417</v>
      </c>
      <c r="H1516" t="s">
        <v>6428</v>
      </c>
      <c r="I1516">
        <v>49</v>
      </c>
      <c r="J1516" t="s">
        <v>616</v>
      </c>
      <c r="K1516" t="s">
        <v>6429</v>
      </c>
      <c r="L1516" s="1" t="s">
        <v>6430</v>
      </c>
      <c r="M1516" t="s">
        <v>3583</v>
      </c>
      <c r="N1516" t="s">
        <v>23</v>
      </c>
      <c r="O1516" s="1" t="s">
        <v>6530</v>
      </c>
      <c r="P1516" s="1" t="s">
        <v>6531</v>
      </c>
    </row>
    <row r="1517" spans="1:16" x14ac:dyDescent="0.25">
      <c r="A1517" t="s">
        <v>6532</v>
      </c>
      <c r="B1517" t="str">
        <f>HYPERLINK("https://staging-dtl-pattern-api.hfm-weimar.de/static/audio/solos/dtl/AQASGMsrKdGSIGcWQ8uCSBfxB7tmnOCb_0.08.39.015174-0.08.40.077714.mp3", "link")</f>
        <v>link</v>
      </c>
      <c r="D1517" t="s">
        <v>6426</v>
      </c>
      <c r="E1517" t="s">
        <v>3417</v>
      </c>
      <c r="F1517" t="s">
        <v>6427</v>
      </c>
      <c r="G1517" t="s">
        <v>3417</v>
      </c>
      <c r="H1517" t="s">
        <v>6428</v>
      </c>
      <c r="I1517">
        <v>49</v>
      </c>
      <c r="J1517" t="s">
        <v>616</v>
      </c>
      <c r="K1517" t="s">
        <v>6429</v>
      </c>
      <c r="L1517" s="1" t="s">
        <v>6430</v>
      </c>
      <c r="M1517" t="s">
        <v>3583</v>
      </c>
      <c r="N1517" t="s">
        <v>23</v>
      </c>
      <c r="O1517" s="1" t="s">
        <v>6533</v>
      </c>
      <c r="P1517" s="1" t="s">
        <v>6534</v>
      </c>
    </row>
    <row r="1518" spans="1:16" x14ac:dyDescent="0.25">
      <c r="A1518" t="s">
        <v>6535</v>
      </c>
      <c r="B1518" t="str">
        <f>HYPERLINK("https://staging-dtl-pattern-api.hfm-weimar.de/static/audio/solos/dtl/AQASGMsrKdGSIGcWQ8uCSBfxB7tmnOCb_0.08.42.035609-0.08.44.005115.mp3", "link")</f>
        <v>link</v>
      </c>
      <c r="D1518" t="s">
        <v>6426</v>
      </c>
      <c r="E1518" t="s">
        <v>3417</v>
      </c>
      <c r="F1518" t="s">
        <v>6427</v>
      </c>
      <c r="G1518" t="s">
        <v>3417</v>
      </c>
      <c r="H1518" t="s">
        <v>6428</v>
      </c>
      <c r="I1518">
        <v>49</v>
      </c>
      <c r="J1518" t="s">
        <v>616</v>
      </c>
      <c r="K1518" t="s">
        <v>6429</v>
      </c>
      <c r="L1518" s="1" t="s">
        <v>6430</v>
      </c>
      <c r="M1518" t="s">
        <v>3583</v>
      </c>
      <c r="N1518" t="s">
        <v>23</v>
      </c>
      <c r="O1518" s="1" t="s">
        <v>6536</v>
      </c>
      <c r="P1518" s="1" t="s">
        <v>6537</v>
      </c>
    </row>
    <row r="1519" spans="1:16" x14ac:dyDescent="0.25">
      <c r="A1519" t="s">
        <v>6538</v>
      </c>
      <c r="B1519" t="str">
        <f>HYPERLINK("https://staging-dtl-pattern-api.hfm-weimar.de/static/audio/solos/dtl/AQASGMsrKdGSIGcWQ8uCSBfxB7tmnOCb_0.08.45.051401-0.08.47.002331.mp3", "link")</f>
        <v>link</v>
      </c>
      <c r="D1519" t="s">
        <v>6426</v>
      </c>
      <c r="E1519" t="s">
        <v>3417</v>
      </c>
      <c r="F1519" t="s">
        <v>6427</v>
      </c>
      <c r="G1519" t="s">
        <v>3417</v>
      </c>
      <c r="H1519" t="s">
        <v>6428</v>
      </c>
      <c r="I1519">
        <v>49</v>
      </c>
      <c r="J1519" t="s">
        <v>616</v>
      </c>
      <c r="K1519" t="s">
        <v>6429</v>
      </c>
      <c r="L1519" s="1" t="s">
        <v>6430</v>
      </c>
      <c r="M1519" t="s">
        <v>3583</v>
      </c>
      <c r="N1519" t="s">
        <v>23</v>
      </c>
      <c r="O1519" s="1" t="s">
        <v>6539</v>
      </c>
      <c r="P1519" s="1" t="s">
        <v>6540</v>
      </c>
    </row>
    <row r="1520" spans="1:16" x14ac:dyDescent="0.25">
      <c r="A1520" t="s">
        <v>6541</v>
      </c>
      <c r="B1520" t="str">
        <f>HYPERLINK("https://staging-dtl-pattern-api.hfm-weimar.de/static/audio/solos/dtl/AQASGMsrKdGSIGcWQ8uCSBfxB7tmnOCb_0.08.48.095056-0.08.50.055274.mp3", "link")</f>
        <v>link</v>
      </c>
      <c r="D1520" t="s">
        <v>6426</v>
      </c>
      <c r="E1520" t="s">
        <v>3417</v>
      </c>
      <c r="F1520" t="s">
        <v>6427</v>
      </c>
      <c r="G1520" t="s">
        <v>3417</v>
      </c>
      <c r="H1520" t="s">
        <v>6428</v>
      </c>
      <c r="I1520">
        <v>49</v>
      </c>
      <c r="J1520" t="s">
        <v>616</v>
      </c>
      <c r="K1520" t="s">
        <v>6429</v>
      </c>
      <c r="L1520" s="1" t="s">
        <v>6430</v>
      </c>
      <c r="M1520" t="s">
        <v>3583</v>
      </c>
      <c r="N1520" t="s">
        <v>23</v>
      </c>
      <c r="O1520" s="1" t="s">
        <v>6542</v>
      </c>
      <c r="P1520" s="1" t="s">
        <v>6543</v>
      </c>
    </row>
    <row r="1521" spans="1:17" x14ac:dyDescent="0.25">
      <c r="A1521" t="s">
        <v>6544</v>
      </c>
      <c r="B1521" t="str">
        <f>HYPERLINK("https://staging-dtl-pattern-api.hfm-weimar.de/static/audio/solos/dtl/AQASGMsrKdGSIGcWQ8uCSBfxB7tmnOCb_0.08.52.013170-0.08.53.087000.mp3", "link")</f>
        <v>link</v>
      </c>
      <c r="D1521" t="s">
        <v>6426</v>
      </c>
      <c r="E1521" t="s">
        <v>3417</v>
      </c>
      <c r="F1521" t="s">
        <v>6427</v>
      </c>
      <c r="G1521" t="s">
        <v>3417</v>
      </c>
      <c r="H1521" t="s">
        <v>6428</v>
      </c>
      <c r="I1521">
        <v>49</v>
      </c>
      <c r="J1521" t="s">
        <v>616</v>
      </c>
      <c r="K1521" t="s">
        <v>6429</v>
      </c>
      <c r="L1521" s="1" t="s">
        <v>6430</v>
      </c>
      <c r="M1521" t="s">
        <v>3583</v>
      </c>
      <c r="N1521" t="s">
        <v>23</v>
      </c>
      <c r="O1521" s="1" t="s">
        <v>6545</v>
      </c>
      <c r="P1521" s="1" t="s">
        <v>6546</v>
      </c>
    </row>
    <row r="1522" spans="1:17" x14ac:dyDescent="0.25">
      <c r="A1522" t="s">
        <v>6547</v>
      </c>
      <c r="B1522" t="str">
        <f>HYPERLINK("https://staging-dtl-pattern-api.hfm-weimar.de/static/audio/solos/dtl/AQASGMsrKdGSIGcWQ8uCSBfxB7tmnOCb_0.08.55.042893-0.08.57.021687.mp3", "link")</f>
        <v>link</v>
      </c>
      <c r="D1522" t="s">
        <v>6426</v>
      </c>
      <c r="E1522" t="s">
        <v>3417</v>
      </c>
      <c r="F1522" t="s">
        <v>6427</v>
      </c>
      <c r="G1522" t="s">
        <v>3417</v>
      </c>
      <c r="H1522" t="s">
        <v>6428</v>
      </c>
      <c r="I1522">
        <v>49</v>
      </c>
      <c r="J1522" t="s">
        <v>616</v>
      </c>
      <c r="K1522" t="s">
        <v>6429</v>
      </c>
      <c r="L1522" s="1" t="s">
        <v>6430</v>
      </c>
      <c r="M1522" t="s">
        <v>3583</v>
      </c>
      <c r="N1522" t="s">
        <v>23</v>
      </c>
      <c r="O1522" s="1" t="s">
        <v>6548</v>
      </c>
      <c r="P1522" s="1" t="s">
        <v>6549</v>
      </c>
    </row>
    <row r="1523" spans="1:17" x14ac:dyDescent="0.25">
      <c r="A1523" t="s">
        <v>6550</v>
      </c>
      <c r="B1523" t="str">
        <f>HYPERLINK("https://staging-dtl-pattern-api.hfm-weimar.de/static/audio/solos/dtl/AQASGMsrKdGSIGcWQ8uCSBfxB7tmnOCb_0.08.58.074938-0.09.00.042122.mp3", "link")</f>
        <v>link</v>
      </c>
      <c r="D1523" t="s">
        <v>6426</v>
      </c>
      <c r="E1523" t="s">
        <v>3417</v>
      </c>
      <c r="F1523" t="s">
        <v>6427</v>
      </c>
      <c r="G1523" t="s">
        <v>3417</v>
      </c>
      <c r="H1523" t="s">
        <v>6428</v>
      </c>
      <c r="I1523">
        <v>49</v>
      </c>
      <c r="J1523" t="s">
        <v>616</v>
      </c>
      <c r="K1523" t="s">
        <v>6429</v>
      </c>
      <c r="L1523" s="1" t="s">
        <v>6430</v>
      </c>
      <c r="M1523" t="s">
        <v>3583</v>
      </c>
      <c r="N1523" t="s">
        <v>23</v>
      </c>
      <c r="O1523" s="1" t="s">
        <v>6551</v>
      </c>
      <c r="P1523" s="1" t="s">
        <v>6552</v>
      </c>
    </row>
    <row r="1524" spans="1:17" x14ac:dyDescent="0.25">
      <c r="A1524" t="s">
        <v>6553</v>
      </c>
      <c r="B1524" t="str">
        <f>HYPERLINK("https://staging-dtl-pattern-api.hfm-weimar.de/static/audio/solos/dtl/AQASGMsrKdGSIGcWQ8uCSBfxB7tmnOCb_0.09.01.097696-0.09.05.032063.mp3", "link")</f>
        <v>link</v>
      </c>
      <c r="D1524" t="s">
        <v>6426</v>
      </c>
      <c r="E1524" t="s">
        <v>3417</v>
      </c>
      <c r="F1524" t="s">
        <v>6427</v>
      </c>
      <c r="G1524" t="s">
        <v>3417</v>
      </c>
      <c r="H1524" t="s">
        <v>6428</v>
      </c>
      <c r="I1524">
        <v>49</v>
      </c>
      <c r="J1524" t="s">
        <v>616</v>
      </c>
      <c r="K1524" t="s">
        <v>6429</v>
      </c>
      <c r="L1524" s="1" t="s">
        <v>6430</v>
      </c>
      <c r="M1524" t="s">
        <v>3583</v>
      </c>
      <c r="N1524" t="s">
        <v>23</v>
      </c>
      <c r="O1524" s="1" t="s">
        <v>6554</v>
      </c>
      <c r="P1524" s="1" t="s">
        <v>6555</v>
      </c>
    </row>
    <row r="1525" spans="1:17" x14ac:dyDescent="0.25">
      <c r="A1525" t="s">
        <v>6556</v>
      </c>
      <c r="B1525" t="str">
        <f>HYPERLINK("https://staging-dtl-pattern-api.hfm-weimar.de/static/audio/solos/dtl/AQASGNITKyNu9DTy4lEQng_GPEclK7Bz_0.01.12.009795-0.03.23.040680.mp3", "link")</f>
        <v>link</v>
      </c>
      <c r="D1525" t="s">
        <v>7153</v>
      </c>
      <c r="E1525" t="s">
        <v>7146</v>
      </c>
      <c r="F1525" t="s">
        <v>6061</v>
      </c>
      <c r="G1525" t="s">
        <v>6061</v>
      </c>
      <c r="J1525" t="s">
        <v>6062</v>
      </c>
      <c r="K1525" t="s">
        <v>6557</v>
      </c>
      <c r="L1525" s="1" t="s">
        <v>6558</v>
      </c>
      <c r="M1525" t="s">
        <v>6065</v>
      </c>
      <c r="N1525" t="s">
        <v>119</v>
      </c>
      <c r="O1525" s="1" t="s">
        <v>6559</v>
      </c>
      <c r="P1525" s="1" t="s">
        <v>6560</v>
      </c>
      <c r="Q1525" s="1" t="s">
        <v>7341</v>
      </c>
    </row>
    <row r="1526" spans="1:17" x14ac:dyDescent="0.25">
      <c r="A1526" t="s">
        <v>6561</v>
      </c>
      <c r="B1526" t="str">
        <f>HYPERLINK("https://staging-dtl-pattern-api.hfm-weimar.de/static/audio/solos/dtl/AQASGNITKyNu9DTy4lEQng_GPEclK7Bz_0.03.41.042548-0.05.31.002367.mp3", "link")</f>
        <v>link</v>
      </c>
      <c r="D1526" t="s">
        <v>7153</v>
      </c>
      <c r="E1526" t="s">
        <v>6061</v>
      </c>
      <c r="F1526" t="s">
        <v>6061</v>
      </c>
      <c r="G1526" t="s">
        <v>6061</v>
      </c>
      <c r="J1526" t="s">
        <v>6062</v>
      </c>
      <c r="K1526" t="s">
        <v>6557</v>
      </c>
      <c r="L1526" s="1" t="s">
        <v>6558</v>
      </c>
      <c r="M1526" t="s">
        <v>6065</v>
      </c>
      <c r="N1526" t="s">
        <v>288</v>
      </c>
      <c r="O1526" s="1" t="s">
        <v>6562</v>
      </c>
      <c r="P1526" s="1" t="s">
        <v>6563</v>
      </c>
      <c r="Q1526" s="1" t="s">
        <v>7342</v>
      </c>
    </row>
    <row r="1527" spans="1:17" x14ac:dyDescent="0.25">
      <c r="A1527" t="s">
        <v>6564</v>
      </c>
      <c r="B1527" t="str">
        <f>HYPERLINK("https://staging-dtl-pattern-api.hfm-weimar.de/static/audio/solos/dtl/AQASK2PUyAqRxkuQ5Nlx08Ej4ooonAmD_0.02.16.013859-0.04.03.057732.mp3", "link")</f>
        <v>link</v>
      </c>
      <c r="D1527" t="s">
        <v>6565</v>
      </c>
      <c r="E1527" t="s">
        <v>3453</v>
      </c>
      <c r="F1527" t="s">
        <v>6566</v>
      </c>
      <c r="G1527" t="s">
        <v>6567</v>
      </c>
      <c r="H1527" t="s">
        <v>6568</v>
      </c>
      <c r="I1527">
        <v>57</v>
      </c>
      <c r="J1527" t="s">
        <v>616</v>
      </c>
      <c r="K1527" t="s">
        <v>5941</v>
      </c>
      <c r="L1527" s="1" t="s">
        <v>6569</v>
      </c>
      <c r="M1527" t="s">
        <v>129</v>
      </c>
      <c r="N1527" t="s">
        <v>23</v>
      </c>
      <c r="O1527" s="1" t="s">
        <v>6570</v>
      </c>
      <c r="P1527" s="1" t="s">
        <v>6571</v>
      </c>
      <c r="Q1527" s="1" t="s">
        <v>7343</v>
      </c>
    </row>
    <row r="1528" spans="1:17" x14ac:dyDescent="0.25">
      <c r="A1528" t="s">
        <v>6572</v>
      </c>
      <c r="B1528" t="str">
        <f>HYPERLINK("https://staging-dtl-pattern-api.hfm-weimar.de/static/audio/solos/dtl/AQASK2PUyAqRxkuQ5Nlx08Ej4ooonAmD_0.04.03.057732-0.05.51.059655.mp3", "link")</f>
        <v>link</v>
      </c>
      <c r="D1528" t="s">
        <v>6565</v>
      </c>
      <c r="E1528" t="s">
        <v>6434</v>
      </c>
      <c r="F1528" t="s">
        <v>6566</v>
      </c>
      <c r="G1528" t="s">
        <v>6567</v>
      </c>
      <c r="H1528" t="s">
        <v>6568</v>
      </c>
      <c r="I1528">
        <v>57</v>
      </c>
      <c r="J1528" t="s">
        <v>616</v>
      </c>
      <c r="K1528" t="s">
        <v>5941</v>
      </c>
      <c r="L1528" s="1" t="s">
        <v>6569</v>
      </c>
      <c r="M1528" t="s">
        <v>129</v>
      </c>
      <c r="N1528" t="s">
        <v>46</v>
      </c>
      <c r="O1528" s="1" t="s">
        <v>6571</v>
      </c>
      <c r="P1528" s="1" t="s">
        <v>6573</v>
      </c>
    </row>
    <row r="1529" spans="1:17" x14ac:dyDescent="0.25">
      <c r="A1529" t="s">
        <v>6574</v>
      </c>
      <c r="B1529" t="str">
        <f>HYPERLINK("https://staging-dtl-pattern-api.hfm-weimar.de/static/audio/solos/dtl/AQASK2PUyAqRxkuQ5Nlx08Ej4ooonAmD_0.05.51.059655-0.07.39.036036.mp3", "link")</f>
        <v>link</v>
      </c>
      <c r="D1529" t="s">
        <v>6565</v>
      </c>
      <c r="E1529" t="s">
        <v>2051</v>
      </c>
      <c r="F1529" t="s">
        <v>6566</v>
      </c>
      <c r="G1529" t="s">
        <v>6567</v>
      </c>
      <c r="H1529" t="s">
        <v>6568</v>
      </c>
      <c r="I1529">
        <v>57</v>
      </c>
      <c r="J1529" t="s">
        <v>616</v>
      </c>
      <c r="K1529" t="s">
        <v>5941</v>
      </c>
      <c r="L1529" s="1" t="s">
        <v>6569</v>
      </c>
      <c r="M1529" t="s">
        <v>129</v>
      </c>
      <c r="N1529" t="s">
        <v>23</v>
      </c>
      <c r="O1529" s="1" t="s">
        <v>6573</v>
      </c>
      <c r="P1529" s="1" t="s">
        <v>6575</v>
      </c>
      <c r="Q1529" s="1" t="s">
        <v>7344</v>
      </c>
    </row>
    <row r="1530" spans="1:17" x14ac:dyDescent="0.25">
      <c r="A1530" t="s">
        <v>6576</v>
      </c>
      <c r="B1530" t="str">
        <f>HYPERLINK("https://staging-dtl-pattern-api.hfm-weimar.de/static/audio/solos/dtl/AQASK4kSL2oyofmH07iP8_gV9IcfohaP_0.04.43.016734-0.06.10.067755.mp3", "link")</f>
        <v>link</v>
      </c>
      <c r="D1530" t="s">
        <v>6577</v>
      </c>
      <c r="E1530" t="s">
        <v>6578</v>
      </c>
      <c r="F1530" t="s">
        <v>6579</v>
      </c>
      <c r="G1530" t="s">
        <v>6579</v>
      </c>
      <c r="J1530" t="s">
        <v>6580</v>
      </c>
      <c r="K1530" t="s">
        <v>6581</v>
      </c>
      <c r="L1530" s="1" t="s">
        <v>6582</v>
      </c>
      <c r="M1530" t="s">
        <v>6583</v>
      </c>
      <c r="N1530" t="s">
        <v>288</v>
      </c>
      <c r="O1530" s="1" t="s">
        <v>6584</v>
      </c>
      <c r="P1530" s="1" t="s">
        <v>6585</v>
      </c>
    </row>
    <row r="1531" spans="1:17" x14ac:dyDescent="0.25">
      <c r="A1531" t="s">
        <v>6586</v>
      </c>
      <c r="B1531" t="str">
        <f>HYPERLINK("https://staging-dtl-pattern-api.hfm-weimar.de/static/audio/solos/dtl/AQASMkxCRUwaCRMlC1eOxweYB32O5KSE_0.00.24.052027-0.03.33.006630.mp3", "link")</f>
        <v>link</v>
      </c>
      <c r="D1531" t="s">
        <v>6587</v>
      </c>
      <c r="E1531" t="s">
        <v>6588</v>
      </c>
      <c r="F1531" t="s">
        <v>104</v>
      </c>
      <c r="G1531" t="s">
        <v>104</v>
      </c>
      <c r="J1531" t="s">
        <v>6589</v>
      </c>
      <c r="K1531" t="s">
        <v>6590</v>
      </c>
      <c r="L1531" s="1" t="s">
        <v>6591</v>
      </c>
      <c r="M1531" t="s">
        <v>6592</v>
      </c>
      <c r="N1531" t="s">
        <v>46</v>
      </c>
      <c r="O1531" s="1" t="s">
        <v>6593</v>
      </c>
      <c r="P1531" s="1" t="s">
        <v>5316</v>
      </c>
    </row>
    <row r="1532" spans="1:17" x14ac:dyDescent="0.25">
      <c r="A1532" t="s">
        <v>6594</v>
      </c>
      <c r="B1532" t="str">
        <f>HYPERLINK("https://staging-dtl-pattern-api.hfm-weimar.de/static/audio/solos/dtl/AQASMkxCRUwaCRMlC1eOxweYB32O5KSE_0.07.47.074276-0.09.29.091056.mp3", "link")</f>
        <v>link</v>
      </c>
      <c r="D1532" t="s">
        <v>6587</v>
      </c>
      <c r="E1532" t="s">
        <v>104</v>
      </c>
      <c r="F1532" t="s">
        <v>104</v>
      </c>
      <c r="G1532" t="s">
        <v>104</v>
      </c>
      <c r="J1532" t="s">
        <v>6589</v>
      </c>
      <c r="K1532" t="s">
        <v>6590</v>
      </c>
      <c r="L1532" s="1" t="s">
        <v>6591</v>
      </c>
      <c r="M1532" t="s">
        <v>6592</v>
      </c>
      <c r="N1532" t="s">
        <v>109</v>
      </c>
      <c r="O1532" s="1" t="s">
        <v>6595</v>
      </c>
      <c r="P1532" s="1" t="s">
        <v>6596</v>
      </c>
    </row>
    <row r="1533" spans="1:17" x14ac:dyDescent="0.25">
      <c r="A1533" t="s">
        <v>6597</v>
      </c>
      <c r="B1533" t="str">
        <f>HYPERLINK("https://staging-dtl-pattern-api.hfm-weimar.de/static/audio/solos/dtl/AQASnFm6iYwSRMp5fPmQ_UhuPNHwKNvx_0.02.29.053650-0.03.27.067927.mp3", "link")</f>
        <v>link</v>
      </c>
      <c r="D1533" t="s">
        <v>6598</v>
      </c>
      <c r="E1533" t="s">
        <v>6599</v>
      </c>
      <c r="F1533" t="s">
        <v>5444</v>
      </c>
      <c r="G1533" t="s">
        <v>5444</v>
      </c>
      <c r="J1533" t="s">
        <v>5445</v>
      </c>
      <c r="K1533" t="s">
        <v>6600</v>
      </c>
      <c r="L1533" s="1" t="s">
        <v>5447</v>
      </c>
      <c r="M1533" t="s">
        <v>58</v>
      </c>
      <c r="N1533" t="s">
        <v>46</v>
      </c>
      <c r="O1533" s="1" t="s">
        <v>6601</v>
      </c>
      <c r="P1533" s="1" t="s">
        <v>6602</v>
      </c>
    </row>
    <row r="1534" spans="1:17" x14ac:dyDescent="0.25">
      <c r="A1534" t="s">
        <v>6603</v>
      </c>
      <c r="B1534" t="str">
        <f>HYPERLINK("https://staging-dtl-pattern-api.hfm-weimar.de/static/audio/solos/dtl/AQASnFm6iYwSRMp5fPmQ_UhuPNHwKNvx_0.03.27.067927-0.05.16.008163.mp3", "link")</f>
        <v>link</v>
      </c>
      <c r="C1534" t="s">
        <v>5442</v>
      </c>
      <c r="D1534" t="s">
        <v>6598</v>
      </c>
      <c r="F1534" t="s">
        <v>5444</v>
      </c>
      <c r="G1534" t="s">
        <v>5444</v>
      </c>
      <c r="J1534" t="s">
        <v>5445</v>
      </c>
      <c r="K1534" t="s">
        <v>6600</v>
      </c>
      <c r="L1534" s="1" t="s">
        <v>5447</v>
      </c>
      <c r="M1534" t="s">
        <v>58</v>
      </c>
      <c r="N1534" t="s">
        <v>172</v>
      </c>
      <c r="O1534" s="1" t="s">
        <v>6602</v>
      </c>
      <c r="P1534" s="1" t="s">
        <v>6604</v>
      </c>
      <c r="Q1534" s="1" t="s">
        <v>7233</v>
      </c>
    </row>
    <row r="1535" spans="1:17" x14ac:dyDescent="0.25">
      <c r="A1535" t="s">
        <v>6605</v>
      </c>
      <c r="B1535" t="str">
        <f>HYPERLINK("https://staging-dtl-pattern-api.hfm-weimar.de/static/audio/solos/dtl/AQASr4kyqVK0BBd66Mdzod6K5jqRv_jx_0.01.00.092916-0.04.27.067963.mp3", "link")</f>
        <v>link</v>
      </c>
      <c r="D1535" t="s">
        <v>6606</v>
      </c>
      <c r="E1535" t="s">
        <v>18</v>
      </c>
      <c r="F1535" t="s">
        <v>18</v>
      </c>
      <c r="G1535" t="s">
        <v>18</v>
      </c>
      <c r="J1535" t="s">
        <v>3716</v>
      </c>
      <c r="K1535" t="s">
        <v>6607</v>
      </c>
      <c r="L1535" s="1" t="s">
        <v>6608</v>
      </c>
      <c r="M1535" t="s">
        <v>129</v>
      </c>
      <c r="N1535" t="s">
        <v>23</v>
      </c>
      <c r="O1535" s="1" t="s">
        <v>6609</v>
      </c>
      <c r="P1535" s="1" t="s">
        <v>6610</v>
      </c>
    </row>
    <row r="1536" spans="1:17" x14ac:dyDescent="0.25">
      <c r="A1536" t="s">
        <v>6611</v>
      </c>
      <c r="B1536" t="str">
        <f>HYPERLINK("https://staging-dtl-pattern-api.hfm-weimar.de/static/audio/solos/dtl/AQASr4kyqVK0BBd66Mdzod6K5jqRv_jx_0.04.27.067963-0.06.27.078775.mp3", "link")</f>
        <v>link</v>
      </c>
      <c r="D1536" t="s">
        <v>6606</v>
      </c>
      <c r="E1536" t="s">
        <v>2413</v>
      </c>
      <c r="F1536" t="s">
        <v>18</v>
      </c>
      <c r="G1536" t="s">
        <v>18</v>
      </c>
      <c r="J1536" t="s">
        <v>3716</v>
      </c>
      <c r="K1536" t="s">
        <v>6607</v>
      </c>
      <c r="L1536" s="1" t="s">
        <v>6608</v>
      </c>
      <c r="M1536" t="s">
        <v>129</v>
      </c>
      <c r="N1536" t="s">
        <v>46</v>
      </c>
      <c r="O1536" s="1" t="s">
        <v>6610</v>
      </c>
      <c r="P1536" s="1" t="s">
        <v>6612</v>
      </c>
    </row>
    <row r="1537" spans="1:17" x14ac:dyDescent="0.25">
      <c r="A1537" t="s">
        <v>6613</v>
      </c>
      <c r="B1537" t="str">
        <f>HYPERLINK("https://staging-dtl-pattern-api.hfm-weimar.de/static/audio/solos/dtl/AQAStoqSSGpoNAf-4AeTEj_CVJkD_Qjz_0.00.51.089659-0.04.14.046748.mp3", "link")</f>
        <v>link</v>
      </c>
      <c r="D1537" t="s">
        <v>6614</v>
      </c>
      <c r="E1537" t="s">
        <v>42</v>
      </c>
      <c r="F1537" t="s">
        <v>6615</v>
      </c>
      <c r="G1537" t="s">
        <v>42</v>
      </c>
      <c r="H1537" t="s">
        <v>6616</v>
      </c>
      <c r="I1537">
        <v>65</v>
      </c>
      <c r="J1537" t="s">
        <v>126</v>
      </c>
      <c r="K1537" t="s">
        <v>6617</v>
      </c>
      <c r="L1537" s="1" t="s">
        <v>6618</v>
      </c>
      <c r="M1537" t="s">
        <v>129</v>
      </c>
      <c r="N1537" t="s">
        <v>46</v>
      </c>
      <c r="O1537" s="1" t="s">
        <v>6619</v>
      </c>
      <c r="P1537" s="1" t="s">
        <v>6620</v>
      </c>
    </row>
    <row r="1538" spans="1:17" x14ac:dyDescent="0.25">
      <c r="A1538" t="s">
        <v>6621</v>
      </c>
      <c r="B1538" t="str">
        <f>HYPERLINK("https://staging-dtl-pattern-api.hfm-weimar.de/static/audio/solos/dtl/AQAStoqSSGpoNAf-4AeTEj_CVJkD_Qjz_0.04.14.046748-0.06.18.097868.mp3", "link")</f>
        <v>link</v>
      </c>
      <c r="D1538" t="s">
        <v>6614</v>
      </c>
      <c r="E1538" t="s">
        <v>3417</v>
      </c>
      <c r="F1538" t="s">
        <v>6615</v>
      </c>
      <c r="G1538" t="s">
        <v>42</v>
      </c>
      <c r="H1538" t="s">
        <v>6616</v>
      </c>
      <c r="I1538">
        <v>65</v>
      </c>
      <c r="J1538" t="s">
        <v>126</v>
      </c>
      <c r="K1538" t="s">
        <v>6617</v>
      </c>
      <c r="L1538" s="1" t="s">
        <v>6618</v>
      </c>
      <c r="M1538" t="s">
        <v>129</v>
      </c>
      <c r="N1538" t="s">
        <v>23</v>
      </c>
      <c r="O1538" s="1" t="s">
        <v>6620</v>
      </c>
      <c r="P1538" s="1" t="s">
        <v>6622</v>
      </c>
    </row>
    <row r="1539" spans="1:17" x14ac:dyDescent="0.25">
      <c r="A1539" t="s">
        <v>6623</v>
      </c>
      <c r="B1539" t="str">
        <f>HYPERLINK("https://staging-dtl-pattern-api.hfm-weimar.de/static/audio/solos/dtl/AQAStoqSSGpoNAf-4AeTEj_CVJkD_Qjz_0.06.18.097868-0.08.02.004625.mp3", "link")</f>
        <v>link</v>
      </c>
      <c r="D1539" t="s">
        <v>6614</v>
      </c>
      <c r="E1539" t="s">
        <v>3903</v>
      </c>
      <c r="F1539" t="s">
        <v>6615</v>
      </c>
      <c r="G1539" t="s">
        <v>42</v>
      </c>
      <c r="H1539" t="s">
        <v>6616</v>
      </c>
      <c r="I1539">
        <v>65</v>
      </c>
      <c r="J1539" t="s">
        <v>126</v>
      </c>
      <c r="K1539" t="s">
        <v>6617</v>
      </c>
      <c r="L1539" s="1" t="s">
        <v>6618</v>
      </c>
      <c r="M1539" t="s">
        <v>129</v>
      </c>
      <c r="N1539" t="s">
        <v>202</v>
      </c>
      <c r="O1539" s="1" t="s">
        <v>6622</v>
      </c>
      <c r="P1539" s="1" t="s">
        <v>6624</v>
      </c>
    </row>
    <row r="1540" spans="1:17" x14ac:dyDescent="0.25">
      <c r="A1540" t="s">
        <v>6625</v>
      </c>
      <c r="B1540" t="str">
        <f>HYPERLINK("https://staging-dtl-pattern-api.hfm-weimar.de/static/audio/solos/dtl/AQAStoqSSGpoNAf-4AeTEj_CVJkD_Qjz_0.08.02.004625-0.09.25.070775.mp3", "link")</f>
        <v>link</v>
      </c>
      <c r="D1540" t="s">
        <v>6614</v>
      </c>
      <c r="E1540" t="s">
        <v>42</v>
      </c>
      <c r="F1540" t="s">
        <v>6615</v>
      </c>
      <c r="G1540" t="s">
        <v>42</v>
      </c>
      <c r="H1540" t="s">
        <v>6616</v>
      </c>
      <c r="I1540">
        <v>65</v>
      </c>
      <c r="J1540" t="s">
        <v>126</v>
      </c>
      <c r="K1540" t="s">
        <v>6617</v>
      </c>
      <c r="L1540" s="1" t="s">
        <v>6618</v>
      </c>
      <c r="M1540" t="s">
        <v>129</v>
      </c>
      <c r="N1540" t="s">
        <v>46</v>
      </c>
      <c r="O1540" s="1" t="s">
        <v>6624</v>
      </c>
      <c r="P1540" s="1" t="s">
        <v>6626</v>
      </c>
    </row>
    <row r="1541" spans="1:17" x14ac:dyDescent="0.25">
      <c r="A1541" t="s">
        <v>6627</v>
      </c>
      <c r="B1541" t="str">
        <f>HYPERLINK("https://staging-dtl-pattern-api.hfm-weimar.de/static/audio/solos/dtl/AQASV4kSJUmiaKGCS8TVo9GV4zoehLfx_0.02.55.017133-0.06.24.015092.mp3", "link")</f>
        <v>link</v>
      </c>
      <c r="C1541" t="s">
        <v>6628</v>
      </c>
      <c r="D1541" t="s">
        <v>6629</v>
      </c>
      <c r="F1541" t="s">
        <v>2845</v>
      </c>
      <c r="J1541" t="s">
        <v>5340</v>
      </c>
      <c r="K1541" t="s">
        <v>6630</v>
      </c>
      <c r="L1541" s="1" t="s">
        <v>5342</v>
      </c>
      <c r="M1541" t="s">
        <v>5343</v>
      </c>
      <c r="N1541" t="s">
        <v>23</v>
      </c>
      <c r="O1541" s="1" t="s">
        <v>6279</v>
      </c>
      <c r="P1541" s="1" t="s">
        <v>6631</v>
      </c>
    </row>
    <row r="1542" spans="1:17" x14ac:dyDescent="0.25">
      <c r="A1542" t="s">
        <v>6632</v>
      </c>
      <c r="B1542" t="str">
        <f>HYPERLINK("https://staging-dtl-pattern-api.hfm-weimar.de/static/audio/solos/dtl/AQASV4kSJUmiaKGCS8TVo9GV4zoehLfx_0.06.33.062467-0.07.02.032453.mp3", "link")</f>
        <v>link</v>
      </c>
      <c r="D1542" t="s">
        <v>6629</v>
      </c>
      <c r="E1542" t="s">
        <v>6633</v>
      </c>
      <c r="F1542" t="s">
        <v>2845</v>
      </c>
      <c r="J1542" t="s">
        <v>5340</v>
      </c>
      <c r="K1542" t="s">
        <v>6630</v>
      </c>
      <c r="L1542" s="1" t="s">
        <v>5342</v>
      </c>
      <c r="M1542" t="s">
        <v>5343</v>
      </c>
      <c r="N1542" t="s">
        <v>46</v>
      </c>
      <c r="O1542" s="1" t="s">
        <v>6634</v>
      </c>
      <c r="P1542" s="1" t="s">
        <v>6635</v>
      </c>
    </row>
    <row r="1543" spans="1:17" x14ac:dyDescent="0.25">
      <c r="A1543" t="s">
        <v>6636</v>
      </c>
      <c r="B1543" t="str">
        <f>HYPERLINK("https://staging-dtl-pattern-api.hfm-weimar.de/static/audio/solos/dtl/AQASX5sTJlJUvAh_qGKSHAAAADgOBAeO_0.01.55.046122-0.05.27.057551.mp3", "link")</f>
        <v>link</v>
      </c>
      <c r="D1543" t="s">
        <v>4351</v>
      </c>
      <c r="E1543" t="s">
        <v>612</v>
      </c>
      <c r="F1543" t="s">
        <v>612</v>
      </c>
      <c r="G1543" t="s">
        <v>612</v>
      </c>
      <c r="J1543" t="s">
        <v>4352</v>
      </c>
      <c r="K1543" t="s">
        <v>6637</v>
      </c>
      <c r="L1543" s="1" t="s">
        <v>4354</v>
      </c>
      <c r="M1543" t="s">
        <v>4355</v>
      </c>
      <c r="N1543" t="s">
        <v>46</v>
      </c>
      <c r="O1543" s="1" t="s">
        <v>5988</v>
      </c>
      <c r="P1543" s="1" t="s">
        <v>6638</v>
      </c>
    </row>
    <row r="1544" spans="1:17" x14ac:dyDescent="0.25">
      <c r="A1544" t="s">
        <v>6639</v>
      </c>
      <c r="B1544" t="str">
        <f>HYPERLINK("https://staging-dtl-pattern-api.hfm-weimar.de/static/audio/solos/dtl/AQASZlOojNKUBH4C5opwvDzCMGOgcTf0_0.00.00.013061-0.02.32.003265.mp3", "link")</f>
        <v>link</v>
      </c>
      <c r="D1544" t="s">
        <v>4380</v>
      </c>
      <c r="E1544" t="s">
        <v>4381</v>
      </c>
      <c r="F1544" t="s">
        <v>4381</v>
      </c>
      <c r="G1544" t="s">
        <v>4381</v>
      </c>
      <c r="J1544" t="s">
        <v>4381</v>
      </c>
      <c r="K1544" t="s">
        <v>6640</v>
      </c>
      <c r="L1544" s="1" t="s">
        <v>4383</v>
      </c>
      <c r="M1544" t="s">
        <v>4384</v>
      </c>
      <c r="N1544" t="s">
        <v>23</v>
      </c>
      <c r="O1544" s="1" t="s">
        <v>3123</v>
      </c>
      <c r="P1544" s="1" t="s">
        <v>6641</v>
      </c>
    </row>
    <row r="1545" spans="1:17" x14ac:dyDescent="0.25">
      <c r="A1545" t="s">
        <v>6642</v>
      </c>
      <c r="B1545" t="str">
        <f>HYPERLINK("https://staging-dtl-pattern-api.hfm-weimar.de/static/audio/solos/dtl/AQASZlOojNKUBH4C5opwvDzCMGOgcTf0_0.08.29.053868-0.09.42.044934.mp3", "link")</f>
        <v>link</v>
      </c>
      <c r="D1545" t="s">
        <v>4380</v>
      </c>
      <c r="E1545" t="s">
        <v>4381</v>
      </c>
      <c r="F1545" t="s">
        <v>4381</v>
      </c>
      <c r="G1545" t="s">
        <v>4381</v>
      </c>
      <c r="J1545" t="s">
        <v>4381</v>
      </c>
      <c r="K1545" t="s">
        <v>6640</v>
      </c>
      <c r="L1545" s="1" t="s">
        <v>4383</v>
      </c>
      <c r="M1545" t="s">
        <v>4384</v>
      </c>
      <c r="N1545" t="s">
        <v>23</v>
      </c>
      <c r="O1545" s="1" t="s">
        <v>6643</v>
      </c>
      <c r="P1545" s="1" t="s">
        <v>6644</v>
      </c>
    </row>
    <row r="1546" spans="1:17" x14ac:dyDescent="0.25">
      <c r="A1546" t="s">
        <v>6645</v>
      </c>
      <c r="B1546" t="str">
        <f>HYPERLINK("https://staging-dtl-pattern-api.hfm-weimar.de/static/audio/solos/dtl/AQAT2BOTJFmSREki_Cx-I_UEncfHI9VE_0.00.29.035002-0.04.27.023265.mp3", "link")</f>
        <v>link</v>
      </c>
      <c r="D1546" t="s">
        <v>17</v>
      </c>
      <c r="E1546" t="s">
        <v>18</v>
      </c>
      <c r="F1546" t="s">
        <v>18</v>
      </c>
      <c r="G1546" t="s">
        <v>18</v>
      </c>
      <c r="J1546" t="s">
        <v>19</v>
      </c>
      <c r="K1546" t="s">
        <v>6646</v>
      </c>
      <c r="L1546" s="1" t="s">
        <v>21</v>
      </c>
      <c r="M1546" t="s">
        <v>22</v>
      </c>
      <c r="N1546" t="s">
        <v>23</v>
      </c>
      <c r="O1546" s="1" t="s">
        <v>6647</v>
      </c>
      <c r="P1546" s="1" t="s">
        <v>6648</v>
      </c>
    </row>
    <row r="1547" spans="1:17" x14ac:dyDescent="0.25">
      <c r="A1547" t="s">
        <v>6649</v>
      </c>
      <c r="B1547" t="str">
        <f>HYPERLINK("https://staging-dtl-pattern-api.hfm-weimar.de/static/audio/solos/dtl/AQATaVMSSrqUwEGP0D-0PNGDH4-UHdfR_0.00.50.052662-0.02.37.033841.mp3", "link")</f>
        <v>link</v>
      </c>
      <c r="D1547" t="s">
        <v>3886</v>
      </c>
      <c r="E1547" t="s">
        <v>1055</v>
      </c>
      <c r="F1547" t="s">
        <v>1055</v>
      </c>
      <c r="G1547" t="s">
        <v>1055</v>
      </c>
      <c r="J1547" t="s">
        <v>1056</v>
      </c>
      <c r="K1547" t="s">
        <v>6650</v>
      </c>
      <c r="L1547" s="1" t="s">
        <v>6651</v>
      </c>
      <c r="M1547" t="s">
        <v>6652</v>
      </c>
      <c r="N1547" t="s">
        <v>109</v>
      </c>
      <c r="O1547" s="1" t="s">
        <v>6653</v>
      </c>
      <c r="P1547" s="1" t="s">
        <v>3076</v>
      </c>
      <c r="Q1547" s="1" t="s">
        <v>7330</v>
      </c>
    </row>
    <row r="1548" spans="1:17" x14ac:dyDescent="0.25">
      <c r="A1548" t="s">
        <v>6654</v>
      </c>
      <c r="B1548" t="str">
        <f>HYPERLINK("https://staging-dtl-pattern-api.hfm-weimar.de/static/audio/solos/dtl/AQATaVMSSrqUwEGP0D-0PNGDH4-UHdfR_0.02.37.033841-0.04.26.084081.mp3", "link")</f>
        <v>link</v>
      </c>
      <c r="D1548" t="s">
        <v>3886</v>
      </c>
      <c r="E1548" t="s">
        <v>3893</v>
      </c>
      <c r="F1548" t="s">
        <v>1055</v>
      </c>
      <c r="G1548" t="s">
        <v>1055</v>
      </c>
      <c r="J1548" t="s">
        <v>1056</v>
      </c>
      <c r="K1548" t="s">
        <v>6650</v>
      </c>
      <c r="L1548" s="1" t="s">
        <v>6651</v>
      </c>
      <c r="M1548" t="s">
        <v>6652</v>
      </c>
      <c r="N1548" t="s">
        <v>46</v>
      </c>
      <c r="O1548" s="1" t="s">
        <v>3076</v>
      </c>
      <c r="P1548" s="1" t="s">
        <v>6655</v>
      </c>
    </row>
    <row r="1549" spans="1:17" x14ac:dyDescent="0.25">
      <c r="A1549" t="s">
        <v>6656</v>
      </c>
      <c r="B1549" t="str">
        <f>HYPERLINK("https://staging-dtl-pattern-api.hfm-weimar.de/static/audio/solos/dtl/AQATDWkUKXFE_Pghqu2Q49lxJWge1Mrw_0.02.21.084489-0.04.47.034693.mp3", "link")</f>
        <v>link</v>
      </c>
      <c r="D1549" t="s">
        <v>7154</v>
      </c>
      <c r="E1549" t="s">
        <v>18</v>
      </c>
      <c r="F1549" t="s">
        <v>2375</v>
      </c>
      <c r="J1549" t="s">
        <v>1465</v>
      </c>
      <c r="K1549" t="s">
        <v>6657</v>
      </c>
      <c r="L1549" s="1" t="s">
        <v>2377</v>
      </c>
      <c r="M1549" t="s">
        <v>2378</v>
      </c>
      <c r="N1549" t="s">
        <v>23</v>
      </c>
      <c r="O1549" s="1" t="s">
        <v>6658</v>
      </c>
      <c r="P1549" s="1" t="s">
        <v>6659</v>
      </c>
      <c r="Q1549" s="1" t="s">
        <v>7345</v>
      </c>
    </row>
    <row r="1550" spans="1:17" x14ac:dyDescent="0.25">
      <c r="A1550" t="s">
        <v>6660</v>
      </c>
      <c r="B1550" t="str">
        <f>HYPERLINK("https://staging-dtl-pattern-api.hfm-weimar.de/static/audio/solos/dtl/AQATeuISJZEXvLiYHKWewselaOijIfGR_0.01.08.054530-0.05.12.063346.mp3", "link")</f>
        <v>link</v>
      </c>
      <c r="D1550" t="s">
        <v>5864</v>
      </c>
      <c r="E1550" t="s">
        <v>4807</v>
      </c>
      <c r="F1550" t="s">
        <v>4807</v>
      </c>
      <c r="G1550" t="s">
        <v>4807</v>
      </c>
      <c r="J1550" t="s">
        <v>5228</v>
      </c>
      <c r="K1550" t="s">
        <v>4148</v>
      </c>
      <c r="L1550" s="1" t="s">
        <v>5866</v>
      </c>
      <c r="M1550" t="s">
        <v>5231</v>
      </c>
      <c r="N1550" t="s">
        <v>172</v>
      </c>
      <c r="O1550" s="1" t="s">
        <v>6661</v>
      </c>
      <c r="P1550" s="1" t="s">
        <v>5335</v>
      </c>
    </row>
    <row r="1551" spans="1:17" x14ac:dyDescent="0.25">
      <c r="A1551" t="s">
        <v>6662</v>
      </c>
      <c r="B1551" t="str">
        <f>HYPERLINK("https://staging-dtl-pattern-api.hfm-weimar.de/static/audio/solos/dtl/AQATeuISJZEXvLiYHKWewselaOijIfGR_0.07.07.080444-0.07.20.094693.mp3", "link")</f>
        <v>link</v>
      </c>
      <c r="D1551" t="s">
        <v>5864</v>
      </c>
      <c r="E1551" t="s">
        <v>4807</v>
      </c>
      <c r="F1551" t="s">
        <v>4807</v>
      </c>
      <c r="G1551" t="s">
        <v>4807</v>
      </c>
      <c r="J1551" t="s">
        <v>5228</v>
      </c>
      <c r="K1551" t="s">
        <v>4148</v>
      </c>
      <c r="L1551" s="1" t="s">
        <v>5866</v>
      </c>
      <c r="M1551" t="s">
        <v>5231</v>
      </c>
      <c r="N1551" t="s">
        <v>172</v>
      </c>
      <c r="O1551" s="1" t="s">
        <v>6663</v>
      </c>
      <c r="P1551" s="1" t="s">
        <v>6664</v>
      </c>
    </row>
    <row r="1552" spans="1:17" x14ac:dyDescent="0.25">
      <c r="A1552" t="s">
        <v>6665</v>
      </c>
      <c r="B1552" t="str">
        <f>HYPERLINK("https://staging-dtl-pattern-api.hfm-weimar.de/static/audio/solos/dtl/AQATeuISJZEXvLiYHKWewselaOijIfGR_0.07.32.031020-0.07.45.037142.mp3", "link")</f>
        <v>link</v>
      </c>
      <c r="D1552" t="s">
        <v>5864</v>
      </c>
      <c r="E1552" t="s">
        <v>4807</v>
      </c>
      <c r="F1552" t="s">
        <v>4807</v>
      </c>
      <c r="G1552" t="s">
        <v>4807</v>
      </c>
      <c r="J1552" t="s">
        <v>5228</v>
      </c>
      <c r="K1552" t="s">
        <v>4148</v>
      </c>
      <c r="L1552" s="1" t="s">
        <v>5866</v>
      </c>
      <c r="M1552" t="s">
        <v>5231</v>
      </c>
      <c r="N1552" t="s">
        <v>172</v>
      </c>
      <c r="O1552" s="1" t="s">
        <v>6666</v>
      </c>
      <c r="P1552" s="1" t="s">
        <v>6667</v>
      </c>
    </row>
    <row r="1553" spans="1:17" x14ac:dyDescent="0.25">
      <c r="A1553" t="s">
        <v>6668</v>
      </c>
      <c r="B1553" t="str">
        <f>HYPERLINK("https://staging-dtl-pattern-api.hfm-weimar.de/static/audio/solos/dtl/AQATeuISJZEXvLiYHKWewselaOijIfGR_0.07.58.060970-0.08.17.055718.mp3", "link")</f>
        <v>link</v>
      </c>
      <c r="D1553" t="s">
        <v>5864</v>
      </c>
      <c r="E1553" t="s">
        <v>4807</v>
      </c>
      <c r="F1553" t="s">
        <v>4807</v>
      </c>
      <c r="G1553" t="s">
        <v>4807</v>
      </c>
      <c r="J1553" t="s">
        <v>5228</v>
      </c>
      <c r="K1553" t="s">
        <v>4148</v>
      </c>
      <c r="L1553" s="1" t="s">
        <v>5866</v>
      </c>
      <c r="M1553" t="s">
        <v>5231</v>
      </c>
      <c r="N1553" t="s">
        <v>172</v>
      </c>
      <c r="O1553" s="1" t="s">
        <v>6669</v>
      </c>
      <c r="P1553" s="1" t="s">
        <v>6670</v>
      </c>
    </row>
    <row r="1554" spans="1:17" x14ac:dyDescent="0.25">
      <c r="A1554" t="s">
        <v>6671</v>
      </c>
      <c r="B1554" t="str">
        <f>HYPERLINK("https://staging-dtl-pattern-api.hfm-weimar.de/static/audio/solos/dtl/AQATeuISJZEXvLiYHKWewselaOijIfGR_0.08.29.091020-0.08.43.047065.mp3", "link")</f>
        <v>link</v>
      </c>
      <c r="D1554" t="s">
        <v>5864</v>
      </c>
      <c r="E1554" t="s">
        <v>4807</v>
      </c>
      <c r="F1554" t="s">
        <v>4807</v>
      </c>
      <c r="G1554" t="s">
        <v>4807</v>
      </c>
      <c r="J1554" t="s">
        <v>5228</v>
      </c>
      <c r="K1554" t="s">
        <v>4148</v>
      </c>
      <c r="L1554" s="1" t="s">
        <v>5866</v>
      </c>
      <c r="M1554" t="s">
        <v>5231</v>
      </c>
      <c r="N1554" t="s">
        <v>172</v>
      </c>
      <c r="O1554" s="1" t="s">
        <v>6672</v>
      </c>
      <c r="P1554" s="1" t="s">
        <v>6673</v>
      </c>
    </row>
    <row r="1555" spans="1:17" x14ac:dyDescent="0.25">
      <c r="A1555" t="s">
        <v>6674</v>
      </c>
      <c r="B1555" t="str">
        <f>HYPERLINK("https://staging-dtl-pattern-api.hfm-weimar.de/static/audio/solos/dtl/AQATFYqoREmYKBneHt_RyKMwusSP_IM-_0.01.05.030612-0.02.00.042448.mp3", "link")</f>
        <v>link</v>
      </c>
      <c r="D1555" t="s">
        <v>6074</v>
      </c>
      <c r="E1555" t="s">
        <v>6075</v>
      </c>
      <c r="F1555" t="s">
        <v>5240</v>
      </c>
      <c r="G1555" t="s">
        <v>5240</v>
      </c>
      <c r="J1555" t="s">
        <v>5241</v>
      </c>
      <c r="K1555" t="s">
        <v>6675</v>
      </c>
      <c r="L1555" s="1" t="s">
        <v>5243</v>
      </c>
      <c r="M1555" t="s">
        <v>705</v>
      </c>
      <c r="N1555" t="s">
        <v>202</v>
      </c>
      <c r="O1555" s="1" t="s">
        <v>6676</v>
      </c>
      <c r="P1555" s="1" t="s">
        <v>6677</v>
      </c>
      <c r="Q1555" s="1" t="s">
        <v>7319</v>
      </c>
    </row>
    <row r="1556" spans="1:17" x14ac:dyDescent="0.25">
      <c r="A1556" t="s">
        <v>6678</v>
      </c>
      <c r="B1556" t="str">
        <f>HYPERLINK("https://staging-dtl-pattern-api.hfm-weimar.de/static/audio/solos/dtl/AQATFYqoREmYKBneHt_RyKMwusSP_IM-_0.02.00.042448-0.02.55.067346.mp3", "link")</f>
        <v>link</v>
      </c>
      <c r="D1556" t="s">
        <v>6074</v>
      </c>
      <c r="E1556" t="s">
        <v>6082</v>
      </c>
      <c r="F1556" t="s">
        <v>5240</v>
      </c>
      <c r="G1556" t="s">
        <v>5240</v>
      </c>
      <c r="J1556" t="s">
        <v>5241</v>
      </c>
      <c r="K1556" t="s">
        <v>6675</v>
      </c>
      <c r="L1556" s="1" t="s">
        <v>5243</v>
      </c>
      <c r="M1556" t="s">
        <v>705</v>
      </c>
      <c r="N1556" t="s">
        <v>46</v>
      </c>
      <c r="O1556" s="1" t="s">
        <v>6677</v>
      </c>
      <c r="P1556" s="1" t="s">
        <v>6679</v>
      </c>
    </row>
    <row r="1557" spans="1:17" x14ac:dyDescent="0.25">
      <c r="A1557" t="s">
        <v>6680</v>
      </c>
      <c r="B1557" t="str">
        <f>HYPERLINK("https://staging-dtl-pattern-api.hfm-weimar.de/static/audio/solos/dtl/AQATFYqoREmYKBneHt_RyKMwusSP_IM-_0.02.55.067346-0.03.50.034195.mp3", "link")</f>
        <v>link</v>
      </c>
      <c r="D1557" t="s">
        <v>6074</v>
      </c>
      <c r="E1557" t="s">
        <v>5239</v>
      </c>
      <c r="F1557" t="s">
        <v>5240</v>
      </c>
      <c r="G1557" t="s">
        <v>5240</v>
      </c>
      <c r="J1557" t="s">
        <v>5241</v>
      </c>
      <c r="K1557" t="s">
        <v>6675</v>
      </c>
      <c r="L1557" s="1" t="s">
        <v>5243</v>
      </c>
      <c r="M1557" t="s">
        <v>705</v>
      </c>
      <c r="N1557" t="s">
        <v>23</v>
      </c>
      <c r="O1557" s="1" t="s">
        <v>6679</v>
      </c>
      <c r="P1557" s="1" t="s">
        <v>6681</v>
      </c>
    </row>
    <row r="1558" spans="1:17" x14ac:dyDescent="0.25">
      <c r="A1558" t="s">
        <v>6682</v>
      </c>
      <c r="B1558" t="str">
        <f>HYPERLINK("https://staging-dtl-pattern-api.hfm-weimar.de/static/audio/solos/dtl/AQATM0ymNkkUBU354EPOGWKeI-fxRLGC_0.00.54.093841-0.03.17.006775.mp3", "link")</f>
        <v>link</v>
      </c>
      <c r="D1558" t="s">
        <v>6684</v>
      </c>
      <c r="E1558" t="s">
        <v>5083</v>
      </c>
      <c r="F1558" t="s">
        <v>5083</v>
      </c>
      <c r="G1558" t="s">
        <v>5083</v>
      </c>
      <c r="H1558" t="s">
        <v>6685</v>
      </c>
      <c r="I1558">
        <v>67</v>
      </c>
      <c r="J1558" t="s">
        <v>616</v>
      </c>
      <c r="K1558" t="s">
        <v>6686</v>
      </c>
      <c r="L1558" s="1" t="s">
        <v>6687</v>
      </c>
      <c r="M1558" t="s">
        <v>3583</v>
      </c>
      <c r="N1558" t="s">
        <v>23</v>
      </c>
      <c r="O1558" s="1" t="s">
        <v>6688</v>
      </c>
      <c r="P1558" s="1" t="s">
        <v>6689</v>
      </c>
      <c r="Q1558" s="1" t="s">
        <v>7346</v>
      </c>
    </row>
    <row r="1559" spans="1:17" x14ac:dyDescent="0.25">
      <c r="A1559" t="s">
        <v>6690</v>
      </c>
      <c r="B1559" t="str">
        <f>HYPERLINK("https://staging-dtl-pattern-api.hfm-weimar.de/static/audio/solos/dtl/AQATM0ymNkkUBU354EPOGWKeI-fxRLGC_0.03.17.006775-0.04.48.087945.mp3", "link")</f>
        <v>link</v>
      </c>
      <c r="D1559" t="s">
        <v>6684</v>
      </c>
      <c r="E1559" t="s">
        <v>2051</v>
      </c>
      <c r="F1559" t="s">
        <v>5083</v>
      </c>
      <c r="G1559" t="s">
        <v>5083</v>
      </c>
      <c r="H1559" t="s">
        <v>6685</v>
      </c>
      <c r="I1559">
        <v>67</v>
      </c>
      <c r="J1559" t="s">
        <v>616</v>
      </c>
      <c r="K1559" t="s">
        <v>6686</v>
      </c>
      <c r="L1559" s="1" t="s">
        <v>6687</v>
      </c>
      <c r="M1559" t="s">
        <v>3583</v>
      </c>
      <c r="N1559" t="s">
        <v>23</v>
      </c>
      <c r="O1559" s="1" t="s">
        <v>6689</v>
      </c>
      <c r="P1559" s="1" t="s">
        <v>6691</v>
      </c>
      <c r="Q1559" s="1" t="s">
        <v>7344</v>
      </c>
    </row>
    <row r="1560" spans="1:17" x14ac:dyDescent="0.25">
      <c r="A1560" t="s">
        <v>6692</v>
      </c>
      <c r="B1560" t="str">
        <f>HYPERLINK("https://staging-dtl-pattern-api.hfm-weimar.de/static/audio/solos/dtl/AQATM0ymNkkUBU354EPOGWKeI-fxRLGC_0.04.48.087945-0.06.19.066947.mp3", "link")</f>
        <v>link</v>
      </c>
      <c r="D1560" t="s">
        <v>6684</v>
      </c>
      <c r="E1560" t="s">
        <v>5489</v>
      </c>
      <c r="F1560" t="s">
        <v>5083</v>
      </c>
      <c r="G1560" t="s">
        <v>5083</v>
      </c>
      <c r="H1560" t="s">
        <v>6685</v>
      </c>
      <c r="I1560">
        <v>67</v>
      </c>
      <c r="J1560" t="s">
        <v>616</v>
      </c>
      <c r="K1560" t="s">
        <v>6686</v>
      </c>
      <c r="L1560" s="1" t="s">
        <v>6687</v>
      </c>
      <c r="M1560" t="s">
        <v>3583</v>
      </c>
      <c r="N1560" t="s">
        <v>46</v>
      </c>
      <c r="O1560" s="1" t="s">
        <v>6691</v>
      </c>
      <c r="P1560" s="1" t="s">
        <v>6693</v>
      </c>
    </row>
    <row r="1561" spans="1:17" x14ac:dyDescent="0.25">
      <c r="A1561" t="s">
        <v>6694</v>
      </c>
      <c r="B1561" t="str">
        <f>HYPERLINK("https://staging-dtl-pattern-api.hfm-weimar.de/static/audio/solos/dtl/AQATM0ymNkkUBU354EPOGWKeI-fxRLGC_0.06.19.066947-0.07.50.038984.mp3", "link")</f>
        <v>link</v>
      </c>
      <c r="D1561" t="s">
        <v>6684</v>
      </c>
      <c r="E1561" t="s">
        <v>3453</v>
      </c>
      <c r="F1561" t="s">
        <v>5083</v>
      </c>
      <c r="G1561" t="s">
        <v>5083</v>
      </c>
      <c r="H1561" t="s">
        <v>6685</v>
      </c>
      <c r="I1561">
        <v>67</v>
      </c>
      <c r="J1561" t="s">
        <v>616</v>
      </c>
      <c r="K1561" t="s">
        <v>6686</v>
      </c>
      <c r="L1561" s="1" t="s">
        <v>6687</v>
      </c>
      <c r="M1561" t="s">
        <v>3583</v>
      </c>
      <c r="N1561" t="s">
        <v>23</v>
      </c>
      <c r="O1561" s="1" t="s">
        <v>6693</v>
      </c>
      <c r="P1561" s="1" t="s">
        <v>6695</v>
      </c>
      <c r="Q1561" s="1" t="s">
        <v>7343</v>
      </c>
    </row>
    <row r="1562" spans="1:17" x14ac:dyDescent="0.25">
      <c r="A1562" t="s">
        <v>6696</v>
      </c>
      <c r="B1562" t="str">
        <f>HYPERLINK("https://staging-dtl-pattern-api.hfm-weimar.de/static/audio/solos/dtl/AQATM0ymNkkUBU354EPOGWKeI-fxRLGC_0.09.15.083927-0.09.21.017986.mp3", "link")</f>
        <v>link</v>
      </c>
      <c r="C1562" t="s">
        <v>6683</v>
      </c>
      <c r="D1562" t="s">
        <v>6684</v>
      </c>
      <c r="F1562" t="s">
        <v>5083</v>
      </c>
      <c r="G1562" t="s">
        <v>5083</v>
      </c>
      <c r="H1562" t="s">
        <v>6685</v>
      </c>
      <c r="I1562">
        <v>67</v>
      </c>
      <c r="J1562" t="s">
        <v>616</v>
      </c>
      <c r="K1562" t="s">
        <v>6686</v>
      </c>
      <c r="L1562" s="1" t="s">
        <v>6687</v>
      </c>
      <c r="M1562" t="s">
        <v>3583</v>
      </c>
      <c r="N1562" t="s">
        <v>23</v>
      </c>
      <c r="O1562" s="1" t="s">
        <v>6697</v>
      </c>
      <c r="P1562" s="1" t="s">
        <v>6698</v>
      </c>
    </row>
    <row r="1563" spans="1:17" x14ac:dyDescent="0.25">
      <c r="A1563" t="s">
        <v>6699</v>
      </c>
      <c r="B1563" t="str">
        <f>HYPERLINK("https://staging-dtl-pattern-api.hfm-weimar.de/static/audio/solos/dtl/AQATM0ymNkkUBU354EPOGWKeI-fxRLGC_0.09.25.049877-0.09.30.072326.mp3", "link")</f>
        <v>link</v>
      </c>
      <c r="C1563" t="s">
        <v>6683</v>
      </c>
      <c r="D1563" t="s">
        <v>6684</v>
      </c>
      <c r="F1563" t="s">
        <v>5083</v>
      </c>
      <c r="G1563" t="s">
        <v>5083</v>
      </c>
      <c r="H1563" t="s">
        <v>6685</v>
      </c>
      <c r="I1563">
        <v>67</v>
      </c>
      <c r="J1563" t="s">
        <v>616</v>
      </c>
      <c r="K1563" t="s">
        <v>6686</v>
      </c>
      <c r="L1563" s="1" t="s">
        <v>6687</v>
      </c>
      <c r="M1563" t="s">
        <v>3583</v>
      </c>
      <c r="N1563" t="s">
        <v>23</v>
      </c>
      <c r="O1563" s="1" t="s">
        <v>6700</v>
      </c>
      <c r="P1563" s="1" t="s">
        <v>6701</v>
      </c>
    </row>
    <row r="1564" spans="1:17" x14ac:dyDescent="0.25">
      <c r="A1564" t="s">
        <v>6702</v>
      </c>
      <c r="B1564" t="str">
        <f>HYPERLINK("https://staging-dtl-pattern-api.hfm-weimar.de/static/audio/solos/dtl/AQATmImUZMySlOjR4Eqy4JN0NCOPlsdJ_0.01.32.008163-0.02.23.080408.mp3", "link")</f>
        <v>link</v>
      </c>
      <c r="D1564" t="s">
        <v>6703</v>
      </c>
      <c r="E1564" t="s">
        <v>6704</v>
      </c>
      <c r="F1564" t="s">
        <v>2820</v>
      </c>
      <c r="J1564" t="s">
        <v>6705</v>
      </c>
      <c r="K1564" t="s">
        <v>6706</v>
      </c>
      <c r="L1564" s="1" t="s">
        <v>6707</v>
      </c>
      <c r="M1564" t="s">
        <v>129</v>
      </c>
      <c r="N1564" t="s">
        <v>622</v>
      </c>
      <c r="O1564" s="1" t="s">
        <v>6708</v>
      </c>
      <c r="P1564" s="1" t="s">
        <v>6709</v>
      </c>
    </row>
    <row r="1565" spans="1:17" x14ac:dyDescent="0.25">
      <c r="A1565" t="s">
        <v>6710</v>
      </c>
      <c r="B1565" t="str">
        <f>HYPERLINK("https://staging-dtl-pattern-api.hfm-weimar.de/static/audio/solos/dtl/AQATmImUZMySlOjR4Eqy4JN0NCOPlsdJ_0.03.08.054603-0.03.24.024272.mp3", "link")</f>
        <v>link</v>
      </c>
      <c r="D1565" t="s">
        <v>6703</v>
      </c>
      <c r="E1565" t="s">
        <v>6704</v>
      </c>
      <c r="F1565" t="s">
        <v>2820</v>
      </c>
      <c r="J1565" t="s">
        <v>6705</v>
      </c>
      <c r="K1565" t="s">
        <v>6706</v>
      </c>
      <c r="L1565" s="1" t="s">
        <v>6707</v>
      </c>
      <c r="M1565" t="s">
        <v>129</v>
      </c>
      <c r="N1565" t="s">
        <v>622</v>
      </c>
      <c r="O1565" s="1" t="s">
        <v>6711</v>
      </c>
      <c r="P1565" s="1" t="s">
        <v>6712</v>
      </c>
    </row>
    <row r="1566" spans="1:17" x14ac:dyDescent="0.25">
      <c r="A1566" t="s">
        <v>6713</v>
      </c>
      <c r="B1566" t="str">
        <f>HYPERLINK("https://staging-dtl-pattern-api.hfm-weimar.de/static/audio/solos/dtl/AQATMkuSTcmixMF6aD8u4cqO8ofTHOvw_0.02.24.089251-0.03.39.055918.mp3", "link")</f>
        <v>link</v>
      </c>
      <c r="C1566" t="s">
        <v>6714</v>
      </c>
      <c r="D1566" t="s">
        <v>6715</v>
      </c>
      <c r="F1566" t="s">
        <v>6716</v>
      </c>
      <c r="G1566" t="s">
        <v>6716</v>
      </c>
      <c r="J1566" t="s">
        <v>6717</v>
      </c>
      <c r="K1566" t="s">
        <v>6718</v>
      </c>
      <c r="L1566" s="1" t="s">
        <v>6719</v>
      </c>
      <c r="M1566" t="s">
        <v>129</v>
      </c>
      <c r="N1566" t="s">
        <v>23</v>
      </c>
      <c r="O1566" s="1" t="s">
        <v>4653</v>
      </c>
      <c r="P1566" s="1" t="s">
        <v>6720</v>
      </c>
    </row>
    <row r="1567" spans="1:17" x14ac:dyDescent="0.25">
      <c r="A1567" t="s">
        <v>6721</v>
      </c>
      <c r="B1567" t="str">
        <f>HYPERLINK("https://staging-dtl-pattern-api.hfm-weimar.de/static/audio/solos/dtl/AQATMkuSTcmixMF6aD8u4cqO8ofTHOvw_0.03.39.055918-0.04.53.009387.mp3", "link")</f>
        <v>link</v>
      </c>
      <c r="D1567" t="s">
        <v>6715</v>
      </c>
      <c r="E1567" t="s">
        <v>6722</v>
      </c>
      <c r="F1567" t="s">
        <v>6716</v>
      </c>
      <c r="G1567" t="s">
        <v>6716</v>
      </c>
      <c r="J1567" t="s">
        <v>6717</v>
      </c>
      <c r="K1567" t="s">
        <v>6718</v>
      </c>
      <c r="L1567" s="1" t="s">
        <v>6719</v>
      </c>
      <c r="M1567" t="s">
        <v>129</v>
      </c>
      <c r="N1567" t="s">
        <v>46</v>
      </c>
      <c r="O1567" s="1" t="s">
        <v>6720</v>
      </c>
      <c r="P1567" s="1" t="s">
        <v>6723</v>
      </c>
    </row>
    <row r="1568" spans="1:17" x14ac:dyDescent="0.25">
      <c r="A1568" t="s">
        <v>6724</v>
      </c>
      <c r="B1568" t="str">
        <f>HYPERLINK("https://staging-dtl-pattern-api.hfm-weimar.de/static/audio/solos/dtl/AQATNklyRlGWZPiNJ1ta_McTKfjEo7wI_0.00.07.031428-0.05.34.036734.mp3", "link")</f>
        <v>link</v>
      </c>
      <c r="D1568" t="s">
        <v>6725</v>
      </c>
      <c r="E1568" t="s">
        <v>6726</v>
      </c>
      <c r="F1568" t="s">
        <v>6726</v>
      </c>
      <c r="G1568" t="s">
        <v>6726</v>
      </c>
      <c r="J1568" t="s">
        <v>6727</v>
      </c>
      <c r="K1568" t="s">
        <v>6728</v>
      </c>
      <c r="L1568" s="1" t="s">
        <v>6729</v>
      </c>
      <c r="M1568" t="s">
        <v>705</v>
      </c>
      <c r="N1568" t="s">
        <v>23</v>
      </c>
      <c r="O1568" s="1" t="s">
        <v>6730</v>
      </c>
      <c r="P1568" s="1" t="s">
        <v>6731</v>
      </c>
    </row>
    <row r="1569" spans="1:17" x14ac:dyDescent="0.25">
      <c r="A1569" t="s">
        <v>6732</v>
      </c>
      <c r="B1569" t="str">
        <f>HYPERLINK("https://staging-dtl-pattern-api.hfm-weimar.de/static/audio/solos/dtl/AQATNklyRlGWZPiNJ1ta_McTKfjEo7wI_0.07.22.038367-0.10.09.084888.mp3", "link")</f>
        <v>link</v>
      </c>
      <c r="D1569" t="s">
        <v>6725</v>
      </c>
      <c r="E1569" t="s">
        <v>6726</v>
      </c>
      <c r="F1569" t="s">
        <v>6726</v>
      </c>
      <c r="G1569" t="s">
        <v>6726</v>
      </c>
      <c r="J1569" t="s">
        <v>6727</v>
      </c>
      <c r="K1569" t="s">
        <v>6728</v>
      </c>
      <c r="L1569" s="1" t="s">
        <v>6729</v>
      </c>
      <c r="M1569" t="s">
        <v>705</v>
      </c>
      <c r="N1569" t="s">
        <v>23</v>
      </c>
      <c r="O1569" s="1" t="s">
        <v>6733</v>
      </c>
      <c r="P1569" s="1" t="s">
        <v>6734</v>
      </c>
    </row>
    <row r="1570" spans="1:17" x14ac:dyDescent="0.25">
      <c r="A1570" t="s">
        <v>6735</v>
      </c>
      <c r="B1570" t="str">
        <f>HYPERLINK("https://staging-dtl-pattern-api.hfm-weimar.de/static/audio/solos/dtl/AQAU9hmVZFLCJAneHGqGHmFGWngWC9fx_0.01.25.015918-0.02.52.001342.mp3", "link")</f>
        <v>link</v>
      </c>
      <c r="D1570" t="s">
        <v>6736</v>
      </c>
      <c r="E1570" t="s">
        <v>6737</v>
      </c>
      <c r="F1570" t="s">
        <v>1055</v>
      </c>
      <c r="G1570" t="s">
        <v>1055</v>
      </c>
      <c r="J1570" t="s">
        <v>1056</v>
      </c>
      <c r="K1570" t="s">
        <v>6738</v>
      </c>
      <c r="L1570" s="1" t="s">
        <v>6739</v>
      </c>
      <c r="M1570" t="s">
        <v>6740</v>
      </c>
      <c r="N1570" t="s">
        <v>46</v>
      </c>
      <c r="O1570" s="1" t="s">
        <v>6298</v>
      </c>
      <c r="P1570" s="1" t="s">
        <v>6741</v>
      </c>
    </row>
    <row r="1571" spans="1:17" x14ac:dyDescent="0.25">
      <c r="A1571" t="s">
        <v>6742</v>
      </c>
      <c r="B1571" t="str">
        <f>HYPERLINK("https://staging-dtl-pattern-api.hfm-weimar.de/static/audio/solos/dtl/AQAU9hmVZFLCJAneHGqGHmFGWngWC9fx_0.05.03.002040-0.07.17.002857.mp3", "link")</f>
        <v>link</v>
      </c>
      <c r="D1571" t="s">
        <v>6736</v>
      </c>
      <c r="E1571" t="s">
        <v>1055</v>
      </c>
      <c r="F1571" t="s">
        <v>1055</v>
      </c>
      <c r="G1571" t="s">
        <v>1055</v>
      </c>
      <c r="J1571" t="s">
        <v>1056</v>
      </c>
      <c r="K1571" t="s">
        <v>6738</v>
      </c>
      <c r="L1571" s="1" t="s">
        <v>6739</v>
      </c>
      <c r="M1571" t="s">
        <v>6740</v>
      </c>
      <c r="N1571" t="s">
        <v>202</v>
      </c>
      <c r="O1571" s="1" t="s">
        <v>6743</v>
      </c>
      <c r="P1571" s="1" t="s">
        <v>6744</v>
      </c>
    </row>
    <row r="1572" spans="1:17" x14ac:dyDescent="0.25">
      <c r="A1572" t="s">
        <v>6745</v>
      </c>
      <c r="B1572" t="str">
        <f>HYPERLINK("https://staging-dtl-pattern-api.hfm-weimar.de/static/audio/solos/dtl/AQAUfRM1Z0wCU0d58Eo8HHmgHZES2R3i_0.00.52.075573-0.04.50.089959.mp3", "link")</f>
        <v>link</v>
      </c>
      <c r="D1572" t="s">
        <v>4981</v>
      </c>
      <c r="E1572" t="s">
        <v>18</v>
      </c>
      <c r="F1572" t="s">
        <v>18</v>
      </c>
      <c r="G1572" t="s">
        <v>18</v>
      </c>
      <c r="J1572" t="s">
        <v>4982</v>
      </c>
      <c r="K1572" t="s">
        <v>6746</v>
      </c>
      <c r="L1572" s="1" t="s">
        <v>4984</v>
      </c>
      <c r="M1572" t="s">
        <v>4985</v>
      </c>
      <c r="N1572" t="s">
        <v>23</v>
      </c>
      <c r="O1572" s="1" t="s">
        <v>6747</v>
      </c>
      <c r="P1572" s="1" t="s">
        <v>6748</v>
      </c>
    </row>
    <row r="1573" spans="1:17" x14ac:dyDescent="0.25">
      <c r="A1573" t="s">
        <v>6749</v>
      </c>
      <c r="B1573" t="str">
        <f>HYPERLINK("https://staging-dtl-pattern-api.hfm-weimar.de/static/audio/solos/dtl/AQAUfRM1Z0wCU0d58Eo8HHmgHZES2R3i_0.09.02.082448-0.09.30.037496.mp3", "link")</f>
        <v>link</v>
      </c>
      <c r="D1573" t="s">
        <v>4981</v>
      </c>
      <c r="E1573" t="s">
        <v>18</v>
      </c>
      <c r="F1573" t="s">
        <v>18</v>
      </c>
      <c r="G1573" t="s">
        <v>18</v>
      </c>
      <c r="J1573" t="s">
        <v>4982</v>
      </c>
      <c r="K1573" t="s">
        <v>6746</v>
      </c>
      <c r="L1573" s="1" t="s">
        <v>4984</v>
      </c>
      <c r="M1573" t="s">
        <v>4985</v>
      </c>
      <c r="N1573" t="s">
        <v>23</v>
      </c>
      <c r="O1573" s="1" t="s">
        <v>6750</v>
      </c>
      <c r="P1573" s="1" t="s">
        <v>6751</v>
      </c>
    </row>
    <row r="1574" spans="1:17" x14ac:dyDescent="0.25">
      <c r="A1574" t="s">
        <v>6752</v>
      </c>
      <c r="B1574" t="str">
        <f>HYPERLINK("https://staging-dtl-pattern-api.hfm-weimar.de/static/audio/solos/dtl/AQAUhZIadYo0PHvQxMdPOMrGonxW9LME_0.06.31.031428-0.08.59.029795.mp3", "link")</f>
        <v>link</v>
      </c>
      <c r="D1574" t="s">
        <v>7155</v>
      </c>
      <c r="E1574" t="s">
        <v>4178</v>
      </c>
      <c r="F1574" t="s">
        <v>6753</v>
      </c>
      <c r="G1574" t="s">
        <v>6753</v>
      </c>
      <c r="J1574" t="s">
        <v>6754</v>
      </c>
      <c r="K1574" t="s">
        <v>4995</v>
      </c>
      <c r="L1574" s="1" t="s">
        <v>6755</v>
      </c>
      <c r="M1574" t="s">
        <v>129</v>
      </c>
      <c r="N1574" t="s">
        <v>23</v>
      </c>
      <c r="O1574" s="1" t="s">
        <v>6756</v>
      </c>
      <c r="P1574" s="1" t="s">
        <v>6757</v>
      </c>
      <c r="Q1574" s="1" t="s">
        <v>7347</v>
      </c>
    </row>
    <row r="1575" spans="1:17" x14ac:dyDescent="0.25">
      <c r="A1575" t="s">
        <v>6758</v>
      </c>
      <c r="B1575" t="str">
        <f>HYPERLINK("https://staging-dtl-pattern-api.hfm-weimar.de/static/audio/solos/dtl/AQAUyowSMUmiKMK7HDmST4ePSjKJvsVD_0.02.24.079963-0.03.51.045650.mp3", "link")</f>
        <v>link</v>
      </c>
      <c r="D1575" t="s">
        <v>6759</v>
      </c>
      <c r="E1575" t="s">
        <v>54</v>
      </c>
      <c r="F1575" t="s">
        <v>54</v>
      </c>
      <c r="G1575" t="s">
        <v>54</v>
      </c>
      <c r="J1575" t="s">
        <v>6760</v>
      </c>
      <c r="K1575" t="s">
        <v>6761</v>
      </c>
      <c r="L1575" s="1" t="s">
        <v>5737</v>
      </c>
      <c r="M1575" t="s">
        <v>705</v>
      </c>
      <c r="N1575" t="s">
        <v>46</v>
      </c>
      <c r="O1575" s="1" t="s">
        <v>6762</v>
      </c>
      <c r="P1575" s="1" t="s">
        <v>6763</v>
      </c>
    </row>
    <row r="1576" spans="1:17" x14ac:dyDescent="0.25">
      <c r="A1576" t="s">
        <v>6764</v>
      </c>
      <c r="B1576" t="str">
        <f>HYPERLINK("https://staging-dtl-pattern-api.hfm-weimar.de/static/audio/solos/dtl/AQAUyowSMUmiKMK7HDmST4ePSjKJvsVD_0.05.25.007936-0.07.28.005224.mp3", "link")</f>
        <v>link</v>
      </c>
      <c r="D1576" t="s">
        <v>6759</v>
      </c>
      <c r="E1576" t="s">
        <v>6765</v>
      </c>
      <c r="F1576" t="s">
        <v>54</v>
      </c>
      <c r="G1576" t="s">
        <v>54</v>
      </c>
      <c r="J1576" t="s">
        <v>6760</v>
      </c>
      <c r="K1576" t="s">
        <v>6761</v>
      </c>
      <c r="L1576" s="1" t="s">
        <v>5737</v>
      </c>
      <c r="M1576" t="s">
        <v>705</v>
      </c>
      <c r="N1576" t="s">
        <v>202</v>
      </c>
      <c r="O1576" s="1" t="s">
        <v>6766</v>
      </c>
      <c r="P1576" s="1" t="s">
        <v>6767</v>
      </c>
    </row>
    <row r="1577" spans="1:17" x14ac:dyDescent="0.25">
      <c r="A1577" t="s">
        <v>6768</v>
      </c>
      <c r="B1577" t="str">
        <f>HYPERLINK("https://staging-dtl-pattern-api.hfm-weimar.de/static/audio/solos/dtl/AQAV7UvCZskORukU3MmDyD-SL7gc4imP_0.03.26.019319-0.07.24.021224.mp3", "link")</f>
        <v>link</v>
      </c>
      <c r="C1577" t="s">
        <v>6714</v>
      </c>
      <c r="D1577" t="s">
        <v>6769</v>
      </c>
      <c r="F1577" t="s">
        <v>6716</v>
      </c>
      <c r="G1577" t="s">
        <v>6716</v>
      </c>
      <c r="J1577" t="s">
        <v>6717</v>
      </c>
      <c r="K1577" t="s">
        <v>6770</v>
      </c>
      <c r="L1577" s="1" t="s">
        <v>6719</v>
      </c>
      <c r="M1577" t="s">
        <v>129</v>
      </c>
      <c r="N1577" t="s">
        <v>23</v>
      </c>
      <c r="O1577" s="1" t="s">
        <v>6771</v>
      </c>
      <c r="P1577" s="1" t="s">
        <v>6772</v>
      </c>
    </row>
    <row r="1578" spans="1:17" x14ac:dyDescent="0.25">
      <c r="A1578" t="s">
        <v>6773</v>
      </c>
      <c r="B1578" t="str">
        <f>HYPERLINK("https://staging-dtl-pattern-api.hfm-weimar.de/static/audio/solos/dtl/AQAV7UvCZskORukU3MmDyD-SL7gc4imP_0.07.24.021224-0.10.03.095102.mp3", "link")</f>
        <v>link</v>
      </c>
      <c r="C1578" t="s">
        <v>6714</v>
      </c>
      <c r="D1578" t="s">
        <v>6769</v>
      </c>
      <c r="F1578" t="s">
        <v>6716</v>
      </c>
      <c r="G1578" t="s">
        <v>6716</v>
      </c>
      <c r="J1578" t="s">
        <v>6717</v>
      </c>
      <c r="K1578" t="s">
        <v>6770</v>
      </c>
      <c r="L1578" s="1" t="s">
        <v>6719</v>
      </c>
      <c r="M1578" t="s">
        <v>129</v>
      </c>
      <c r="N1578" t="s">
        <v>23</v>
      </c>
      <c r="O1578" s="1" t="s">
        <v>6772</v>
      </c>
      <c r="P1578" s="1" t="s">
        <v>6774</v>
      </c>
    </row>
    <row r="1579" spans="1:17" x14ac:dyDescent="0.25">
      <c r="A1579" t="s">
        <v>6775</v>
      </c>
      <c r="B1579" t="str">
        <f>HYPERLINK("https://staging-dtl-pattern-api.hfm-weimar.de/static/audio/solos/dtl/AQAVCmPCRuFw0cGvFPmIa-in1JAe5AZ7_0.01.11.031428-0.05.06.087492.mp3", "link")</f>
        <v>link</v>
      </c>
      <c r="D1579" t="s">
        <v>6776</v>
      </c>
      <c r="E1579" t="s">
        <v>6777</v>
      </c>
      <c r="F1579" t="s">
        <v>3087</v>
      </c>
      <c r="G1579" t="s">
        <v>3087</v>
      </c>
      <c r="J1579" t="s">
        <v>6778</v>
      </c>
      <c r="K1579" t="s">
        <v>6779</v>
      </c>
      <c r="L1579" s="1" t="s">
        <v>6780</v>
      </c>
      <c r="M1579" t="s">
        <v>6781</v>
      </c>
      <c r="N1579" t="s">
        <v>202</v>
      </c>
      <c r="O1579" s="1" t="s">
        <v>6782</v>
      </c>
      <c r="P1579" s="1" t="s">
        <v>6783</v>
      </c>
    </row>
    <row r="1580" spans="1:17" x14ac:dyDescent="0.25">
      <c r="A1580" t="s">
        <v>6784</v>
      </c>
      <c r="B1580" t="str">
        <f>HYPERLINK("https://staging-dtl-pattern-api.hfm-weimar.de/static/audio/solos/dtl/AQAVCmPCRuFw0cGvFPmIa-in1JAe5AZ7_0.09.27.049569-0.10.58.054693.mp3", "link")</f>
        <v>link</v>
      </c>
      <c r="D1580" t="s">
        <v>6776</v>
      </c>
      <c r="E1580" t="s">
        <v>6777</v>
      </c>
      <c r="F1580" t="s">
        <v>3087</v>
      </c>
      <c r="G1580" t="s">
        <v>3087</v>
      </c>
      <c r="J1580" t="s">
        <v>6778</v>
      </c>
      <c r="K1580" t="s">
        <v>6779</v>
      </c>
      <c r="L1580" s="1" t="s">
        <v>6780</v>
      </c>
      <c r="M1580" t="s">
        <v>6781</v>
      </c>
      <c r="N1580" t="s">
        <v>202</v>
      </c>
      <c r="O1580" s="1" t="s">
        <v>6785</v>
      </c>
      <c r="P1580" s="1" t="s">
        <v>6786</v>
      </c>
    </row>
    <row r="1581" spans="1:17" x14ac:dyDescent="0.25">
      <c r="A1581" t="s">
        <v>6787</v>
      </c>
      <c r="B1581" t="str">
        <f>HYPERLINK("https://staging-dtl-pattern-api.hfm-weimar.de/static/audio/solos/dtl/AQAVfp-aRImD6nAVDo3D4sxxZVKGnNmR_0.00.46.072439-0.02.18.077986.mp3", "link")</f>
        <v>link</v>
      </c>
      <c r="C1581" t="s">
        <v>6788</v>
      </c>
      <c r="D1581" t="s">
        <v>6789</v>
      </c>
      <c r="E1581" t="s">
        <v>18</v>
      </c>
      <c r="F1581" t="s">
        <v>6790</v>
      </c>
      <c r="H1581" t="s">
        <v>6791</v>
      </c>
      <c r="I1581">
        <v>42</v>
      </c>
      <c r="J1581" t="s">
        <v>126</v>
      </c>
      <c r="K1581" t="s">
        <v>1465</v>
      </c>
      <c r="L1581" s="1" t="s">
        <v>6792</v>
      </c>
      <c r="M1581" t="s">
        <v>6793</v>
      </c>
      <c r="N1581" t="s">
        <v>23</v>
      </c>
      <c r="O1581" s="1" t="s">
        <v>6794</v>
      </c>
      <c r="P1581" s="1" t="s">
        <v>6795</v>
      </c>
    </row>
    <row r="1582" spans="1:17" x14ac:dyDescent="0.25">
      <c r="A1582" t="s">
        <v>6796</v>
      </c>
      <c r="B1582" t="str">
        <f>HYPERLINK("https://staging-dtl-pattern-api.hfm-weimar.de/static/audio/solos/dtl/AQAVfp-aRImD6nAVDo3D4sxxZVKGnNmR_0.02.18.077986-0.03.47.016081.mp3", "link")</f>
        <v>link</v>
      </c>
      <c r="C1582" t="s">
        <v>6788</v>
      </c>
      <c r="D1582" t="s">
        <v>6789</v>
      </c>
      <c r="E1582" t="s">
        <v>353</v>
      </c>
      <c r="F1582" t="s">
        <v>6790</v>
      </c>
      <c r="H1582" t="s">
        <v>6791</v>
      </c>
      <c r="I1582">
        <v>42</v>
      </c>
      <c r="J1582" t="s">
        <v>126</v>
      </c>
      <c r="K1582" t="s">
        <v>1465</v>
      </c>
      <c r="L1582" s="1" t="s">
        <v>6792</v>
      </c>
      <c r="M1582" t="s">
        <v>6793</v>
      </c>
      <c r="N1582" t="s">
        <v>23</v>
      </c>
      <c r="O1582" s="1" t="s">
        <v>6795</v>
      </c>
      <c r="P1582" s="1" t="s">
        <v>6797</v>
      </c>
    </row>
    <row r="1583" spans="1:17" x14ac:dyDescent="0.25">
      <c r="A1583" t="s">
        <v>6798</v>
      </c>
      <c r="B1583" t="str">
        <f>HYPERLINK("https://staging-dtl-pattern-api.hfm-weimar.de/static/audio/solos/dtl/AQAVfp-aRImD6nAVDo3D4sxxZVKGnNmR_0.03.47.016081-0.04.46.049360.mp3", "link")</f>
        <v>link</v>
      </c>
      <c r="C1583" t="s">
        <v>6788</v>
      </c>
      <c r="D1583" t="s">
        <v>6789</v>
      </c>
      <c r="E1583" t="s">
        <v>18</v>
      </c>
      <c r="F1583" t="s">
        <v>6790</v>
      </c>
      <c r="H1583" t="s">
        <v>6791</v>
      </c>
      <c r="I1583">
        <v>42</v>
      </c>
      <c r="J1583" t="s">
        <v>126</v>
      </c>
      <c r="K1583" t="s">
        <v>1465</v>
      </c>
      <c r="L1583" s="1" t="s">
        <v>6792</v>
      </c>
      <c r="M1583" t="s">
        <v>6793</v>
      </c>
      <c r="N1583" t="s">
        <v>23</v>
      </c>
      <c r="O1583" s="1" t="s">
        <v>6797</v>
      </c>
      <c r="P1583" s="1" t="s">
        <v>6799</v>
      </c>
    </row>
    <row r="1584" spans="1:17" x14ac:dyDescent="0.25">
      <c r="A1584" t="s">
        <v>6800</v>
      </c>
      <c r="B1584" t="str">
        <f>HYPERLINK("https://staging-dtl-pattern-api.hfm-weimar.de/static/audio/solos/dtl/AQAVfp-aRImD6nAVDo3D4sxxZVKGnNmR_0.04.46.049360-0.05.42.069750.mp3", "link")</f>
        <v>link</v>
      </c>
      <c r="C1584" t="s">
        <v>6788</v>
      </c>
      <c r="D1584" t="s">
        <v>6789</v>
      </c>
      <c r="E1584" t="s">
        <v>353</v>
      </c>
      <c r="F1584" t="s">
        <v>6790</v>
      </c>
      <c r="H1584" t="s">
        <v>6791</v>
      </c>
      <c r="I1584">
        <v>42</v>
      </c>
      <c r="J1584" t="s">
        <v>126</v>
      </c>
      <c r="K1584" t="s">
        <v>1465</v>
      </c>
      <c r="L1584" s="1" t="s">
        <v>6792</v>
      </c>
      <c r="M1584" t="s">
        <v>6793</v>
      </c>
      <c r="N1584" t="s">
        <v>23</v>
      </c>
      <c r="O1584" s="1" t="s">
        <v>6799</v>
      </c>
      <c r="P1584" s="1" t="s">
        <v>6801</v>
      </c>
    </row>
    <row r="1585" spans="1:16" x14ac:dyDescent="0.25">
      <c r="A1585" t="s">
        <v>6802</v>
      </c>
      <c r="B1585" t="str">
        <f>HYPERLINK("https://staging-dtl-pattern-api.hfm-weimar.de/static/audio/solos/dtl/AQAVfp-aRImD6nAVDo3D4sxxZVKGnNmR_0.05.42.069750-0.06.11.031609.mp3", "link")</f>
        <v>link</v>
      </c>
      <c r="C1585" t="s">
        <v>6788</v>
      </c>
      <c r="D1585" t="s">
        <v>6789</v>
      </c>
      <c r="E1585" t="s">
        <v>18</v>
      </c>
      <c r="F1585" t="s">
        <v>6790</v>
      </c>
      <c r="H1585" t="s">
        <v>6791</v>
      </c>
      <c r="I1585">
        <v>42</v>
      </c>
      <c r="J1585" t="s">
        <v>126</v>
      </c>
      <c r="K1585" t="s">
        <v>1465</v>
      </c>
      <c r="L1585" s="1" t="s">
        <v>6792</v>
      </c>
      <c r="M1585" t="s">
        <v>6793</v>
      </c>
      <c r="N1585" t="s">
        <v>23</v>
      </c>
      <c r="O1585" s="1" t="s">
        <v>6801</v>
      </c>
      <c r="P1585" s="1" t="s">
        <v>6803</v>
      </c>
    </row>
    <row r="1586" spans="1:16" x14ac:dyDescent="0.25">
      <c r="A1586" t="s">
        <v>6804</v>
      </c>
      <c r="B1586" t="str">
        <f>HYPERLINK("https://staging-dtl-pattern-api.hfm-weimar.de/static/audio/solos/dtl/AQAVfp-aRImD6nAVDo3D4sxxZVKGnNmR_0.06.11.031609-0.06.39.067346.mp3", "link")</f>
        <v>link</v>
      </c>
      <c r="C1586" t="s">
        <v>6788</v>
      </c>
      <c r="D1586" t="s">
        <v>6789</v>
      </c>
      <c r="E1586" t="s">
        <v>353</v>
      </c>
      <c r="F1586" t="s">
        <v>6790</v>
      </c>
      <c r="H1586" t="s">
        <v>6791</v>
      </c>
      <c r="I1586">
        <v>42</v>
      </c>
      <c r="J1586" t="s">
        <v>126</v>
      </c>
      <c r="K1586" t="s">
        <v>1465</v>
      </c>
      <c r="L1586" s="1" t="s">
        <v>6792</v>
      </c>
      <c r="M1586" t="s">
        <v>6793</v>
      </c>
      <c r="N1586" t="s">
        <v>23</v>
      </c>
      <c r="O1586" s="1" t="s">
        <v>6803</v>
      </c>
      <c r="P1586" s="1" t="s">
        <v>6805</v>
      </c>
    </row>
    <row r="1587" spans="1:16" x14ac:dyDescent="0.25">
      <c r="A1587" t="s">
        <v>6806</v>
      </c>
      <c r="B1587" t="str">
        <f>HYPERLINK("https://staging-dtl-pattern-api.hfm-weimar.de/static/audio/solos/dtl/AQAVfp-aRImD6nAVDo3D4sxxZVKGnNmR_0.06.39.067346-0.06.53.083183.mp3", "link")</f>
        <v>link</v>
      </c>
      <c r="C1587" t="s">
        <v>6788</v>
      </c>
      <c r="D1587" t="s">
        <v>6789</v>
      </c>
      <c r="E1587" t="s">
        <v>18</v>
      </c>
      <c r="F1587" t="s">
        <v>6790</v>
      </c>
      <c r="H1587" t="s">
        <v>6791</v>
      </c>
      <c r="I1587">
        <v>42</v>
      </c>
      <c r="J1587" t="s">
        <v>126</v>
      </c>
      <c r="K1587" t="s">
        <v>1465</v>
      </c>
      <c r="L1587" s="1" t="s">
        <v>6792</v>
      </c>
      <c r="M1587" t="s">
        <v>6793</v>
      </c>
      <c r="N1587" t="s">
        <v>23</v>
      </c>
      <c r="O1587" s="1" t="s">
        <v>6805</v>
      </c>
      <c r="P1587" s="1" t="s">
        <v>6807</v>
      </c>
    </row>
    <row r="1588" spans="1:16" x14ac:dyDescent="0.25">
      <c r="A1588" t="s">
        <v>6808</v>
      </c>
      <c r="B1588" t="str">
        <f>HYPERLINK("https://staging-dtl-pattern-api.hfm-weimar.de/static/audio/solos/dtl/AQAVfp-aRImD6nAVDo3D4sxxZVKGnNmR_0.06.53.083183-0.07.08.097414.mp3", "link")</f>
        <v>link</v>
      </c>
      <c r="C1588" t="s">
        <v>6788</v>
      </c>
      <c r="D1588" t="s">
        <v>6789</v>
      </c>
      <c r="E1588" t="s">
        <v>353</v>
      </c>
      <c r="F1588" t="s">
        <v>6790</v>
      </c>
      <c r="H1588" t="s">
        <v>6791</v>
      </c>
      <c r="I1588">
        <v>42</v>
      </c>
      <c r="J1588" t="s">
        <v>126</v>
      </c>
      <c r="K1588" t="s">
        <v>1465</v>
      </c>
      <c r="L1588" s="1" t="s">
        <v>6792</v>
      </c>
      <c r="M1588" t="s">
        <v>6793</v>
      </c>
      <c r="N1588" t="s">
        <v>23</v>
      </c>
      <c r="O1588" s="1" t="s">
        <v>6807</v>
      </c>
      <c r="P1588" s="1" t="s">
        <v>6809</v>
      </c>
    </row>
    <row r="1589" spans="1:16" x14ac:dyDescent="0.25">
      <c r="A1589" t="s">
        <v>6810</v>
      </c>
      <c r="B1589" t="str">
        <f>HYPERLINK("https://staging-dtl-pattern-api.hfm-weimar.de/static/audio/solos/dtl/AQAVfp-aRImD6nAVDo3D4sxxZVKGnNmR_0.07.08.097414-0.07.12.061678.mp3", "link")</f>
        <v>link</v>
      </c>
      <c r="C1589" t="s">
        <v>6788</v>
      </c>
      <c r="D1589" t="s">
        <v>6789</v>
      </c>
      <c r="F1589" t="s">
        <v>6790</v>
      </c>
      <c r="H1589" t="s">
        <v>6791</v>
      </c>
      <c r="I1589">
        <v>42</v>
      </c>
      <c r="J1589" t="s">
        <v>126</v>
      </c>
      <c r="K1589" t="s">
        <v>1465</v>
      </c>
      <c r="L1589" s="1" t="s">
        <v>6792</v>
      </c>
      <c r="M1589" t="s">
        <v>6793</v>
      </c>
      <c r="N1589" t="s">
        <v>23</v>
      </c>
      <c r="O1589" s="1" t="s">
        <v>6809</v>
      </c>
      <c r="P1589" s="1" t="s">
        <v>6811</v>
      </c>
    </row>
    <row r="1590" spans="1:16" x14ac:dyDescent="0.25">
      <c r="A1590" t="s">
        <v>6812</v>
      </c>
      <c r="B1590" t="str">
        <f>HYPERLINK("https://staging-dtl-pattern-api.hfm-weimar.de/static/audio/solos/dtl/AQAVfp-aRImD6nAVDo3D4sxxZVKGnNmR_0.07.12.061678-0.07.16.034648.mp3", "link")</f>
        <v>link</v>
      </c>
      <c r="C1590" t="s">
        <v>6788</v>
      </c>
      <c r="D1590" t="s">
        <v>6789</v>
      </c>
      <c r="E1590" t="s">
        <v>18</v>
      </c>
      <c r="F1590" t="s">
        <v>6790</v>
      </c>
      <c r="H1590" t="s">
        <v>6791</v>
      </c>
      <c r="I1590">
        <v>42</v>
      </c>
      <c r="J1590" t="s">
        <v>126</v>
      </c>
      <c r="K1590" t="s">
        <v>1465</v>
      </c>
      <c r="L1590" s="1" t="s">
        <v>6792</v>
      </c>
      <c r="M1590" t="s">
        <v>6793</v>
      </c>
      <c r="N1590" t="s">
        <v>23</v>
      </c>
      <c r="O1590" s="1" t="s">
        <v>6811</v>
      </c>
      <c r="P1590" s="1" t="s">
        <v>6813</v>
      </c>
    </row>
    <row r="1591" spans="1:16" x14ac:dyDescent="0.25">
      <c r="A1591" t="s">
        <v>6814</v>
      </c>
      <c r="B1591" t="str">
        <f>HYPERLINK("https://staging-dtl-pattern-api.hfm-weimar.de/static/audio/solos/dtl/AQAVfp-aRImD6nAVDo3D4sxxZVKGnNmR_0.07.16.034648-0.07.19.066984.mp3", "link")</f>
        <v>link</v>
      </c>
      <c r="C1591" t="s">
        <v>6788</v>
      </c>
      <c r="D1591" t="s">
        <v>6789</v>
      </c>
      <c r="E1591" t="s">
        <v>353</v>
      </c>
      <c r="F1591" t="s">
        <v>6790</v>
      </c>
      <c r="H1591" t="s">
        <v>6791</v>
      </c>
      <c r="I1591">
        <v>42</v>
      </c>
      <c r="J1591" t="s">
        <v>126</v>
      </c>
      <c r="K1591" t="s">
        <v>1465</v>
      </c>
      <c r="L1591" s="1" t="s">
        <v>6792</v>
      </c>
      <c r="M1591" t="s">
        <v>6793</v>
      </c>
      <c r="N1591" t="s">
        <v>23</v>
      </c>
      <c r="O1591" s="1" t="s">
        <v>6813</v>
      </c>
      <c r="P1591" s="1" t="s">
        <v>6815</v>
      </c>
    </row>
    <row r="1592" spans="1:16" x14ac:dyDescent="0.25">
      <c r="A1592" t="s">
        <v>6816</v>
      </c>
      <c r="B1592" t="str">
        <f>HYPERLINK("https://staging-dtl-pattern-api.hfm-weimar.de/static/audio/solos/dtl/AQAVfp-aRImD6nAVDo3D4sxxZVKGnNmR_0.07.19.066984-0.07.23.066077.mp3", "link")</f>
        <v>link</v>
      </c>
      <c r="C1592" t="s">
        <v>6788</v>
      </c>
      <c r="D1592" t="s">
        <v>6789</v>
      </c>
      <c r="F1592" t="s">
        <v>6790</v>
      </c>
      <c r="H1592" t="s">
        <v>6791</v>
      </c>
      <c r="I1592">
        <v>42</v>
      </c>
      <c r="J1592" t="s">
        <v>126</v>
      </c>
      <c r="K1592" t="s">
        <v>1465</v>
      </c>
      <c r="L1592" s="1" t="s">
        <v>6792</v>
      </c>
      <c r="M1592" t="s">
        <v>6793</v>
      </c>
      <c r="N1592" t="s">
        <v>23</v>
      </c>
      <c r="O1592" s="1" t="s">
        <v>6815</v>
      </c>
      <c r="P1592" s="1" t="s">
        <v>6817</v>
      </c>
    </row>
    <row r="1593" spans="1:16" x14ac:dyDescent="0.25">
      <c r="A1593" t="s">
        <v>6818</v>
      </c>
      <c r="B1593" t="str">
        <f>HYPERLINK("https://staging-dtl-pattern-api.hfm-weimar.de/static/audio/solos/dtl/AQAVfp-aRImD6nAVDo3D4sxxZVKGnNmR_0.07.23.066077-0.07.26.080997.mp3", "link")</f>
        <v>link</v>
      </c>
      <c r="C1593" t="s">
        <v>6788</v>
      </c>
      <c r="D1593" t="s">
        <v>6789</v>
      </c>
      <c r="F1593" t="s">
        <v>6790</v>
      </c>
      <c r="H1593" t="s">
        <v>6791</v>
      </c>
      <c r="I1593">
        <v>42</v>
      </c>
      <c r="J1593" t="s">
        <v>126</v>
      </c>
      <c r="K1593" t="s">
        <v>1465</v>
      </c>
      <c r="L1593" s="1" t="s">
        <v>6792</v>
      </c>
      <c r="M1593" t="s">
        <v>6793</v>
      </c>
      <c r="N1593" t="s">
        <v>23</v>
      </c>
      <c r="O1593" s="1" t="s">
        <v>6817</v>
      </c>
      <c r="P1593" s="1" t="s">
        <v>6819</v>
      </c>
    </row>
    <row r="1594" spans="1:16" x14ac:dyDescent="0.25">
      <c r="A1594" t="s">
        <v>6820</v>
      </c>
      <c r="B1594" t="str">
        <f>HYPERLINK("https://staging-dtl-pattern-api.hfm-weimar.de/static/audio/solos/dtl/AQAVfp-aRImD6nAVDo3D4sxxZVKGnNmR_0.07.26.080997-0.07.30.052517.mp3", "link")</f>
        <v>link</v>
      </c>
      <c r="C1594" t="s">
        <v>6788</v>
      </c>
      <c r="D1594" t="s">
        <v>6789</v>
      </c>
      <c r="F1594" t="s">
        <v>6790</v>
      </c>
      <c r="H1594" t="s">
        <v>6791</v>
      </c>
      <c r="I1594">
        <v>42</v>
      </c>
      <c r="J1594" t="s">
        <v>126</v>
      </c>
      <c r="K1594" t="s">
        <v>1465</v>
      </c>
      <c r="L1594" s="1" t="s">
        <v>6792</v>
      </c>
      <c r="M1594" t="s">
        <v>6793</v>
      </c>
      <c r="N1594" t="s">
        <v>23</v>
      </c>
      <c r="O1594" s="1" t="s">
        <v>6819</v>
      </c>
      <c r="P1594" s="1" t="s">
        <v>6821</v>
      </c>
    </row>
    <row r="1595" spans="1:16" x14ac:dyDescent="0.25">
      <c r="A1595" t="s">
        <v>6822</v>
      </c>
      <c r="B1595" t="str">
        <f>HYPERLINK("https://staging-dtl-pattern-api.hfm-weimar.de/static/audio/solos/dtl/AQAVfp-aRImD6nAVDo3D4sxxZVKGnNmR_0.07.30.052517-0.07.34.050158.mp3", "link")</f>
        <v>link</v>
      </c>
      <c r="C1595" t="s">
        <v>6788</v>
      </c>
      <c r="D1595" t="s">
        <v>6789</v>
      </c>
      <c r="F1595" t="s">
        <v>6790</v>
      </c>
      <c r="H1595" t="s">
        <v>6791</v>
      </c>
      <c r="I1595">
        <v>42</v>
      </c>
      <c r="J1595" t="s">
        <v>126</v>
      </c>
      <c r="K1595" t="s">
        <v>1465</v>
      </c>
      <c r="L1595" s="1" t="s">
        <v>6792</v>
      </c>
      <c r="M1595" t="s">
        <v>6793</v>
      </c>
      <c r="N1595" t="s">
        <v>23</v>
      </c>
      <c r="O1595" s="1" t="s">
        <v>6821</v>
      </c>
      <c r="P1595" s="1" t="s">
        <v>6823</v>
      </c>
    </row>
    <row r="1596" spans="1:16" x14ac:dyDescent="0.25">
      <c r="A1596" t="s">
        <v>6824</v>
      </c>
      <c r="B1596" t="str">
        <f>HYPERLINK("https://staging-dtl-pattern-api.hfm-weimar.de/static/audio/solos/dtl/AQAVfp-aRImD6nAVDo3D4sxxZVKGnNmR_0.07.34.050158-0.07.38.004263.mp3", "link")</f>
        <v>link</v>
      </c>
      <c r="C1596" t="s">
        <v>6788</v>
      </c>
      <c r="D1596" t="s">
        <v>6789</v>
      </c>
      <c r="F1596" t="s">
        <v>6790</v>
      </c>
      <c r="H1596" t="s">
        <v>6791</v>
      </c>
      <c r="I1596">
        <v>42</v>
      </c>
      <c r="J1596" t="s">
        <v>126</v>
      </c>
      <c r="K1596" t="s">
        <v>1465</v>
      </c>
      <c r="L1596" s="1" t="s">
        <v>6792</v>
      </c>
      <c r="M1596" t="s">
        <v>6793</v>
      </c>
      <c r="N1596" t="s">
        <v>23</v>
      </c>
      <c r="O1596" s="1" t="s">
        <v>6823</v>
      </c>
      <c r="P1596" s="1" t="s">
        <v>6825</v>
      </c>
    </row>
    <row r="1597" spans="1:16" x14ac:dyDescent="0.25">
      <c r="A1597" t="s">
        <v>6826</v>
      </c>
      <c r="B1597" t="str">
        <f>HYPERLINK("https://staging-dtl-pattern-api.hfm-weimar.de/static/audio/solos/dtl/AQAVfp-aRImD6nAVDo3D4sxxZVKGnNmR_0.07.38.004263-0.07.45.087936.mp3", "link")</f>
        <v>link</v>
      </c>
      <c r="C1597" t="s">
        <v>6788</v>
      </c>
      <c r="D1597" t="s">
        <v>6789</v>
      </c>
      <c r="F1597" t="s">
        <v>6790</v>
      </c>
      <c r="H1597" t="s">
        <v>6791</v>
      </c>
      <c r="I1597">
        <v>42</v>
      </c>
      <c r="J1597" t="s">
        <v>126</v>
      </c>
      <c r="K1597" t="s">
        <v>1465</v>
      </c>
      <c r="L1597" s="1" t="s">
        <v>6792</v>
      </c>
      <c r="M1597" t="s">
        <v>6793</v>
      </c>
      <c r="N1597" t="s">
        <v>23</v>
      </c>
      <c r="O1597" s="1" t="s">
        <v>6825</v>
      </c>
      <c r="P1597" s="1" t="s">
        <v>6827</v>
      </c>
    </row>
    <row r="1598" spans="1:16" x14ac:dyDescent="0.25">
      <c r="A1598" t="s">
        <v>6828</v>
      </c>
      <c r="B1598" t="str">
        <f>HYPERLINK("https://staging-dtl-pattern-api.hfm-weimar.de/static/audio/solos/dtl/AQAVfp-aRImD6nAVDo3D4sxxZVKGnNmR_0.07.45.087936-0.07.52.099047.mp3", "link")</f>
        <v>link</v>
      </c>
      <c r="C1598" t="s">
        <v>6788</v>
      </c>
      <c r="D1598" t="s">
        <v>6789</v>
      </c>
      <c r="F1598" t="s">
        <v>6790</v>
      </c>
      <c r="H1598" t="s">
        <v>6791</v>
      </c>
      <c r="I1598">
        <v>42</v>
      </c>
      <c r="J1598" t="s">
        <v>126</v>
      </c>
      <c r="K1598" t="s">
        <v>1465</v>
      </c>
      <c r="L1598" s="1" t="s">
        <v>6792</v>
      </c>
      <c r="M1598" t="s">
        <v>6793</v>
      </c>
      <c r="N1598" t="s">
        <v>23</v>
      </c>
      <c r="O1598" s="1" t="s">
        <v>6827</v>
      </c>
      <c r="P1598" s="1" t="s">
        <v>6829</v>
      </c>
    </row>
    <row r="1599" spans="1:16" x14ac:dyDescent="0.25">
      <c r="A1599" t="s">
        <v>6830</v>
      </c>
      <c r="B1599" t="str">
        <f>HYPERLINK("https://staging-dtl-pattern-api.hfm-weimar.de/static/audio/solos/dtl/AQAVfp-aRImD6nAVDo3D4sxxZVKGnNmR_0.07.52.099047-0.07.59.034693.mp3", "link")</f>
        <v>link</v>
      </c>
      <c r="C1599" t="s">
        <v>6788</v>
      </c>
      <c r="D1599" t="s">
        <v>6789</v>
      </c>
      <c r="F1599" t="s">
        <v>6790</v>
      </c>
      <c r="H1599" t="s">
        <v>6791</v>
      </c>
      <c r="I1599">
        <v>42</v>
      </c>
      <c r="J1599" t="s">
        <v>126</v>
      </c>
      <c r="K1599" t="s">
        <v>1465</v>
      </c>
      <c r="L1599" s="1" t="s">
        <v>6792</v>
      </c>
      <c r="M1599" t="s">
        <v>6793</v>
      </c>
      <c r="N1599" t="s">
        <v>23</v>
      </c>
      <c r="O1599" s="1" t="s">
        <v>6829</v>
      </c>
      <c r="P1599" s="1" t="s">
        <v>6831</v>
      </c>
    </row>
    <row r="1600" spans="1:16" x14ac:dyDescent="0.25">
      <c r="A1600" t="s">
        <v>6832</v>
      </c>
      <c r="B1600" t="str">
        <f>HYPERLINK("https://staging-dtl-pattern-api.hfm-weimar.de/static/audio/solos/dtl/AQAVfp-aRImD6nAVDo3D4sxxZVKGnNmR_0.07.59.034693-0.08.06.044063.mp3", "link")</f>
        <v>link</v>
      </c>
      <c r="C1600" t="s">
        <v>6788</v>
      </c>
      <c r="D1600" t="s">
        <v>6789</v>
      </c>
      <c r="F1600" t="s">
        <v>6790</v>
      </c>
      <c r="H1600" t="s">
        <v>6791</v>
      </c>
      <c r="I1600">
        <v>42</v>
      </c>
      <c r="J1600" t="s">
        <v>126</v>
      </c>
      <c r="K1600" t="s">
        <v>1465</v>
      </c>
      <c r="L1600" s="1" t="s">
        <v>6792</v>
      </c>
      <c r="M1600" t="s">
        <v>6793</v>
      </c>
      <c r="N1600" t="s">
        <v>23</v>
      </c>
      <c r="O1600" s="1" t="s">
        <v>6831</v>
      </c>
      <c r="P1600" s="1" t="s">
        <v>6833</v>
      </c>
    </row>
    <row r="1601" spans="1:16" x14ac:dyDescent="0.25">
      <c r="A1601" t="s">
        <v>6834</v>
      </c>
      <c r="B1601" t="str">
        <f>HYPERLINK("https://staging-dtl-pattern-api.hfm-weimar.de/static/audio/solos/dtl/AQAVfp-aRImD6nAVDo3D4sxxZVKGnNmR_0.08.06.044063-0.08.09.091201.mp3", "link")</f>
        <v>link</v>
      </c>
      <c r="C1601" t="s">
        <v>6788</v>
      </c>
      <c r="D1601" t="s">
        <v>6789</v>
      </c>
      <c r="F1601" t="s">
        <v>6790</v>
      </c>
      <c r="H1601" t="s">
        <v>6791</v>
      </c>
      <c r="I1601">
        <v>42</v>
      </c>
      <c r="J1601" t="s">
        <v>126</v>
      </c>
      <c r="K1601" t="s">
        <v>1465</v>
      </c>
      <c r="L1601" s="1" t="s">
        <v>6792</v>
      </c>
      <c r="M1601" t="s">
        <v>6793</v>
      </c>
      <c r="N1601" t="s">
        <v>23</v>
      </c>
      <c r="O1601" s="1" t="s">
        <v>6833</v>
      </c>
      <c r="P1601" s="1" t="s">
        <v>6835</v>
      </c>
    </row>
    <row r="1602" spans="1:16" x14ac:dyDescent="0.25">
      <c r="A1602" t="s">
        <v>6836</v>
      </c>
      <c r="B1602" t="str">
        <f>HYPERLINK("https://staging-dtl-pattern-api.hfm-weimar.de/static/audio/solos/dtl/AQAVfp-aRImD6nAVDo3D4sxxZVKGnNmR_0.08.09.091201-0.08.13.042403.mp3", "link")</f>
        <v>link</v>
      </c>
      <c r="C1602" t="s">
        <v>6788</v>
      </c>
      <c r="D1602" t="s">
        <v>6789</v>
      </c>
      <c r="F1602" t="s">
        <v>6790</v>
      </c>
      <c r="H1602" t="s">
        <v>6791</v>
      </c>
      <c r="I1602">
        <v>42</v>
      </c>
      <c r="J1602" t="s">
        <v>126</v>
      </c>
      <c r="K1602" t="s">
        <v>1465</v>
      </c>
      <c r="L1602" s="1" t="s">
        <v>6792</v>
      </c>
      <c r="M1602" t="s">
        <v>6793</v>
      </c>
      <c r="N1602" t="s">
        <v>23</v>
      </c>
      <c r="O1602" s="1" t="s">
        <v>6835</v>
      </c>
      <c r="P1602" s="1" t="s">
        <v>6837</v>
      </c>
    </row>
    <row r="1603" spans="1:16" x14ac:dyDescent="0.25">
      <c r="A1603" t="s">
        <v>6838</v>
      </c>
      <c r="B1603" t="str">
        <f>HYPERLINK("https://staging-dtl-pattern-api.hfm-weimar.de/static/audio/solos/dtl/AQAVfp-aRImD6nAVDo3D4sxxZVKGnNmR_0.08.13.042403-0.08.17.008117.mp3", "link")</f>
        <v>link</v>
      </c>
      <c r="C1603" t="s">
        <v>6788</v>
      </c>
      <c r="D1603" t="s">
        <v>6789</v>
      </c>
      <c r="F1603" t="s">
        <v>6790</v>
      </c>
      <c r="H1603" t="s">
        <v>6791</v>
      </c>
      <c r="I1603">
        <v>42</v>
      </c>
      <c r="J1603" t="s">
        <v>126</v>
      </c>
      <c r="K1603" t="s">
        <v>1465</v>
      </c>
      <c r="L1603" s="1" t="s">
        <v>6792</v>
      </c>
      <c r="M1603" t="s">
        <v>6793</v>
      </c>
      <c r="N1603" t="s">
        <v>23</v>
      </c>
      <c r="O1603" s="1" t="s">
        <v>6837</v>
      </c>
      <c r="P1603" s="1" t="s">
        <v>6839</v>
      </c>
    </row>
    <row r="1604" spans="1:16" x14ac:dyDescent="0.25">
      <c r="A1604" t="s">
        <v>6840</v>
      </c>
      <c r="B1604" t="str">
        <f>HYPERLINK("https://staging-dtl-pattern-api.hfm-weimar.de/static/audio/solos/dtl/AQAVfp-aRImD6nAVDo3D4sxxZVKGnNmR_0.08.17.008117-0.08.20.041904.mp3", "link")</f>
        <v>link</v>
      </c>
      <c r="C1604" t="s">
        <v>6788</v>
      </c>
      <c r="D1604" t="s">
        <v>6789</v>
      </c>
      <c r="F1604" t="s">
        <v>6790</v>
      </c>
      <c r="H1604" t="s">
        <v>6791</v>
      </c>
      <c r="I1604">
        <v>42</v>
      </c>
      <c r="J1604" t="s">
        <v>126</v>
      </c>
      <c r="K1604" t="s">
        <v>1465</v>
      </c>
      <c r="L1604" s="1" t="s">
        <v>6792</v>
      </c>
      <c r="M1604" t="s">
        <v>6793</v>
      </c>
      <c r="N1604" t="s">
        <v>23</v>
      </c>
      <c r="O1604" s="1" t="s">
        <v>6839</v>
      </c>
      <c r="P1604" s="1" t="s">
        <v>6841</v>
      </c>
    </row>
    <row r="1605" spans="1:16" x14ac:dyDescent="0.25">
      <c r="A1605" t="s">
        <v>6842</v>
      </c>
      <c r="B1605" t="str">
        <f>HYPERLINK("https://staging-dtl-pattern-api.hfm-weimar.de/static/audio/solos/dtl/AQAVfp-aRImD6nAVDo3D4sxxZVKGnNmR_0.08.20.041904-0.08.24.022131.mp3", "link")</f>
        <v>link</v>
      </c>
      <c r="C1605" t="s">
        <v>6788</v>
      </c>
      <c r="D1605" t="s">
        <v>6789</v>
      </c>
      <c r="F1605" t="s">
        <v>6790</v>
      </c>
      <c r="H1605" t="s">
        <v>6791</v>
      </c>
      <c r="I1605">
        <v>42</v>
      </c>
      <c r="J1605" t="s">
        <v>126</v>
      </c>
      <c r="K1605" t="s">
        <v>1465</v>
      </c>
      <c r="L1605" s="1" t="s">
        <v>6792</v>
      </c>
      <c r="M1605" t="s">
        <v>6793</v>
      </c>
      <c r="N1605" t="s">
        <v>23</v>
      </c>
      <c r="O1605" s="1" t="s">
        <v>6841</v>
      </c>
      <c r="P1605" s="1" t="s">
        <v>6843</v>
      </c>
    </row>
    <row r="1606" spans="1:16" x14ac:dyDescent="0.25">
      <c r="A1606" t="s">
        <v>6844</v>
      </c>
      <c r="B1606" t="str">
        <f>HYPERLINK("https://staging-dtl-pattern-api.hfm-weimar.de/static/audio/solos/dtl/AQAVfp-aRImD6nAVDo3D4sxxZVKGnNmR_0.08.24.022131-0.08.27.061723.mp3", "link")</f>
        <v>link</v>
      </c>
      <c r="C1606" t="s">
        <v>6788</v>
      </c>
      <c r="D1606" t="s">
        <v>6789</v>
      </c>
      <c r="F1606" t="s">
        <v>6790</v>
      </c>
      <c r="H1606" t="s">
        <v>6791</v>
      </c>
      <c r="I1606">
        <v>42</v>
      </c>
      <c r="J1606" t="s">
        <v>126</v>
      </c>
      <c r="K1606" t="s">
        <v>1465</v>
      </c>
      <c r="L1606" s="1" t="s">
        <v>6792</v>
      </c>
      <c r="M1606" t="s">
        <v>6793</v>
      </c>
      <c r="N1606" t="s">
        <v>23</v>
      </c>
      <c r="O1606" s="1" t="s">
        <v>6843</v>
      </c>
      <c r="P1606" s="1" t="s">
        <v>6845</v>
      </c>
    </row>
    <row r="1607" spans="1:16" x14ac:dyDescent="0.25">
      <c r="A1607" t="s">
        <v>6846</v>
      </c>
      <c r="B1607" t="str">
        <f>HYPERLINK("https://staging-dtl-pattern-api.hfm-weimar.de/static/audio/solos/dtl/AQAVfp-aRImD6nAVDo3D4sxxZVKGnNmR_0.08.27.061723-0.08.31.022793.mp3", "link")</f>
        <v>link</v>
      </c>
      <c r="C1607" t="s">
        <v>6788</v>
      </c>
      <c r="D1607" t="s">
        <v>6789</v>
      </c>
      <c r="F1607" t="s">
        <v>6790</v>
      </c>
      <c r="H1607" t="s">
        <v>6791</v>
      </c>
      <c r="I1607">
        <v>42</v>
      </c>
      <c r="J1607" t="s">
        <v>126</v>
      </c>
      <c r="K1607" t="s">
        <v>1465</v>
      </c>
      <c r="L1607" s="1" t="s">
        <v>6792</v>
      </c>
      <c r="M1607" t="s">
        <v>6793</v>
      </c>
      <c r="N1607" t="s">
        <v>23</v>
      </c>
      <c r="O1607" s="1" t="s">
        <v>6845</v>
      </c>
      <c r="P1607" s="1" t="s">
        <v>6847</v>
      </c>
    </row>
    <row r="1608" spans="1:16" x14ac:dyDescent="0.25">
      <c r="A1608" t="s">
        <v>6848</v>
      </c>
      <c r="B1608" t="str">
        <f>HYPERLINK("https://staging-dtl-pattern-api.hfm-weimar.de/static/audio/solos/dtl/AQAVfp-aRImD6nAVDo3D4sxxZVKGnNmR_0.08.31.022793-0.08.34.051936.mp3", "link")</f>
        <v>link</v>
      </c>
      <c r="C1608" t="s">
        <v>6788</v>
      </c>
      <c r="D1608" t="s">
        <v>6789</v>
      </c>
      <c r="F1608" t="s">
        <v>6790</v>
      </c>
      <c r="H1608" t="s">
        <v>6791</v>
      </c>
      <c r="I1608">
        <v>42</v>
      </c>
      <c r="J1608" t="s">
        <v>126</v>
      </c>
      <c r="K1608" t="s">
        <v>1465</v>
      </c>
      <c r="L1608" s="1" t="s">
        <v>6792</v>
      </c>
      <c r="M1608" t="s">
        <v>6793</v>
      </c>
      <c r="N1608" t="s">
        <v>23</v>
      </c>
      <c r="O1608" s="1" t="s">
        <v>6847</v>
      </c>
      <c r="P1608" s="1" t="s">
        <v>6849</v>
      </c>
    </row>
    <row r="1609" spans="1:16" x14ac:dyDescent="0.25">
      <c r="A1609" t="s">
        <v>6850</v>
      </c>
      <c r="B1609" t="str">
        <f>HYPERLINK("https://staging-dtl-pattern-api.hfm-weimar.de/static/audio/solos/dtl/AQAVfp-aRImD6nAVDo3D4sxxZVKGnNmR_0.08.34.051936-0.08.38.013587.mp3", "link")</f>
        <v>link</v>
      </c>
      <c r="C1609" t="s">
        <v>6788</v>
      </c>
      <c r="D1609" t="s">
        <v>6789</v>
      </c>
      <c r="F1609" t="s">
        <v>6790</v>
      </c>
      <c r="H1609" t="s">
        <v>6791</v>
      </c>
      <c r="I1609">
        <v>42</v>
      </c>
      <c r="J1609" t="s">
        <v>126</v>
      </c>
      <c r="K1609" t="s">
        <v>1465</v>
      </c>
      <c r="L1609" s="1" t="s">
        <v>6792</v>
      </c>
      <c r="M1609" t="s">
        <v>6793</v>
      </c>
      <c r="N1609" t="s">
        <v>23</v>
      </c>
      <c r="O1609" s="1" t="s">
        <v>6849</v>
      </c>
      <c r="P1609" s="1" t="s">
        <v>6851</v>
      </c>
    </row>
    <row r="1610" spans="1:16" x14ac:dyDescent="0.25">
      <c r="A1610" t="s">
        <v>6852</v>
      </c>
      <c r="B1610" t="str">
        <f>HYPERLINK("https://staging-dtl-pattern-api.hfm-weimar.de/static/audio/solos/dtl/AQAVfp-aRImD6nAVDo3D4sxxZVKGnNmR_0.08.38.013587-0.08.41.079301.mp3", "link")</f>
        <v>link</v>
      </c>
      <c r="C1610" t="s">
        <v>6788</v>
      </c>
      <c r="D1610" t="s">
        <v>6789</v>
      </c>
      <c r="F1610" t="s">
        <v>6790</v>
      </c>
      <c r="H1610" t="s">
        <v>6791</v>
      </c>
      <c r="I1610">
        <v>42</v>
      </c>
      <c r="J1610" t="s">
        <v>126</v>
      </c>
      <c r="K1610" t="s">
        <v>1465</v>
      </c>
      <c r="L1610" s="1" t="s">
        <v>6792</v>
      </c>
      <c r="M1610" t="s">
        <v>6793</v>
      </c>
      <c r="N1610" t="s">
        <v>23</v>
      </c>
      <c r="O1610" s="1" t="s">
        <v>6851</v>
      </c>
      <c r="P1610" s="1" t="s">
        <v>6853</v>
      </c>
    </row>
    <row r="1611" spans="1:16" x14ac:dyDescent="0.25">
      <c r="A1611" t="s">
        <v>6854</v>
      </c>
      <c r="B1611" t="str">
        <f>HYPERLINK("https://staging-dtl-pattern-api.hfm-weimar.de/static/audio/solos/dtl/AQAVfp-aRImD6nAVDo3D4sxxZVKGnNmR_0.08.41.079301-0.08.44.035301.mp3", "link")</f>
        <v>link</v>
      </c>
      <c r="C1611" t="s">
        <v>6788</v>
      </c>
      <c r="D1611" t="s">
        <v>6789</v>
      </c>
      <c r="F1611" t="s">
        <v>6790</v>
      </c>
      <c r="H1611" t="s">
        <v>6791</v>
      </c>
      <c r="I1611">
        <v>42</v>
      </c>
      <c r="J1611" t="s">
        <v>126</v>
      </c>
      <c r="K1611" t="s">
        <v>1465</v>
      </c>
      <c r="L1611" s="1" t="s">
        <v>6792</v>
      </c>
      <c r="M1611" t="s">
        <v>6793</v>
      </c>
      <c r="N1611" t="s">
        <v>23</v>
      </c>
      <c r="O1611" s="1" t="s">
        <v>6853</v>
      </c>
      <c r="P1611" s="1" t="s">
        <v>6855</v>
      </c>
    </row>
    <row r="1612" spans="1:16" x14ac:dyDescent="0.25">
      <c r="A1612" t="s">
        <v>6856</v>
      </c>
      <c r="B1612" t="str">
        <f>HYPERLINK("https://staging-dtl-pattern-api.hfm-weimar.de/static/audio/solos/dtl/AQAVfp-aRImD6nAVDo3D4sxxZVKGnNmR_0.08.44.035301-0.08.49.002603.mp3", "link")</f>
        <v>link</v>
      </c>
      <c r="C1612" t="s">
        <v>6788</v>
      </c>
      <c r="D1612" t="s">
        <v>6789</v>
      </c>
      <c r="F1612" t="s">
        <v>6790</v>
      </c>
      <c r="H1612" t="s">
        <v>6791</v>
      </c>
      <c r="I1612">
        <v>42</v>
      </c>
      <c r="J1612" t="s">
        <v>126</v>
      </c>
      <c r="K1612" t="s">
        <v>1465</v>
      </c>
      <c r="L1612" s="1" t="s">
        <v>6792</v>
      </c>
      <c r="M1612" t="s">
        <v>6793</v>
      </c>
      <c r="N1612" t="s">
        <v>23</v>
      </c>
      <c r="O1612" s="1" t="s">
        <v>6855</v>
      </c>
      <c r="P1612" s="1" t="s">
        <v>6857</v>
      </c>
    </row>
    <row r="1613" spans="1:16" x14ac:dyDescent="0.25">
      <c r="A1613" t="s">
        <v>6858</v>
      </c>
      <c r="B1613" t="str">
        <f>HYPERLINK("https://staging-dtl-pattern-api.hfm-weimar.de/static/audio/solos/dtl/AQAVfp-aRImD6nAVDo3D4sxxZVKGnNmR_0.08.49.002603-0.08.52.040453.mp3", "link")</f>
        <v>link</v>
      </c>
      <c r="C1613" t="s">
        <v>6788</v>
      </c>
      <c r="D1613" t="s">
        <v>6789</v>
      </c>
      <c r="F1613" t="s">
        <v>6790</v>
      </c>
      <c r="H1613" t="s">
        <v>6791</v>
      </c>
      <c r="I1613">
        <v>42</v>
      </c>
      <c r="J1613" t="s">
        <v>126</v>
      </c>
      <c r="K1613" t="s">
        <v>1465</v>
      </c>
      <c r="L1613" s="1" t="s">
        <v>6792</v>
      </c>
      <c r="M1613" t="s">
        <v>6793</v>
      </c>
      <c r="N1613" t="s">
        <v>23</v>
      </c>
      <c r="O1613" s="1" t="s">
        <v>6857</v>
      </c>
      <c r="P1613" s="1" t="s">
        <v>6859</v>
      </c>
    </row>
    <row r="1614" spans="1:16" x14ac:dyDescent="0.25">
      <c r="A1614" t="s">
        <v>6860</v>
      </c>
      <c r="B1614" t="str">
        <f>HYPERLINK("https://staging-dtl-pattern-api.hfm-weimar.de/static/audio/solos/dtl/AQAVfp-aRImD6nAVDo3D4sxxZVKGnNmR_0.08.52.040453-0.08.55.097460.mp3", "link")</f>
        <v>link</v>
      </c>
      <c r="C1614" t="s">
        <v>6788</v>
      </c>
      <c r="D1614" t="s">
        <v>6789</v>
      </c>
      <c r="F1614" t="s">
        <v>6790</v>
      </c>
      <c r="H1614" t="s">
        <v>6791</v>
      </c>
      <c r="I1614">
        <v>42</v>
      </c>
      <c r="J1614" t="s">
        <v>126</v>
      </c>
      <c r="K1614" t="s">
        <v>1465</v>
      </c>
      <c r="L1614" s="1" t="s">
        <v>6792</v>
      </c>
      <c r="M1614" t="s">
        <v>6793</v>
      </c>
      <c r="N1614" t="s">
        <v>23</v>
      </c>
      <c r="O1614" s="1" t="s">
        <v>6859</v>
      </c>
      <c r="P1614" s="1" t="s">
        <v>6861</v>
      </c>
    </row>
    <row r="1615" spans="1:16" x14ac:dyDescent="0.25">
      <c r="A1615" t="s">
        <v>6862</v>
      </c>
      <c r="B1615" t="str">
        <f>HYPERLINK("https://staging-dtl-pattern-api.hfm-weimar.de/static/audio/solos/dtl/AQAVfp-aRImD6nAVDo3D4sxxZVKGnNmR_0.08.55.097460-0.08.59.025442.mp3", "link")</f>
        <v>link</v>
      </c>
      <c r="C1615" t="s">
        <v>6788</v>
      </c>
      <c r="D1615" t="s">
        <v>6789</v>
      </c>
      <c r="F1615" t="s">
        <v>6790</v>
      </c>
      <c r="H1615" t="s">
        <v>6791</v>
      </c>
      <c r="I1615">
        <v>42</v>
      </c>
      <c r="J1615" t="s">
        <v>126</v>
      </c>
      <c r="K1615" t="s">
        <v>1465</v>
      </c>
      <c r="L1615" s="1" t="s">
        <v>6792</v>
      </c>
      <c r="M1615" t="s">
        <v>6793</v>
      </c>
      <c r="N1615" t="s">
        <v>23</v>
      </c>
      <c r="O1615" s="1" t="s">
        <v>6861</v>
      </c>
      <c r="P1615" s="1" t="s">
        <v>6863</v>
      </c>
    </row>
    <row r="1616" spans="1:16" x14ac:dyDescent="0.25">
      <c r="A1616" t="s">
        <v>6864</v>
      </c>
      <c r="B1616" t="str">
        <f>HYPERLINK("https://staging-dtl-pattern-api.hfm-weimar.de/static/audio/solos/dtl/AQAVfp-aRImD6nAVDo3D4sxxZVKGnNmR_0.08.59.025442-0.09.03.000444.mp3", "link")</f>
        <v>link</v>
      </c>
      <c r="C1616" t="s">
        <v>6788</v>
      </c>
      <c r="D1616" t="s">
        <v>6789</v>
      </c>
      <c r="F1616" t="s">
        <v>6790</v>
      </c>
      <c r="H1616" t="s">
        <v>6791</v>
      </c>
      <c r="I1616">
        <v>42</v>
      </c>
      <c r="J1616" t="s">
        <v>126</v>
      </c>
      <c r="K1616" t="s">
        <v>1465</v>
      </c>
      <c r="L1616" s="1" t="s">
        <v>6792</v>
      </c>
      <c r="M1616" t="s">
        <v>6793</v>
      </c>
      <c r="N1616" t="s">
        <v>23</v>
      </c>
      <c r="O1616" s="1" t="s">
        <v>6863</v>
      </c>
      <c r="P1616" s="1" t="s">
        <v>6865</v>
      </c>
    </row>
    <row r="1617" spans="1:16" x14ac:dyDescent="0.25">
      <c r="A1617" t="s">
        <v>6866</v>
      </c>
      <c r="B1617" t="str">
        <f>HYPERLINK("https://staging-dtl-pattern-api.hfm-weimar.de/static/audio/solos/dtl/AQAVfp-aRImD6nAVDo3D4sxxZVKGnNmR_0.09.03.000444-0.09.05.087138.mp3", "link")</f>
        <v>link</v>
      </c>
      <c r="C1617" t="s">
        <v>6788</v>
      </c>
      <c r="D1617" t="s">
        <v>6789</v>
      </c>
      <c r="F1617" t="s">
        <v>6790</v>
      </c>
      <c r="H1617" t="s">
        <v>6791</v>
      </c>
      <c r="I1617">
        <v>42</v>
      </c>
      <c r="J1617" t="s">
        <v>126</v>
      </c>
      <c r="K1617" t="s">
        <v>1465</v>
      </c>
      <c r="L1617" s="1" t="s">
        <v>6792</v>
      </c>
      <c r="M1617" t="s">
        <v>6793</v>
      </c>
      <c r="N1617" t="s">
        <v>23</v>
      </c>
      <c r="O1617" s="1" t="s">
        <v>6865</v>
      </c>
      <c r="P1617" s="1" t="s">
        <v>6867</v>
      </c>
    </row>
    <row r="1618" spans="1:16" x14ac:dyDescent="0.25">
      <c r="A1618" t="s">
        <v>6868</v>
      </c>
      <c r="B1618" t="str">
        <f>HYPERLINK("https://staging-dtl-pattern-api.hfm-weimar.de/static/audio/solos/dtl/AQAVfp-aRImD6nAVDo3D4sxxZVKGnNmR_0.09.05.087138-0.09.09.099365.mp3", "link")</f>
        <v>link</v>
      </c>
      <c r="C1618" t="s">
        <v>6788</v>
      </c>
      <c r="D1618" t="s">
        <v>6789</v>
      </c>
      <c r="F1618" t="s">
        <v>6790</v>
      </c>
      <c r="H1618" t="s">
        <v>6791</v>
      </c>
      <c r="I1618">
        <v>42</v>
      </c>
      <c r="J1618" t="s">
        <v>126</v>
      </c>
      <c r="K1618" t="s">
        <v>1465</v>
      </c>
      <c r="L1618" s="1" t="s">
        <v>6792</v>
      </c>
      <c r="M1618" t="s">
        <v>6793</v>
      </c>
      <c r="N1618" t="s">
        <v>23</v>
      </c>
      <c r="O1618" s="1" t="s">
        <v>6867</v>
      </c>
      <c r="P1618" s="1" t="s">
        <v>6869</v>
      </c>
    </row>
    <row r="1619" spans="1:16" x14ac:dyDescent="0.25">
      <c r="A1619" t="s">
        <v>6870</v>
      </c>
      <c r="B1619" t="str">
        <f>HYPERLINK("https://staging-dtl-pattern-api.hfm-weimar.de/static/audio/solos/dtl/AQAVfp-aRImD6nAVDo3D4sxxZVKGnNmR_0.09.09.099365-0.09.13.091201.mp3", "link")</f>
        <v>link</v>
      </c>
      <c r="C1619" t="s">
        <v>6788</v>
      </c>
      <c r="D1619" t="s">
        <v>6789</v>
      </c>
      <c r="F1619" t="s">
        <v>6790</v>
      </c>
      <c r="H1619" t="s">
        <v>6791</v>
      </c>
      <c r="I1619">
        <v>42</v>
      </c>
      <c r="J1619" t="s">
        <v>126</v>
      </c>
      <c r="K1619" t="s">
        <v>1465</v>
      </c>
      <c r="L1619" s="1" t="s">
        <v>6792</v>
      </c>
      <c r="M1619" t="s">
        <v>6793</v>
      </c>
      <c r="N1619" t="s">
        <v>23</v>
      </c>
      <c r="O1619" s="1" t="s">
        <v>6869</v>
      </c>
      <c r="P1619" s="1" t="s">
        <v>6871</v>
      </c>
    </row>
    <row r="1620" spans="1:16" x14ac:dyDescent="0.25">
      <c r="A1620" t="s">
        <v>6872</v>
      </c>
      <c r="B1620" t="str">
        <f>HYPERLINK("https://staging-dtl-pattern-api.hfm-weimar.de/static/audio/solos/dtl/AQAVfp-aRImD6nAVDo3D4sxxZVKGnNmR_0.09.13.091201-0.09.17.042403.mp3", "link")</f>
        <v>link</v>
      </c>
      <c r="C1620" t="s">
        <v>6788</v>
      </c>
      <c r="D1620" t="s">
        <v>6789</v>
      </c>
      <c r="F1620" t="s">
        <v>6790</v>
      </c>
      <c r="H1620" t="s">
        <v>6791</v>
      </c>
      <c r="I1620">
        <v>42</v>
      </c>
      <c r="J1620" t="s">
        <v>126</v>
      </c>
      <c r="K1620" t="s">
        <v>1465</v>
      </c>
      <c r="L1620" s="1" t="s">
        <v>6792</v>
      </c>
      <c r="M1620" t="s">
        <v>6793</v>
      </c>
      <c r="N1620" t="s">
        <v>23</v>
      </c>
      <c r="O1620" s="1" t="s">
        <v>6871</v>
      </c>
      <c r="P1620" s="1" t="s">
        <v>6873</v>
      </c>
    </row>
    <row r="1621" spans="1:16" x14ac:dyDescent="0.25">
      <c r="A1621" t="s">
        <v>6874</v>
      </c>
      <c r="B1621" t="str">
        <f>HYPERLINK("https://staging-dtl-pattern-api.hfm-weimar.de/static/audio/solos/dtl/AQAVfp-aRImD6nAVDo3D4sxxZVKGnNmR_0.09.17.042403-0.09.20.084897.mp3", "link")</f>
        <v>link</v>
      </c>
      <c r="C1621" t="s">
        <v>6788</v>
      </c>
      <c r="D1621" t="s">
        <v>6789</v>
      </c>
      <c r="F1621" t="s">
        <v>6790</v>
      </c>
      <c r="H1621" t="s">
        <v>6791</v>
      </c>
      <c r="I1621">
        <v>42</v>
      </c>
      <c r="J1621" t="s">
        <v>126</v>
      </c>
      <c r="K1621" t="s">
        <v>1465</v>
      </c>
      <c r="L1621" s="1" t="s">
        <v>6792</v>
      </c>
      <c r="M1621" t="s">
        <v>6793</v>
      </c>
      <c r="N1621" t="s">
        <v>23</v>
      </c>
      <c r="O1621" s="1" t="s">
        <v>6873</v>
      </c>
      <c r="P1621" s="1" t="s">
        <v>6875</v>
      </c>
    </row>
    <row r="1622" spans="1:16" x14ac:dyDescent="0.25">
      <c r="A1622" t="s">
        <v>6876</v>
      </c>
      <c r="B1622" t="str">
        <f>HYPERLINK("https://staging-dtl-pattern-api.hfm-weimar.de/static/audio/solos/dtl/AQAVfp-aRImD6nAVDo3D4sxxZVKGnNmR_0.09.20.084897-0.09.24.014331.mp3", "link")</f>
        <v>link</v>
      </c>
      <c r="C1622" t="s">
        <v>6788</v>
      </c>
      <c r="D1622" t="s">
        <v>6789</v>
      </c>
      <c r="F1622" t="s">
        <v>6790</v>
      </c>
      <c r="H1622" t="s">
        <v>6791</v>
      </c>
      <c r="I1622">
        <v>42</v>
      </c>
      <c r="J1622" t="s">
        <v>126</v>
      </c>
      <c r="K1622" t="s">
        <v>1465</v>
      </c>
      <c r="L1622" s="1" t="s">
        <v>6792</v>
      </c>
      <c r="M1622" t="s">
        <v>6793</v>
      </c>
      <c r="N1622" t="s">
        <v>23</v>
      </c>
      <c r="O1622" s="1" t="s">
        <v>6875</v>
      </c>
      <c r="P1622" s="1" t="s">
        <v>6877</v>
      </c>
    </row>
    <row r="1623" spans="1:16" x14ac:dyDescent="0.25">
      <c r="A1623" t="s">
        <v>6878</v>
      </c>
      <c r="B1623" t="str">
        <f>HYPERLINK("https://staging-dtl-pattern-api.hfm-weimar.de/static/audio/solos/dtl/AQAVfp-aRImD6nAVDo3D4sxxZVKGnNmR_0.09.24.014331-0.09.27.075691.mp3", "link")</f>
        <v>link</v>
      </c>
      <c r="C1623" t="s">
        <v>6788</v>
      </c>
      <c r="D1623" t="s">
        <v>6789</v>
      </c>
      <c r="F1623" t="s">
        <v>6790</v>
      </c>
      <c r="H1623" t="s">
        <v>6791</v>
      </c>
      <c r="I1623">
        <v>42</v>
      </c>
      <c r="J1623" t="s">
        <v>126</v>
      </c>
      <c r="K1623" t="s">
        <v>1465</v>
      </c>
      <c r="L1623" s="1" t="s">
        <v>6792</v>
      </c>
      <c r="M1623" t="s">
        <v>6793</v>
      </c>
      <c r="N1623" t="s">
        <v>23</v>
      </c>
      <c r="O1623" s="1" t="s">
        <v>6877</v>
      </c>
      <c r="P1623" s="1" t="s">
        <v>6879</v>
      </c>
    </row>
    <row r="1624" spans="1:16" x14ac:dyDescent="0.25">
      <c r="A1624" t="s">
        <v>6880</v>
      </c>
      <c r="B1624" t="str">
        <f>HYPERLINK("https://staging-dtl-pattern-api.hfm-weimar.de/static/audio/solos/dtl/AQAVfp-aRImD6nAVDo3D4sxxZVKGnNmR_0.09.27.075691-0.09.31.034149.mp3", "link")</f>
        <v>link</v>
      </c>
      <c r="C1624" t="s">
        <v>6788</v>
      </c>
      <c r="D1624" t="s">
        <v>6789</v>
      </c>
      <c r="F1624" t="s">
        <v>6790</v>
      </c>
      <c r="H1624" t="s">
        <v>6791</v>
      </c>
      <c r="I1624">
        <v>42</v>
      </c>
      <c r="J1624" t="s">
        <v>126</v>
      </c>
      <c r="K1624" t="s">
        <v>1465</v>
      </c>
      <c r="L1624" s="1" t="s">
        <v>6792</v>
      </c>
      <c r="M1624" t="s">
        <v>6793</v>
      </c>
      <c r="N1624" t="s">
        <v>23</v>
      </c>
      <c r="O1624" s="1" t="s">
        <v>6879</v>
      </c>
      <c r="P1624" s="1" t="s">
        <v>6881</v>
      </c>
    </row>
    <row r="1625" spans="1:16" x14ac:dyDescent="0.25">
      <c r="A1625" t="s">
        <v>6882</v>
      </c>
      <c r="B1625" t="str">
        <f>HYPERLINK("https://staging-dtl-pattern-api.hfm-weimar.de/static/audio/solos/dtl/AQAVfp-aRImD6nAVDo3D4sxxZVKGnNmR_0.09.31.034149-0.09.35.018730.mp3", "link")</f>
        <v>link</v>
      </c>
      <c r="C1625" t="s">
        <v>6788</v>
      </c>
      <c r="D1625" t="s">
        <v>6789</v>
      </c>
      <c r="F1625" t="s">
        <v>6790</v>
      </c>
      <c r="H1625" t="s">
        <v>6791</v>
      </c>
      <c r="I1625">
        <v>42</v>
      </c>
      <c r="J1625" t="s">
        <v>126</v>
      </c>
      <c r="K1625" t="s">
        <v>1465</v>
      </c>
      <c r="L1625" s="1" t="s">
        <v>6792</v>
      </c>
      <c r="M1625" t="s">
        <v>6793</v>
      </c>
      <c r="N1625" t="s">
        <v>23</v>
      </c>
      <c r="O1625" s="1" t="s">
        <v>6881</v>
      </c>
      <c r="P1625" s="1" t="s">
        <v>6883</v>
      </c>
    </row>
    <row r="1626" spans="1:16" x14ac:dyDescent="0.25">
      <c r="A1626" t="s">
        <v>6884</v>
      </c>
      <c r="B1626" t="str">
        <f>HYPERLINK("https://staging-dtl-pattern-api.hfm-weimar.de/static/audio/solos/dtl/AQAVfp-aRImD6nAVDo3D4sxxZVKGnNmR_0.09.35.018730-0.09.38.072834.mp3", "link")</f>
        <v>link</v>
      </c>
      <c r="C1626" t="s">
        <v>6788</v>
      </c>
      <c r="D1626" t="s">
        <v>6789</v>
      </c>
      <c r="F1626" t="s">
        <v>6790</v>
      </c>
      <c r="H1626" t="s">
        <v>6791</v>
      </c>
      <c r="I1626">
        <v>42</v>
      </c>
      <c r="J1626" t="s">
        <v>126</v>
      </c>
      <c r="K1626" t="s">
        <v>1465</v>
      </c>
      <c r="L1626" s="1" t="s">
        <v>6792</v>
      </c>
      <c r="M1626" t="s">
        <v>6793</v>
      </c>
      <c r="N1626" t="s">
        <v>23</v>
      </c>
      <c r="O1626" s="1" t="s">
        <v>6883</v>
      </c>
      <c r="P1626" s="1" t="s">
        <v>6885</v>
      </c>
    </row>
    <row r="1627" spans="1:16" x14ac:dyDescent="0.25">
      <c r="A1627" t="s">
        <v>6886</v>
      </c>
      <c r="B1627" t="str">
        <f>HYPERLINK("https://staging-dtl-pattern-api.hfm-weimar.de/static/audio/solos/dtl/AQAVfp-aRImD6nAVDo3D4sxxZVKGnNmR_0.09.38.072834-0.09.42.017650.mp3", "link")</f>
        <v>link</v>
      </c>
      <c r="C1627" t="s">
        <v>6788</v>
      </c>
      <c r="D1627" t="s">
        <v>6789</v>
      </c>
      <c r="F1627" t="s">
        <v>6790</v>
      </c>
      <c r="H1627" t="s">
        <v>6791</v>
      </c>
      <c r="I1627">
        <v>42</v>
      </c>
      <c r="J1627" t="s">
        <v>126</v>
      </c>
      <c r="K1627" t="s">
        <v>1465</v>
      </c>
      <c r="L1627" s="1" t="s">
        <v>6792</v>
      </c>
      <c r="M1627" t="s">
        <v>6793</v>
      </c>
      <c r="N1627" t="s">
        <v>23</v>
      </c>
      <c r="O1627" s="1" t="s">
        <v>6885</v>
      </c>
      <c r="P1627" s="1" t="s">
        <v>6887</v>
      </c>
    </row>
    <row r="1628" spans="1:16" x14ac:dyDescent="0.25">
      <c r="A1628" t="s">
        <v>6888</v>
      </c>
      <c r="B1628" t="str">
        <f>HYPERLINK("https://staging-dtl-pattern-api.hfm-weimar.de/static/audio/solos/dtl/AQAVfp-aRImD6nAVDo3D4sxxZVKGnNmR_0.09.42.017650-0.09.45.073786.mp3", "link")</f>
        <v>link</v>
      </c>
      <c r="C1628" t="s">
        <v>6788</v>
      </c>
      <c r="D1628" t="s">
        <v>6789</v>
      </c>
      <c r="F1628" t="s">
        <v>6790</v>
      </c>
      <c r="H1628" t="s">
        <v>6791</v>
      </c>
      <c r="I1628">
        <v>42</v>
      </c>
      <c r="J1628" t="s">
        <v>126</v>
      </c>
      <c r="K1628" t="s">
        <v>1465</v>
      </c>
      <c r="L1628" s="1" t="s">
        <v>6792</v>
      </c>
      <c r="M1628" t="s">
        <v>6793</v>
      </c>
      <c r="N1628" t="s">
        <v>23</v>
      </c>
      <c r="O1628" s="1" t="s">
        <v>6887</v>
      </c>
      <c r="P1628" s="1" t="s">
        <v>6889</v>
      </c>
    </row>
    <row r="1629" spans="1:16" x14ac:dyDescent="0.25">
      <c r="A1629" t="s">
        <v>6890</v>
      </c>
      <c r="B1629" t="str">
        <f>HYPERLINK("https://staging-dtl-pattern-api.hfm-weimar.de/static/audio/solos/dtl/AQAVfp-aRImD6nAVDo3D4sxxZVKGnNmR_0.09.45.073786-0.09.49.061269.mp3", "link")</f>
        <v>link</v>
      </c>
      <c r="C1629" t="s">
        <v>6788</v>
      </c>
      <c r="D1629" t="s">
        <v>6789</v>
      </c>
      <c r="F1629" t="s">
        <v>6790</v>
      </c>
      <c r="H1629" t="s">
        <v>6791</v>
      </c>
      <c r="I1629">
        <v>42</v>
      </c>
      <c r="J1629" t="s">
        <v>126</v>
      </c>
      <c r="K1629" t="s">
        <v>1465</v>
      </c>
      <c r="L1629" s="1" t="s">
        <v>6792</v>
      </c>
      <c r="M1629" t="s">
        <v>6793</v>
      </c>
      <c r="N1629" t="s">
        <v>23</v>
      </c>
      <c r="O1629" s="1" t="s">
        <v>6889</v>
      </c>
      <c r="P1629" s="1" t="s">
        <v>6891</v>
      </c>
    </row>
    <row r="1630" spans="1:16" x14ac:dyDescent="0.25">
      <c r="A1630" t="s">
        <v>6892</v>
      </c>
      <c r="B1630" t="str">
        <f>HYPERLINK("https://staging-dtl-pattern-api.hfm-weimar.de/static/audio/solos/dtl/AQAVfp-aRImD6nAVDo3D4sxxZVKGnNmR_0.09.49.061269-0.09.52.097959.mp3", "link")</f>
        <v>link</v>
      </c>
      <c r="C1630" t="s">
        <v>6788</v>
      </c>
      <c r="D1630" t="s">
        <v>6789</v>
      </c>
      <c r="F1630" t="s">
        <v>6790</v>
      </c>
      <c r="H1630" t="s">
        <v>6791</v>
      </c>
      <c r="I1630">
        <v>42</v>
      </c>
      <c r="J1630" t="s">
        <v>126</v>
      </c>
      <c r="K1630" t="s">
        <v>1465</v>
      </c>
      <c r="L1630" s="1" t="s">
        <v>6792</v>
      </c>
      <c r="M1630" t="s">
        <v>6793</v>
      </c>
      <c r="N1630" t="s">
        <v>23</v>
      </c>
      <c r="O1630" s="1" t="s">
        <v>6891</v>
      </c>
      <c r="P1630" s="1" t="s">
        <v>6893</v>
      </c>
    </row>
    <row r="1631" spans="1:16" x14ac:dyDescent="0.25">
      <c r="A1631" t="s">
        <v>6894</v>
      </c>
      <c r="B1631" t="str">
        <f>HYPERLINK("https://staging-dtl-pattern-api.hfm-weimar.de/static/audio/solos/dtl/AQAVfp-aRImD6nAVDo3D4sxxZVKGnNmR_0.09.52.097959-0.09.56.064253.mp3", "link")</f>
        <v>link</v>
      </c>
      <c r="C1631" t="s">
        <v>6788</v>
      </c>
      <c r="D1631" t="s">
        <v>6789</v>
      </c>
      <c r="F1631" t="s">
        <v>6790</v>
      </c>
      <c r="H1631" t="s">
        <v>6791</v>
      </c>
      <c r="I1631">
        <v>42</v>
      </c>
      <c r="J1631" t="s">
        <v>126</v>
      </c>
      <c r="K1631" t="s">
        <v>1465</v>
      </c>
      <c r="L1631" s="1" t="s">
        <v>6792</v>
      </c>
      <c r="M1631" t="s">
        <v>6793</v>
      </c>
      <c r="N1631" t="s">
        <v>23</v>
      </c>
      <c r="O1631" s="1" t="s">
        <v>6893</v>
      </c>
      <c r="P1631" s="1" t="s">
        <v>6895</v>
      </c>
    </row>
    <row r="1632" spans="1:16" x14ac:dyDescent="0.25">
      <c r="A1632" t="s">
        <v>6896</v>
      </c>
      <c r="B1632" t="str">
        <f>HYPERLINK("https://staging-dtl-pattern-api.hfm-weimar.de/static/audio/solos/dtl/AQAVfp-aRImD6nAVDo3D4sxxZVKGnNmR_0.09.56.064253-0.10.00.005587.mp3", "link")</f>
        <v>link</v>
      </c>
      <c r="C1632" t="s">
        <v>6788</v>
      </c>
      <c r="D1632" t="s">
        <v>6789</v>
      </c>
      <c r="F1632" t="s">
        <v>6790</v>
      </c>
      <c r="H1632" t="s">
        <v>6791</v>
      </c>
      <c r="I1632">
        <v>42</v>
      </c>
      <c r="J1632" t="s">
        <v>126</v>
      </c>
      <c r="K1632" t="s">
        <v>1465</v>
      </c>
      <c r="L1632" s="1" t="s">
        <v>6792</v>
      </c>
      <c r="M1632" t="s">
        <v>6793</v>
      </c>
      <c r="N1632" t="s">
        <v>23</v>
      </c>
      <c r="O1632" s="1" t="s">
        <v>6895</v>
      </c>
      <c r="P1632" s="1" t="s">
        <v>6897</v>
      </c>
    </row>
    <row r="1633" spans="1:16" x14ac:dyDescent="0.25">
      <c r="A1633" t="s">
        <v>6898</v>
      </c>
      <c r="B1633" t="str">
        <f>HYPERLINK("https://staging-dtl-pattern-api.hfm-weimar.de/static/audio/solos/dtl/AQAVfp-aRImD6nAVDo3D4sxxZVKGnNmR_0.10.00.005587-0.10.03.070430.mp3", "link")</f>
        <v>link</v>
      </c>
      <c r="C1633" t="s">
        <v>6788</v>
      </c>
      <c r="D1633" t="s">
        <v>6789</v>
      </c>
      <c r="F1633" t="s">
        <v>6790</v>
      </c>
      <c r="H1633" t="s">
        <v>6791</v>
      </c>
      <c r="I1633">
        <v>42</v>
      </c>
      <c r="J1633" t="s">
        <v>126</v>
      </c>
      <c r="K1633" t="s">
        <v>1465</v>
      </c>
      <c r="L1633" s="1" t="s">
        <v>6792</v>
      </c>
      <c r="M1633" t="s">
        <v>6793</v>
      </c>
      <c r="N1633" t="s">
        <v>23</v>
      </c>
      <c r="O1633" s="1" t="s">
        <v>6897</v>
      </c>
      <c r="P1633" s="1" t="s">
        <v>6899</v>
      </c>
    </row>
    <row r="1634" spans="1:16" x14ac:dyDescent="0.25">
      <c r="A1634" t="s">
        <v>6900</v>
      </c>
      <c r="B1634" t="str">
        <f>HYPERLINK("https://staging-dtl-pattern-api.hfm-weimar.de/static/audio/solos/dtl/AQAVfp-aRImD6nAVDo3D4sxxZVKGnNmR_0.10.03.070430-0.10.07.028888.mp3", "link")</f>
        <v>link</v>
      </c>
      <c r="C1634" t="s">
        <v>6788</v>
      </c>
      <c r="D1634" t="s">
        <v>6789</v>
      </c>
      <c r="F1634" t="s">
        <v>6790</v>
      </c>
      <c r="H1634" t="s">
        <v>6791</v>
      </c>
      <c r="I1634">
        <v>42</v>
      </c>
      <c r="J1634" t="s">
        <v>126</v>
      </c>
      <c r="K1634" t="s">
        <v>1465</v>
      </c>
      <c r="L1634" s="1" t="s">
        <v>6792</v>
      </c>
      <c r="M1634" t="s">
        <v>6793</v>
      </c>
      <c r="N1634" t="s">
        <v>23</v>
      </c>
      <c r="O1634" s="1" t="s">
        <v>6899</v>
      </c>
      <c r="P1634" s="1" t="s">
        <v>6901</v>
      </c>
    </row>
    <row r="1635" spans="1:16" x14ac:dyDescent="0.25">
      <c r="A1635" t="s">
        <v>6902</v>
      </c>
      <c r="B1635" t="str">
        <f>HYPERLINK("https://staging-dtl-pattern-api.hfm-weimar.de/static/audio/solos/dtl/AQAVfp-aRImD6nAVDo3D4sxxZVKGnNmR_0.10.07.028888-0.10.10.085895.mp3", "link")</f>
        <v>link</v>
      </c>
      <c r="C1635" t="s">
        <v>6788</v>
      </c>
      <c r="D1635" t="s">
        <v>6789</v>
      </c>
      <c r="F1635" t="s">
        <v>6790</v>
      </c>
      <c r="H1635" t="s">
        <v>6791</v>
      </c>
      <c r="I1635">
        <v>42</v>
      </c>
      <c r="J1635" t="s">
        <v>126</v>
      </c>
      <c r="K1635" t="s">
        <v>1465</v>
      </c>
      <c r="L1635" s="1" t="s">
        <v>6792</v>
      </c>
      <c r="M1635" t="s">
        <v>6793</v>
      </c>
      <c r="N1635" t="s">
        <v>23</v>
      </c>
      <c r="O1635" s="1" t="s">
        <v>6901</v>
      </c>
      <c r="P1635" s="1" t="s">
        <v>6903</v>
      </c>
    </row>
    <row r="1636" spans="1:16" x14ac:dyDescent="0.25">
      <c r="A1636" t="s">
        <v>6904</v>
      </c>
      <c r="B1636" t="str">
        <f>HYPERLINK("https://staging-dtl-pattern-api.hfm-weimar.de/static/audio/solos/dtl/AQAVfp-aRImD6nAVDo3D4sxxZVKGnNmR_0.10.10.085895-0.10.14.031292.mp3", "link")</f>
        <v>link</v>
      </c>
      <c r="C1636" t="s">
        <v>6788</v>
      </c>
      <c r="D1636" t="s">
        <v>6789</v>
      </c>
      <c r="F1636" t="s">
        <v>6790</v>
      </c>
      <c r="H1636" t="s">
        <v>6791</v>
      </c>
      <c r="I1636">
        <v>42</v>
      </c>
      <c r="J1636" t="s">
        <v>126</v>
      </c>
      <c r="K1636" t="s">
        <v>1465</v>
      </c>
      <c r="L1636" s="1" t="s">
        <v>6792</v>
      </c>
      <c r="M1636" t="s">
        <v>6793</v>
      </c>
      <c r="N1636" t="s">
        <v>23</v>
      </c>
      <c r="O1636" s="1" t="s">
        <v>6903</v>
      </c>
      <c r="P1636" s="1" t="s">
        <v>6905</v>
      </c>
    </row>
    <row r="1637" spans="1:16" x14ac:dyDescent="0.25">
      <c r="A1637" t="s">
        <v>6906</v>
      </c>
      <c r="B1637" t="str">
        <f>HYPERLINK("https://staging-dtl-pattern-api.hfm-weimar.de/static/audio/solos/dtl/AQAVfp-aRImD6nAVDo3D4sxxZVKGnNmR_0.10.14.031292-0.10.17.052018.mp3", "link")</f>
        <v>link</v>
      </c>
      <c r="C1637" t="s">
        <v>6788</v>
      </c>
      <c r="D1637" t="s">
        <v>6789</v>
      </c>
      <c r="F1637" t="s">
        <v>6790</v>
      </c>
      <c r="H1637" t="s">
        <v>6791</v>
      </c>
      <c r="I1637">
        <v>42</v>
      </c>
      <c r="J1637" t="s">
        <v>126</v>
      </c>
      <c r="K1637" t="s">
        <v>1465</v>
      </c>
      <c r="L1637" s="1" t="s">
        <v>6792</v>
      </c>
      <c r="M1637" t="s">
        <v>6793</v>
      </c>
      <c r="N1637" t="s">
        <v>23</v>
      </c>
      <c r="O1637" s="1" t="s">
        <v>6905</v>
      </c>
      <c r="P1637" s="1" t="s">
        <v>6907</v>
      </c>
    </row>
    <row r="1638" spans="1:16" x14ac:dyDescent="0.25">
      <c r="A1638" t="s">
        <v>6908</v>
      </c>
      <c r="B1638" t="str">
        <f>HYPERLINK("https://staging-dtl-pattern-api.hfm-weimar.de/static/audio/solos/dtl/AQAVfp-aRImD6nAVDo3D4sxxZVKGnNmR_0.10.17.052018-0.10.21.035147.mp3", "link")</f>
        <v>link</v>
      </c>
      <c r="C1638" t="s">
        <v>6788</v>
      </c>
      <c r="D1638" t="s">
        <v>6789</v>
      </c>
      <c r="F1638" t="s">
        <v>6790</v>
      </c>
      <c r="H1638" t="s">
        <v>6791</v>
      </c>
      <c r="I1638">
        <v>42</v>
      </c>
      <c r="J1638" t="s">
        <v>126</v>
      </c>
      <c r="K1638" t="s">
        <v>1465</v>
      </c>
      <c r="L1638" s="1" t="s">
        <v>6792</v>
      </c>
      <c r="M1638" t="s">
        <v>6793</v>
      </c>
      <c r="N1638" t="s">
        <v>23</v>
      </c>
      <c r="O1638" s="1" t="s">
        <v>6907</v>
      </c>
      <c r="P1638" s="1" t="s">
        <v>6909</v>
      </c>
    </row>
    <row r="1639" spans="1:16" x14ac:dyDescent="0.25">
      <c r="A1639" t="s">
        <v>6910</v>
      </c>
      <c r="B1639" t="str">
        <f>HYPERLINK("https://staging-dtl-pattern-api.hfm-weimar.de/static/audio/solos/dtl/AQAVfp-aRImD6nAVDo3D4sxxZVKGnNmR_0.10.21.035147-0.10.25.017825.mp3", "link")</f>
        <v>link</v>
      </c>
      <c r="C1639" t="s">
        <v>6788</v>
      </c>
      <c r="D1639" t="s">
        <v>6789</v>
      </c>
      <c r="F1639" t="s">
        <v>6790</v>
      </c>
      <c r="H1639" t="s">
        <v>6791</v>
      </c>
      <c r="I1639">
        <v>42</v>
      </c>
      <c r="J1639" t="s">
        <v>126</v>
      </c>
      <c r="K1639" t="s">
        <v>1465</v>
      </c>
      <c r="L1639" s="1" t="s">
        <v>6792</v>
      </c>
      <c r="M1639" t="s">
        <v>6793</v>
      </c>
      <c r="N1639" t="s">
        <v>23</v>
      </c>
      <c r="O1639" s="1" t="s">
        <v>6909</v>
      </c>
      <c r="P1639" s="1" t="s">
        <v>6911</v>
      </c>
    </row>
    <row r="1640" spans="1:16" x14ac:dyDescent="0.25">
      <c r="A1640" t="s">
        <v>6912</v>
      </c>
      <c r="B1640" t="str">
        <f>HYPERLINK("https://staging-dtl-pattern-api.hfm-weimar.de/static/audio/solos/dtl/AQAVfp-aRImD6nAVDo3D4sxxZVKGnNmR_0.10.25.017825-0.10.28.044807.mp3", "link")</f>
        <v>link</v>
      </c>
      <c r="C1640" t="s">
        <v>6788</v>
      </c>
      <c r="D1640" t="s">
        <v>6789</v>
      </c>
      <c r="F1640" t="s">
        <v>6790</v>
      </c>
      <c r="H1640" t="s">
        <v>6791</v>
      </c>
      <c r="I1640">
        <v>42</v>
      </c>
      <c r="J1640" t="s">
        <v>126</v>
      </c>
      <c r="K1640" t="s">
        <v>1465</v>
      </c>
      <c r="L1640" s="1" t="s">
        <v>6792</v>
      </c>
      <c r="M1640" t="s">
        <v>6793</v>
      </c>
      <c r="N1640" t="s">
        <v>23</v>
      </c>
      <c r="O1640" s="1" t="s">
        <v>6911</v>
      </c>
      <c r="P1640" s="1" t="s">
        <v>6913</v>
      </c>
    </row>
    <row r="1641" spans="1:16" x14ac:dyDescent="0.25">
      <c r="A1641" t="s">
        <v>6914</v>
      </c>
      <c r="B1641" t="str">
        <f>HYPERLINK("https://staging-dtl-pattern-api.hfm-weimar.de/static/audio/solos/dtl/AQAVM1kSZVnEJYMo88iPw9dR0sST6EfN_0.00.10.090612-0.01.08.089795.mp3", "link")</f>
        <v>link</v>
      </c>
      <c r="D1641" t="s">
        <v>5939</v>
      </c>
      <c r="E1641" t="s">
        <v>3802</v>
      </c>
      <c r="F1641" t="s">
        <v>3802</v>
      </c>
      <c r="G1641" t="s">
        <v>3802</v>
      </c>
      <c r="J1641" t="s">
        <v>5940</v>
      </c>
      <c r="K1641" t="s">
        <v>6915</v>
      </c>
      <c r="L1641" s="1" t="s">
        <v>5942</v>
      </c>
      <c r="M1641" t="s">
        <v>5943</v>
      </c>
      <c r="N1641" t="s">
        <v>202</v>
      </c>
      <c r="O1641" s="1" t="s">
        <v>6916</v>
      </c>
      <c r="P1641" s="1" t="s">
        <v>6917</v>
      </c>
    </row>
    <row r="1642" spans="1:16" x14ac:dyDescent="0.25">
      <c r="A1642" t="s">
        <v>6918</v>
      </c>
      <c r="B1642" t="str">
        <f>HYPERLINK("https://staging-dtl-pattern-api.hfm-weimar.de/static/audio/solos/dtl/AQAVM1kSZVnEJYMo88iPw9dR0sST6EfN_0.02.50.005714-0.04.34.054693.mp3", "link")</f>
        <v>link</v>
      </c>
      <c r="D1642" t="s">
        <v>5939</v>
      </c>
      <c r="E1642" t="s">
        <v>3802</v>
      </c>
      <c r="F1642" t="s">
        <v>3802</v>
      </c>
      <c r="G1642" t="s">
        <v>3802</v>
      </c>
      <c r="J1642" t="s">
        <v>5940</v>
      </c>
      <c r="K1642" t="s">
        <v>6915</v>
      </c>
      <c r="L1642" s="1" t="s">
        <v>5942</v>
      </c>
      <c r="M1642" t="s">
        <v>5943</v>
      </c>
      <c r="N1642" t="s">
        <v>202</v>
      </c>
      <c r="O1642" s="1" t="s">
        <v>6919</v>
      </c>
      <c r="P1642" s="1" t="s">
        <v>6920</v>
      </c>
    </row>
    <row r="1643" spans="1:16" x14ac:dyDescent="0.25">
      <c r="A1643" t="s">
        <v>6921</v>
      </c>
      <c r="B1643" t="str">
        <f>HYPERLINK("https://staging-dtl-pattern-api.hfm-weimar.de/static/audio/solos/dtl/AQAVM1kSZVnEJYMo88iPw9dR0sST6EfN_0.07.53.099183-0.08.06.092244.mp3", "link")</f>
        <v>link</v>
      </c>
      <c r="D1643" t="s">
        <v>5939</v>
      </c>
      <c r="E1643" t="s">
        <v>3802</v>
      </c>
      <c r="F1643" t="s">
        <v>3802</v>
      </c>
      <c r="G1643" t="s">
        <v>3802</v>
      </c>
      <c r="J1643" t="s">
        <v>5940</v>
      </c>
      <c r="K1643" t="s">
        <v>6915</v>
      </c>
      <c r="L1643" s="1" t="s">
        <v>5942</v>
      </c>
      <c r="M1643" t="s">
        <v>5943</v>
      </c>
      <c r="N1643" t="s">
        <v>202</v>
      </c>
      <c r="O1643" s="1" t="s">
        <v>6922</v>
      </c>
      <c r="P1643" s="1" t="s">
        <v>6923</v>
      </c>
    </row>
    <row r="1644" spans="1:16" x14ac:dyDescent="0.25">
      <c r="A1644" t="s">
        <v>6924</v>
      </c>
      <c r="B1644" t="str">
        <f>HYPERLINK("https://staging-dtl-pattern-api.hfm-weimar.de/static/audio/solos/dtl/AQAVM1kSZVnEJYMo88iPw9dR0sST6EfN_0.08.13.032244-0.08.20.066866.mp3", "link")</f>
        <v>link</v>
      </c>
      <c r="D1644" t="s">
        <v>5939</v>
      </c>
      <c r="E1644" t="s">
        <v>3802</v>
      </c>
      <c r="F1644" t="s">
        <v>3802</v>
      </c>
      <c r="G1644" t="s">
        <v>3802</v>
      </c>
      <c r="J1644" t="s">
        <v>5940</v>
      </c>
      <c r="K1644" t="s">
        <v>6915</v>
      </c>
      <c r="L1644" s="1" t="s">
        <v>5942</v>
      </c>
      <c r="M1644" t="s">
        <v>5943</v>
      </c>
      <c r="N1644" t="s">
        <v>202</v>
      </c>
      <c r="O1644" s="1" t="s">
        <v>6925</v>
      </c>
      <c r="P1644" s="1" t="s">
        <v>6926</v>
      </c>
    </row>
    <row r="1645" spans="1:16" x14ac:dyDescent="0.25">
      <c r="A1645" t="s">
        <v>6927</v>
      </c>
      <c r="B1645" t="str">
        <f>HYPERLINK("https://staging-dtl-pattern-api.hfm-weimar.de/static/audio/solos/dtl/AQAVM1kSZVnEJYMo88iPw9dR0sST6EfN_0.08.27.086684-0.08.35.043655.mp3", "link")</f>
        <v>link</v>
      </c>
      <c r="D1645" t="s">
        <v>5939</v>
      </c>
      <c r="E1645" t="s">
        <v>3802</v>
      </c>
      <c r="F1645" t="s">
        <v>3802</v>
      </c>
      <c r="G1645" t="s">
        <v>3802</v>
      </c>
      <c r="J1645" t="s">
        <v>5940</v>
      </c>
      <c r="K1645" t="s">
        <v>6915</v>
      </c>
      <c r="L1645" s="1" t="s">
        <v>5942</v>
      </c>
      <c r="M1645" t="s">
        <v>5943</v>
      </c>
      <c r="N1645" t="s">
        <v>202</v>
      </c>
      <c r="O1645" s="1" t="s">
        <v>6928</v>
      </c>
      <c r="P1645" s="1" t="s">
        <v>6929</v>
      </c>
    </row>
    <row r="1646" spans="1:16" x14ac:dyDescent="0.25">
      <c r="A1646" t="s">
        <v>6930</v>
      </c>
      <c r="B1646" t="str">
        <f>HYPERLINK("https://staging-dtl-pattern-api.hfm-weimar.de/static/audio/solos/dtl/AQAVM1kSZVnEJYMo88iPw9dR0sST6EfN_0.08.41.070594-0.08.49.008988.mp3", "link")</f>
        <v>link</v>
      </c>
      <c r="D1646" t="s">
        <v>5939</v>
      </c>
      <c r="E1646" t="s">
        <v>3802</v>
      </c>
      <c r="F1646" t="s">
        <v>3802</v>
      </c>
      <c r="G1646" t="s">
        <v>3802</v>
      </c>
      <c r="J1646" t="s">
        <v>5940</v>
      </c>
      <c r="K1646" t="s">
        <v>6915</v>
      </c>
      <c r="L1646" s="1" t="s">
        <v>5942</v>
      </c>
      <c r="M1646" t="s">
        <v>5943</v>
      </c>
      <c r="N1646" t="s">
        <v>202</v>
      </c>
      <c r="O1646" s="1" t="s">
        <v>6931</v>
      </c>
      <c r="P1646" s="1" t="s">
        <v>6932</v>
      </c>
    </row>
    <row r="1647" spans="1:16" x14ac:dyDescent="0.25">
      <c r="A1647" t="s">
        <v>6933</v>
      </c>
      <c r="B1647" t="str">
        <f>HYPERLINK("https://staging-dtl-pattern-api.hfm-weimar.de/static/audio/solos/dtl/AQAVM1kSZVnEJYMo88iPw9dR0sST6EfN_0.09.39.029142-0.10.44.095746.mp3", "link")</f>
        <v>link</v>
      </c>
      <c r="D1647" t="s">
        <v>5939</v>
      </c>
      <c r="E1647" t="s">
        <v>3802</v>
      </c>
      <c r="F1647" t="s">
        <v>3802</v>
      </c>
      <c r="G1647" t="s">
        <v>3802</v>
      </c>
      <c r="J1647" t="s">
        <v>5940</v>
      </c>
      <c r="K1647" t="s">
        <v>6915</v>
      </c>
      <c r="L1647" s="1" t="s">
        <v>5942</v>
      </c>
      <c r="M1647" t="s">
        <v>5943</v>
      </c>
      <c r="N1647" t="s">
        <v>202</v>
      </c>
      <c r="O1647" s="1" t="s">
        <v>6934</v>
      </c>
      <c r="P1647" s="1" t="s">
        <v>6935</v>
      </c>
    </row>
    <row r="1648" spans="1:16" x14ac:dyDescent="0.25">
      <c r="A1648" t="s">
        <v>6936</v>
      </c>
      <c r="B1648" t="str">
        <f>HYPERLINK("https://staging-dtl-pattern-api.hfm-weimar.de/static/audio/solos/dtl/AQAVM9oiJYmiKCFy-MShC_lx_Kh6XHlw_0.05.54.075015-0.07.39.067990.mp3", "link")</f>
        <v>link</v>
      </c>
      <c r="D1648" t="s">
        <v>5991</v>
      </c>
      <c r="E1648" t="s">
        <v>2820</v>
      </c>
      <c r="F1648" t="s">
        <v>2820</v>
      </c>
      <c r="J1648" t="s">
        <v>5992</v>
      </c>
      <c r="K1648" t="s">
        <v>6937</v>
      </c>
      <c r="L1648" s="1" t="s">
        <v>5994</v>
      </c>
      <c r="M1648" t="s">
        <v>129</v>
      </c>
      <c r="N1648" t="s">
        <v>891</v>
      </c>
      <c r="O1648" s="1" t="s">
        <v>6938</v>
      </c>
      <c r="P1648" s="1" t="s">
        <v>6939</v>
      </c>
    </row>
    <row r="1649" spans="1:17" x14ac:dyDescent="0.25">
      <c r="A1649" t="s">
        <v>6940</v>
      </c>
      <c r="B1649" s="3" t="str">
        <f>HYPERLINK("https://staging-dtl-pattern-api.hfm-weimar.de/static/audio/solos/dtl/AQAVN1IWJZGSSFmCvsMvocngM7iUREeT_0.02.50.031836-0.05.14.061877.mp3", "link")</f>
        <v>link</v>
      </c>
      <c r="C1649" s="3"/>
      <c r="D1649" s="3" t="s">
        <v>6941</v>
      </c>
      <c r="E1649" s="3"/>
      <c r="F1649" s="3" t="s">
        <v>6942</v>
      </c>
      <c r="G1649" s="3"/>
      <c r="H1649" s="3"/>
      <c r="I1649" s="3"/>
      <c r="J1649" s="3" t="s">
        <v>6943</v>
      </c>
      <c r="K1649" s="3" t="s">
        <v>6944</v>
      </c>
      <c r="L1649" s="4" t="s">
        <v>6945</v>
      </c>
      <c r="M1649" s="3" t="s">
        <v>2180</v>
      </c>
      <c r="N1649" s="3" t="s">
        <v>23</v>
      </c>
      <c r="O1649" s="4" t="s">
        <v>6946</v>
      </c>
      <c r="P1649" s="4" t="s">
        <v>6947</v>
      </c>
      <c r="Q1649" s="4" t="s">
        <v>7348</v>
      </c>
    </row>
    <row r="1650" spans="1:17" x14ac:dyDescent="0.25">
      <c r="A1650" t="s">
        <v>6948</v>
      </c>
      <c r="B1650" t="str">
        <f>HYPERLINK("https://staging-dtl-pattern-api.hfm-weimar.de/static/audio/solos/dtl/AQAVUEmWJEkkJQmVBKkjGe8Rpls0yI0e_0.06.00.018793-0.10.10.021460.mp3", "link")</f>
        <v>link</v>
      </c>
      <c r="D1650" t="s">
        <v>6949</v>
      </c>
      <c r="E1650" t="s">
        <v>2820</v>
      </c>
      <c r="F1650" t="s">
        <v>2820</v>
      </c>
      <c r="J1650" t="s">
        <v>6950</v>
      </c>
      <c r="K1650" t="s">
        <v>6951</v>
      </c>
      <c r="L1650" s="1" t="s">
        <v>6952</v>
      </c>
      <c r="M1650" t="s">
        <v>129</v>
      </c>
      <c r="N1650" t="s">
        <v>202</v>
      </c>
      <c r="O1650" s="1" t="s">
        <v>6953</v>
      </c>
      <c r="P1650" s="1" t="s">
        <v>6954</v>
      </c>
    </row>
    <row r="1651" spans="1:17" x14ac:dyDescent="0.25">
      <c r="A1651" t="s">
        <v>6955</v>
      </c>
      <c r="B1651" t="str">
        <f>HYPERLINK("https://staging-dtl-pattern-api.hfm-weimar.de/static/audio/solos/dtl/AQAVuVGSJ5fQgyXxLWD5BeEzY3v4IbSK_0.01.35.077705-0.04.32.051485.mp3", "link")</f>
        <v>link</v>
      </c>
      <c r="D1651" t="s">
        <v>3914</v>
      </c>
      <c r="E1651" t="s">
        <v>3469</v>
      </c>
      <c r="F1651" t="s">
        <v>3469</v>
      </c>
      <c r="G1651" t="s">
        <v>3469</v>
      </c>
      <c r="J1651" t="s">
        <v>3915</v>
      </c>
      <c r="K1651" t="s">
        <v>6956</v>
      </c>
      <c r="L1651" s="1" t="s">
        <v>3917</v>
      </c>
      <c r="M1651" t="s">
        <v>3918</v>
      </c>
      <c r="N1651" t="s">
        <v>23</v>
      </c>
      <c r="O1651" s="1" t="s">
        <v>6957</v>
      </c>
      <c r="P1651" s="1" t="s">
        <v>6958</v>
      </c>
    </row>
    <row r="1652" spans="1:17" x14ac:dyDescent="0.25">
      <c r="A1652" t="s">
        <v>6959</v>
      </c>
      <c r="B1652" t="str">
        <f>HYPERLINK("https://staging-dtl-pattern-api.hfm-weimar.de/static/audio/solos/dtl/AQAVXloSLUkmxeijBzmSSscjfM9wHlMe_0.00.28.065342-0.05.04.048326.mp3", "link")</f>
        <v>link</v>
      </c>
      <c r="D1652" t="s">
        <v>3608</v>
      </c>
      <c r="E1652" t="s">
        <v>3609</v>
      </c>
      <c r="F1652" t="s">
        <v>3609</v>
      </c>
      <c r="G1652" t="s">
        <v>3609</v>
      </c>
      <c r="J1652" t="s">
        <v>3610</v>
      </c>
      <c r="K1652" t="s">
        <v>6960</v>
      </c>
      <c r="L1652" s="1" t="s">
        <v>3612</v>
      </c>
      <c r="M1652" t="s">
        <v>2824</v>
      </c>
      <c r="N1652" t="s">
        <v>46</v>
      </c>
      <c r="O1652" s="1" t="s">
        <v>6961</v>
      </c>
      <c r="P1652" s="1" t="s">
        <v>6962</v>
      </c>
    </row>
    <row r="1653" spans="1:17" x14ac:dyDescent="0.25">
      <c r="A1653" t="s">
        <v>6963</v>
      </c>
      <c r="B1653" t="str">
        <f>HYPERLINK("https://staging-dtl-pattern-api.hfm-weimar.de/static/audio/solos/dtl/AQAVXloSLUkmxeijBzmSSscjfM9wHlMe_0.05.04.048326-0.08.20.084571.mp3", "link")</f>
        <v>link</v>
      </c>
      <c r="D1653" t="s">
        <v>3608</v>
      </c>
      <c r="E1653" t="s">
        <v>3616</v>
      </c>
      <c r="F1653" t="s">
        <v>3609</v>
      </c>
      <c r="G1653" t="s">
        <v>3609</v>
      </c>
      <c r="J1653" t="s">
        <v>3610</v>
      </c>
      <c r="K1653" t="s">
        <v>6960</v>
      </c>
      <c r="L1653" s="1" t="s">
        <v>3612</v>
      </c>
      <c r="M1653" t="s">
        <v>2824</v>
      </c>
      <c r="N1653" t="s">
        <v>23</v>
      </c>
      <c r="O1653" s="1" t="s">
        <v>6962</v>
      </c>
      <c r="P1653" s="1" t="s">
        <v>6964</v>
      </c>
    </row>
    <row r="1654" spans="1:17" x14ac:dyDescent="0.25">
      <c r="A1654" t="s">
        <v>6965</v>
      </c>
      <c r="B1654" t="str">
        <f>HYPERLINK("https://staging-dtl-pattern-api.hfm-weimar.de/static/audio/solos/dtl/AQAW-0mmJNNCJRF0VUFD4k64FKm2xUU1_0.00.00.000000-0.04.35.024934.mp3", "link")</f>
        <v>link</v>
      </c>
      <c r="D1654" t="s">
        <v>3914</v>
      </c>
      <c r="E1654" t="s">
        <v>3469</v>
      </c>
      <c r="F1654" t="s">
        <v>3469</v>
      </c>
      <c r="G1654" t="s">
        <v>3469</v>
      </c>
      <c r="J1654" t="s">
        <v>3915</v>
      </c>
      <c r="K1654" t="s">
        <v>6966</v>
      </c>
      <c r="L1654" s="1" t="s">
        <v>3917</v>
      </c>
      <c r="M1654" t="s">
        <v>3918</v>
      </c>
      <c r="N1654" t="s">
        <v>23</v>
      </c>
      <c r="O1654" s="1" t="s">
        <v>271</v>
      </c>
      <c r="P1654" s="1" t="s">
        <v>6967</v>
      </c>
    </row>
    <row r="1655" spans="1:17" x14ac:dyDescent="0.25">
      <c r="A1655" t="s">
        <v>6968</v>
      </c>
      <c r="B1655" t="str">
        <f>HYPERLINK("https://staging-dtl-pattern-api.hfm-weimar.de/static/audio/solos/dtl/AQAWBgqz5JKyIJ_C44OOW1HFoT4-HVoj_0.00.39.060163-0.04.25.021832.mp3", "link")</f>
        <v>link</v>
      </c>
      <c r="D1655" t="s">
        <v>6969</v>
      </c>
      <c r="E1655" t="s">
        <v>5247</v>
      </c>
      <c r="F1655" t="s">
        <v>5247</v>
      </c>
      <c r="G1655" t="s">
        <v>5247</v>
      </c>
      <c r="J1655" t="s">
        <v>5248</v>
      </c>
      <c r="K1655" t="s">
        <v>6970</v>
      </c>
      <c r="L1655" s="1" t="s">
        <v>5250</v>
      </c>
      <c r="M1655" t="s">
        <v>5251</v>
      </c>
      <c r="N1655" t="s">
        <v>23</v>
      </c>
      <c r="O1655" s="1" t="s">
        <v>6971</v>
      </c>
      <c r="P1655" s="1" t="s">
        <v>6972</v>
      </c>
    </row>
    <row r="1656" spans="1:17" x14ac:dyDescent="0.25">
      <c r="A1656" t="s">
        <v>6973</v>
      </c>
      <c r="B1656" t="str">
        <f>HYPERLINK("https://staging-dtl-pattern-api.hfm-weimar.de/static/audio/solos/dtl/AQAWeFG6MUqUQTfuHUwewCfuIz3g44El_0.02.25.055428-0.04.48.039183.mp3", "link")</f>
        <v>link</v>
      </c>
      <c r="D1656" t="s">
        <v>7157</v>
      </c>
      <c r="E1656" t="s">
        <v>7156</v>
      </c>
      <c r="F1656" t="s">
        <v>4678</v>
      </c>
      <c r="G1656" t="s">
        <v>4678</v>
      </c>
      <c r="J1656" t="s">
        <v>6974</v>
      </c>
      <c r="K1656" t="s">
        <v>6975</v>
      </c>
      <c r="L1656" s="1" t="s">
        <v>6976</v>
      </c>
      <c r="M1656" t="s">
        <v>6977</v>
      </c>
      <c r="N1656" t="s">
        <v>288</v>
      </c>
      <c r="O1656" s="1" t="s">
        <v>6978</v>
      </c>
      <c r="P1656" s="1" t="s">
        <v>6979</v>
      </c>
      <c r="Q1656" s="1" t="s">
        <v>7349</v>
      </c>
    </row>
    <row r="1657" spans="1:17" x14ac:dyDescent="0.25">
      <c r="A1657" t="s">
        <v>6980</v>
      </c>
      <c r="B1657" t="str">
        <f>HYPERLINK("https://staging-dtl-pattern-api.hfm-weimar.de/static/audio/solos/dtl/AQAWeFG6MUqUQTfuHUwewCfuIz3g44El_0.06.59.090965-0.08.06.064380.mp3", "link")</f>
        <v>link</v>
      </c>
      <c r="D1657" t="s">
        <v>7157</v>
      </c>
      <c r="E1657" t="s">
        <v>7156</v>
      </c>
      <c r="F1657" t="s">
        <v>4678</v>
      </c>
      <c r="G1657" t="s">
        <v>4678</v>
      </c>
      <c r="J1657" t="s">
        <v>6974</v>
      </c>
      <c r="K1657" t="s">
        <v>6975</v>
      </c>
      <c r="L1657" s="1" t="s">
        <v>6976</v>
      </c>
      <c r="M1657" t="s">
        <v>6977</v>
      </c>
      <c r="N1657" t="s">
        <v>288</v>
      </c>
      <c r="O1657" s="1" t="s">
        <v>6981</v>
      </c>
      <c r="P1657" s="1" t="s">
        <v>6982</v>
      </c>
      <c r="Q1657" s="1" t="s">
        <v>7349</v>
      </c>
    </row>
    <row r="1658" spans="1:17" x14ac:dyDescent="0.25">
      <c r="A1658" t="s">
        <v>6983</v>
      </c>
      <c r="B1658" t="str">
        <f>HYPERLINK("https://staging-dtl-pattern-api.hfm-weimar.de/static/audio/solos/dtl/AQAWeFG6MUqUQTfuHUwewCfuIz3g44El_0.09.28.042448-0.11.44.020564.mp3", "link")</f>
        <v>link</v>
      </c>
      <c r="D1658" t="s">
        <v>7157</v>
      </c>
      <c r="E1658" t="s">
        <v>7156</v>
      </c>
      <c r="F1658" t="s">
        <v>4678</v>
      </c>
      <c r="G1658" t="s">
        <v>4678</v>
      </c>
      <c r="J1658" t="s">
        <v>6974</v>
      </c>
      <c r="K1658" t="s">
        <v>6975</v>
      </c>
      <c r="L1658" s="1" t="s">
        <v>6976</v>
      </c>
      <c r="M1658" t="s">
        <v>6977</v>
      </c>
      <c r="N1658" t="s">
        <v>288</v>
      </c>
      <c r="O1658" s="1" t="s">
        <v>6984</v>
      </c>
      <c r="P1658" s="1" t="s">
        <v>6985</v>
      </c>
      <c r="Q1658" s="1" t="s">
        <v>7349</v>
      </c>
    </row>
    <row r="1659" spans="1:17" x14ac:dyDescent="0.25">
      <c r="A1659" t="s">
        <v>6986</v>
      </c>
      <c r="B1659" t="str">
        <f>HYPERLINK("https://staging-dtl-pattern-api.hfm-weimar.de/static/audio/solos/dtl/AQAWqomWKJmUZFqgE3nRnOhD1FuOHKWP_0.04.53.030285-0.06.46.098775.mp3", "link")</f>
        <v>link</v>
      </c>
      <c r="D1659" t="s">
        <v>6987</v>
      </c>
      <c r="E1659" t="s">
        <v>6988</v>
      </c>
      <c r="F1659" t="s">
        <v>5444</v>
      </c>
      <c r="G1659" t="s">
        <v>5444</v>
      </c>
      <c r="J1659" t="s">
        <v>5675</v>
      </c>
      <c r="K1659" t="s">
        <v>5675</v>
      </c>
      <c r="L1659" s="1" t="s">
        <v>5677</v>
      </c>
      <c r="M1659" t="s">
        <v>2180</v>
      </c>
      <c r="N1659" t="s">
        <v>119</v>
      </c>
      <c r="O1659" s="1" t="s">
        <v>6989</v>
      </c>
      <c r="P1659" s="1" t="s">
        <v>6990</v>
      </c>
      <c r="Q1659" s="1" t="s">
        <v>7350</v>
      </c>
    </row>
    <row r="1660" spans="1:17" x14ac:dyDescent="0.25">
      <c r="A1660" t="s">
        <v>6991</v>
      </c>
      <c r="B1660" t="str">
        <f>HYPERLINK("https://staging-dtl-pattern-api.hfm-weimar.de/static/audio/solos/dtl/AQAWqomWKJmUZFqgE3nRnOhD1FuOHKWP_0.06.46.098775-0.08.38.026936.mp3", "link")</f>
        <v>link</v>
      </c>
      <c r="D1660" t="s">
        <v>6987</v>
      </c>
      <c r="E1660" t="s">
        <v>6992</v>
      </c>
      <c r="F1660" t="s">
        <v>5444</v>
      </c>
      <c r="G1660" t="s">
        <v>5444</v>
      </c>
      <c r="J1660" t="s">
        <v>5675</v>
      </c>
      <c r="K1660" t="s">
        <v>5675</v>
      </c>
      <c r="L1660" s="1" t="s">
        <v>5677</v>
      </c>
      <c r="M1660" t="s">
        <v>2180</v>
      </c>
      <c r="N1660" t="s">
        <v>449</v>
      </c>
      <c r="O1660" s="1" t="s">
        <v>6990</v>
      </c>
      <c r="P1660" s="1" t="s">
        <v>6993</v>
      </c>
    </row>
    <row r="1661" spans="1:17" x14ac:dyDescent="0.25">
      <c r="A1661" t="s">
        <v>6994</v>
      </c>
      <c r="B1661" t="str">
        <f>HYPERLINK("https://staging-dtl-pattern-api.hfm-weimar.de/static/audio/solos/dtl/AQAXjRGnZBElfD_iJyHY5VnQKhJHbDyu_0.00.00.000000-0.00.56.054058.mp3", "link")</f>
        <v>link</v>
      </c>
      <c r="D1661" t="s">
        <v>6995</v>
      </c>
      <c r="E1661" t="s">
        <v>6024</v>
      </c>
      <c r="F1661" t="s">
        <v>6024</v>
      </c>
      <c r="G1661" t="s">
        <v>6024</v>
      </c>
      <c r="J1661" t="s">
        <v>6996</v>
      </c>
      <c r="K1661" t="s">
        <v>6997</v>
      </c>
      <c r="L1661" s="1" t="s">
        <v>6998</v>
      </c>
      <c r="M1661" t="s">
        <v>2824</v>
      </c>
      <c r="N1661" t="s">
        <v>46</v>
      </c>
      <c r="O1661" s="1" t="s">
        <v>271</v>
      </c>
      <c r="P1661" s="1" t="s">
        <v>6999</v>
      </c>
    </row>
    <row r="1662" spans="1:17" x14ac:dyDescent="0.25">
      <c r="A1662" t="s">
        <v>7000</v>
      </c>
      <c r="B1662" t="str">
        <f>HYPERLINK("https://staging-dtl-pattern-api.hfm-weimar.de/static/audio/solos/dtl/AQAXjRGnZBElfD_iJyHY5VnQKhJHbDyu_0.02.50.049251-0.05.24.090521.mp3", "link")</f>
        <v>link</v>
      </c>
      <c r="D1662" t="s">
        <v>6995</v>
      </c>
      <c r="E1662" t="s">
        <v>6024</v>
      </c>
      <c r="F1662" t="s">
        <v>6024</v>
      </c>
      <c r="G1662" t="s">
        <v>6024</v>
      </c>
      <c r="J1662" t="s">
        <v>6996</v>
      </c>
      <c r="K1662" t="s">
        <v>6997</v>
      </c>
      <c r="L1662" s="1" t="s">
        <v>6998</v>
      </c>
      <c r="M1662" t="s">
        <v>2824</v>
      </c>
      <c r="N1662" t="s">
        <v>46</v>
      </c>
      <c r="O1662" s="1" t="s">
        <v>7001</v>
      </c>
      <c r="P1662" s="1" t="s">
        <v>7002</v>
      </c>
    </row>
    <row r="1663" spans="1:17" x14ac:dyDescent="0.25">
      <c r="A1663" t="s">
        <v>7003</v>
      </c>
      <c r="B1663" t="str">
        <f>HYPERLINK("https://staging-dtl-pattern-api.hfm-weimar.de/static/audio/solos/dtl/AQAXjRGnZBElfD_iJyHY5VnQKhJHbDyu_0.05.24.090521-0.07.52.035192.mp3", "link")</f>
        <v>link</v>
      </c>
      <c r="D1663" t="s">
        <v>6995</v>
      </c>
      <c r="E1663" t="s">
        <v>7004</v>
      </c>
      <c r="F1663" t="s">
        <v>6024</v>
      </c>
      <c r="G1663" t="s">
        <v>6024</v>
      </c>
      <c r="J1663" t="s">
        <v>6996</v>
      </c>
      <c r="K1663" t="s">
        <v>6997</v>
      </c>
      <c r="L1663" s="1" t="s">
        <v>6998</v>
      </c>
      <c r="M1663" t="s">
        <v>2824</v>
      </c>
      <c r="N1663" t="s">
        <v>23</v>
      </c>
      <c r="O1663" s="1" t="s">
        <v>7002</v>
      </c>
      <c r="P1663" s="1" t="s">
        <v>7005</v>
      </c>
    </row>
    <row r="1664" spans="1:17" x14ac:dyDescent="0.25">
      <c r="A1664" t="s">
        <v>7006</v>
      </c>
      <c r="B1664" t="str">
        <f>HYPERLINK("https://staging-dtl-pattern-api.hfm-weimar.de/static/audio/solos/dtl/AQAYbGOSKEkShZGCc8OFX-jUHh6zJ7iP_0.01.49.096970-0.02.37.066873.mp3", "link")</f>
        <v>link</v>
      </c>
      <c r="D1664" t="s">
        <v>7007</v>
      </c>
      <c r="E1664" t="s">
        <v>2413</v>
      </c>
      <c r="F1664" t="s">
        <v>2413</v>
      </c>
      <c r="J1664" t="s">
        <v>7008</v>
      </c>
      <c r="K1664" t="s">
        <v>7009</v>
      </c>
      <c r="L1664" s="1" t="s">
        <v>7010</v>
      </c>
      <c r="M1664" t="s">
        <v>129</v>
      </c>
      <c r="N1664" t="s">
        <v>3348</v>
      </c>
      <c r="O1664" s="1" t="s">
        <v>2066</v>
      </c>
      <c r="P1664" s="1" t="s">
        <v>7011</v>
      </c>
    </row>
    <row r="1665" spans="1:16" x14ac:dyDescent="0.25">
      <c r="A1665" t="s">
        <v>7012</v>
      </c>
      <c r="B1665" t="str">
        <f>HYPERLINK("https://staging-dtl-pattern-api.hfm-weimar.de/static/audio/solos/dtl/AQAYbGOSKEkShZGCc8OFX-jUHh6zJ7iP_0.03.06.063038-0.04.36.078185.mp3", "link")</f>
        <v>link</v>
      </c>
      <c r="C1665" t="s">
        <v>7013</v>
      </c>
      <c r="D1665" t="s">
        <v>7007</v>
      </c>
      <c r="F1665" t="s">
        <v>2413</v>
      </c>
      <c r="J1665" t="s">
        <v>7008</v>
      </c>
      <c r="K1665" t="s">
        <v>7009</v>
      </c>
      <c r="L1665" s="1" t="s">
        <v>7010</v>
      </c>
      <c r="M1665" t="s">
        <v>129</v>
      </c>
      <c r="N1665" t="s">
        <v>23</v>
      </c>
      <c r="O1665" s="1" t="s">
        <v>7014</v>
      </c>
      <c r="P1665" s="1" t="s">
        <v>7015</v>
      </c>
    </row>
    <row r="1666" spans="1:16" x14ac:dyDescent="0.25">
      <c r="A1666" t="s">
        <v>7016</v>
      </c>
      <c r="B1666" t="str">
        <f>HYPERLINK("https://staging-dtl-pattern-api.hfm-weimar.de/static/audio/solos/dtl/AQAYbGOSKEkShZGCc8OFX-jUHh6zJ7iP_0.04.36.078185-0.06.01.007029.mp3", "link")</f>
        <v>link</v>
      </c>
      <c r="C1666" t="s">
        <v>7017</v>
      </c>
      <c r="D1666" t="s">
        <v>7007</v>
      </c>
      <c r="F1666" t="s">
        <v>2413</v>
      </c>
      <c r="J1666" t="s">
        <v>7008</v>
      </c>
      <c r="K1666" t="s">
        <v>7009</v>
      </c>
      <c r="L1666" s="1" t="s">
        <v>7010</v>
      </c>
      <c r="M1666" t="s">
        <v>129</v>
      </c>
      <c r="N1666" t="s">
        <v>202</v>
      </c>
      <c r="O1666" s="1" t="s">
        <v>7015</v>
      </c>
      <c r="P1666" s="1" t="s">
        <v>7018</v>
      </c>
    </row>
    <row r="1667" spans="1:16" x14ac:dyDescent="0.25">
      <c r="A1667" t="s">
        <v>7019</v>
      </c>
      <c r="B1667" t="str">
        <f>HYPERLINK("https://staging-dtl-pattern-api.hfm-weimar.de/static/audio/solos/dtl/AQAYbGOSKEkShZGCc8OFX-jUHh6zJ7iP_0.06.38.003646-0.08.17.023210.mp3", "link")</f>
        <v>link</v>
      </c>
      <c r="C1667" t="s">
        <v>7020</v>
      </c>
      <c r="D1667" t="s">
        <v>7007</v>
      </c>
      <c r="F1667" t="s">
        <v>2413</v>
      </c>
      <c r="J1667" t="s">
        <v>7008</v>
      </c>
      <c r="K1667" t="s">
        <v>7009</v>
      </c>
      <c r="L1667" s="1" t="s">
        <v>7010</v>
      </c>
      <c r="M1667" t="s">
        <v>129</v>
      </c>
      <c r="N1667" t="s">
        <v>172</v>
      </c>
      <c r="O1667" s="1" t="s">
        <v>7021</v>
      </c>
      <c r="P1667" s="1" t="s">
        <v>7022</v>
      </c>
    </row>
    <row r="1668" spans="1:16" x14ac:dyDescent="0.25">
      <c r="A1668" t="s">
        <v>7023</v>
      </c>
      <c r="B1668" t="str">
        <f>HYPERLINK("https://staging-dtl-pattern-api.hfm-weimar.de/static/audio/solos/dtl/AQAYiYvCkKTwg2-PPjSOyVSCNzgfIR60_0.02.38.059229-0.06.37.071138.mp3", "link")</f>
        <v>link</v>
      </c>
      <c r="D1668" t="s">
        <v>7024</v>
      </c>
      <c r="E1668" t="s">
        <v>2820</v>
      </c>
      <c r="F1668" t="s">
        <v>2983</v>
      </c>
      <c r="J1668" t="s">
        <v>7025</v>
      </c>
      <c r="K1668" t="s">
        <v>7026</v>
      </c>
      <c r="L1668" s="1" t="s">
        <v>7027</v>
      </c>
      <c r="M1668" t="s">
        <v>22</v>
      </c>
      <c r="N1668" t="s">
        <v>23</v>
      </c>
      <c r="O1668" s="1" t="s">
        <v>7028</v>
      </c>
      <c r="P1668" s="1" t="s">
        <v>7029</v>
      </c>
    </row>
    <row r="1669" spans="1:16" x14ac:dyDescent="0.25">
      <c r="A1669" t="s">
        <v>7030</v>
      </c>
      <c r="B1669" t="str">
        <f>HYPERLINK("https://staging-dtl-pattern-api.hfm-weimar.de/static/audio/solos/dtl/AQAYN1I8Jco0BXmPZH5wbkZXwumUo1ce_0.00.52.063963-0.05.25.075274.mp3", "link")</f>
        <v>link</v>
      </c>
      <c r="D1669" t="s">
        <v>17</v>
      </c>
      <c r="E1669" t="s">
        <v>18</v>
      </c>
      <c r="F1669" t="s">
        <v>18</v>
      </c>
      <c r="G1669" t="s">
        <v>18</v>
      </c>
      <c r="J1669" t="s">
        <v>19</v>
      </c>
      <c r="K1669" t="s">
        <v>7031</v>
      </c>
      <c r="L1669" s="1" t="s">
        <v>21</v>
      </c>
      <c r="M1669" t="s">
        <v>22</v>
      </c>
      <c r="N1669" t="s">
        <v>23</v>
      </c>
      <c r="O1669" s="1" t="s">
        <v>7032</v>
      </c>
      <c r="P1669" s="1" t="s">
        <v>7033</v>
      </c>
    </row>
    <row r="1670" spans="1:16" x14ac:dyDescent="0.25">
      <c r="A1670" t="s">
        <v>7034</v>
      </c>
      <c r="B1670" t="str">
        <f>HYPERLINK("https://staging-dtl-pattern-api.hfm-weimar.de/static/audio/solos/dtl/AQAYN1I8Jco0BXmPZH5wbkZXwumUo1ce_0.09.40.059755-0.09.54.018122.mp3", "link")</f>
        <v>link</v>
      </c>
      <c r="D1670" t="s">
        <v>17</v>
      </c>
      <c r="E1670" t="s">
        <v>18</v>
      </c>
      <c r="F1670" t="s">
        <v>18</v>
      </c>
      <c r="G1670" t="s">
        <v>18</v>
      </c>
      <c r="J1670" t="s">
        <v>19</v>
      </c>
      <c r="K1670" t="s">
        <v>7031</v>
      </c>
      <c r="L1670" s="1" t="s">
        <v>21</v>
      </c>
      <c r="M1670" t="s">
        <v>22</v>
      </c>
      <c r="N1670" t="s">
        <v>23</v>
      </c>
      <c r="O1670" s="1" t="s">
        <v>7035</v>
      </c>
      <c r="P1670" s="1" t="s">
        <v>7036</v>
      </c>
    </row>
    <row r="1671" spans="1:16" x14ac:dyDescent="0.25">
      <c r="A1671" t="s">
        <v>7037</v>
      </c>
      <c r="B1671" t="str">
        <f>HYPERLINK("https://staging-dtl-pattern-api.hfm-weimar.de/static/audio/solos/dtl/AQAYN1I8Jco0BXmPZH5wbkZXwumUo1ce_0.10.07.016408-0.10.21.029632.mp3", "link")</f>
        <v>link</v>
      </c>
      <c r="D1671" t="s">
        <v>17</v>
      </c>
      <c r="E1671" t="s">
        <v>18</v>
      </c>
      <c r="F1671" t="s">
        <v>18</v>
      </c>
      <c r="G1671" t="s">
        <v>18</v>
      </c>
      <c r="J1671" t="s">
        <v>19</v>
      </c>
      <c r="K1671" t="s">
        <v>7031</v>
      </c>
      <c r="L1671" s="1" t="s">
        <v>21</v>
      </c>
      <c r="M1671" t="s">
        <v>22</v>
      </c>
      <c r="N1671" t="s">
        <v>23</v>
      </c>
      <c r="O1671" s="1" t="s">
        <v>7038</v>
      </c>
      <c r="P1671" s="1" t="s">
        <v>7039</v>
      </c>
    </row>
    <row r="1672" spans="1:16" x14ac:dyDescent="0.25">
      <c r="A1672" t="s">
        <v>7040</v>
      </c>
      <c r="B1672" t="str">
        <f>HYPERLINK("https://staging-dtl-pattern-api.hfm-weimar.de/static/audio/solos/dtl/AQAYN1I8Jco0BXmPZH5wbkZXwumUo1ce_0.10.34.014857-0.10.47.066258.mp3", "link")</f>
        <v>link</v>
      </c>
      <c r="D1672" t="s">
        <v>17</v>
      </c>
      <c r="E1672" t="s">
        <v>18</v>
      </c>
      <c r="F1672" t="s">
        <v>18</v>
      </c>
      <c r="G1672" t="s">
        <v>18</v>
      </c>
      <c r="J1672" t="s">
        <v>19</v>
      </c>
      <c r="K1672" t="s">
        <v>7031</v>
      </c>
      <c r="L1672" s="1" t="s">
        <v>21</v>
      </c>
      <c r="M1672" t="s">
        <v>22</v>
      </c>
      <c r="N1672" t="s">
        <v>23</v>
      </c>
      <c r="O1672" s="1" t="s">
        <v>7041</v>
      </c>
      <c r="P1672" s="1" t="s">
        <v>7042</v>
      </c>
    </row>
    <row r="1673" spans="1:16" x14ac:dyDescent="0.25">
      <c r="A1673" t="s">
        <v>7043</v>
      </c>
      <c r="B1673" t="str">
        <f>HYPERLINK("https://staging-dtl-pattern-api.hfm-weimar.de/static/audio/solos/dtl/AQAYN1I8Jco0BXmPZH5wbkZXwumUo1ce_0.11.00.058448-0.11.05.094829.mp3", "link")</f>
        <v>link</v>
      </c>
      <c r="D1673" t="s">
        <v>17</v>
      </c>
      <c r="E1673" t="s">
        <v>18</v>
      </c>
      <c r="F1673" t="s">
        <v>18</v>
      </c>
      <c r="G1673" t="s">
        <v>18</v>
      </c>
      <c r="J1673" t="s">
        <v>19</v>
      </c>
      <c r="K1673" t="s">
        <v>7031</v>
      </c>
      <c r="L1673" s="1" t="s">
        <v>21</v>
      </c>
      <c r="M1673" t="s">
        <v>22</v>
      </c>
      <c r="N1673" t="s">
        <v>23</v>
      </c>
      <c r="O1673" s="1" t="s">
        <v>7044</v>
      </c>
      <c r="P1673" s="1" t="s">
        <v>7045</v>
      </c>
    </row>
    <row r="1674" spans="1:16" x14ac:dyDescent="0.25">
      <c r="A1674" t="s">
        <v>7046</v>
      </c>
      <c r="B1674" t="str">
        <f>HYPERLINK("https://staging-dtl-pattern-api.hfm-weimar.de/static/audio/solos/dtl/AQAYN1I8Jco0BXmPZH5wbkZXwumUo1ce_0.11.14.072544-0.11.18.090503.mp3", "link")</f>
        <v>link</v>
      </c>
      <c r="D1674" t="s">
        <v>17</v>
      </c>
      <c r="E1674" t="s">
        <v>18</v>
      </c>
      <c r="F1674" t="s">
        <v>18</v>
      </c>
      <c r="G1674" t="s">
        <v>18</v>
      </c>
      <c r="J1674" t="s">
        <v>19</v>
      </c>
      <c r="K1674" t="s">
        <v>7031</v>
      </c>
      <c r="L1674" s="1" t="s">
        <v>21</v>
      </c>
      <c r="M1674" t="s">
        <v>22</v>
      </c>
      <c r="N1674" t="s">
        <v>23</v>
      </c>
      <c r="O1674" s="1" t="s">
        <v>7047</v>
      </c>
      <c r="P1674" s="1" t="s">
        <v>7048</v>
      </c>
    </row>
    <row r="1675" spans="1:16" x14ac:dyDescent="0.25">
      <c r="A1675" t="s">
        <v>7049</v>
      </c>
      <c r="B1675" t="str">
        <f>HYPERLINK("https://staging-dtl-pattern-api.hfm-weimar.de/static/audio/solos/dtl/AQAYpouYjFF0ZFWPdtmR8AI84pmCw8dD_0.02.07.024825-0.04.43.008317.mp3", "link")</f>
        <v>link</v>
      </c>
      <c r="C1675" t="s">
        <v>6282</v>
      </c>
      <c r="D1675" t="s">
        <v>7050</v>
      </c>
      <c r="F1675" t="s">
        <v>6274</v>
      </c>
      <c r="G1675" t="s">
        <v>6274</v>
      </c>
      <c r="J1675" t="s">
        <v>6275</v>
      </c>
      <c r="K1675" t="s">
        <v>4531</v>
      </c>
      <c r="L1675" s="1" t="s">
        <v>6277</v>
      </c>
      <c r="M1675" t="s">
        <v>6278</v>
      </c>
      <c r="N1675" t="s">
        <v>23</v>
      </c>
      <c r="O1675" s="1" t="s">
        <v>7051</v>
      </c>
      <c r="P1675" s="1" t="s">
        <v>7052</v>
      </c>
    </row>
    <row r="1676" spans="1:16" x14ac:dyDescent="0.25">
      <c r="A1676" t="s">
        <v>7053</v>
      </c>
      <c r="B1676" t="str">
        <f>HYPERLINK("https://staging-dtl-pattern-api.hfm-weimar.de/static/audio/solos/dtl/AQAYpouYjFF0ZFWPdtmR8AI84pmCw8dD_0.05.08.086603-0.05.28.035047.mp3", "link")</f>
        <v>link</v>
      </c>
      <c r="C1676" t="s">
        <v>6282</v>
      </c>
      <c r="D1676" t="s">
        <v>7050</v>
      </c>
      <c r="F1676" t="s">
        <v>6274</v>
      </c>
      <c r="G1676" t="s">
        <v>6274</v>
      </c>
      <c r="J1676" t="s">
        <v>6275</v>
      </c>
      <c r="K1676" t="s">
        <v>4531</v>
      </c>
      <c r="L1676" s="1" t="s">
        <v>6277</v>
      </c>
      <c r="M1676" t="s">
        <v>6278</v>
      </c>
      <c r="N1676" t="s">
        <v>23</v>
      </c>
      <c r="O1676" s="1" t="s">
        <v>7054</v>
      </c>
      <c r="P1676" s="1" t="s">
        <v>7055</v>
      </c>
    </row>
    <row r="1677" spans="1:16" x14ac:dyDescent="0.25">
      <c r="A1677" t="s">
        <v>7056</v>
      </c>
      <c r="B1677" t="str">
        <f>HYPERLINK("https://staging-dtl-pattern-api.hfm-weimar.de/static/audio/solos/dtl/AQAYpouYjFF0ZFWPdtmR8AI84pmCw8dD_0.05.28.035047-0.08.01.052380.mp3", "link")</f>
        <v>link</v>
      </c>
      <c r="D1677" t="s">
        <v>7050</v>
      </c>
      <c r="E1677" t="s">
        <v>6273</v>
      </c>
      <c r="F1677" t="s">
        <v>6274</v>
      </c>
      <c r="G1677" t="s">
        <v>6274</v>
      </c>
      <c r="J1677" t="s">
        <v>6275</v>
      </c>
      <c r="K1677" t="s">
        <v>4531</v>
      </c>
      <c r="L1677" s="1" t="s">
        <v>6277</v>
      </c>
      <c r="M1677" t="s">
        <v>6278</v>
      </c>
      <c r="N1677" t="s">
        <v>46</v>
      </c>
      <c r="O1677" s="1" t="s">
        <v>7055</v>
      </c>
      <c r="P1677" s="1" t="s">
        <v>7057</v>
      </c>
    </row>
    <row r="1678" spans="1:16" x14ac:dyDescent="0.25">
      <c r="A1678" t="s">
        <v>7058</v>
      </c>
      <c r="B1678" t="str">
        <f>HYPERLINK("https://staging-dtl-pattern-api.hfm-weimar.de/static/audio/solos/dtl/AQAYpouYjFF0ZFWPdtmR8AI84pmCw8dD_0.08.26.094095-0.08.45.077523.mp3", "link")</f>
        <v>link</v>
      </c>
      <c r="D1678" t="s">
        <v>7050</v>
      </c>
      <c r="E1678" t="s">
        <v>6273</v>
      </c>
      <c r="F1678" t="s">
        <v>6274</v>
      </c>
      <c r="G1678" t="s">
        <v>6274</v>
      </c>
      <c r="J1678" t="s">
        <v>6275</v>
      </c>
      <c r="K1678" t="s">
        <v>4531</v>
      </c>
      <c r="L1678" s="1" t="s">
        <v>6277</v>
      </c>
      <c r="M1678" t="s">
        <v>6278</v>
      </c>
      <c r="N1678" t="s">
        <v>46</v>
      </c>
      <c r="O1678" s="1" t="s">
        <v>7059</v>
      </c>
      <c r="P1678" s="1" t="s">
        <v>7060</v>
      </c>
    </row>
    <row r="1679" spans="1:16" x14ac:dyDescent="0.25">
      <c r="A1679" t="s">
        <v>7061</v>
      </c>
      <c r="B1679" t="str">
        <f>HYPERLINK("https://staging-dtl-pattern-api.hfm-weimar.de/static/audio/solos/dtl/AQAZ_pISJ8vCBGdCPEoeXEJzlOGDyyme_0.00.00.000000-0.00.32.052244.mp3", "link")</f>
        <v>link</v>
      </c>
      <c r="D1679" t="s">
        <v>1054</v>
      </c>
      <c r="E1679" t="s">
        <v>1055</v>
      </c>
      <c r="F1679" t="s">
        <v>1055</v>
      </c>
      <c r="G1679" t="s">
        <v>1055</v>
      </c>
      <c r="J1679" t="s">
        <v>1056</v>
      </c>
      <c r="K1679" t="s">
        <v>7062</v>
      </c>
      <c r="L1679" s="1" t="s">
        <v>1058</v>
      </c>
      <c r="M1679" t="s">
        <v>1059</v>
      </c>
      <c r="N1679" t="s">
        <v>202</v>
      </c>
      <c r="O1679" s="1" t="s">
        <v>271</v>
      </c>
      <c r="P1679" s="1" t="s">
        <v>7063</v>
      </c>
    </row>
    <row r="1680" spans="1:16" x14ac:dyDescent="0.25">
      <c r="A1680" t="s">
        <v>7064</v>
      </c>
      <c r="B1680" t="str">
        <f>HYPERLINK("https://staging-dtl-pattern-api.hfm-weimar.de/static/audio/solos/dtl/AQAZ_pISJ8vCBGdCPEoeXEJzlOGDyyme_0.02.39.019600-0.05.50.034267.mp3", "link")</f>
        <v>link</v>
      </c>
      <c r="D1680" t="s">
        <v>1054</v>
      </c>
      <c r="E1680" t="s">
        <v>1055</v>
      </c>
      <c r="F1680" t="s">
        <v>1055</v>
      </c>
      <c r="G1680" t="s">
        <v>1055</v>
      </c>
      <c r="J1680" t="s">
        <v>1056</v>
      </c>
      <c r="K1680" t="s">
        <v>7062</v>
      </c>
      <c r="L1680" s="1" t="s">
        <v>1058</v>
      </c>
      <c r="M1680" t="s">
        <v>1059</v>
      </c>
      <c r="N1680" t="s">
        <v>202</v>
      </c>
      <c r="O1680" s="1" t="s">
        <v>7065</v>
      </c>
      <c r="P1680" s="1" t="s">
        <v>7066</v>
      </c>
    </row>
    <row r="1681" spans="1:17" x14ac:dyDescent="0.25">
      <c r="A1681" t="s">
        <v>7067</v>
      </c>
      <c r="B1681" t="str">
        <f>HYPERLINK("https://staging-dtl-pattern-api.hfm-weimar.de/static/audio/solos/dtl/AQAZ_pISJ8vCBGdCPEoeXEJzlOGDyyme_0.11.18.092244-0.12.10.059265.mp3", "link")</f>
        <v>link</v>
      </c>
      <c r="D1681" t="s">
        <v>1054</v>
      </c>
      <c r="E1681" t="s">
        <v>1055</v>
      </c>
      <c r="F1681" t="s">
        <v>1055</v>
      </c>
      <c r="G1681" t="s">
        <v>1055</v>
      </c>
      <c r="J1681" t="s">
        <v>1056</v>
      </c>
      <c r="K1681" t="s">
        <v>7062</v>
      </c>
      <c r="L1681" s="1" t="s">
        <v>1058</v>
      </c>
      <c r="M1681" t="s">
        <v>1059</v>
      </c>
      <c r="N1681" t="s">
        <v>202</v>
      </c>
      <c r="O1681" s="1" t="s">
        <v>7068</v>
      </c>
      <c r="P1681" s="1" t="s">
        <v>7069</v>
      </c>
    </row>
    <row r="1682" spans="1:17" x14ac:dyDescent="0.25">
      <c r="A1682" t="s">
        <v>7070</v>
      </c>
      <c r="B1682" t="str">
        <f>HYPERLINK("https://staging-dtl-pattern-api.hfm-weimar.de/static/audio/solos/dtl/AQAZCaKUJAkTUpgv4REPjjAX_Diaog-L_0.08.44.053877-0.10.39.038467.mp3", "link")</f>
        <v>link</v>
      </c>
      <c r="D1682" t="s">
        <v>7071</v>
      </c>
      <c r="E1682" t="s">
        <v>6273</v>
      </c>
      <c r="F1682" t="s">
        <v>6274</v>
      </c>
      <c r="G1682" t="s">
        <v>6274</v>
      </c>
      <c r="J1682" t="s">
        <v>6275</v>
      </c>
      <c r="K1682" t="s">
        <v>7072</v>
      </c>
      <c r="L1682" s="1" t="s">
        <v>6277</v>
      </c>
      <c r="M1682" t="s">
        <v>6278</v>
      </c>
      <c r="N1682" t="s">
        <v>46</v>
      </c>
      <c r="O1682" s="1" t="s">
        <v>7073</v>
      </c>
      <c r="P1682" s="1" t="s">
        <v>7074</v>
      </c>
    </row>
    <row r="1683" spans="1:17" x14ac:dyDescent="0.25">
      <c r="A1683" t="s">
        <v>7075</v>
      </c>
      <c r="B1683" s="3" t="str">
        <f>HYPERLINK("https://staging-dtl-pattern-api.hfm-weimar.de/static/audio/solos/dtl/AQAZdBGlSOYSnNCJZoX2HR-T5NAWH9fR_0.01.32.047346-0.05.33.058367.mp3", "link")</f>
        <v>link</v>
      </c>
      <c r="C1683" s="3" t="s">
        <v>7159</v>
      </c>
      <c r="D1683" s="3" t="s">
        <v>7158</v>
      </c>
      <c r="E1683" s="3" t="s">
        <v>18</v>
      </c>
      <c r="F1683" s="3" t="s">
        <v>2375</v>
      </c>
      <c r="G1683" s="3"/>
      <c r="H1683" s="3"/>
      <c r="I1683" s="3"/>
      <c r="J1683" s="3" t="s">
        <v>1465</v>
      </c>
      <c r="K1683" s="3" t="s">
        <v>7076</v>
      </c>
      <c r="L1683" s="4" t="s">
        <v>2377</v>
      </c>
      <c r="M1683" s="3" t="s">
        <v>7077</v>
      </c>
      <c r="N1683" s="3" t="s">
        <v>23</v>
      </c>
      <c r="O1683" s="4" t="s">
        <v>7078</v>
      </c>
      <c r="P1683" s="4" t="s">
        <v>7079</v>
      </c>
      <c r="Q1683" s="4" t="s">
        <v>7359</v>
      </c>
    </row>
    <row r="1684" spans="1:17" x14ac:dyDescent="0.25">
      <c r="A1684" t="s">
        <v>7080</v>
      </c>
      <c r="B1684" t="str">
        <f>HYPERLINK("https://staging-dtl-pattern-api.hfm-weimar.de/static/audio/solos/dtl/AQAZdBGlSOYSnNCJZoX2HR-T5NAWH9fR_0.05.33.058367-0.08.32.032507.mp3", "link")</f>
        <v>link</v>
      </c>
      <c r="D1684" t="s">
        <v>7158</v>
      </c>
      <c r="E1684" t="s">
        <v>2375</v>
      </c>
      <c r="F1684" t="s">
        <v>2375</v>
      </c>
      <c r="J1684" t="s">
        <v>1465</v>
      </c>
      <c r="K1684" t="s">
        <v>7076</v>
      </c>
      <c r="L1684" s="1" t="s">
        <v>2377</v>
      </c>
      <c r="M1684" t="s">
        <v>7077</v>
      </c>
      <c r="N1684" t="s">
        <v>23</v>
      </c>
      <c r="O1684" s="1" t="s">
        <v>7079</v>
      </c>
      <c r="P1684" s="1" t="s">
        <v>6527</v>
      </c>
      <c r="Q1684" s="1" t="s">
        <v>7360</v>
      </c>
    </row>
    <row r="1685" spans="1:17" x14ac:dyDescent="0.25">
      <c r="A1685" t="s">
        <v>7081</v>
      </c>
      <c r="B1685" t="str">
        <f>HYPERLINK("https://staging-dtl-pattern-api.hfm-weimar.de/static/audio/solos/dtl/AQAZdBGlSOYSnNCJZoX2HR-T5NAWH9fR_0.10.04.083337-0.10.59.026095.mp3", "link")</f>
        <v>link</v>
      </c>
      <c r="D1685" t="s">
        <v>7158</v>
      </c>
      <c r="E1685" t="s">
        <v>18</v>
      </c>
      <c r="F1685" t="s">
        <v>2375</v>
      </c>
      <c r="J1685" t="s">
        <v>1465</v>
      </c>
      <c r="K1685" t="s">
        <v>7076</v>
      </c>
      <c r="L1685" s="1" t="s">
        <v>2377</v>
      </c>
      <c r="M1685" t="s">
        <v>7077</v>
      </c>
      <c r="N1685" t="s">
        <v>23</v>
      </c>
      <c r="O1685" s="1" t="s">
        <v>7082</v>
      </c>
      <c r="P1685" s="1" t="s">
        <v>7083</v>
      </c>
      <c r="Q1685" s="1" t="s">
        <v>7351</v>
      </c>
    </row>
    <row r="1686" spans="1:17" x14ac:dyDescent="0.25">
      <c r="A1686" t="s">
        <v>7084</v>
      </c>
      <c r="B1686" t="str">
        <f>HYPERLINK("https://staging-dtl-pattern-api.hfm-weimar.de/static/audio/solos/dtl/AQAZdBGlSOYSnNCJZoX2HR-T5NAWH9fR_0.11.34.007346-0.12.37.015918.mp3", "link")</f>
        <v>link</v>
      </c>
      <c r="D1686" t="s">
        <v>7158</v>
      </c>
      <c r="E1686" t="s">
        <v>2375</v>
      </c>
      <c r="F1686" t="s">
        <v>2375</v>
      </c>
      <c r="J1686" t="s">
        <v>1465</v>
      </c>
      <c r="K1686" t="s">
        <v>7076</v>
      </c>
      <c r="L1686" s="1" t="s">
        <v>2377</v>
      </c>
      <c r="M1686" t="s">
        <v>7077</v>
      </c>
      <c r="N1686" t="s">
        <v>23</v>
      </c>
      <c r="O1686" s="1" t="s">
        <v>7085</v>
      </c>
      <c r="P1686" s="1" t="s">
        <v>7086</v>
      </c>
      <c r="Q1686" s="1" t="s">
        <v>7360</v>
      </c>
    </row>
  </sheetData>
  <pageMargins left="0.78749999999999998" right="0.78749999999999998" top="1.0249999999999999" bottom="1.0249999999999999" header="0.78749999999999998" footer="0.78749999999999998"/>
  <pageSetup paperSize="9" orientation="portrait" useFirstPageNumber="1"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dtl_metadata_with_link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2020-06-04T05:36:20Z</dcterms:created>
  <dcterms:modified xsi:type="dcterms:W3CDTF">2020-06-04T05:36:21Z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2020-05-22T18:47:44Z</dcterms:modified>
  <cp:revision>10</cp:revision>
  <dc:subject/>
  <dc:title/>
</cp:coreProperties>
</file>