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imon\Downloads\"/>
    </mc:Choice>
  </mc:AlternateContent>
  <xr:revisionPtr revIDLastSave="0" documentId="8_{865B4C83-3A25-4C4D-9C40-B31A733FA134}" xr6:coauthVersionLast="47" xr6:coauthVersionMax="47" xr10:uidLastSave="{00000000-0000-0000-0000-000000000000}"/>
  <bookViews>
    <workbookView xWindow="-120" yWindow="-120" windowWidth="38640" windowHeight="15720" activeTab="6" xr2:uid="{00000000-000D-0000-FFFF-FFFF00000000}"/>
  </bookViews>
  <sheets>
    <sheet name="Data Entry" sheetId="9" r:id="rId1"/>
    <sheet name="DataTable" sheetId="6" r:id="rId2"/>
    <sheet name="NPV" sheetId="18" r:id="rId3"/>
    <sheet name="Profit" sheetId="17" r:id="rId4"/>
    <sheet name="Tickets" sheetId="16" r:id="rId5"/>
    <sheet name="Potential Lost" sheetId="14" r:id="rId6"/>
    <sheet name="Dashboard" sheetId="13" r:id="rId7"/>
  </sheets>
  <definedNames>
    <definedName name="DEMAND">Table3[#All]</definedName>
    <definedName name="Slicer_Years">#N/A</definedName>
  </definedNames>
  <calcPr calcId="191028"/>
  <pivotCaches>
    <pivotCache cacheId="17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6" l="1"/>
  <c r="Q4" i="6"/>
  <c r="Q2" i="6"/>
  <c r="F4" i="9"/>
  <c r="K3" i="6"/>
  <c r="K4" i="6"/>
  <c r="K34" i="6"/>
  <c r="K35" i="6"/>
  <c r="K36" i="6"/>
  <c r="K37" i="6"/>
  <c r="K46" i="6"/>
  <c r="K47" i="6"/>
  <c r="K48" i="6"/>
  <c r="K49" i="6"/>
  <c r="K58" i="6"/>
  <c r="K59" i="6"/>
  <c r="K60" i="6"/>
  <c r="K61" i="6"/>
  <c r="K70" i="6"/>
  <c r="K71" i="6"/>
  <c r="K72" i="6"/>
  <c r="K73" i="6"/>
  <c r="K82" i="6"/>
  <c r="K83" i="6"/>
  <c r="K84" i="6"/>
  <c r="K85" i="6"/>
  <c r="K94" i="6"/>
  <c r="K95" i="6"/>
  <c r="K96" i="6"/>
  <c r="K97" i="6"/>
  <c r="K106" i="6"/>
  <c r="K107" i="6"/>
  <c r="K108" i="6"/>
  <c r="K109" i="6"/>
  <c r="K118" i="6"/>
  <c r="K119" i="6"/>
  <c r="K120" i="6"/>
  <c r="K121" i="6"/>
  <c r="K130" i="6"/>
  <c r="K131" i="6"/>
  <c r="K132" i="6"/>
  <c r="K133" i="6"/>
  <c r="K142" i="6"/>
  <c r="K143" i="6"/>
  <c r="K144" i="6"/>
  <c r="K145" i="6"/>
  <c r="K2" i="6"/>
  <c r="N3" i="6"/>
  <c r="N4" i="6"/>
  <c r="N5" i="6"/>
  <c r="N6" i="6"/>
  <c r="N7" i="6"/>
  <c r="N8" i="6"/>
  <c r="N9" i="6"/>
  <c r="N10" i="6"/>
  <c r="O10" i="6" s="1"/>
  <c r="P10" i="6" s="1"/>
  <c r="N11" i="6"/>
  <c r="O11" i="6" s="1"/>
  <c r="P11" i="6" s="1"/>
  <c r="N12" i="6"/>
  <c r="N13" i="6"/>
  <c r="O13" i="6" s="1"/>
  <c r="P13" i="6" s="1"/>
  <c r="N14" i="6"/>
  <c r="N15" i="6"/>
  <c r="N16" i="6"/>
  <c r="N17" i="6"/>
  <c r="N18" i="6"/>
  <c r="N19" i="6"/>
  <c r="N20" i="6"/>
  <c r="N21" i="6"/>
  <c r="N22" i="6"/>
  <c r="O22" i="6" s="1"/>
  <c r="P22" i="6" s="1"/>
  <c r="N23" i="6"/>
  <c r="O23" i="6" s="1"/>
  <c r="P23" i="6" s="1"/>
  <c r="N24" i="6"/>
  <c r="O24" i="6" s="1"/>
  <c r="P24" i="6" s="1"/>
  <c r="N25" i="6"/>
  <c r="O25" i="6" s="1"/>
  <c r="P25" i="6" s="1"/>
  <c r="N26" i="6"/>
  <c r="N27" i="6"/>
  <c r="N28" i="6"/>
  <c r="N29" i="6"/>
  <c r="N30" i="6"/>
  <c r="N31" i="6"/>
  <c r="N32" i="6"/>
  <c r="N33" i="6"/>
  <c r="N34" i="6"/>
  <c r="O34" i="6" s="1"/>
  <c r="P34" i="6" s="1"/>
  <c r="N35" i="6"/>
  <c r="O35" i="6" s="1"/>
  <c r="P35" i="6" s="1"/>
  <c r="N36" i="6"/>
  <c r="O36" i="6" s="1"/>
  <c r="P36" i="6" s="1"/>
  <c r="N37" i="6"/>
  <c r="O37" i="6" s="1"/>
  <c r="P37" i="6" s="1"/>
  <c r="N38" i="6"/>
  <c r="N39" i="6"/>
  <c r="N40" i="6"/>
  <c r="N41" i="6"/>
  <c r="N42" i="6"/>
  <c r="N43" i="6"/>
  <c r="N44" i="6"/>
  <c r="N45" i="6"/>
  <c r="N46" i="6"/>
  <c r="O46" i="6" s="1"/>
  <c r="P46" i="6" s="1"/>
  <c r="N47" i="6"/>
  <c r="O47" i="6" s="1"/>
  <c r="P47" i="6" s="1"/>
  <c r="N48" i="6"/>
  <c r="O48" i="6" s="1"/>
  <c r="P48" i="6" s="1"/>
  <c r="N49" i="6"/>
  <c r="O49" i="6" s="1"/>
  <c r="P49" i="6" s="1"/>
  <c r="N50" i="6"/>
  <c r="N51" i="6"/>
  <c r="N52" i="6"/>
  <c r="N53" i="6"/>
  <c r="N54" i="6"/>
  <c r="N55" i="6"/>
  <c r="N56" i="6"/>
  <c r="N57" i="6"/>
  <c r="N58" i="6"/>
  <c r="O58" i="6" s="1"/>
  <c r="P58" i="6" s="1"/>
  <c r="N59" i="6"/>
  <c r="O59" i="6" s="1"/>
  <c r="P59" i="6" s="1"/>
  <c r="N60" i="6"/>
  <c r="N61" i="6"/>
  <c r="O61" i="6" s="1"/>
  <c r="P61" i="6" s="1"/>
  <c r="N62" i="6"/>
  <c r="N63" i="6"/>
  <c r="N64" i="6"/>
  <c r="N65" i="6"/>
  <c r="N66" i="6"/>
  <c r="N67" i="6"/>
  <c r="N68" i="6"/>
  <c r="N69" i="6"/>
  <c r="N70" i="6"/>
  <c r="O70" i="6" s="1"/>
  <c r="P70" i="6" s="1"/>
  <c r="N71" i="6"/>
  <c r="O71" i="6" s="1"/>
  <c r="P71" i="6" s="1"/>
  <c r="N72" i="6"/>
  <c r="O72" i="6" s="1"/>
  <c r="P72" i="6" s="1"/>
  <c r="N73" i="6"/>
  <c r="O73" i="6" s="1"/>
  <c r="P73" i="6" s="1"/>
  <c r="N74" i="6"/>
  <c r="N75" i="6"/>
  <c r="N76" i="6"/>
  <c r="N77" i="6"/>
  <c r="N78" i="6"/>
  <c r="N79" i="6"/>
  <c r="N80" i="6"/>
  <c r="N81" i="6"/>
  <c r="N82" i="6"/>
  <c r="O82" i="6" s="1"/>
  <c r="P82" i="6" s="1"/>
  <c r="N83" i="6"/>
  <c r="O83" i="6" s="1"/>
  <c r="P83" i="6" s="1"/>
  <c r="N84" i="6"/>
  <c r="O84" i="6" s="1"/>
  <c r="P84" i="6" s="1"/>
  <c r="N85" i="6"/>
  <c r="O85" i="6" s="1"/>
  <c r="P85" i="6" s="1"/>
  <c r="N86" i="6"/>
  <c r="N87" i="6"/>
  <c r="N88" i="6"/>
  <c r="N89" i="6"/>
  <c r="N90" i="6"/>
  <c r="N91" i="6"/>
  <c r="N92" i="6"/>
  <c r="N93" i="6"/>
  <c r="N94" i="6"/>
  <c r="O94" i="6" s="1"/>
  <c r="P94" i="6" s="1"/>
  <c r="N95" i="6"/>
  <c r="O95" i="6" s="1"/>
  <c r="P95" i="6" s="1"/>
  <c r="N96" i="6"/>
  <c r="O96" i="6" s="1"/>
  <c r="P96" i="6" s="1"/>
  <c r="N97" i="6"/>
  <c r="O97" i="6" s="1"/>
  <c r="P97" i="6" s="1"/>
  <c r="N98" i="6"/>
  <c r="N99" i="6"/>
  <c r="N100" i="6"/>
  <c r="N101" i="6"/>
  <c r="N102" i="6"/>
  <c r="N103" i="6"/>
  <c r="N104" i="6"/>
  <c r="N105" i="6"/>
  <c r="N106" i="6"/>
  <c r="O106" i="6" s="1"/>
  <c r="P106" i="6" s="1"/>
  <c r="N107" i="6"/>
  <c r="O107" i="6" s="1"/>
  <c r="P107" i="6" s="1"/>
  <c r="N108" i="6"/>
  <c r="O108" i="6" s="1"/>
  <c r="P108" i="6" s="1"/>
  <c r="N109" i="6"/>
  <c r="O109" i="6" s="1"/>
  <c r="P109" i="6" s="1"/>
  <c r="N110" i="6"/>
  <c r="N111" i="6"/>
  <c r="N112" i="6"/>
  <c r="N113" i="6"/>
  <c r="N114" i="6"/>
  <c r="N115" i="6"/>
  <c r="N116" i="6"/>
  <c r="N117" i="6"/>
  <c r="N118" i="6"/>
  <c r="O118" i="6" s="1"/>
  <c r="P118" i="6" s="1"/>
  <c r="N119" i="6"/>
  <c r="O119" i="6" s="1"/>
  <c r="P119" i="6" s="1"/>
  <c r="N120" i="6"/>
  <c r="O120" i="6" s="1"/>
  <c r="P120" i="6" s="1"/>
  <c r="N121" i="6"/>
  <c r="O121" i="6" s="1"/>
  <c r="P121" i="6" s="1"/>
  <c r="N122" i="6"/>
  <c r="N123" i="6"/>
  <c r="N124" i="6"/>
  <c r="N125" i="6"/>
  <c r="N126" i="6"/>
  <c r="N127" i="6"/>
  <c r="N128" i="6"/>
  <c r="N129" i="6"/>
  <c r="N130" i="6"/>
  <c r="O130" i="6" s="1"/>
  <c r="P130" i="6" s="1"/>
  <c r="N131" i="6"/>
  <c r="O131" i="6" s="1"/>
  <c r="P131" i="6" s="1"/>
  <c r="N132" i="6"/>
  <c r="O132" i="6" s="1"/>
  <c r="P132" i="6" s="1"/>
  <c r="N133" i="6"/>
  <c r="O133" i="6" s="1"/>
  <c r="P133" i="6" s="1"/>
  <c r="N134" i="6"/>
  <c r="N135" i="6"/>
  <c r="N136" i="6"/>
  <c r="N137" i="6"/>
  <c r="N138" i="6"/>
  <c r="N139" i="6"/>
  <c r="N140" i="6"/>
  <c r="N141" i="6"/>
  <c r="N142" i="6"/>
  <c r="O142" i="6" s="1"/>
  <c r="P142" i="6" s="1"/>
  <c r="N143" i="6"/>
  <c r="O143" i="6" s="1"/>
  <c r="P143" i="6" s="1"/>
  <c r="N144" i="6"/>
  <c r="O144" i="6" s="1"/>
  <c r="P144" i="6" s="1"/>
  <c r="N145" i="6"/>
  <c r="O145" i="6" s="1"/>
  <c r="P145" i="6" s="1"/>
  <c r="N146" i="6"/>
  <c r="N147" i="6"/>
  <c r="N148" i="6"/>
  <c r="N149" i="6"/>
  <c r="N150" i="6"/>
  <c r="N151" i="6"/>
  <c r="N152" i="6"/>
  <c r="N153" i="6"/>
  <c r="N154" i="6"/>
  <c r="O154" i="6" s="1"/>
  <c r="P154" i="6" s="1"/>
  <c r="N155" i="6"/>
  <c r="O155" i="6" s="1"/>
  <c r="P155" i="6" s="1"/>
  <c r="N156" i="6"/>
  <c r="O156" i="6" s="1"/>
  <c r="P156" i="6" s="1"/>
  <c r="N157" i="6"/>
  <c r="O157" i="6" s="1"/>
  <c r="P157" i="6" s="1"/>
  <c r="N158" i="6"/>
  <c r="N159" i="6"/>
  <c r="N160" i="6"/>
  <c r="N161" i="6"/>
  <c r="N162" i="6"/>
  <c r="N163" i="6"/>
  <c r="N164" i="6"/>
  <c r="N165" i="6"/>
  <c r="N166" i="6"/>
  <c r="O166" i="6" s="1"/>
  <c r="P166" i="6" s="1"/>
  <c r="N167" i="6"/>
  <c r="O167" i="6" s="1"/>
  <c r="P167" i="6" s="1"/>
  <c r="N168" i="6"/>
  <c r="O168" i="6" s="1"/>
  <c r="P168" i="6" s="1"/>
  <c r="N169" i="6"/>
  <c r="O169" i="6" s="1"/>
  <c r="P169" i="6" s="1"/>
  <c r="N170" i="6"/>
  <c r="N171" i="6"/>
  <c r="N172" i="6"/>
  <c r="N173" i="6"/>
  <c r="N174" i="6"/>
  <c r="N175" i="6"/>
  <c r="N176" i="6"/>
  <c r="N177" i="6"/>
  <c r="N178" i="6"/>
  <c r="O178" i="6" s="1"/>
  <c r="P178" i="6" s="1"/>
  <c r="N179" i="6"/>
  <c r="O179" i="6" s="1"/>
  <c r="P179" i="6" s="1"/>
  <c r="N180" i="6"/>
  <c r="O180" i="6" s="1"/>
  <c r="P180" i="6" s="1"/>
  <c r="N181" i="6"/>
  <c r="O181" i="6" s="1"/>
  <c r="P181" i="6" s="1"/>
  <c r="N182" i="6"/>
  <c r="N183" i="6"/>
  <c r="N184" i="6"/>
  <c r="N185" i="6"/>
  <c r="N186" i="6"/>
  <c r="N187" i="6"/>
  <c r="N188" i="6"/>
  <c r="N189" i="6"/>
  <c r="N190" i="6"/>
  <c r="O190" i="6" s="1"/>
  <c r="P190" i="6" s="1"/>
  <c r="N191" i="6"/>
  <c r="O191" i="6" s="1"/>
  <c r="P191" i="6" s="1"/>
  <c r="N192" i="6"/>
  <c r="O192" i="6" s="1"/>
  <c r="P192" i="6" s="1"/>
  <c r="N193" i="6"/>
  <c r="O193" i="6" s="1"/>
  <c r="P193" i="6" s="1"/>
  <c r="N194" i="6"/>
  <c r="N195" i="6"/>
  <c r="N196" i="6"/>
  <c r="N197" i="6"/>
  <c r="N198" i="6"/>
  <c r="N199" i="6"/>
  <c r="N200" i="6"/>
  <c r="N201" i="6"/>
  <c r="N202" i="6"/>
  <c r="O202" i="6" s="1"/>
  <c r="P202" i="6" s="1"/>
  <c r="N203" i="6"/>
  <c r="O203" i="6" s="1"/>
  <c r="P203" i="6" s="1"/>
  <c r="N204" i="6"/>
  <c r="O204" i="6" s="1"/>
  <c r="P204" i="6" s="1"/>
  <c r="N205" i="6"/>
  <c r="O205" i="6" s="1"/>
  <c r="P205" i="6" s="1"/>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O238" i="6" s="1"/>
  <c r="P238" i="6" s="1"/>
  <c r="N2" i="6"/>
  <c r="H6" i="6"/>
  <c r="H7" i="6"/>
  <c r="H8" i="6"/>
  <c r="H9" i="6"/>
  <c r="H10" i="6"/>
  <c r="H11" i="6"/>
  <c r="H12" i="6"/>
  <c r="H13" i="6"/>
  <c r="H14" i="6"/>
  <c r="H15" i="6"/>
  <c r="H16" i="6"/>
  <c r="H17" i="6"/>
  <c r="H18" i="6"/>
  <c r="H19" i="6"/>
  <c r="H20" i="6"/>
  <c r="H21" i="6"/>
  <c r="H22" i="6"/>
  <c r="H23" i="6"/>
  <c r="H24" i="6"/>
  <c r="H25" i="6"/>
  <c r="H5" i="6"/>
  <c r="H3" i="6"/>
  <c r="H4" i="6"/>
  <c r="H2" i="6"/>
  <c r="D9" i="9"/>
  <c r="H30" i="6" s="1"/>
  <c r="E4" i="9"/>
  <c r="E5" i="9" s="1"/>
  <c r="O12" i="6"/>
  <c r="P12" i="6" s="1"/>
  <c r="O60" i="6"/>
  <c r="P60" i="6" s="1"/>
  <c r="C2" i="6"/>
  <c r="C3" i="6"/>
  <c r="C4" i="6"/>
  <c r="F231" i="6"/>
  <c r="F232" i="6"/>
  <c r="F233" i="6"/>
  <c r="F234" i="6"/>
  <c r="F235" i="6"/>
  <c r="F236" i="6"/>
  <c r="F237" i="6"/>
  <c r="F230" i="6"/>
  <c r="F219" i="6"/>
  <c r="F220" i="6"/>
  <c r="F221" i="6"/>
  <c r="F222" i="6"/>
  <c r="F223" i="6"/>
  <c r="F224" i="6"/>
  <c r="F225" i="6"/>
  <c r="F218" i="6"/>
  <c r="F207" i="6"/>
  <c r="F208" i="6"/>
  <c r="F209" i="6"/>
  <c r="F210" i="6"/>
  <c r="F211" i="6"/>
  <c r="F212" i="6"/>
  <c r="F213" i="6"/>
  <c r="F206" i="6"/>
  <c r="F195" i="6"/>
  <c r="F196" i="6"/>
  <c r="F197" i="6"/>
  <c r="F198" i="6"/>
  <c r="F199" i="6"/>
  <c r="F200" i="6"/>
  <c r="F201" i="6"/>
  <c r="F194" i="6"/>
  <c r="F183" i="6"/>
  <c r="F184" i="6"/>
  <c r="F185" i="6"/>
  <c r="F186" i="6"/>
  <c r="F187" i="6"/>
  <c r="F188" i="6"/>
  <c r="F189" i="6"/>
  <c r="F182" i="6"/>
  <c r="F171" i="6"/>
  <c r="F172" i="6"/>
  <c r="F173" i="6"/>
  <c r="F174" i="6"/>
  <c r="F175" i="6"/>
  <c r="F176" i="6"/>
  <c r="F177" i="6"/>
  <c r="F170" i="6"/>
  <c r="F159" i="6"/>
  <c r="F160" i="6"/>
  <c r="F161" i="6"/>
  <c r="F162" i="6"/>
  <c r="F163" i="6"/>
  <c r="F164" i="6"/>
  <c r="F165" i="6"/>
  <c r="F158" i="6"/>
  <c r="F147" i="6"/>
  <c r="F148" i="6"/>
  <c r="F149" i="6"/>
  <c r="F150" i="6"/>
  <c r="F151" i="6"/>
  <c r="F152" i="6"/>
  <c r="F153" i="6"/>
  <c r="F146" i="6"/>
  <c r="F135" i="6"/>
  <c r="F136" i="6"/>
  <c r="F137" i="6"/>
  <c r="F138" i="6"/>
  <c r="F139" i="6"/>
  <c r="F140" i="6"/>
  <c r="F141" i="6"/>
  <c r="F134" i="6"/>
  <c r="F123" i="6"/>
  <c r="F124" i="6"/>
  <c r="F125" i="6"/>
  <c r="F126" i="6"/>
  <c r="F127" i="6"/>
  <c r="F128" i="6"/>
  <c r="F129" i="6"/>
  <c r="F122" i="6"/>
  <c r="F111" i="6"/>
  <c r="F112" i="6"/>
  <c r="F113" i="6"/>
  <c r="F114" i="6"/>
  <c r="F115" i="6"/>
  <c r="F116" i="6"/>
  <c r="F117" i="6"/>
  <c r="F110" i="6"/>
  <c r="F99" i="6"/>
  <c r="F100" i="6"/>
  <c r="F101" i="6"/>
  <c r="F102" i="6"/>
  <c r="F103" i="6"/>
  <c r="F104" i="6"/>
  <c r="F105" i="6"/>
  <c r="F98" i="6"/>
  <c r="F87" i="6"/>
  <c r="F88" i="6"/>
  <c r="F89" i="6"/>
  <c r="F90" i="6"/>
  <c r="F91" i="6"/>
  <c r="F92" i="6"/>
  <c r="F93" i="6"/>
  <c r="F86" i="6"/>
  <c r="F75" i="6"/>
  <c r="F76" i="6"/>
  <c r="F77" i="6"/>
  <c r="F78" i="6"/>
  <c r="F79" i="6"/>
  <c r="F80" i="6"/>
  <c r="F81" i="6"/>
  <c r="F74" i="6"/>
  <c r="F63" i="6"/>
  <c r="F64" i="6"/>
  <c r="F65" i="6"/>
  <c r="F66" i="6"/>
  <c r="F67" i="6"/>
  <c r="F68" i="6"/>
  <c r="F69" i="6"/>
  <c r="F62" i="6"/>
  <c r="F51" i="6"/>
  <c r="F52" i="6"/>
  <c r="F53" i="6"/>
  <c r="F54" i="6"/>
  <c r="F55" i="6"/>
  <c r="O55" i="6" s="1"/>
  <c r="P55" i="6" s="1"/>
  <c r="F56" i="6"/>
  <c r="F57" i="6"/>
  <c r="F50" i="6"/>
  <c r="F39" i="6"/>
  <c r="F40" i="6"/>
  <c r="F41" i="6"/>
  <c r="F42" i="6"/>
  <c r="F43" i="6"/>
  <c r="F44" i="6"/>
  <c r="F45" i="6"/>
  <c r="F38" i="6"/>
  <c r="F27" i="6"/>
  <c r="F28" i="6"/>
  <c r="F29" i="6"/>
  <c r="F30" i="6"/>
  <c r="F31" i="6"/>
  <c r="F32" i="6"/>
  <c r="F33" i="6"/>
  <c r="F26" i="6"/>
  <c r="F15" i="6"/>
  <c r="F16" i="6"/>
  <c r="F17" i="6"/>
  <c r="F18" i="6"/>
  <c r="F19" i="6"/>
  <c r="F20" i="6"/>
  <c r="F21" i="6"/>
  <c r="F14" i="6"/>
  <c r="F6" i="6"/>
  <c r="F7" i="6"/>
  <c r="F8" i="6"/>
  <c r="F9" i="6"/>
  <c r="F5" i="6"/>
  <c r="C231" i="6"/>
  <c r="C232" i="6"/>
  <c r="C233" i="6"/>
  <c r="C234" i="6"/>
  <c r="C235" i="6"/>
  <c r="C236" i="6"/>
  <c r="C237" i="6"/>
  <c r="C230" i="6"/>
  <c r="C219" i="6"/>
  <c r="C220" i="6"/>
  <c r="C221" i="6"/>
  <c r="C222" i="6"/>
  <c r="C223" i="6"/>
  <c r="C224" i="6"/>
  <c r="C225" i="6"/>
  <c r="C218" i="6"/>
  <c r="C207" i="6"/>
  <c r="C208" i="6"/>
  <c r="C209" i="6"/>
  <c r="C210" i="6"/>
  <c r="C211" i="6"/>
  <c r="C212" i="6"/>
  <c r="C213" i="6"/>
  <c r="C206" i="6"/>
  <c r="C195" i="6"/>
  <c r="C196" i="6"/>
  <c r="C197" i="6"/>
  <c r="C198" i="6"/>
  <c r="C199" i="6"/>
  <c r="C200" i="6"/>
  <c r="C201" i="6"/>
  <c r="C194" i="6"/>
  <c r="C183" i="6"/>
  <c r="C184" i="6"/>
  <c r="C185" i="6"/>
  <c r="C186" i="6"/>
  <c r="C187" i="6"/>
  <c r="C188" i="6"/>
  <c r="C189" i="6"/>
  <c r="C182" i="6"/>
  <c r="C171" i="6"/>
  <c r="C172" i="6"/>
  <c r="C173" i="6"/>
  <c r="C174" i="6"/>
  <c r="C175" i="6"/>
  <c r="C176" i="6"/>
  <c r="C177" i="6"/>
  <c r="C170" i="6"/>
  <c r="C159" i="6"/>
  <c r="C160" i="6"/>
  <c r="C161" i="6"/>
  <c r="C162" i="6"/>
  <c r="C163" i="6"/>
  <c r="C164" i="6"/>
  <c r="C165" i="6"/>
  <c r="C158" i="6"/>
  <c r="C147" i="6"/>
  <c r="C148" i="6"/>
  <c r="C149" i="6"/>
  <c r="C150" i="6"/>
  <c r="C151" i="6"/>
  <c r="C152" i="6"/>
  <c r="C153" i="6"/>
  <c r="C146" i="6"/>
  <c r="C135" i="6"/>
  <c r="C136" i="6"/>
  <c r="C137" i="6"/>
  <c r="C138" i="6"/>
  <c r="C139" i="6"/>
  <c r="C140" i="6"/>
  <c r="C141" i="6"/>
  <c r="C134" i="6"/>
  <c r="C123" i="6"/>
  <c r="C124" i="6"/>
  <c r="C125" i="6"/>
  <c r="C126" i="6"/>
  <c r="C127" i="6"/>
  <c r="C128" i="6"/>
  <c r="C129" i="6"/>
  <c r="C122" i="6"/>
  <c r="C111" i="6"/>
  <c r="C112" i="6"/>
  <c r="C113" i="6"/>
  <c r="C114" i="6"/>
  <c r="C115" i="6"/>
  <c r="C116" i="6"/>
  <c r="C117" i="6"/>
  <c r="C110" i="6"/>
  <c r="C99" i="6"/>
  <c r="C100" i="6"/>
  <c r="C101" i="6"/>
  <c r="C102" i="6"/>
  <c r="C103" i="6"/>
  <c r="C104" i="6"/>
  <c r="C105" i="6"/>
  <c r="C98" i="6"/>
  <c r="C87" i="6"/>
  <c r="C88" i="6"/>
  <c r="C89" i="6"/>
  <c r="C90" i="6"/>
  <c r="C91" i="6"/>
  <c r="C92" i="6"/>
  <c r="C93" i="6"/>
  <c r="C86" i="6"/>
  <c r="C75" i="6"/>
  <c r="C76" i="6"/>
  <c r="C77" i="6"/>
  <c r="C78" i="6"/>
  <c r="C79" i="6"/>
  <c r="C80" i="6"/>
  <c r="C81" i="6"/>
  <c r="C74" i="6"/>
  <c r="C63" i="6"/>
  <c r="C64" i="6"/>
  <c r="C65" i="6"/>
  <c r="C66" i="6"/>
  <c r="C67" i="6"/>
  <c r="C68" i="6"/>
  <c r="C69" i="6"/>
  <c r="C62" i="6"/>
  <c r="C51" i="6"/>
  <c r="C52" i="6"/>
  <c r="C53" i="6"/>
  <c r="C54" i="6"/>
  <c r="C55" i="6"/>
  <c r="C56" i="6"/>
  <c r="C57" i="6"/>
  <c r="C50" i="6"/>
  <c r="C39" i="6"/>
  <c r="C40" i="6"/>
  <c r="C41" i="6"/>
  <c r="C42" i="6"/>
  <c r="C43" i="6"/>
  <c r="C44" i="6"/>
  <c r="C45" i="6"/>
  <c r="C38" i="6"/>
  <c r="C27" i="6"/>
  <c r="C28" i="6"/>
  <c r="C29" i="6"/>
  <c r="C30" i="6"/>
  <c r="C31" i="6"/>
  <c r="C32" i="6"/>
  <c r="C33" i="6"/>
  <c r="C26" i="6"/>
  <c r="C15" i="6"/>
  <c r="C16" i="6"/>
  <c r="C17" i="6"/>
  <c r="C18" i="6"/>
  <c r="C19" i="6"/>
  <c r="C20" i="6"/>
  <c r="C21" i="6"/>
  <c r="C14" i="6"/>
  <c r="C7" i="6"/>
  <c r="C8" i="6"/>
  <c r="C9" i="6"/>
  <c r="C6" i="6"/>
  <c r="C5" i="6"/>
  <c r="L3" i="6"/>
  <c r="L4" i="6"/>
  <c r="L5" i="6"/>
  <c r="L6" i="6"/>
  <c r="L7" i="6"/>
  <c r="L8" i="6"/>
  <c r="L9" i="6"/>
  <c r="L10" i="6"/>
  <c r="L15" i="6" s="1"/>
  <c r="L2" i="6"/>
  <c r="D2" i="6"/>
  <c r="D4" i="6"/>
  <c r="D5" i="6"/>
  <c r="D6" i="6"/>
  <c r="D7" i="6"/>
  <c r="D8" i="6"/>
  <c r="D9" i="6"/>
  <c r="D10" i="6"/>
  <c r="I10" i="6" s="1"/>
  <c r="J10" i="6" s="1"/>
  <c r="D3" i="6"/>
  <c r="B24" i="17"/>
  <c r="C24" i="17"/>
  <c r="C25" i="18"/>
  <c r="B25" i="18"/>
  <c r="C23" i="16"/>
  <c r="C23" i="14"/>
  <c r="B23" i="14"/>
  <c r="B23" i="16"/>
  <c r="O30" i="6" l="1"/>
  <c r="P30" i="6" s="1"/>
  <c r="O102" i="6"/>
  <c r="O150" i="6"/>
  <c r="O21" i="6"/>
  <c r="P21" i="6" s="1"/>
  <c r="O69" i="6"/>
  <c r="O93" i="6"/>
  <c r="O117" i="6"/>
  <c r="O20" i="6"/>
  <c r="P20" i="6" s="1"/>
  <c r="O44" i="6"/>
  <c r="P44" i="6" s="1"/>
  <c r="O68" i="6"/>
  <c r="O92" i="6"/>
  <c r="O116" i="6"/>
  <c r="O140" i="6"/>
  <c r="I19" i="6"/>
  <c r="O101" i="6"/>
  <c r="O125" i="6"/>
  <c r="O149" i="6"/>
  <c r="O164" i="6"/>
  <c r="O188" i="6"/>
  <c r="O212" i="6"/>
  <c r="O236" i="6"/>
  <c r="I5" i="6"/>
  <c r="J5" i="6" s="1"/>
  <c r="O141" i="6"/>
  <c r="O165" i="6"/>
  <c r="O189" i="6"/>
  <c r="O213" i="6"/>
  <c r="O237" i="6"/>
  <c r="O221" i="6"/>
  <c r="O174" i="6"/>
  <c r="O171" i="6"/>
  <c r="O14" i="6"/>
  <c r="P14" i="6" s="1"/>
  <c r="O38" i="6"/>
  <c r="P38" i="6" s="1"/>
  <c r="O86" i="6"/>
  <c r="O110" i="6"/>
  <c r="O134" i="6"/>
  <c r="O158" i="6"/>
  <c r="O230" i="6"/>
  <c r="O139" i="6"/>
  <c r="O175" i="6"/>
  <c r="O187" i="6"/>
  <c r="O211" i="6"/>
  <c r="I9" i="6"/>
  <c r="J9" i="6" s="1"/>
  <c r="O220" i="6"/>
  <c r="O51" i="6"/>
  <c r="P51" i="6" s="1"/>
  <c r="O99" i="6"/>
  <c r="O123" i="6"/>
  <c r="I8" i="6"/>
  <c r="J8" i="6" s="1"/>
  <c r="I7" i="6"/>
  <c r="J7" i="6" s="1"/>
  <c r="I16" i="6"/>
  <c r="I15" i="6"/>
  <c r="I6" i="6"/>
  <c r="J6" i="6" s="1"/>
  <c r="H189" i="6"/>
  <c r="I189" i="6" s="1"/>
  <c r="H197" i="6"/>
  <c r="I197" i="6" s="1"/>
  <c r="H181" i="6"/>
  <c r="H236" i="6"/>
  <c r="I236" i="6" s="1"/>
  <c r="H229" i="6"/>
  <c r="H228" i="6"/>
  <c r="H221" i="6"/>
  <c r="I221" i="6" s="1"/>
  <c r="H220" i="6"/>
  <c r="I220" i="6" s="1"/>
  <c r="H213" i="6"/>
  <c r="I213" i="6" s="1"/>
  <c r="H212" i="6"/>
  <c r="I212" i="6" s="1"/>
  <c r="H237" i="6"/>
  <c r="I237" i="6" s="1"/>
  <c r="H205" i="6"/>
  <c r="H173" i="6"/>
  <c r="I173" i="6" s="1"/>
  <c r="H165" i="6"/>
  <c r="I165" i="6" s="1"/>
  <c r="H157" i="6"/>
  <c r="H149" i="6"/>
  <c r="I149" i="6" s="1"/>
  <c r="H141" i="6"/>
  <c r="I141" i="6" s="1"/>
  <c r="H133" i="6"/>
  <c r="H125" i="6"/>
  <c r="I125" i="6" s="1"/>
  <c r="H117" i="6"/>
  <c r="I117" i="6" s="1"/>
  <c r="H109" i="6"/>
  <c r="H101" i="6"/>
  <c r="I101" i="6" s="1"/>
  <c r="H93" i="6"/>
  <c r="I93" i="6" s="1"/>
  <c r="H85" i="6"/>
  <c r="H77" i="6"/>
  <c r="I77" i="6" s="1"/>
  <c r="H69" i="6"/>
  <c r="I69" i="6" s="1"/>
  <c r="J69" i="6" s="1"/>
  <c r="H61" i="6"/>
  <c r="H53" i="6"/>
  <c r="I53" i="6" s="1"/>
  <c r="J53" i="6" s="1"/>
  <c r="H45" i="6"/>
  <c r="I45" i="6" s="1"/>
  <c r="J45" i="6" s="1"/>
  <c r="H37" i="6"/>
  <c r="H29" i="6"/>
  <c r="I29" i="6" s="1"/>
  <c r="J29" i="6" s="1"/>
  <c r="H204" i="6"/>
  <c r="H196" i="6"/>
  <c r="I196" i="6" s="1"/>
  <c r="H188" i="6"/>
  <c r="I188" i="6" s="1"/>
  <c r="H180" i="6"/>
  <c r="H172" i="6"/>
  <c r="I172" i="6" s="1"/>
  <c r="H164" i="6"/>
  <c r="I164" i="6" s="1"/>
  <c r="H156" i="6"/>
  <c r="H148" i="6"/>
  <c r="I148" i="6" s="1"/>
  <c r="H140" i="6"/>
  <c r="I140" i="6" s="1"/>
  <c r="H132" i="6"/>
  <c r="H124" i="6"/>
  <c r="I124" i="6" s="1"/>
  <c r="H116" i="6"/>
  <c r="I116" i="6" s="1"/>
  <c r="H108" i="6"/>
  <c r="H100" i="6"/>
  <c r="I100" i="6" s="1"/>
  <c r="H92" i="6"/>
  <c r="I92" i="6" s="1"/>
  <c r="H84" i="6"/>
  <c r="H76" i="6"/>
  <c r="I76" i="6" s="1"/>
  <c r="H68" i="6"/>
  <c r="I68" i="6" s="1"/>
  <c r="J68" i="6" s="1"/>
  <c r="H60" i="6"/>
  <c r="H52" i="6"/>
  <c r="I52" i="6" s="1"/>
  <c r="J52" i="6" s="1"/>
  <c r="H44" i="6"/>
  <c r="I44" i="6" s="1"/>
  <c r="J44" i="6" s="1"/>
  <c r="H36" i="6"/>
  <c r="H28" i="6"/>
  <c r="I28" i="6" s="1"/>
  <c r="J28" i="6" s="1"/>
  <c r="H235" i="6"/>
  <c r="I235" i="6" s="1"/>
  <c r="H227" i="6"/>
  <c r="H219" i="6"/>
  <c r="I219" i="6" s="1"/>
  <c r="H211" i="6"/>
  <c r="I211" i="6" s="1"/>
  <c r="H203" i="6"/>
  <c r="H195" i="6"/>
  <c r="I195" i="6" s="1"/>
  <c r="H187" i="6"/>
  <c r="I187" i="6" s="1"/>
  <c r="H179" i="6"/>
  <c r="H171" i="6"/>
  <c r="I171" i="6" s="1"/>
  <c r="H163" i="6"/>
  <c r="I163" i="6" s="1"/>
  <c r="H155" i="6"/>
  <c r="H147" i="6"/>
  <c r="I147" i="6" s="1"/>
  <c r="H139" i="6"/>
  <c r="I139" i="6" s="1"/>
  <c r="H131" i="6"/>
  <c r="H123" i="6"/>
  <c r="I123" i="6" s="1"/>
  <c r="H115" i="6"/>
  <c r="I115" i="6" s="1"/>
  <c r="H107" i="6"/>
  <c r="H99" i="6"/>
  <c r="I99" i="6" s="1"/>
  <c r="H91" i="6"/>
  <c r="I91" i="6" s="1"/>
  <c r="H83" i="6"/>
  <c r="H75" i="6"/>
  <c r="I75" i="6" s="1"/>
  <c r="H67" i="6"/>
  <c r="I67" i="6" s="1"/>
  <c r="J67" i="6" s="1"/>
  <c r="H59" i="6"/>
  <c r="H51" i="6"/>
  <c r="I51" i="6" s="1"/>
  <c r="J51" i="6" s="1"/>
  <c r="H43" i="6"/>
  <c r="I43" i="6" s="1"/>
  <c r="J43" i="6" s="1"/>
  <c r="H35" i="6"/>
  <c r="H27" i="6"/>
  <c r="I27" i="6" s="1"/>
  <c r="J27" i="6" s="1"/>
  <c r="H234" i="6"/>
  <c r="I234" i="6" s="1"/>
  <c r="H226" i="6"/>
  <c r="H218" i="6"/>
  <c r="I218" i="6" s="1"/>
  <c r="H210" i="6"/>
  <c r="I210" i="6" s="1"/>
  <c r="H202" i="6"/>
  <c r="H194" i="6"/>
  <c r="I194" i="6" s="1"/>
  <c r="H186" i="6"/>
  <c r="I186" i="6" s="1"/>
  <c r="H178" i="6"/>
  <c r="H170" i="6"/>
  <c r="I170" i="6" s="1"/>
  <c r="H162" i="6"/>
  <c r="I162" i="6" s="1"/>
  <c r="H154" i="6"/>
  <c r="H146" i="6"/>
  <c r="I146" i="6" s="1"/>
  <c r="H138" i="6"/>
  <c r="I138" i="6" s="1"/>
  <c r="H130" i="6"/>
  <c r="H122" i="6"/>
  <c r="I122" i="6" s="1"/>
  <c r="H114" i="6"/>
  <c r="I114" i="6" s="1"/>
  <c r="H106" i="6"/>
  <c r="H98" i="6"/>
  <c r="I98" i="6" s="1"/>
  <c r="H90" i="6"/>
  <c r="I90" i="6" s="1"/>
  <c r="H82" i="6"/>
  <c r="H74" i="6"/>
  <c r="I74" i="6" s="1"/>
  <c r="H66" i="6"/>
  <c r="I66" i="6" s="1"/>
  <c r="J66" i="6" s="1"/>
  <c r="H58" i="6"/>
  <c r="H50" i="6"/>
  <c r="I50" i="6" s="1"/>
  <c r="J50" i="6" s="1"/>
  <c r="H42" i="6"/>
  <c r="I42" i="6" s="1"/>
  <c r="J42" i="6" s="1"/>
  <c r="H34" i="6"/>
  <c r="H233" i="6"/>
  <c r="I233" i="6" s="1"/>
  <c r="H225" i="6"/>
  <c r="I225" i="6" s="1"/>
  <c r="H217" i="6"/>
  <c r="H209" i="6"/>
  <c r="I209" i="6" s="1"/>
  <c r="H201" i="6"/>
  <c r="I201" i="6" s="1"/>
  <c r="H193" i="6"/>
  <c r="H185" i="6"/>
  <c r="I185" i="6" s="1"/>
  <c r="H177" i="6"/>
  <c r="I177" i="6" s="1"/>
  <c r="H169" i="6"/>
  <c r="H161" i="6"/>
  <c r="I161" i="6" s="1"/>
  <c r="H153" i="6"/>
  <c r="I153" i="6" s="1"/>
  <c r="H145" i="6"/>
  <c r="H137" i="6"/>
  <c r="I137" i="6" s="1"/>
  <c r="H129" i="6"/>
  <c r="I129" i="6" s="1"/>
  <c r="H121" i="6"/>
  <c r="H113" i="6"/>
  <c r="I113" i="6" s="1"/>
  <c r="H105" i="6"/>
  <c r="I105" i="6" s="1"/>
  <c r="H97" i="6"/>
  <c r="H89" i="6"/>
  <c r="I89" i="6" s="1"/>
  <c r="H81" i="6"/>
  <c r="I81" i="6" s="1"/>
  <c r="H73" i="6"/>
  <c r="H65" i="6"/>
  <c r="I65" i="6" s="1"/>
  <c r="J65" i="6" s="1"/>
  <c r="H57" i="6"/>
  <c r="I57" i="6" s="1"/>
  <c r="J57" i="6" s="1"/>
  <c r="H49" i="6"/>
  <c r="H41" i="6"/>
  <c r="I41" i="6" s="1"/>
  <c r="J41" i="6" s="1"/>
  <c r="H33" i="6"/>
  <c r="I33" i="6" s="1"/>
  <c r="J33" i="6" s="1"/>
  <c r="H232" i="6"/>
  <c r="I232" i="6" s="1"/>
  <c r="H224" i="6"/>
  <c r="I224" i="6" s="1"/>
  <c r="H216" i="6"/>
  <c r="H208" i="6"/>
  <c r="I208" i="6" s="1"/>
  <c r="H200" i="6"/>
  <c r="I200" i="6" s="1"/>
  <c r="H192" i="6"/>
  <c r="H184" i="6"/>
  <c r="I184" i="6" s="1"/>
  <c r="H176" i="6"/>
  <c r="I176" i="6" s="1"/>
  <c r="H168" i="6"/>
  <c r="H160" i="6"/>
  <c r="I160" i="6" s="1"/>
  <c r="H152" i="6"/>
  <c r="I152" i="6" s="1"/>
  <c r="H144" i="6"/>
  <c r="H136" i="6"/>
  <c r="I136" i="6" s="1"/>
  <c r="H128" i="6"/>
  <c r="I128" i="6" s="1"/>
  <c r="H120" i="6"/>
  <c r="H112" i="6"/>
  <c r="I112" i="6" s="1"/>
  <c r="H104" i="6"/>
  <c r="I104" i="6" s="1"/>
  <c r="H96" i="6"/>
  <c r="H88" i="6"/>
  <c r="I88" i="6" s="1"/>
  <c r="H80" i="6"/>
  <c r="I80" i="6" s="1"/>
  <c r="H72" i="6"/>
  <c r="H64" i="6"/>
  <c r="I64" i="6" s="1"/>
  <c r="J64" i="6" s="1"/>
  <c r="H56" i="6"/>
  <c r="I56" i="6" s="1"/>
  <c r="J56" i="6" s="1"/>
  <c r="H48" i="6"/>
  <c r="H40" i="6"/>
  <c r="I40" i="6" s="1"/>
  <c r="J40" i="6" s="1"/>
  <c r="H32" i="6"/>
  <c r="I32" i="6" s="1"/>
  <c r="J32" i="6" s="1"/>
  <c r="H26" i="6"/>
  <c r="I26" i="6" s="1"/>
  <c r="J26" i="6" s="1"/>
  <c r="H231" i="6"/>
  <c r="I231" i="6" s="1"/>
  <c r="H223" i="6"/>
  <c r="I223" i="6" s="1"/>
  <c r="H215" i="6"/>
  <c r="H207" i="6"/>
  <c r="I207" i="6" s="1"/>
  <c r="H199" i="6"/>
  <c r="I199" i="6" s="1"/>
  <c r="H191" i="6"/>
  <c r="H183" i="6"/>
  <c r="I183" i="6" s="1"/>
  <c r="H175" i="6"/>
  <c r="I175" i="6" s="1"/>
  <c r="H167" i="6"/>
  <c r="H159" i="6"/>
  <c r="I159" i="6" s="1"/>
  <c r="H151" i="6"/>
  <c r="I151" i="6" s="1"/>
  <c r="H143" i="6"/>
  <c r="H135" i="6"/>
  <c r="I135" i="6" s="1"/>
  <c r="H127" i="6"/>
  <c r="I127" i="6" s="1"/>
  <c r="H119" i="6"/>
  <c r="H111" i="6"/>
  <c r="I111" i="6" s="1"/>
  <c r="H103" i="6"/>
  <c r="I103" i="6" s="1"/>
  <c r="H95" i="6"/>
  <c r="H87" i="6"/>
  <c r="I87" i="6" s="1"/>
  <c r="H79" i="6"/>
  <c r="I79" i="6" s="1"/>
  <c r="H71" i="6"/>
  <c r="H63" i="6"/>
  <c r="I63" i="6" s="1"/>
  <c r="J63" i="6" s="1"/>
  <c r="H55" i="6"/>
  <c r="I55" i="6" s="1"/>
  <c r="J55" i="6" s="1"/>
  <c r="H47" i="6"/>
  <c r="H39" i="6"/>
  <c r="I39" i="6" s="1"/>
  <c r="J39" i="6" s="1"/>
  <c r="H31" i="6"/>
  <c r="I31" i="6" s="1"/>
  <c r="J31" i="6" s="1"/>
  <c r="H238" i="6"/>
  <c r="H230" i="6"/>
  <c r="I230" i="6" s="1"/>
  <c r="H222" i="6"/>
  <c r="I222" i="6" s="1"/>
  <c r="H214" i="6"/>
  <c r="H206" i="6"/>
  <c r="I206" i="6" s="1"/>
  <c r="H198" i="6"/>
  <c r="I198" i="6" s="1"/>
  <c r="H190" i="6"/>
  <c r="H182" i="6"/>
  <c r="I182" i="6" s="1"/>
  <c r="H174" i="6"/>
  <c r="I174" i="6" s="1"/>
  <c r="H166" i="6"/>
  <c r="H158" i="6"/>
  <c r="I158" i="6" s="1"/>
  <c r="H150" i="6"/>
  <c r="I150" i="6" s="1"/>
  <c r="H142" i="6"/>
  <c r="H134" i="6"/>
  <c r="I134" i="6" s="1"/>
  <c r="H126" i="6"/>
  <c r="I126" i="6" s="1"/>
  <c r="H118" i="6"/>
  <c r="H110" i="6"/>
  <c r="I110" i="6" s="1"/>
  <c r="H102" i="6"/>
  <c r="I102" i="6" s="1"/>
  <c r="H94" i="6"/>
  <c r="H86" i="6"/>
  <c r="I86" i="6" s="1"/>
  <c r="H78" i="6"/>
  <c r="I78" i="6" s="1"/>
  <c r="H70" i="6"/>
  <c r="H62" i="6"/>
  <c r="I62" i="6" s="1"/>
  <c r="J62" i="6" s="1"/>
  <c r="H54" i="6"/>
  <c r="I54" i="6" s="1"/>
  <c r="J54" i="6" s="1"/>
  <c r="H46" i="6"/>
  <c r="H38" i="6"/>
  <c r="I38" i="6" s="1"/>
  <c r="J38" i="6" s="1"/>
  <c r="O63" i="6"/>
  <c r="O111" i="6"/>
  <c r="O17" i="6"/>
  <c r="P17" i="6" s="1"/>
  <c r="O74" i="6"/>
  <c r="O98" i="6"/>
  <c r="O122" i="6"/>
  <c r="O194" i="6"/>
  <c r="O218" i="6"/>
  <c r="O184" i="6"/>
  <c r="O33" i="6"/>
  <c r="P33" i="6" s="1"/>
  <c r="O81" i="6"/>
  <c r="O105" i="6"/>
  <c r="O129" i="6"/>
  <c r="O153" i="6"/>
  <c r="O225" i="6"/>
  <c r="O18" i="6"/>
  <c r="P18" i="6" s="1"/>
  <c r="O32" i="6"/>
  <c r="P32" i="6" s="1"/>
  <c r="O56" i="6"/>
  <c r="P56" i="6" s="1"/>
  <c r="O80" i="6"/>
  <c r="O104" i="6"/>
  <c r="O128" i="6"/>
  <c r="O152" i="6"/>
  <c r="O176" i="6"/>
  <c r="O200" i="6"/>
  <c r="O224" i="6"/>
  <c r="E12" i="9"/>
  <c r="T26" i="6" s="1"/>
  <c r="O219" i="6"/>
  <c r="O147" i="6"/>
  <c r="O91" i="6"/>
  <c r="G5" i="6"/>
  <c r="O43" i="6"/>
  <c r="P43" i="6" s="1"/>
  <c r="O52" i="6"/>
  <c r="P52" i="6" s="1"/>
  <c r="O172" i="6"/>
  <c r="O115" i="6"/>
  <c r="O222" i="6"/>
  <c r="O163" i="6"/>
  <c r="O100" i="6"/>
  <c r="O90" i="6"/>
  <c r="O27" i="6"/>
  <c r="P27" i="6" s="1"/>
  <c r="O162" i="6"/>
  <c r="O196" i="6"/>
  <c r="O186" i="6"/>
  <c r="O124" i="6"/>
  <c r="O114" i="6"/>
  <c r="O195" i="6"/>
  <c r="O67" i="6"/>
  <c r="O210" i="6"/>
  <c r="O76" i="6"/>
  <c r="O66" i="6"/>
  <c r="O235" i="6"/>
  <c r="O148" i="6"/>
  <c r="O138" i="6"/>
  <c r="O75" i="6"/>
  <c r="O19" i="6"/>
  <c r="P19" i="6" s="1"/>
  <c r="O198" i="6"/>
  <c r="O42" i="6"/>
  <c r="P42" i="6" s="1"/>
  <c r="O234" i="6"/>
  <c r="O28" i="6"/>
  <c r="P28" i="6" s="1"/>
  <c r="O170" i="6"/>
  <c r="O26" i="6"/>
  <c r="P26" i="6" s="1"/>
  <c r="O233" i="6"/>
  <c r="O209" i="6"/>
  <c r="O201" i="6"/>
  <c r="O185" i="6"/>
  <c r="O177" i="6"/>
  <c r="O161" i="6"/>
  <c r="O137" i="6"/>
  <c r="O113" i="6"/>
  <c r="O89" i="6"/>
  <c r="O65" i="6"/>
  <c r="O57" i="6"/>
  <c r="P57" i="6" s="1"/>
  <c r="O41" i="6"/>
  <c r="P41" i="6" s="1"/>
  <c r="O9" i="6"/>
  <c r="P9" i="6" s="1"/>
  <c r="O232" i="6"/>
  <c r="O208" i="6"/>
  <c r="O160" i="6"/>
  <c r="O136" i="6"/>
  <c r="O112" i="6"/>
  <c r="O88" i="6"/>
  <c r="O64" i="6"/>
  <c r="O40" i="6"/>
  <c r="P40" i="6" s="1"/>
  <c r="O16" i="6"/>
  <c r="P16" i="6" s="1"/>
  <c r="O8" i="6"/>
  <c r="P8" i="6" s="1"/>
  <c r="O50" i="6"/>
  <c r="P50" i="6" s="1"/>
  <c r="O5" i="6"/>
  <c r="P5" i="6" s="1"/>
  <c r="O231" i="6"/>
  <c r="O223" i="6"/>
  <c r="O207" i="6"/>
  <c r="O199" i="6"/>
  <c r="O183" i="6"/>
  <c r="O159" i="6"/>
  <c r="O151" i="6"/>
  <c r="O135" i="6"/>
  <c r="O127" i="6"/>
  <c r="O103" i="6"/>
  <c r="O87" i="6"/>
  <c r="O79" i="6"/>
  <c r="O39" i="6"/>
  <c r="P39" i="6" s="1"/>
  <c r="O31" i="6"/>
  <c r="P31" i="6" s="1"/>
  <c r="O15" i="6"/>
  <c r="P15" i="6" s="1"/>
  <c r="O7" i="6"/>
  <c r="P7" i="6" s="1"/>
  <c r="O206" i="6"/>
  <c r="O182" i="6"/>
  <c r="O126" i="6"/>
  <c r="O78" i="6"/>
  <c r="O62" i="6"/>
  <c r="O54" i="6"/>
  <c r="P54" i="6" s="1"/>
  <c r="O6" i="6"/>
  <c r="P6" i="6" s="1"/>
  <c r="O146" i="6"/>
  <c r="O197" i="6"/>
  <c r="O173" i="6"/>
  <c r="O77" i="6"/>
  <c r="O53" i="6"/>
  <c r="P53" i="6" s="1"/>
  <c r="O45" i="6"/>
  <c r="P45" i="6" s="1"/>
  <c r="O29" i="6"/>
  <c r="P29" i="6" s="1"/>
  <c r="G8" i="6"/>
  <c r="E9" i="6"/>
  <c r="E7" i="6"/>
  <c r="G7" i="6"/>
  <c r="G6" i="6"/>
  <c r="I20" i="6"/>
  <c r="I21" i="6"/>
  <c r="E6" i="6"/>
  <c r="I14" i="6"/>
  <c r="E5" i="6"/>
  <c r="G9" i="6"/>
  <c r="I30" i="6"/>
  <c r="J30" i="6" s="1"/>
  <c r="I18" i="6"/>
  <c r="I17" i="6"/>
  <c r="E8" i="6"/>
  <c r="M9" i="6"/>
  <c r="Q9" i="6" s="1"/>
  <c r="M7" i="6"/>
  <c r="Q7" i="6" s="1"/>
  <c r="M15" i="6"/>
  <c r="Q15" i="6" s="1"/>
  <c r="M6" i="6"/>
  <c r="Q6" i="6" s="1"/>
  <c r="M5" i="6"/>
  <c r="Q5" i="6" s="1"/>
  <c r="L21" i="6"/>
  <c r="M21" i="6" s="1"/>
  <c r="Q21" i="6" s="1"/>
  <c r="L20" i="6"/>
  <c r="M20" i="6" s="1"/>
  <c r="Q20" i="6" s="1"/>
  <c r="L19" i="6"/>
  <c r="M19" i="6" s="1"/>
  <c r="Q19" i="6" s="1"/>
  <c r="L13" i="6"/>
  <c r="M13" i="6" s="1"/>
  <c r="Q13" i="6" s="1"/>
  <c r="L12" i="6"/>
  <c r="M12" i="6" s="1"/>
  <c r="Q12" i="6" s="1"/>
  <c r="L22" i="6"/>
  <c r="L14" i="6"/>
  <c r="M14" i="6" s="1"/>
  <c r="Q14" i="6" s="1"/>
  <c r="M10" i="6"/>
  <c r="Q10" i="6" s="1"/>
  <c r="L18" i="6"/>
  <c r="M18" i="6" s="1"/>
  <c r="Q18" i="6" s="1"/>
  <c r="L17" i="6"/>
  <c r="M17" i="6" s="1"/>
  <c r="Q17" i="6" s="1"/>
  <c r="M8" i="6"/>
  <c r="Q8" i="6" s="1"/>
  <c r="L16" i="6"/>
  <c r="M16" i="6" s="1"/>
  <c r="Q16" i="6" s="1"/>
  <c r="L11" i="6"/>
  <c r="M11" i="6" s="1"/>
  <c r="Q11" i="6" s="1"/>
  <c r="G10" i="6"/>
  <c r="D21" i="6"/>
  <c r="E21" i="6" s="1"/>
  <c r="D16" i="6"/>
  <c r="D15" i="6"/>
  <c r="D13" i="6"/>
  <c r="D11" i="6"/>
  <c r="D22" i="6"/>
  <c r="I22" i="6" s="1"/>
  <c r="J22" i="6" s="1"/>
  <c r="D14" i="6"/>
  <c r="E14" i="6" s="1"/>
  <c r="D20" i="6"/>
  <c r="E20" i="6" s="1"/>
  <c r="D12" i="6"/>
  <c r="D19" i="6"/>
  <c r="D18" i="6"/>
  <c r="E18" i="6" s="1"/>
  <c r="D17" i="6"/>
  <c r="E11" i="9" l="1"/>
  <c r="E13" i="9" s="1"/>
  <c r="G20" i="6"/>
  <c r="G14" i="6"/>
  <c r="J14" i="6"/>
  <c r="J21" i="6"/>
  <c r="G21" i="6"/>
  <c r="J17" i="6"/>
  <c r="J20" i="6"/>
  <c r="G19" i="6"/>
  <c r="E19" i="6"/>
  <c r="G16" i="6"/>
  <c r="J16" i="6"/>
  <c r="E16" i="6"/>
  <c r="G18" i="6"/>
  <c r="J19" i="6"/>
  <c r="E17" i="6"/>
  <c r="G17" i="6"/>
  <c r="G13" i="6"/>
  <c r="I13" i="6"/>
  <c r="J13" i="6" s="1"/>
  <c r="J15" i="6"/>
  <c r="E15" i="6"/>
  <c r="G15" i="6"/>
  <c r="J18" i="6"/>
  <c r="G12" i="6"/>
  <c r="I12" i="6"/>
  <c r="J12" i="6" s="1"/>
  <c r="G11" i="6"/>
  <c r="I11" i="6"/>
  <c r="J11" i="6" s="1"/>
  <c r="M22" i="6"/>
  <c r="Q22" i="6" s="1"/>
  <c r="L26" i="6"/>
  <c r="M26" i="6" s="1"/>
  <c r="Q26" i="6" s="1"/>
  <c r="L34" i="6"/>
  <c r="L27" i="6"/>
  <c r="M27" i="6" s="1"/>
  <c r="Q27" i="6" s="1"/>
  <c r="L28" i="6"/>
  <c r="M28" i="6" s="1"/>
  <c r="Q28" i="6" s="1"/>
  <c r="L29" i="6"/>
  <c r="M29" i="6" s="1"/>
  <c r="Q29" i="6" s="1"/>
  <c r="L24" i="6"/>
  <c r="M24" i="6" s="1"/>
  <c r="Q24" i="6" s="1"/>
  <c r="L30" i="6"/>
  <c r="M30" i="6" s="1"/>
  <c r="Q30" i="6" s="1"/>
  <c r="L23" i="6"/>
  <c r="M23" i="6" s="1"/>
  <c r="Q23" i="6" s="1"/>
  <c r="L31" i="6"/>
  <c r="M31" i="6" s="1"/>
  <c r="Q31" i="6" s="1"/>
  <c r="L25" i="6"/>
  <c r="M25" i="6" s="1"/>
  <c r="Q25" i="6" s="1"/>
  <c r="L33" i="6"/>
  <c r="M33" i="6" s="1"/>
  <c r="Q33" i="6" s="1"/>
  <c r="L32" i="6"/>
  <c r="M32" i="6" s="1"/>
  <c r="Q32" i="6" s="1"/>
  <c r="G22" i="6"/>
  <c r="D24" i="6"/>
  <c r="D25" i="6"/>
  <c r="D23" i="6"/>
  <c r="T5" i="6" l="1"/>
  <c r="G23" i="6"/>
  <c r="I23" i="6"/>
  <c r="J23" i="6" s="1"/>
  <c r="D32" i="6"/>
  <c r="I25" i="6"/>
  <c r="J25" i="6" s="1"/>
  <c r="G24" i="6"/>
  <c r="I24" i="6"/>
  <c r="J24" i="6" s="1"/>
  <c r="T7" i="6"/>
  <c r="D34" i="6"/>
  <c r="D39" i="6" s="1"/>
  <c r="D30" i="6"/>
  <c r="D27" i="6"/>
  <c r="D31" i="6"/>
  <c r="D29" i="6"/>
  <c r="D26" i="6"/>
  <c r="D28" i="6"/>
  <c r="G25" i="6"/>
  <c r="D33" i="6"/>
  <c r="L42" i="6"/>
  <c r="M42" i="6" s="1"/>
  <c r="Q42" i="6" s="1"/>
  <c r="L43" i="6"/>
  <c r="M43" i="6" s="1"/>
  <c r="Q43" i="6" s="1"/>
  <c r="L36" i="6"/>
  <c r="M36" i="6" s="1"/>
  <c r="Q36" i="6" s="1"/>
  <c r="L44" i="6"/>
  <c r="M44" i="6" s="1"/>
  <c r="Q44" i="6" s="1"/>
  <c r="L37" i="6"/>
  <c r="M37" i="6" s="1"/>
  <c r="Q37" i="6" s="1"/>
  <c r="L45" i="6"/>
  <c r="M45" i="6" s="1"/>
  <c r="Q45" i="6" s="1"/>
  <c r="M34" i="6"/>
  <c r="Q34" i="6" s="1"/>
  <c r="L38" i="6"/>
  <c r="M38" i="6" s="1"/>
  <c r="Q38" i="6" s="1"/>
  <c r="L46" i="6"/>
  <c r="L40" i="6"/>
  <c r="M40" i="6" s="1"/>
  <c r="Q40" i="6" s="1"/>
  <c r="L39" i="6"/>
  <c r="M39" i="6" s="1"/>
  <c r="Q39" i="6" s="1"/>
  <c r="L35" i="6"/>
  <c r="M35" i="6" s="1"/>
  <c r="Q35" i="6" s="1"/>
  <c r="L41" i="6"/>
  <c r="M41" i="6" s="1"/>
  <c r="Q41" i="6" s="1"/>
  <c r="K7" i="6" l="1"/>
  <c r="K5" i="6"/>
  <c r="E31" i="6"/>
  <c r="K31" i="6" s="1"/>
  <c r="G31" i="6"/>
  <c r="G27" i="6"/>
  <c r="E27" i="6"/>
  <c r="K27" i="6" s="1"/>
  <c r="T17" i="6"/>
  <c r="T22" i="6"/>
  <c r="G28" i="6"/>
  <c r="E28" i="6"/>
  <c r="K28" i="6" s="1"/>
  <c r="E30" i="6"/>
  <c r="K30" i="6" s="1"/>
  <c r="G30" i="6"/>
  <c r="E26" i="6"/>
  <c r="K26" i="6" s="1"/>
  <c r="G26" i="6"/>
  <c r="G29" i="6"/>
  <c r="E29" i="6"/>
  <c r="K29" i="6" s="1"/>
  <c r="E32" i="6"/>
  <c r="K32" i="6" s="1"/>
  <c r="G32" i="6"/>
  <c r="G39" i="6"/>
  <c r="E39" i="6"/>
  <c r="K39" i="6" s="1"/>
  <c r="G33" i="6"/>
  <c r="E33" i="6"/>
  <c r="K33" i="6" s="1"/>
  <c r="G34" i="6"/>
  <c r="I34" i="6"/>
  <c r="J34" i="6" s="1"/>
  <c r="T20" i="6"/>
  <c r="T12" i="6"/>
  <c r="T9" i="6"/>
  <c r="T14" i="6"/>
  <c r="T19" i="6"/>
  <c r="T24" i="6"/>
  <c r="T11" i="6"/>
  <c r="T16" i="6"/>
  <c r="T6" i="6"/>
  <c r="T8" i="6"/>
  <c r="T18" i="6"/>
  <c r="T23" i="6"/>
  <c r="T21" i="6"/>
  <c r="T10" i="6"/>
  <c r="T15" i="6"/>
  <c r="T13" i="6"/>
  <c r="T25" i="6"/>
  <c r="D40" i="6"/>
  <c r="D35" i="6"/>
  <c r="D44" i="6"/>
  <c r="D37" i="6"/>
  <c r="D36" i="6"/>
  <c r="D43" i="6"/>
  <c r="D46" i="6"/>
  <c r="D38" i="6"/>
  <c r="D42" i="6"/>
  <c r="D45" i="6"/>
  <c r="D41" i="6"/>
  <c r="M46" i="6"/>
  <c r="Q46" i="6" s="1"/>
  <c r="S46" i="6" s="1"/>
  <c r="L50" i="6"/>
  <c r="M50" i="6" s="1"/>
  <c r="Q50" i="6" s="1"/>
  <c r="L58" i="6"/>
  <c r="L51" i="6"/>
  <c r="M51" i="6" s="1"/>
  <c r="Q51" i="6" s="1"/>
  <c r="L47" i="6"/>
  <c r="L48" i="6"/>
  <c r="M48" i="6" s="1"/>
  <c r="Q48" i="6" s="1"/>
  <c r="L52" i="6"/>
  <c r="M52" i="6" s="1"/>
  <c r="Q52" i="6" s="1"/>
  <c r="L53" i="6"/>
  <c r="M53" i="6" s="1"/>
  <c r="Q53" i="6" s="1"/>
  <c r="L54" i="6"/>
  <c r="M54" i="6" s="1"/>
  <c r="Q54" i="6" s="1"/>
  <c r="L55" i="6"/>
  <c r="M55" i="6" s="1"/>
  <c r="Q55" i="6" s="1"/>
  <c r="L56" i="6"/>
  <c r="M56" i="6" s="1"/>
  <c r="Q56" i="6" s="1"/>
  <c r="L49" i="6"/>
  <c r="M49" i="6" s="1"/>
  <c r="Q49" i="6" s="1"/>
  <c r="L57" i="6"/>
  <c r="M57" i="6" s="1"/>
  <c r="Q57" i="6" s="1"/>
  <c r="K10" i="6" l="1"/>
  <c r="K23" i="6"/>
  <c r="K8" i="6"/>
  <c r="K21" i="6"/>
  <c r="K18" i="6"/>
  <c r="K12" i="6"/>
  <c r="K25" i="6"/>
  <c r="K13" i="6"/>
  <c r="K22" i="6"/>
  <c r="K24" i="6"/>
  <c r="S34" i="6"/>
  <c r="K19" i="6"/>
  <c r="K14" i="6"/>
  <c r="K9" i="6"/>
  <c r="T239" i="6"/>
  <c r="K6" i="6"/>
  <c r="S10" i="6"/>
  <c r="K20" i="6"/>
  <c r="K16" i="6"/>
  <c r="K15" i="6"/>
  <c r="K11" i="6"/>
  <c r="K17" i="6"/>
  <c r="G43" i="6"/>
  <c r="E43" i="6"/>
  <c r="K43" i="6" s="1"/>
  <c r="G37" i="6"/>
  <c r="I37" i="6"/>
  <c r="J37" i="6" s="1"/>
  <c r="G38" i="6"/>
  <c r="E38" i="6"/>
  <c r="K38" i="6" s="1"/>
  <c r="G44" i="6"/>
  <c r="E44" i="6"/>
  <c r="K44" i="6" s="1"/>
  <c r="G45" i="6"/>
  <c r="E45" i="6"/>
  <c r="K45" i="6" s="1"/>
  <c r="G35" i="6"/>
  <c r="I35" i="6"/>
  <c r="J35" i="6" s="1"/>
  <c r="G46" i="6"/>
  <c r="I46" i="6"/>
  <c r="J46" i="6" s="1"/>
  <c r="G36" i="6"/>
  <c r="I36" i="6"/>
  <c r="J36" i="6" s="1"/>
  <c r="G41" i="6"/>
  <c r="E41" i="6"/>
  <c r="K41" i="6" s="1"/>
  <c r="G42" i="6"/>
  <c r="E42" i="6"/>
  <c r="K42" i="6" s="1"/>
  <c r="G40" i="6"/>
  <c r="E40" i="6"/>
  <c r="K40" i="6" s="1"/>
  <c r="D52" i="6"/>
  <c r="D56" i="6"/>
  <c r="D48" i="6"/>
  <c r="D47" i="6"/>
  <c r="D51" i="6"/>
  <c r="D55" i="6"/>
  <c r="D58" i="6"/>
  <c r="D50" i="6"/>
  <c r="D54" i="6"/>
  <c r="D57" i="6"/>
  <c r="D53" i="6"/>
  <c r="D49" i="6"/>
  <c r="M47" i="6"/>
  <c r="Q47" i="6" s="1"/>
  <c r="L65" i="6"/>
  <c r="L66" i="6"/>
  <c r="L70" i="6"/>
  <c r="L67" i="6"/>
  <c r="L60" i="6"/>
  <c r="M60" i="6" s="1"/>
  <c r="Q60" i="6" s="1"/>
  <c r="L68" i="6"/>
  <c r="L63" i="6"/>
  <c r="M58" i="6"/>
  <c r="Q58" i="6" s="1"/>
  <c r="S58" i="6" s="1"/>
  <c r="L61" i="6"/>
  <c r="M61" i="6" s="1"/>
  <c r="Q61" i="6" s="1"/>
  <c r="L69" i="6"/>
  <c r="L62" i="6"/>
  <c r="L59" i="6"/>
  <c r="M59" i="6" s="1"/>
  <c r="Q59" i="6" s="1"/>
  <c r="L64" i="6"/>
  <c r="R46" i="6" l="1"/>
  <c r="R10" i="6"/>
  <c r="R34" i="6"/>
  <c r="S22" i="6"/>
  <c r="R22" i="6"/>
  <c r="M67" i="6"/>
  <c r="Q67" i="6" s="1"/>
  <c r="P67" i="6"/>
  <c r="M62" i="6"/>
  <c r="Q62" i="6" s="1"/>
  <c r="P62" i="6"/>
  <c r="M69" i="6"/>
  <c r="Q69" i="6" s="1"/>
  <c r="P69" i="6"/>
  <c r="M64" i="6"/>
  <c r="Q64" i="6" s="1"/>
  <c r="P64" i="6"/>
  <c r="M65" i="6"/>
  <c r="Q65" i="6" s="1"/>
  <c r="P65" i="6"/>
  <c r="M66" i="6"/>
  <c r="Q66" i="6" s="1"/>
  <c r="P66" i="6"/>
  <c r="M63" i="6"/>
  <c r="Q63" i="6" s="1"/>
  <c r="P63" i="6"/>
  <c r="M68" i="6"/>
  <c r="Q68" i="6" s="1"/>
  <c r="P68" i="6"/>
  <c r="G57" i="6"/>
  <c r="E57" i="6"/>
  <c r="K57" i="6" s="1"/>
  <c r="G56" i="6"/>
  <c r="E56" i="6"/>
  <c r="K56" i="6" s="1"/>
  <c r="G50" i="6"/>
  <c r="E50" i="6"/>
  <c r="K50" i="6" s="1"/>
  <c r="G58" i="6"/>
  <c r="I58" i="6"/>
  <c r="J58" i="6" s="1"/>
  <c r="E55" i="6"/>
  <c r="K55" i="6" s="1"/>
  <c r="G55" i="6"/>
  <c r="E54" i="6"/>
  <c r="K54" i="6" s="1"/>
  <c r="G54" i="6"/>
  <c r="G52" i="6"/>
  <c r="E52" i="6"/>
  <c r="K52" i="6" s="1"/>
  <c r="G51" i="6"/>
  <c r="E51" i="6"/>
  <c r="K51" i="6" s="1"/>
  <c r="G49" i="6"/>
  <c r="I49" i="6"/>
  <c r="J49" i="6" s="1"/>
  <c r="G47" i="6"/>
  <c r="I47" i="6"/>
  <c r="J47" i="6" s="1"/>
  <c r="G53" i="6"/>
  <c r="E53" i="6"/>
  <c r="K53" i="6" s="1"/>
  <c r="G48" i="6"/>
  <c r="I48" i="6"/>
  <c r="J48" i="6" s="1"/>
  <c r="D59" i="6"/>
  <c r="D62" i="6"/>
  <c r="D67" i="6"/>
  <c r="D64" i="6"/>
  <c r="D63" i="6"/>
  <c r="D68" i="6"/>
  <c r="D70" i="6"/>
  <c r="D60" i="6"/>
  <c r="D69" i="6"/>
  <c r="D61" i="6"/>
  <c r="D66" i="6"/>
  <c r="D65" i="6"/>
  <c r="M70" i="6"/>
  <c r="Q70" i="6" s="1"/>
  <c r="L74" i="6"/>
  <c r="L82" i="6"/>
  <c r="L75" i="6"/>
  <c r="L71" i="6"/>
  <c r="M71" i="6" s="1"/>
  <c r="Q71" i="6" s="1"/>
  <c r="L76" i="6"/>
  <c r="L72" i="6"/>
  <c r="M72" i="6" s="1"/>
  <c r="Q72" i="6" s="1"/>
  <c r="L77" i="6"/>
  <c r="L78" i="6"/>
  <c r="L79" i="6"/>
  <c r="L73" i="6"/>
  <c r="M73" i="6" s="1"/>
  <c r="Q73" i="6" s="1"/>
  <c r="L81" i="6"/>
  <c r="L80" i="6"/>
  <c r="S70" i="6" l="1"/>
  <c r="R58" i="6"/>
  <c r="M81" i="6"/>
  <c r="Q81" i="6" s="1"/>
  <c r="P81" i="6"/>
  <c r="M79" i="6"/>
  <c r="Q79" i="6" s="1"/>
  <c r="P79" i="6"/>
  <c r="M78" i="6"/>
  <c r="Q78" i="6" s="1"/>
  <c r="P78" i="6"/>
  <c r="M75" i="6"/>
  <c r="Q75" i="6" s="1"/>
  <c r="P75" i="6"/>
  <c r="M74" i="6"/>
  <c r="Q74" i="6" s="1"/>
  <c r="P74" i="6"/>
  <c r="M77" i="6"/>
  <c r="Q77" i="6" s="1"/>
  <c r="P77" i="6"/>
  <c r="M76" i="6"/>
  <c r="Q76" i="6" s="1"/>
  <c r="P76" i="6"/>
  <c r="M80" i="6"/>
  <c r="Q80" i="6" s="1"/>
  <c r="P80" i="6"/>
  <c r="G70" i="6"/>
  <c r="I70" i="6"/>
  <c r="J70" i="6" s="1"/>
  <c r="E68" i="6"/>
  <c r="K68" i="6" s="1"/>
  <c r="G68" i="6"/>
  <c r="E63" i="6"/>
  <c r="K63" i="6" s="1"/>
  <c r="G63" i="6"/>
  <c r="G65" i="6"/>
  <c r="E65" i="6"/>
  <c r="K65" i="6" s="1"/>
  <c r="G64" i="6"/>
  <c r="E64" i="6"/>
  <c r="K64" i="6" s="1"/>
  <c r="G60" i="6"/>
  <c r="I60" i="6"/>
  <c r="J60" i="6" s="1"/>
  <c r="G66" i="6"/>
  <c r="E66" i="6"/>
  <c r="K66" i="6" s="1"/>
  <c r="G67" i="6"/>
  <c r="E67" i="6"/>
  <c r="K67" i="6" s="1"/>
  <c r="G61" i="6"/>
  <c r="I61" i="6"/>
  <c r="J61" i="6" s="1"/>
  <c r="G62" i="6"/>
  <c r="E62" i="6"/>
  <c r="K62" i="6" s="1"/>
  <c r="E69" i="6"/>
  <c r="K69" i="6" s="1"/>
  <c r="G69" i="6"/>
  <c r="G59" i="6"/>
  <c r="I59" i="6"/>
  <c r="J59" i="6" s="1"/>
  <c r="D71" i="6"/>
  <c r="D72" i="6"/>
  <c r="D82" i="6"/>
  <c r="D79" i="6"/>
  <c r="D76" i="6"/>
  <c r="D81" i="6"/>
  <c r="D78" i="6"/>
  <c r="D77" i="6"/>
  <c r="D73" i="6"/>
  <c r="D74" i="6"/>
  <c r="D75" i="6"/>
  <c r="D80" i="6"/>
  <c r="L90" i="6"/>
  <c r="L91" i="6"/>
  <c r="L84" i="6"/>
  <c r="M84" i="6" s="1"/>
  <c r="Q84" i="6" s="1"/>
  <c r="L92" i="6"/>
  <c r="L85" i="6"/>
  <c r="M85" i="6" s="1"/>
  <c r="Q85" i="6" s="1"/>
  <c r="L93" i="6"/>
  <c r="M82" i="6"/>
  <c r="Q82" i="6" s="1"/>
  <c r="L86" i="6"/>
  <c r="L94" i="6"/>
  <c r="L88" i="6"/>
  <c r="L87" i="6"/>
  <c r="L83" i="6"/>
  <c r="M83" i="6" s="1"/>
  <c r="Q83" i="6" s="1"/>
  <c r="L89" i="6"/>
  <c r="S82" i="6" l="1"/>
  <c r="R70" i="6"/>
  <c r="M90" i="6"/>
  <c r="Q90" i="6" s="1"/>
  <c r="P90" i="6"/>
  <c r="M87" i="6"/>
  <c r="Q87" i="6" s="1"/>
  <c r="P87" i="6"/>
  <c r="M91" i="6"/>
  <c r="Q91" i="6" s="1"/>
  <c r="P91" i="6"/>
  <c r="M86" i="6"/>
  <c r="Q86" i="6" s="1"/>
  <c r="P86" i="6"/>
  <c r="M88" i="6"/>
  <c r="Q88" i="6" s="1"/>
  <c r="P88" i="6"/>
  <c r="M93" i="6"/>
  <c r="Q93" i="6" s="1"/>
  <c r="P93" i="6"/>
  <c r="M89" i="6"/>
  <c r="Q89" i="6" s="1"/>
  <c r="P89" i="6"/>
  <c r="M92" i="6"/>
  <c r="Q92" i="6" s="1"/>
  <c r="P92" i="6"/>
  <c r="E81" i="6"/>
  <c r="K81" i="6" s="1"/>
  <c r="G81" i="6"/>
  <c r="J81" i="6"/>
  <c r="G76" i="6"/>
  <c r="E76" i="6"/>
  <c r="K76" i="6" s="1"/>
  <c r="J76" i="6"/>
  <c r="G77" i="6"/>
  <c r="J77" i="6"/>
  <c r="E77" i="6"/>
  <c r="K77" i="6" s="1"/>
  <c r="E78" i="6"/>
  <c r="K78" i="6" s="1"/>
  <c r="G78" i="6"/>
  <c r="J78" i="6"/>
  <c r="G80" i="6"/>
  <c r="E80" i="6"/>
  <c r="K80" i="6" s="1"/>
  <c r="J80" i="6"/>
  <c r="E79" i="6"/>
  <c r="K79" i="6" s="1"/>
  <c r="J79" i="6"/>
  <c r="G79" i="6"/>
  <c r="G75" i="6"/>
  <c r="J75" i="6"/>
  <c r="E75" i="6"/>
  <c r="K75" i="6" s="1"/>
  <c r="G82" i="6"/>
  <c r="I82" i="6"/>
  <c r="J82" i="6" s="1"/>
  <c r="G74" i="6"/>
  <c r="E74" i="6"/>
  <c r="K74" i="6" s="1"/>
  <c r="J74" i="6"/>
  <c r="G72" i="6"/>
  <c r="I72" i="6"/>
  <c r="J72" i="6" s="1"/>
  <c r="G73" i="6"/>
  <c r="I73" i="6"/>
  <c r="J73" i="6" s="1"/>
  <c r="G71" i="6"/>
  <c r="I71" i="6"/>
  <c r="J71" i="6" s="1"/>
  <c r="D90" i="6"/>
  <c r="D89" i="6"/>
  <c r="D87" i="6"/>
  <c r="D88" i="6"/>
  <c r="D86" i="6"/>
  <c r="D93" i="6"/>
  <c r="D92" i="6"/>
  <c r="D83" i="6"/>
  <c r="D84" i="6"/>
  <c r="D85" i="6"/>
  <c r="D91" i="6"/>
  <c r="D94" i="6"/>
  <c r="M94" i="6"/>
  <c r="Q94" i="6" s="1"/>
  <c r="L98" i="6"/>
  <c r="L106" i="6"/>
  <c r="L99" i="6"/>
  <c r="L95" i="6"/>
  <c r="M95" i="6" s="1"/>
  <c r="Q95" i="6" s="1"/>
  <c r="L96" i="6"/>
  <c r="M96" i="6" s="1"/>
  <c r="Q96" i="6" s="1"/>
  <c r="L100" i="6"/>
  <c r="L101" i="6"/>
  <c r="L102" i="6"/>
  <c r="L103" i="6"/>
  <c r="L104" i="6"/>
  <c r="L97" i="6"/>
  <c r="M97" i="6" s="1"/>
  <c r="Q97" i="6" s="1"/>
  <c r="L105" i="6"/>
  <c r="S94" i="6" l="1"/>
  <c r="R82" i="6"/>
  <c r="M99" i="6"/>
  <c r="Q99" i="6" s="1"/>
  <c r="P99" i="6"/>
  <c r="M98" i="6"/>
  <c r="Q98" i="6" s="1"/>
  <c r="P98" i="6"/>
  <c r="M102" i="6"/>
  <c r="Q102" i="6" s="1"/>
  <c r="P102" i="6"/>
  <c r="M105" i="6"/>
  <c r="Q105" i="6" s="1"/>
  <c r="P105" i="6"/>
  <c r="M104" i="6"/>
  <c r="Q104" i="6" s="1"/>
  <c r="P104" i="6"/>
  <c r="M103" i="6"/>
  <c r="Q103" i="6" s="1"/>
  <c r="P103" i="6"/>
  <c r="M101" i="6"/>
  <c r="Q101" i="6" s="1"/>
  <c r="P101" i="6"/>
  <c r="M100" i="6"/>
  <c r="Q100" i="6" s="1"/>
  <c r="P100" i="6"/>
  <c r="G83" i="6"/>
  <c r="I83" i="6"/>
  <c r="J83" i="6" s="1"/>
  <c r="G92" i="6"/>
  <c r="E92" i="6"/>
  <c r="K92" i="6" s="1"/>
  <c r="J92" i="6"/>
  <c r="G86" i="6"/>
  <c r="E86" i="6"/>
  <c r="K86" i="6" s="1"/>
  <c r="J86" i="6"/>
  <c r="G94" i="6"/>
  <c r="I94" i="6"/>
  <c r="J94" i="6" s="1"/>
  <c r="G88" i="6"/>
  <c r="J88" i="6"/>
  <c r="E88" i="6"/>
  <c r="K88" i="6" s="1"/>
  <c r="E93" i="6"/>
  <c r="K93" i="6" s="1"/>
  <c r="G93" i="6"/>
  <c r="J93" i="6"/>
  <c r="G91" i="6"/>
  <c r="E91" i="6"/>
  <c r="K91" i="6" s="1"/>
  <c r="J91" i="6"/>
  <c r="G87" i="6"/>
  <c r="J87" i="6"/>
  <c r="E87" i="6"/>
  <c r="K87" i="6" s="1"/>
  <c r="G85" i="6"/>
  <c r="I85" i="6"/>
  <c r="J85" i="6" s="1"/>
  <c r="G89" i="6"/>
  <c r="J89" i="6"/>
  <c r="E89" i="6"/>
  <c r="K89" i="6" s="1"/>
  <c r="G84" i="6"/>
  <c r="I84" i="6"/>
  <c r="J84" i="6" s="1"/>
  <c r="J90" i="6"/>
  <c r="G90" i="6"/>
  <c r="E90" i="6"/>
  <c r="K90" i="6" s="1"/>
  <c r="D98" i="6"/>
  <c r="D100" i="6"/>
  <c r="D97" i="6"/>
  <c r="D96" i="6"/>
  <c r="D101" i="6"/>
  <c r="D95" i="6"/>
  <c r="D103" i="6"/>
  <c r="D105" i="6"/>
  <c r="D99" i="6"/>
  <c r="D102" i="6"/>
  <c r="D106" i="6"/>
  <c r="D104" i="6"/>
  <c r="L114" i="6"/>
  <c r="L115" i="6"/>
  <c r="L108" i="6"/>
  <c r="M108" i="6" s="1"/>
  <c r="Q108" i="6" s="1"/>
  <c r="L116" i="6"/>
  <c r="L109" i="6"/>
  <c r="M109" i="6" s="1"/>
  <c r="Q109" i="6" s="1"/>
  <c r="L117" i="6"/>
  <c r="L112" i="6"/>
  <c r="M106" i="6"/>
  <c r="Q106" i="6" s="1"/>
  <c r="L110" i="6"/>
  <c r="L118" i="6"/>
  <c r="L111" i="6"/>
  <c r="L107" i="6"/>
  <c r="M107" i="6" s="1"/>
  <c r="Q107" i="6" s="1"/>
  <c r="L113" i="6"/>
  <c r="S106" i="6" l="1"/>
  <c r="R94" i="6"/>
  <c r="M115" i="6"/>
  <c r="Q115" i="6" s="1"/>
  <c r="P115" i="6"/>
  <c r="M112" i="6"/>
  <c r="Q112" i="6" s="1"/>
  <c r="P112" i="6"/>
  <c r="M110" i="6"/>
  <c r="Q110" i="6" s="1"/>
  <c r="P110" i="6"/>
  <c r="M114" i="6"/>
  <c r="Q114" i="6" s="1"/>
  <c r="P114" i="6"/>
  <c r="M117" i="6"/>
  <c r="Q117" i="6" s="1"/>
  <c r="P117" i="6"/>
  <c r="M111" i="6"/>
  <c r="Q111" i="6" s="1"/>
  <c r="P111" i="6"/>
  <c r="M113" i="6"/>
  <c r="Q113" i="6" s="1"/>
  <c r="P113" i="6"/>
  <c r="M116" i="6"/>
  <c r="Q116" i="6" s="1"/>
  <c r="P116" i="6"/>
  <c r="G105" i="6"/>
  <c r="E105" i="6"/>
  <c r="K105" i="6" s="1"/>
  <c r="J105" i="6"/>
  <c r="G103" i="6"/>
  <c r="E103" i="6"/>
  <c r="K103" i="6" s="1"/>
  <c r="J103" i="6"/>
  <c r="G101" i="6"/>
  <c r="J101" i="6"/>
  <c r="E101" i="6"/>
  <c r="K101" i="6" s="1"/>
  <c r="G95" i="6"/>
  <c r="I95" i="6"/>
  <c r="J95" i="6" s="1"/>
  <c r="G104" i="6"/>
  <c r="E104" i="6"/>
  <c r="K104" i="6" s="1"/>
  <c r="J104" i="6"/>
  <c r="G96" i="6"/>
  <c r="I96" i="6"/>
  <c r="J96" i="6" s="1"/>
  <c r="G106" i="6"/>
  <c r="I106" i="6"/>
  <c r="J106" i="6" s="1"/>
  <c r="G97" i="6"/>
  <c r="I97" i="6"/>
  <c r="J97" i="6" s="1"/>
  <c r="G102" i="6"/>
  <c r="J102" i="6"/>
  <c r="E102" i="6"/>
  <c r="K102" i="6" s="1"/>
  <c r="J100" i="6"/>
  <c r="G100" i="6"/>
  <c r="E100" i="6"/>
  <c r="K100" i="6" s="1"/>
  <c r="E99" i="6"/>
  <c r="K99" i="6" s="1"/>
  <c r="G99" i="6"/>
  <c r="J99" i="6"/>
  <c r="E98" i="6"/>
  <c r="K98" i="6" s="1"/>
  <c r="G98" i="6"/>
  <c r="J98" i="6"/>
  <c r="D117" i="6"/>
  <c r="D113" i="6"/>
  <c r="D116" i="6"/>
  <c r="D110" i="6"/>
  <c r="D107" i="6"/>
  <c r="D109" i="6"/>
  <c r="D115" i="6"/>
  <c r="D112" i="6"/>
  <c r="D114" i="6"/>
  <c r="D111" i="6"/>
  <c r="D118" i="6"/>
  <c r="D108" i="6"/>
  <c r="M118" i="6"/>
  <c r="Q118" i="6" s="1"/>
  <c r="L122" i="6"/>
  <c r="L130" i="6"/>
  <c r="L123" i="6"/>
  <c r="L119" i="6"/>
  <c r="M119" i="6" s="1"/>
  <c r="Q119" i="6" s="1"/>
  <c r="L124" i="6"/>
  <c r="L128" i="6"/>
  <c r="L125" i="6"/>
  <c r="L126" i="6"/>
  <c r="L127" i="6"/>
  <c r="L121" i="6"/>
  <c r="M121" i="6" s="1"/>
  <c r="Q121" i="6" s="1"/>
  <c r="L129" i="6"/>
  <c r="L120" i="6"/>
  <c r="M120" i="6" s="1"/>
  <c r="Q120" i="6" s="1"/>
  <c r="R106" i="6" l="1"/>
  <c r="S118" i="6"/>
  <c r="M127" i="6"/>
  <c r="Q127" i="6" s="1"/>
  <c r="P127" i="6"/>
  <c r="M126" i="6"/>
  <c r="Q126" i="6" s="1"/>
  <c r="P126" i="6"/>
  <c r="M125" i="6"/>
  <c r="Q125" i="6" s="1"/>
  <c r="P125" i="6"/>
  <c r="M122" i="6"/>
  <c r="Q122" i="6" s="1"/>
  <c r="P122" i="6"/>
  <c r="M129" i="6"/>
  <c r="Q129" i="6" s="1"/>
  <c r="P129" i="6"/>
  <c r="M123" i="6"/>
  <c r="Q123" i="6" s="1"/>
  <c r="P123" i="6"/>
  <c r="M128" i="6"/>
  <c r="Q128" i="6" s="1"/>
  <c r="P128" i="6"/>
  <c r="M124" i="6"/>
  <c r="Q124" i="6" s="1"/>
  <c r="P124" i="6"/>
  <c r="G112" i="6"/>
  <c r="J112" i="6"/>
  <c r="E112" i="6"/>
  <c r="K112" i="6" s="1"/>
  <c r="G109" i="6"/>
  <c r="I109" i="6"/>
  <c r="J109" i="6" s="1"/>
  <c r="G107" i="6"/>
  <c r="I107" i="6"/>
  <c r="J107" i="6" s="1"/>
  <c r="G108" i="6"/>
  <c r="I108" i="6"/>
  <c r="J108" i="6" s="1"/>
  <c r="G110" i="6"/>
  <c r="E110" i="6"/>
  <c r="K110" i="6" s="1"/>
  <c r="J110" i="6"/>
  <c r="E115" i="6"/>
  <c r="K115" i="6" s="1"/>
  <c r="G115" i="6"/>
  <c r="J115" i="6"/>
  <c r="G118" i="6"/>
  <c r="I118" i="6"/>
  <c r="J118" i="6" s="1"/>
  <c r="E116" i="6"/>
  <c r="K116" i="6" s="1"/>
  <c r="G116" i="6"/>
  <c r="J116" i="6"/>
  <c r="G111" i="6"/>
  <c r="E111" i="6"/>
  <c r="K111" i="6" s="1"/>
  <c r="J111" i="6"/>
  <c r="G113" i="6"/>
  <c r="J113" i="6"/>
  <c r="E113" i="6"/>
  <c r="K113" i="6" s="1"/>
  <c r="E114" i="6"/>
  <c r="K114" i="6" s="1"/>
  <c r="J114" i="6"/>
  <c r="G114" i="6"/>
  <c r="G117" i="6"/>
  <c r="E117" i="6"/>
  <c r="K117" i="6" s="1"/>
  <c r="J117" i="6"/>
  <c r="D121" i="6"/>
  <c r="D120" i="6"/>
  <c r="D130" i="6"/>
  <c r="D127" i="6"/>
  <c r="D126" i="6"/>
  <c r="D119" i="6"/>
  <c r="D123" i="6"/>
  <c r="D124" i="6"/>
  <c r="D122" i="6"/>
  <c r="D129" i="6"/>
  <c r="D128" i="6"/>
  <c r="D125" i="6"/>
  <c r="M130" i="6"/>
  <c r="Q130" i="6" s="1"/>
  <c r="L131" i="6"/>
  <c r="S130" i="6" l="1"/>
  <c r="R118" i="6"/>
  <c r="E123" i="6"/>
  <c r="K123" i="6" s="1"/>
  <c r="G123" i="6"/>
  <c r="J123" i="6"/>
  <c r="G125" i="6"/>
  <c r="E125" i="6"/>
  <c r="K125" i="6" s="1"/>
  <c r="J125" i="6"/>
  <c r="E127" i="6"/>
  <c r="K127" i="6" s="1"/>
  <c r="J127" i="6"/>
  <c r="G127" i="6"/>
  <c r="G124" i="6"/>
  <c r="J124" i="6"/>
  <c r="E124" i="6"/>
  <c r="K124" i="6" s="1"/>
  <c r="G119" i="6"/>
  <c r="I119" i="6"/>
  <c r="J119" i="6" s="1"/>
  <c r="G126" i="6"/>
  <c r="J126" i="6"/>
  <c r="E126" i="6"/>
  <c r="K126" i="6" s="1"/>
  <c r="G128" i="6"/>
  <c r="E128" i="6"/>
  <c r="K128" i="6" s="1"/>
  <c r="J128" i="6"/>
  <c r="G129" i="6"/>
  <c r="E129" i="6"/>
  <c r="K129" i="6" s="1"/>
  <c r="J129" i="6"/>
  <c r="G120" i="6"/>
  <c r="I120" i="6"/>
  <c r="J120" i="6" s="1"/>
  <c r="G130" i="6"/>
  <c r="I130" i="6"/>
  <c r="J130" i="6" s="1"/>
  <c r="G122" i="6"/>
  <c r="E122" i="6"/>
  <c r="K122" i="6" s="1"/>
  <c r="J122" i="6"/>
  <c r="G121" i="6"/>
  <c r="I121" i="6"/>
  <c r="J121" i="6" s="1"/>
  <c r="D141" i="6"/>
  <c r="D139" i="6"/>
  <c r="D138" i="6"/>
  <c r="D133" i="6"/>
  <c r="D140" i="6"/>
  <c r="D134" i="6"/>
  <c r="D137" i="6"/>
  <c r="D136" i="6"/>
  <c r="D131" i="6"/>
  <c r="D132" i="6"/>
  <c r="D135" i="6"/>
  <c r="D142" i="6"/>
  <c r="L139" i="6"/>
  <c r="L140" i="6"/>
  <c r="L133" i="6"/>
  <c r="M133" i="6" s="1"/>
  <c r="Q133" i="6" s="1"/>
  <c r="L141" i="6"/>
  <c r="L134" i="6"/>
  <c r="L142" i="6"/>
  <c r="L135" i="6"/>
  <c r="L132" i="6"/>
  <c r="M132" i="6" s="1"/>
  <c r="Q132" i="6" s="1"/>
  <c r="L137" i="6"/>
  <c r="M131" i="6"/>
  <c r="Q131" i="6" s="1"/>
  <c r="L136" i="6"/>
  <c r="L138" i="6"/>
  <c r="R130" i="6" l="1"/>
  <c r="M141" i="6"/>
  <c r="Q141" i="6" s="1"/>
  <c r="P141" i="6"/>
  <c r="M139" i="6"/>
  <c r="Q139" i="6" s="1"/>
  <c r="P139" i="6"/>
  <c r="M135" i="6"/>
  <c r="Q135" i="6" s="1"/>
  <c r="P135" i="6"/>
  <c r="M138" i="6"/>
  <c r="Q138" i="6" s="1"/>
  <c r="P138" i="6"/>
  <c r="M140" i="6"/>
  <c r="Q140" i="6" s="1"/>
  <c r="P140" i="6"/>
  <c r="M136" i="6"/>
  <c r="Q136" i="6" s="1"/>
  <c r="P136" i="6"/>
  <c r="M137" i="6"/>
  <c r="Q137" i="6" s="1"/>
  <c r="P137" i="6"/>
  <c r="M134" i="6"/>
  <c r="Q134" i="6" s="1"/>
  <c r="P134" i="6"/>
  <c r="E134" i="6"/>
  <c r="K134" i="6" s="1"/>
  <c r="G134" i="6"/>
  <c r="J134" i="6"/>
  <c r="G133" i="6"/>
  <c r="I133" i="6"/>
  <c r="J133" i="6" s="1"/>
  <c r="G135" i="6"/>
  <c r="J135" i="6"/>
  <c r="E135" i="6"/>
  <c r="K135" i="6" s="1"/>
  <c r="J138" i="6"/>
  <c r="E138" i="6"/>
  <c r="K138" i="6" s="1"/>
  <c r="G138" i="6"/>
  <c r="G132" i="6"/>
  <c r="I132" i="6"/>
  <c r="J132" i="6" s="1"/>
  <c r="E139" i="6"/>
  <c r="K139" i="6" s="1"/>
  <c r="G139" i="6"/>
  <c r="J139" i="6"/>
  <c r="G136" i="6"/>
  <c r="E136" i="6"/>
  <c r="K136" i="6" s="1"/>
  <c r="J136" i="6"/>
  <c r="G137" i="6"/>
  <c r="J137" i="6"/>
  <c r="E137" i="6"/>
  <c r="K137" i="6" s="1"/>
  <c r="G140" i="6"/>
  <c r="E140" i="6"/>
  <c r="K140" i="6" s="1"/>
  <c r="J140" i="6"/>
  <c r="G142" i="6"/>
  <c r="I142" i="6"/>
  <c r="J142" i="6" s="1"/>
  <c r="D143" i="6"/>
  <c r="G131" i="6"/>
  <c r="I131" i="6"/>
  <c r="J131" i="6" s="1"/>
  <c r="G141" i="6"/>
  <c r="E141" i="6"/>
  <c r="K141" i="6" s="1"/>
  <c r="J141" i="6"/>
  <c r="D146" i="6"/>
  <c r="D144" i="6"/>
  <c r="D153" i="6"/>
  <c r="D151" i="6"/>
  <c r="D154" i="6"/>
  <c r="D148" i="6"/>
  <c r="D150" i="6"/>
  <c r="D145" i="6"/>
  <c r="D149" i="6"/>
  <c r="D147" i="6"/>
  <c r="D152" i="6"/>
  <c r="M142" i="6"/>
  <c r="Q142" i="6" s="1"/>
  <c r="L146" i="6"/>
  <c r="L154" i="6"/>
  <c r="L147" i="6"/>
  <c r="L143" i="6"/>
  <c r="M143" i="6" s="1"/>
  <c r="Q143" i="6" s="1"/>
  <c r="L152" i="6"/>
  <c r="L148" i="6"/>
  <c r="L149" i="6"/>
  <c r="L150" i="6"/>
  <c r="L151" i="6"/>
  <c r="L144" i="6"/>
  <c r="M144" i="6" s="1"/>
  <c r="Q144" i="6" s="1"/>
  <c r="L145" i="6"/>
  <c r="M145" i="6" s="1"/>
  <c r="Q145" i="6" s="1"/>
  <c r="L153" i="6"/>
  <c r="S142" i="6" l="1"/>
  <c r="R142" i="6"/>
  <c r="M146" i="6"/>
  <c r="Q146" i="6" s="1"/>
  <c r="P146" i="6"/>
  <c r="M149" i="6"/>
  <c r="Q149" i="6" s="1"/>
  <c r="P149" i="6"/>
  <c r="M147" i="6"/>
  <c r="Q147" i="6" s="1"/>
  <c r="P147" i="6"/>
  <c r="M151" i="6"/>
  <c r="Q151" i="6" s="1"/>
  <c r="P151" i="6"/>
  <c r="M150" i="6"/>
  <c r="Q150" i="6" s="1"/>
  <c r="P150" i="6"/>
  <c r="M148" i="6"/>
  <c r="Q148" i="6" s="1"/>
  <c r="P148" i="6"/>
  <c r="M152" i="6"/>
  <c r="Q152" i="6" s="1"/>
  <c r="P152" i="6"/>
  <c r="M153" i="6"/>
  <c r="Q153" i="6" s="1"/>
  <c r="P153" i="6"/>
  <c r="G151" i="6"/>
  <c r="E151" i="6"/>
  <c r="K151" i="6" s="1"/>
  <c r="J151" i="6"/>
  <c r="E152" i="6"/>
  <c r="K152" i="6" s="1"/>
  <c r="G152" i="6"/>
  <c r="J152" i="6"/>
  <c r="G153" i="6"/>
  <c r="E153" i="6"/>
  <c r="K153" i="6" s="1"/>
  <c r="J153" i="6"/>
  <c r="G143" i="6"/>
  <c r="I143" i="6"/>
  <c r="J143" i="6" s="1"/>
  <c r="G148" i="6"/>
  <c r="J148" i="6"/>
  <c r="E148" i="6"/>
  <c r="K148" i="6" s="1"/>
  <c r="D165" i="6"/>
  <c r="I154" i="6"/>
  <c r="J154" i="6" s="1"/>
  <c r="G149" i="6"/>
  <c r="J149" i="6"/>
  <c r="E149" i="6"/>
  <c r="K149" i="6" s="1"/>
  <c r="J146" i="6"/>
  <c r="G146" i="6"/>
  <c r="E146" i="6"/>
  <c r="K146" i="6" s="1"/>
  <c r="R154" i="6" s="1"/>
  <c r="G150" i="6"/>
  <c r="E150" i="6"/>
  <c r="K150" i="6" s="1"/>
  <c r="J150" i="6"/>
  <c r="G147" i="6"/>
  <c r="J147" i="6"/>
  <c r="E147" i="6"/>
  <c r="K147" i="6" s="1"/>
  <c r="G144" i="6"/>
  <c r="I144" i="6"/>
  <c r="J144" i="6" s="1"/>
  <c r="G145" i="6"/>
  <c r="I145" i="6"/>
  <c r="J145" i="6" s="1"/>
  <c r="D161" i="6"/>
  <c r="D159" i="6"/>
  <c r="D157" i="6"/>
  <c r="D166" i="6"/>
  <c r="D168" i="6" s="1"/>
  <c r="I168" i="6" s="1"/>
  <c r="J168" i="6" s="1"/>
  <c r="D155" i="6"/>
  <c r="D163" i="6"/>
  <c r="D164" i="6"/>
  <c r="D156" i="6"/>
  <c r="D160" i="6"/>
  <c r="G154" i="6"/>
  <c r="D162" i="6"/>
  <c r="E154" i="6"/>
  <c r="K154" i="6" s="1"/>
  <c r="D158" i="6"/>
  <c r="L162" i="6"/>
  <c r="L163" i="6"/>
  <c r="L156" i="6"/>
  <c r="M156" i="6" s="1"/>
  <c r="Q156" i="6" s="1"/>
  <c r="L164" i="6"/>
  <c r="L157" i="6"/>
  <c r="M157" i="6" s="1"/>
  <c r="Q157" i="6" s="1"/>
  <c r="L165" i="6"/>
  <c r="L160" i="6"/>
  <c r="M154" i="6"/>
  <c r="Q154" i="6" s="1"/>
  <c r="L158" i="6"/>
  <c r="L166" i="6"/>
  <c r="L159" i="6"/>
  <c r="L155" i="6"/>
  <c r="M155" i="6" s="1"/>
  <c r="Q155" i="6" s="1"/>
  <c r="L161" i="6"/>
  <c r="E157" i="6"/>
  <c r="K157" i="6" s="1"/>
  <c r="E166" i="6"/>
  <c r="K166" i="6" s="1"/>
  <c r="G166" i="6"/>
  <c r="S154" i="6" l="1"/>
  <c r="D170" i="6"/>
  <c r="D177" i="6"/>
  <c r="J177" i="6" s="1"/>
  <c r="M162" i="6"/>
  <c r="Q162" i="6" s="1"/>
  <c r="P162" i="6"/>
  <c r="M160" i="6"/>
  <c r="Q160" i="6" s="1"/>
  <c r="P160" i="6"/>
  <c r="M159" i="6"/>
  <c r="Q159" i="6" s="1"/>
  <c r="P159" i="6"/>
  <c r="M165" i="6"/>
  <c r="Q165" i="6" s="1"/>
  <c r="P165" i="6"/>
  <c r="M163" i="6"/>
  <c r="Q163" i="6" s="1"/>
  <c r="P163" i="6"/>
  <c r="M158" i="6"/>
  <c r="Q158" i="6" s="1"/>
  <c r="P158" i="6"/>
  <c r="M161" i="6"/>
  <c r="Q161" i="6" s="1"/>
  <c r="P161" i="6"/>
  <c r="M164" i="6"/>
  <c r="Q164" i="6" s="1"/>
  <c r="P164" i="6"/>
  <c r="E164" i="6"/>
  <c r="K164" i="6" s="1"/>
  <c r="G164" i="6"/>
  <c r="J164" i="6"/>
  <c r="G165" i="6"/>
  <c r="E165" i="6"/>
  <c r="K165" i="6" s="1"/>
  <c r="J165" i="6"/>
  <c r="G163" i="6"/>
  <c r="E163" i="6"/>
  <c r="K163" i="6" s="1"/>
  <c r="J163" i="6"/>
  <c r="G158" i="6"/>
  <c r="E158" i="6"/>
  <c r="K158" i="6" s="1"/>
  <c r="J158" i="6"/>
  <c r="G155" i="6"/>
  <c r="I155" i="6"/>
  <c r="J155" i="6" s="1"/>
  <c r="D176" i="6"/>
  <c r="I166" i="6"/>
  <c r="J166" i="6" s="1"/>
  <c r="G170" i="6"/>
  <c r="J170" i="6"/>
  <c r="E170" i="6"/>
  <c r="K170" i="6" s="1"/>
  <c r="G162" i="6"/>
  <c r="E162" i="6"/>
  <c r="K162" i="6" s="1"/>
  <c r="J162" i="6"/>
  <c r="G159" i="6"/>
  <c r="E159" i="6"/>
  <c r="K159" i="6" s="1"/>
  <c r="J159" i="6"/>
  <c r="E156" i="6"/>
  <c r="K156" i="6" s="1"/>
  <c r="I156" i="6"/>
  <c r="J156" i="6" s="1"/>
  <c r="E177" i="6"/>
  <c r="K177" i="6" s="1"/>
  <c r="G177" i="6"/>
  <c r="G157" i="6"/>
  <c r="I157" i="6"/>
  <c r="J157" i="6" s="1"/>
  <c r="G160" i="6"/>
  <c r="J160" i="6"/>
  <c r="E160" i="6"/>
  <c r="K160" i="6" s="1"/>
  <c r="G161" i="6"/>
  <c r="E161" i="6"/>
  <c r="K161" i="6" s="1"/>
  <c r="J161" i="6"/>
  <c r="D174" i="6"/>
  <c r="D172" i="6"/>
  <c r="D178" i="6"/>
  <c r="D180" i="6" s="1"/>
  <c r="I180" i="6" s="1"/>
  <c r="J180" i="6" s="1"/>
  <c r="D173" i="6"/>
  <c r="E155" i="6"/>
  <c r="K155" i="6" s="1"/>
  <c r="D167" i="6"/>
  <c r="D175" i="6"/>
  <c r="D169" i="6"/>
  <c r="G169" i="6" s="1"/>
  <c r="D171" i="6"/>
  <c r="G156" i="6"/>
  <c r="M166" i="6"/>
  <c r="Q166" i="6" s="1"/>
  <c r="L170" i="6"/>
  <c r="L178" i="6"/>
  <c r="L171" i="6"/>
  <c r="L167" i="6"/>
  <c r="M167" i="6" s="1"/>
  <c r="Q167" i="6" s="1"/>
  <c r="L172" i="6"/>
  <c r="L176" i="6"/>
  <c r="L173" i="6"/>
  <c r="L174" i="6"/>
  <c r="L175" i="6"/>
  <c r="L169" i="6"/>
  <c r="M169" i="6" s="1"/>
  <c r="Q169" i="6" s="1"/>
  <c r="L177" i="6"/>
  <c r="L168" i="6"/>
  <c r="M168" i="6" s="1"/>
  <c r="Q168" i="6" s="1"/>
  <c r="G168" i="6"/>
  <c r="E168" i="6"/>
  <c r="K168" i="6" s="1"/>
  <c r="S166" i="6" l="1"/>
  <c r="R166" i="6"/>
  <c r="D183" i="6"/>
  <c r="E183" i="6" s="1"/>
  <c r="K183" i="6" s="1"/>
  <c r="D185" i="6"/>
  <c r="G185" i="6" s="1"/>
  <c r="D190" i="6"/>
  <c r="I190" i="6" s="1"/>
  <c r="J190" i="6" s="1"/>
  <c r="D181" i="6"/>
  <c r="I181" i="6" s="1"/>
  <c r="J181" i="6" s="1"/>
  <c r="D182" i="6"/>
  <c r="G182" i="6" s="1"/>
  <c r="D189" i="6"/>
  <c r="J189" i="6" s="1"/>
  <c r="D186" i="6"/>
  <c r="E186" i="6" s="1"/>
  <c r="K186" i="6" s="1"/>
  <c r="D179" i="6"/>
  <c r="I179" i="6" s="1"/>
  <c r="J179" i="6" s="1"/>
  <c r="D184" i="6"/>
  <c r="G184" i="6" s="1"/>
  <c r="D187" i="6"/>
  <c r="G187" i="6" s="1"/>
  <c r="G178" i="6"/>
  <c r="M173" i="6"/>
  <c r="Q173" i="6" s="1"/>
  <c r="P173" i="6"/>
  <c r="M177" i="6"/>
  <c r="Q177" i="6" s="1"/>
  <c r="P177" i="6"/>
  <c r="M171" i="6"/>
  <c r="Q171" i="6" s="1"/>
  <c r="P171" i="6"/>
  <c r="M176" i="6"/>
  <c r="Q176" i="6" s="1"/>
  <c r="P176" i="6"/>
  <c r="M172" i="6"/>
  <c r="Q172" i="6" s="1"/>
  <c r="P172" i="6"/>
  <c r="M175" i="6"/>
  <c r="Q175" i="6" s="1"/>
  <c r="P175" i="6"/>
  <c r="M170" i="6"/>
  <c r="Q170" i="6" s="1"/>
  <c r="P170" i="6"/>
  <c r="M174" i="6"/>
  <c r="Q174" i="6" s="1"/>
  <c r="P174" i="6"/>
  <c r="D188" i="6"/>
  <c r="J188" i="6" s="1"/>
  <c r="G171" i="6"/>
  <c r="J171" i="6"/>
  <c r="E171" i="6"/>
  <c r="K171" i="6" s="1"/>
  <c r="G175" i="6"/>
  <c r="E175" i="6"/>
  <c r="K175" i="6" s="1"/>
  <c r="J175" i="6"/>
  <c r="G172" i="6"/>
  <c r="E172" i="6"/>
  <c r="K172" i="6" s="1"/>
  <c r="J172" i="6"/>
  <c r="E174" i="6"/>
  <c r="K174" i="6" s="1"/>
  <c r="G174" i="6"/>
  <c r="J174" i="6"/>
  <c r="G176" i="6"/>
  <c r="E176" i="6"/>
  <c r="K176" i="6" s="1"/>
  <c r="J176" i="6"/>
  <c r="E169" i="6"/>
  <c r="K169" i="6" s="1"/>
  <c r="I169" i="6"/>
  <c r="J169" i="6" s="1"/>
  <c r="G183" i="6"/>
  <c r="E167" i="6"/>
  <c r="K167" i="6" s="1"/>
  <c r="I167" i="6"/>
  <c r="J167" i="6" s="1"/>
  <c r="J185" i="6"/>
  <c r="E185" i="6"/>
  <c r="K185" i="6" s="1"/>
  <c r="G173" i="6"/>
  <c r="J173" i="6"/>
  <c r="E173" i="6"/>
  <c r="K173" i="6" s="1"/>
  <c r="E178" i="6"/>
  <c r="K178" i="6" s="1"/>
  <c r="I178" i="6"/>
  <c r="J178" i="6" s="1"/>
  <c r="G167" i="6"/>
  <c r="L186" i="6"/>
  <c r="L187" i="6"/>
  <c r="L184" i="6"/>
  <c r="L180" i="6"/>
  <c r="M180" i="6" s="1"/>
  <c r="Q180" i="6" s="1"/>
  <c r="L188" i="6"/>
  <c r="L181" i="6"/>
  <c r="M181" i="6" s="1"/>
  <c r="Q181" i="6" s="1"/>
  <c r="L189" i="6"/>
  <c r="M178" i="6"/>
  <c r="Q178" i="6" s="1"/>
  <c r="L182" i="6"/>
  <c r="L190" i="6"/>
  <c r="L183" i="6"/>
  <c r="L179" i="6"/>
  <c r="M179" i="6" s="1"/>
  <c r="Q179" i="6" s="1"/>
  <c r="L185" i="6"/>
  <c r="G181" i="6"/>
  <c r="G180" i="6"/>
  <c r="E180" i="6"/>
  <c r="K180" i="6" s="1"/>
  <c r="D196" i="6"/>
  <c r="D198" i="6"/>
  <c r="D194" i="6"/>
  <c r="D200" i="6"/>
  <c r="J183" i="6" l="1"/>
  <c r="R178" i="6"/>
  <c r="S178" i="6"/>
  <c r="E181" i="6"/>
  <c r="K181" i="6" s="1"/>
  <c r="D202" i="6"/>
  <c r="I202" i="6" s="1"/>
  <c r="J202" i="6" s="1"/>
  <c r="D193" i="6"/>
  <c r="I193" i="6" s="1"/>
  <c r="J193" i="6" s="1"/>
  <c r="D197" i="6"/>
  <c r="G197" i="6" s="1"/>
  <c r="D191" i="6"/>
  <c r="I191" i="6" s="1"/>
  <c r="J191" i="6" s="1"/>
  <c r="D199" i="6"/>
  <c r="J199" i="6" s="1"/>
  <c r="D201" i="6"/>
  <c r="E201" i="6" s="1"/>
  <c r="K201" i="6" s="1"/>
  <c r="G190" i="6"/>
  <c r="D195" i="6"/>
  <c r="E195" i="6" s="1"/>
  <c r="K195" i="6" s="1"/>
  <c r="D192" i="6"/>
  <c r="I192" i="6" s="1"/>
  <c r="J192" i="6" s="1"/>
  <c r="E190" i="6"/>
  <c r="K190" i="6" s="1"/>
  <c r="G189" i="6"/>
  <c r="E189" i="6"/>
  <c r="K189" i="6" s="1"/>
  <c r="J186" i="6"/>
  <c r="J182" i="6"/>
  <c r="E182" i="6"/>
  <c r="K182" i="6" s="1"/>
  <c r="G186" i="6"/>
  <c r="G188" i="6"/>
  <c r="G179" i="6"/>
  <c r="E188" i="6"/>
  <c r="K188" i="6" s="1"/>
  <c r="E184" i="6"/>
  <c r="K184" i="6" s="1"/>
  <c r="J184" i="6"/>
  <c r="J187" i="6"/>
  <c r="E187" i="6"/>
  <c r="K187" i="6" s="1"/>
  <c r="E179" i="6"/>
  <c r="K179" i="6" s="1"/>
  <c r="M185" i="6"/>
  <c r="Q185" i="6" s="1"/>
  <c r="P185" i="6"/>
  <c r="M184" i="6"/>
  <c r="Q184" i="6" s="1"/>
  <c r="P184" i="6"/>
  <c r="M187" i="6"/>
  <c r="Q187" i="6" s="1"/>
  <c r="P187" i="6"/>
  <c r="M182" i="6"/>
  <c r="Q182" i="6" s="1"/>
  <c r="P182" i="6"/>
  <c r="M186" i="6"/>
  <c r="Q186" i="6" s="1"/>
  <c r="P186" i="6"/>
  <c r="M188" i="6"/>
  <c r="Q188" i="6" s="1"/>
  <c r="P188" i="6"/>
  <c r="M183" i="6"/>
  <c r="Q183" i="6" s="1"/>
  <c r="P183" i="6"/>
  <c r="M189" i="6"/>
  <c r="Q189" i="6" s="1"/>
  <c r="P189" i="6"/>
  <c r="G198" i="6"/>
  <c r="J198" i="6"/>
  <c r="E198" i="6"/>
  <c r="K198" i="6" s="1"/>
  <c r="E200" i="6"/>
  <c r="K200" i="6" s="1"/>
  <c r="G200" i="6"/>
  <c r="J200" i="6"/>
  <c r="G196" i="6"/>
  <c r="J196" i="6"/>
  <c r="E196" i="6"/>
  <c r="K196" i="6" s="1"/>
  <c r="G194" i="6"/>
  <c r="E194" i="6"/>
  <c r="K194" i="6" s="1"/>
  <c r="J194" i="6"/>
  <c r="M190" i="6"/>
  <c r="Q190" i="6" s="1"/>
  <c r="L194" i="6"/>
  <c r="L202" i="6"/>
  <c r="L195" i="6"/>
  <c r="L191" i="6"/>
  <c r="M191" i="6" s="1"/>
  <c r="Q191" i="6" s="1"/>
  <c r="L196" i="6"/>
  <c r="L197" i="6"/>
  <c r="L198" i="6"/>
  <c r="L200" i="6"/>
  <c r="L199" i="6"/>
  <c r="L192" i="6"/>
  <c r="M192" i="6" s="1"/>
  <c r="Q192" i="6" s="1"/>
  <c r="L193" i="6"/>
  <c r="M193" i="6" s="1"/>
  <c r="Q193" i="6" s="1"/>
  <c r="L201" i="6"/>
  <c r="G202" i="6"/>
  <c r="E202" i="6"/>
  <c r="K202" i="6" s="1"/>
  <c r="G193" i="6"/>
  <c r="D212" i="6"/>
  <c r="D209" i="6"/>
  <c r="D211" i="6"/>
  <c r="D205" i="6"/>
  <c r="I205" i="6" s="1"/>
  <c r="J205" i="6" s="1"/>
  <c r="D213" i="6"/>
  <c r="D214" i="6"/>
  <c r="I214" i="6" s="1"/>
  <c r="J214" i="6" s="1"/>
  <c r="D208" i="6"/>
  <c r="D210" i="6"/>
  <c r="D206" i="6"/>
  <c r="D207" i="6"/>
  <c r="D203" i="6"/>
  <c r="I203" i="6" s="1"/>
  <c r="J203" i="6" s="1"/>
  <c r="R190" i="6" l="1"/>
  <c r="D204" i="6"/>
  <c r="I204" i="6" s="1"/>
  <c r="J204" i="6" s="1"/>
  <c r="G191" i="6"/>
  <c r="E197" i="6"/>
  <c r="K197" i="6" s="1"/>
  <c r="E193" i="6"/>
  <c r="K193" i="6" s="1"/>
  <c r="J197" i="6"/>
  <c r="S190" i="6"/>
  <c r="E199" i="6"/>
  <c r="K199" i="6" s="1"/>
  <c r="E191" i="6"/>
  <c r="K191" i="6" s="1"/>
  <c r="G199" i="6"/>
  <c r="J195" i="6"/>
  <c r="G201" i="6"/>
  <c r="J201" i="6"/>
  <c r="E192" i="6"/>
  <c r="K192" i="6" s="1"/>
  <c r="G195" i="6"/>
  <c r="G192" i="6"/>
  <c r="M195" i="6"/>
  <c r="Q195" i="6" s="1"/>
  <c r="P195" i="6"/>
  <c r="M198" i="6"/>
  <c r="Q198" i="6" s="1"/>
  <c r="P198" i="6"/>
  <c r="M197" i="6"/>
  <c r="Q197" i="6" s="1"/>
  <c r="P197" i="6"/>
  <c r="M201" i="6"/>
  <c r="Q201" i="6" s="1"/>
  <c r="P201" i="6"/>
  <c r="M194" i="6"/>
  <c r="Q194" i="6" s="1"/>
  <c r="P194" i="6"/>
  <c r="M196" i="6"/>
  <c r="Q196" i="6" s="1"/>
  <c r="P196" i="6"/>
  <c r="M199" i="6"/>
  <c r="Q199" i="6" s="1"/>
  <c r="P199" i="6"/>
  <c r="M200" i="6"/>
  <c r="Q200" i="6" s="1"/>
  <c r="P200" i="6"/>
  <c r="G206" i="6"/>
  <c r="J206" i="6"/>
  <c r="E206" i="6"/>
  <c r="K206" i="6" s="1"/>
  <c r="G207" i="6"/>
  <c r="E207" i="6"/>
  <c r="K207" i="6" s="1"/>
  <c r="J207" i="6"/>
  <c r="E212" i="6"/>
  <c r="K212" i="6" s="1"/>
  <c r="G212" i="6"/>
  <c r="J212" i="6"/>
  <c r="G210" i="6"/>
  <c r="E210" i="6"/>
  <c r="K210" i="6" s="1"/>
  <c r="J210" i="6"/>
  <c r="E213" i="6"/>
  <c r="K213" i="6" s="1"/>
  <c r="G213" i="6"/>
  <c r="J213" i="6"/>
  <c r="G209" i="6"/>
  <c r="E209" i="6"/>
  <c r="K209" i="6" s="1"/>
  <c r="J209" i="6"/>
  <c r="G208" i="6"/>
  <c r="J208" i="6"/>
  <c r="E208" i="6"/>
  <c r="K208" i="6" s="1"/>
  <c r="E211" i="6"/>
  <c r="K211" i="6" s="1"/>
  <c r="G211" i="6"/>
  <c r="J211" i="6"/>
  <c r="L210" i="6"/>
  <c r="L211" i="6"/>
  <c r="L204" i="6"/>
  <c r="M204" i="6" s="1"/>
  <c r="Q204" i="6" s="1"/>
  <c r="L212" i="6"/>
  <c r="L205" i="6"/>
  <c r="M205" i="6" s="1"/>
  <c r="Q205" i="6" s="1"/>
  <c r="L213" i="6"/>
  <c r="L208" i="6"/>
  <c r="M202" i="6"/>
  <c r="Q202" i="6" s="1"/>
  <c r="L206" i="6"/>
  <c r="L214" i="6"/>
  <c r="O214" i="6" s="1"/>
  <c r="P214" i="6" s="1"/>
  <c r="L207" i="6"/>
  <c r="L203" i="6"/>
  <c r="M203" i="6" s="1"/>
  <c r="Q203" i="6" s="1"/>
  <c r="L209" i="6"/>
  <c r="E214" i="6"/>
  <c r="K214" i="6" s="1"/>
  <c r="G214" i="6"/>
  <c r="E205" i="6"/>
  <c r="K205" i="6" s="1"/>
  <c r="G205" i="6"/>
  <c r="E203" i="6"/>
  <c r="K203" i="6" s="1"/>
  <c r="G203" i="6"/>
  <c r="G204" i="6"/>
  <c r="E204" i="6"/>
  <c r="K204" i="6" s="1"/>
  <c r="D220" i="6"/>
  <c r="D217" i="6"/>
  <c r="I217" i="6" s="1"/>
  <c r="J217" i="6" s="1"/>
  <c r="D226" i="6"/>
  <c r="I226" i="6" s="1"/>
  <c r="J226" i="6" s="1"/>
  <c r="D221" i="6"/>
  <c r="D224" i="6"/>
  <c r="D225" i="6"/>
  <c r="D218" i="6"/>
  <c r="D219" i="6"/>
  <c r="D222" i="6"/>
  <c r="D216" i="6"/>
  <c r="I216" i="6" s="1"/>
  <c r="J216" i="6" s="1"/>
  <c r="D215" i="6"/>
  <c r="I215" i="6" s="1"/>
  <c r="J215" i="6" s="1"/>
  <c r="D223" i="6"/>
  <c r="S202" i="6" l="1"/>
  <c r="R202" i="6"/>
  <c r="R214" i="6"/>
  <c r="M213" i="6"/>
  <c r="Q213" i="6" s="1"/>
  <c r="P213" i="6"/>
  <c r="M209" i="6"/>
  <c r="Q209" i="6" s="1"/>
  <c r="P209" i="6"/>
  <c r="M207" i="6"/>
  <c r="Q207" i="6" s="1"/>
  <c r="P207" i="6"/>
  <c r="M211" i="6"/>
  <c r="Q211" i="6" s="1"/>
  <c r="P211" i="6"/>
  <c r="M208" i="6"/>
  <c r="Q208" i="6" s="1"/>
  <c r="P208" i="6"/>
  <c r="M212" i="6"/>
  <c r="Q212" i="6" s="1"/>
  <c r="P212" i="6"/>
  <c r="M206" i="6"/>
  <c r="Q206" i="6" s="1"/>
  <c r="P206" i="6"/>
  <c r="M210" i="6"/>
  <c r="Q210" i="6" s="1"/>
  <c r="P210" i="6"/>
  <c r="G218" i="6"/>
  <c r="E218" i="6"/>
  <c r="K218" i="6" s="1"/>
  <c r="J218" i="6"/>
  <c r="G222" i="6"/>
  <c r="E222" i="6"/>
  <c r="K222" i="6" s="1"/>
  <c r="J222" i="6"/>
  <c r="G219" i="6"/>
  <c r="J219" i="6"/>
  <c r="E219" i="6"/>
  <c r="K219" i="6" s="1"/>
  <c r="G224" i="6"/>
  <c r="E224" i="6"/>
  <c r="K224" i="6" s="1"/>
  <c r="J224" i="6"/>
  <c r="G220" i="6"/>
  <c r="E220" i="6"/>
  <c r="K220" i="6" s="1"/>
  <c r="J220" i="6"/>
  <c r="E225" i="6"/>
  <c r="K225" i="6" s="1"/>
  <c r="G225" i="6"/>
  <c r="J225" i="6"/>
  <c r="G223" i="6"/>
  <c r="E223" i="6"/>
  <c r="K223" i="6" s="1"/>
  <c r="J223" i="6"/>
  <c r="E221" i="6"/>
  <c r="K221" i="6" s="1"/>
  <c r="G221" i="6"/>
  <c r="J221" i="6"/>
  <c r="M214" i="6"/>
  <c r="Q214" i="6" s="1"/>
  <c r="L218" i="6"/>
  <c r="L226" i="6"/>
  <c r="O226" i="6" s="1"/>
  <c r="P226" i="6" s="1"/>
  <c r="L219" i="6"/>
  <c r="L215" i="6"/>
  <c r="L216" i="6"/>
  <c r="L220" i="6"/>
  <c r="L224" i="6"/>
  <c r="L221" i="6"/>
  <c r="L222" i="6"/>
  <c r="L223" i="6"/>
  <c r="L217" i="6"/>
  <c r="L225" i="6"/>
  <c r="G226" i="6"/>
  <c r="E226" i="6"/>
  <c r="K226" i="6" s="1"/>
  <c r="G216" i="6"/>
  <c r="E216" i="6"/>
  <c r="K216" i="6" s="1"/>
  <c r="E217" i="6"/>
  <c r="K217" i="6" s="1"/>
  <c r="G217" i="6"/>
  <c r="E215" i="6"/>
  <c r="K215" i="6" s="1"/>
  <c r="G215" i="6"/>
  <c r="D228" i="6"/>
  <c r="I228" i="6" s="1"/>
  <c r="J228" i="6" s="1"/>
  <c r="D236" i="6"/>
  <c r="D232" i="6"/>
  <c r="D234" i="6"/>
  <c r="D229" i="6"/>
  <c r="I229" i="6" s="1"/>
  <c r="J229" i="6" s="1"/>
  <c r="D237" i="6"/>
  <c r="D233" i="6"/>
  <c r="D235" i="6"/>
  <c r="D230" i="6"/>
  <c r="D238" i="6"/>
  <c r="D231" i="6"/>
  <c r="D227" i="6"/>
  <c r="I227" i="6" s="1"/>
  <c r="J227" i="6" s="1"/>
  <c r="S214" i="6" l="1"/>
  <c r="R226" i="6"/>
  <c r="M224" i="6"/>
  <c r="Q224" i="6" s="1"/>
  <c r="P224" i="6"/>
  <c r="M220" i="6"/>
  <c r="Q220" i="6" s="1"/>
  <c r="P220" i="6"/>
  <c r="M217" i="6"/>
  <c r="Q217" i="6" s="1"/>
  <c r="S226" i="6" s="1"/>
  <c r="O217" i="6"/>
  <c r="P217" i="6" s="1"/>
  <c r="M219" i="6"/>
  <c r="Q219" i="6" s="1"/>
  <c r="P219" i="6"/>
  <c r="M223" i="6"/>
  <c r="Q223" i="6" s="1"/>
  <c r="P223" i="6"/>
  <c r="M222" i="6"/>
  <c r="Q222" i="6" s="1"/>
  <c r="P222" i="6"/>
  <c r="M218" i="6"/>
  <c r="Q218" i="6" s="1"/>
  <c r="P218" i="6"/>
  <c r="M216" i="6"/>
  <c r="Q216" i="6" s="1"/>
  <c r="O216" i="6"/>
  <c r="P216" i="6" s="1"/>
  <c r="M225" i="6"/>
  <c r="Q225" i="6" s="1"/>
  <c r="P225" i="6"/>
  <c r="M215" i="6"/>
  <c r="Q215" i="6" s="1"/>
  <c r="O215" i="6"/>
  <c r="P215" i="6" s="1"/>
  <c r="M221" i="6"/>
  <c r="Q221" i="6" s="1"/>
  <c r="P221" i="6"/>
  <c r="G236" i="6"/>
  <c r="E236" i="6"/>
  <c r="K236" i="6" s="1"/>
  <c r="J236" i="6"/>
  <c r="G235" i="6"/>
  <c r="J235" i="6"/>
  <c r="E235" i="6"/>
  <c r="K235" i="6" s="1"/>
  <c r="G233" i="6"/>
  <c r="E233" i="6"/>
  <c r="K233" i="6" s="1"/>
  <c r="J233" i="6"/>
  <c r="G232" i="6"/>
  <c r="E232" i="6"/>
  <c r="K232" i="6" s="1"/>
  <c r="J232" i="6"/>
  <c r="E237" i="6"/>
  <c r="K237" i="6" s="1"/>
  <c r="G237" i="6"/>
  <c r="J237" i="6"/>
  <c r="G231" i="6"/>
  <c r="E231" i="6"/>
  <c r="K231" i="6" s="1"/>
  <c r="J231" i="6"/>
  <c r="D239" i="6"/>
  <c r="I238" i="6"/>
  <c r="J238" i="6" s="1"/>
  <c r="E230" i="6"/>
  <c r="K230" i="6" s="1"/>
  <c r="G230" i="6"/>
  <c r="J230" i="6"/>
  <c r="J234" i="6"/>
  <c r="E234" i="6"/>
  <c r="K234" i="6" s="1"/>
  <c r="G234" i="6"/>
  <c r="L234" i="6"/>
  <c r="L235" i="6"/>
  <c r="L228" i="6"/>
  <c r="L236" i="6"/>
  <c r="L229" i="6"/>
  <c r="L237" i="6"/>
  <c r="M226" i="6"/>
  <c r="Q226" i="6" s="1"/>
  <c r="L230" i="6"/>
  <c r="L238" i="6"/>
  <c r="L232" i="6"/>
  <c r="L231" i="6"/>
  <c r="L227" i="6"/>
  <c r="L233" i="6"/>
  <c r="E229" i="6"/>
  <c r="K229" i="6" s="1"/>
  <c r="G229" i="6"/>
  <c r="E227" i="6"/>
  <c r="K227" i="6" s="1"/>
  <c r="G227" i="6"/>
  <c r="E238" i="6"/>
  <c r="K238" i="6" s="1"/>
  <c r="G238" i="6"/>
  <c r="G228" i="6"/>
  <c r="E228" i="6"/>
  <c r="K228" i="6" s="1"/>
  <c r="R238" i="6" l="1"/>
  <c r="E239" i="6"/>
  <c r="M234" i="6"/>
  <c r="Q234" i="6" s="1"/>
  <c r="P234" i="6"/>
  <c r="M230" i="6"/>
  <c r="Q230" i="6" s="1"/>
  <c r="P230" i="6"/>
  <c r="M229" i="6"/>
  <c r="Q229" i="6" s="1"/>
  <c r="O229" i="6"/>
  <c r="P229" i="6" s="1"/>
  <c r="M237" i="6"/>
  <c r="Q237" i="6" s="1"/>
  <c r="P237" i="6"/>
  <c r="M233" i="6"/>
  <c r="Q233" i="6" s="1"/>
  <c r="P233" i="6"/>
  <c r="M227" i="6"/>
  <c r="Q227" i="6" s="1"/>
  <c r="O227" i="6"/>
  <c r="P227" i="6" s="1"/>
  <c r="M236" i="6"/>
  <c r="Q236" i="6" s="1"/>
  <c r="P236" i="6"/>
  <c r="M231" i="6"/>
  <c r="Q231" i="6" s="1"/>
  <c r="P231" i="6"/>
  <c r="M228" i="6"/>
  <c r="Q228" i="6" s="1"/>
  <c r="O228" i="6"/>
  <c r="P228" i="6" s="1"/>
  <c r="M232" i="6"/>
  <c r="Q232" i="6" s="1"/>
  <c r="P232" i="6"/>
  <c r="M235" i="6"/>
  <c r="Q235" i="6" s="1"/>
  <c r="P235" i="6"/>
  <c r="J239" i="6"/>
  <c r="M238" i="6"/>
  <c r="Q238" i="6" s="1"/>
  <c r="L239" i="6"/>
  <c r="S238" i="6" l="1"/>
  <c r="P239" i="6"/>
  <c r="M239" i="6"/>
</calcChain>
</file>

<file path=xl/sharedStrings.xml><?xml version="1.0" encoding="utf-8"?>
<sst xmlns="http://schemas.openxmlformats.org/spreadsheetml/2006/main" count="143" uniqueCount="74">
  <si>
    <t>Normal ticket price</t>
  </si>
  <si>
    <t>Total</t>
  </si>
  <si>
    <t>Capacity</t>
  </si>
  <si>
    <t>YEAR</t>
  </si>
  <si>
    <t>Row Labels</t>
  </si>
  <si>
    <t>Grand Total</t>
  </si>
  <si>
    <t>Payments</t>
  </si>
  <si>
    <t>Total construction price</t>
  </si>
  <si>
    <t>% ammount at the start</t>
  </si>
  <si>
    <t>% ammount at the end</t>
  </si>
  <si>
    <t>Monthly payments</t>
  </si>
  <si>
    <t>Sales</t>
  </si>
  <si>
    <t>AVG extra consommation</t>
  </si>
  <si>
    <t>increase ticket price when construction is finished</t>
  </si>
  <si>
    <t>% increase ticket price per year</t>
  </si>
  <si>
    <t>Number of games per months</t>
  </si>
  <si>
    <t>Forecast tickets sales per year</t>
  </si>
  <si>
    <t>Forecast</t>
  </si>
  <si>
    <t>Actual sales</t>
  </si>
  <si>
    <t>Revenue</t>
  </si>
  <si>
    <t>Tickets</t>
  </si>
  <si>
    <t>Revenue Forecast</t>
  </si>
  <si>
    <t>Sales Tickets</t>
  </si>
  <si>
    <t>Sales Forecast</t>
  </si>
  <si>
    <t>Seat availibility</t>
  </si>
  <si>
    <t>Potential Lost</t>
  </si>
  <si>
    <t>2022</t>
  </si>
  <si>
    <t>2023</t>
  </si>
  <si>
    <t>2024</t>
  </si>
  <si>
    <t>2025</t>
  </si>
  <si>
    <t>2026</t>
  </si>
  <si>
    <t>2027</t>
  </si>
  <si>
    <t>2028</t>
  </si>
  <si>
    <t>2029</t>
  </si>
  <si>
    <t>2030</t>
  </si>
  <si>
    <t>2031</t>
  </si>
  <si>
    <t>2032</t>
  </si>
  <si>
    <t>2033</t>
  </si>
  <si>
    <t>2034</t>
  </si>
  <si>
    <t>2035</t>
  </si>
  <si>
    <t>2036</t>
  </si>
  <si>
    <t>2037</t>
  </si>
  <si>
    <t>2038</t>
  </si>
  <si>
    <t>2039</t>
  </si>
  <si>
    <t>2040</t>
  </si>
  <si>
    <t>2041</t>
  </si>
  <si>
    <t>Sum of Potential Lost</t>
  </si>
  <si>
    <t>Potential lost NS</t>
  </si>
  <si>
    <t>Seat Availibility NS</t>
  </si>
  <si>
    <t>Capacity NS</t>
  </si>
  <si>
    <t>Revenue NS</t>
  </si>
  <si>
    <t>Ticket NS</t>
  </si>
  <si>
    <t>Seats</t>
  </si>
  <si>
    <t>Before construction</t>
  </si>
  <si>
    <t>During construction</t>
  </si>
  <si>
    <t>After Construction</t>
  </si>
  <si>
    <t>Project construction</t>
  </si>
  <si>
    <t>Sum of Potential lost NS</t>
  </si>
  <si>
    <t>Average of Ticket NS</t>
  </si>
  <si>
    <t>Average of Tickets</t>
  </si>
  <si>
    <t>Profit</t>
  </si>
  <si>
    <t>Profit NS</t>
  </si>
  <si>
    <t>Sum of Profit</t>
  </si>
  <si>
    <t>Sum of Profit NS</t>
  </si>
  <si>
    <t>Discount Rate</t>
  </si>
  <si>
    <t>NPV Normal</t>
  </si>
  <si>
    <t>NPV NS</t>
  </si>
  <si>
    <t xml:space="preserve"> </t>
  </si>
  <si>
    <t>-</t>
  </si>
  <si>
    <t>Construction price</t>
  </si>
  <si>
    <t>Additionnals seats (x1000)</t>
  </si>
  <si>
    <t>NPV</t>
  </si>
  <si>
    <t>Sum of NPV Normal</t>
  </si>
  <si>
    <t>Sum of NPV 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</si>
</sst>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6" formatCode="[$£-809]#,##0"/>
    <numFmt numFmtId="169" formatCode="[$£-491]#,##0.00"/>
    <numFmt numFmtId="170" formatCode="[$£-491]#,##0"/>
  </numFmts>
  <fonts count="13" x14ac:knownFonts="1">
    <font>
      <sz val="11"/>
      <color theme="1"/>
      <name val="Calibri"/>
      <family val="2"/>
      <scheme val="minor"/>
    </font>
    <font>
      <b/>
      <sz val="11"/>
      <color theme="1"/>
      <name val="Calibri"/>
      <family val="2"/>
      <scheme val="minor"/>
    </font>
    <font>
      <sz val="8"/>
      <name val="Calibri"/>
      <family val="2"/>
      <scheme val="minor"/>
    </font>
    <font>
      <b/>
      <sz val="16"/>
      <color theme="0"/>
      <name val="Calibri"/>
      <family val="2"/>
      <scheme val="minor"/>
    </font>
    <font>
      <sz val="11"/>
      <color theme="5"/>
      <name val="Calibri"/>
      <family val="2"/>
      <scheme val="minor"/>
    </font>
    <font>
      <b/>
      <sz val="11"/>
      <color theme="5"/>
      <name val="Calibri"/>
      <family val="2"/>
      <scheme val="minor"/>
    </font>
    <font>
      <sz val="11"/>
      <color theme="5"/>
      <name val="Kartika"/>
      <family val="1"/>
    </font>
    <font>
      <b/>
      <sz val="11"/>
      <color theme="0"/>
      <name val="Calibri"/>
      <family val="2"/>
      <scheme val="minor"/>
    </font>
    <font>
      <sz val="11"/>
      <color theme="0"/>
      <name val="Calibri"/>
      <family val="2"/>
      <scheme val="minor"/>
    </font>
    <font>
      <b/>
      <sz val="12"/>
      <color theme="0"/>
      <name val="Calibri"/>
      <family val="2"/>
      <scheme val="minor"/>
    </font>
    <font>
      <sz val="11"/>
      <color theme="0"/>
      <name val="Calibri"/>
      <family val="2"/>
    </font>
    <font>
      <sz val="11"/>
      <name val="Calibri"/>
      <family val="2"/>
      <scheme val="minor"/>
    </font>
    <font>
      <b/>
      <sz val="12"/>
      <color theme="5"/>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4"/>
        <bgColor indexed="64"/>
      </patternFill>
    </fill>
  </fills>
  <borders count="2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indexed="64"/>
      </left>
      <right/>
      <top style="thin">
        <color theme="0"/>
      </top>
      <bottom style="thin">
        <color theme="0"/>
      </bottom>
      <diagonal/>
    </border>
    <border>
      <left style="medium">
        <color indexed="64"/>
      </left>
      <right/>
      <top/>
      <bottom style="thin">
        <color theme="0"/>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66">
    <xf numFmtId="0" fontId="0" fillId="0" borderId="0" xfId="0"/>
    <xf numFmtId="0" fontId="0" fillId="0" borderId="0" xfId="0" pivotButton="1"/>
    <xf numFmtId="0" fontId="0" fillId="0" borderId="0" xfId="0" applyAlignment="1">
      <alignment horizontal="left"/>
    </xf>
    <xf numFmtId="14" fontId="0" fillId="0" borderId="0" xfId="0" applyNumberFormat="1"/>
    <xf numFmtId="2" fontId="0" fillId="0" borderId="0" xfId="0" applyNumberFormat="1"/>
    <xf numFmtId="1" fontId="0" fillId="0" borderId="0" xfId="0" applyNumberFormat="1"/>
    <xf numFmtId="0" fontId="0" fillId="2" borderId="0" xfId="0" applyFill="1"/>
    <xf numFmtId="14" fontId="1" fillId="0" borderId="0" xfId="0" applyNumberFormat="1" applyFont="1" applyAlignment="1">
      <alignment horizontal="center"/>
    </xf>
    <xf numFmtId="0" fontId="4" fillId="3" borderId="0" xfId="0" applyFont="1" applyFill="1"/>
    <xf numFmtId="0" fontId="5" fillId="3" borderId="0" xfId="0" applyFont="1" applyFill="1" applyAlignment="1">
      <alignment vertical="center"/>
    </xf>
    <xf numFmtId="0" fontId="4" fillId="3" borderId="0" xfId="0" applyFont="1" applyFill="1" applyAlignment="1">
      <alignment horizontal="center" vertical="center" wrapText="1"/>
    </xf>
    <xf numFmtId="0" fontId="6" fillId="3" borderId="0" xfId="0" applyFont="1" applyFill="1"/>
    <xf numFmtId="0" fontId="4" fillId="3" borderId="0" xfId="0" applyFont="1" applyFill="1" applyAlignment="1">
      <alignment horizontal="center" vertical="center"/>
    </xf>
    <xf numFmtId="0" fontId="8" fillId="3" borderId="0" xfId="0" applyFont="1" applyFill="1"/>
    <xf numFmtId="0" fontId="11" fillId="3" borderId="0" xfId="0" applyFont="1" applyFill="1" applyAlignment="1">
      <alignment horizontal="center"/>
    </xf>
    <xf numFmtId="0" fontId="8" fillId="3" borderId="13" xfId="0" applyFont="1" applyFill="1" applyBorder="1"/>
    <xf numFmtId="0" fontId="8" fillId="3" borderId="13" xfId="0" applyFont="1" applyFill="1" applyBorder="1" applyAlignment="1">
      <alignment horizontal="center"/>
    </xf>
    <xf numFmtId="0" fontId="8" fillId="3" borderId="15" xfId="0" applyFont="1" applyFill="1" applyBorder="1" applyAlignment="1">
      <alignment horizontal="left"/>
    </xf>
    <xf numFmtId="0" fontId="8" fillId="3" borderId="13" xfId="0" applyFont="1" applyFill="1" applyBorder="1" applyAlignment="1">
      <alignment horizontal="left"/>
    </xf>
    <xf numFmtId="0" fontId="8" fillId="3" borderId="17" xfId="0" applyFont="1" applyFill="1" applyBorder="1" applyAlignment="1">
      <alignment horizontal="left"/>
    </xf>
    <xf numFmtId="0" fontId="12" fillId="3" borderId="12" xfId="0" applyFont="1" applyFill="1" applyBorder="1" applyAlignment="1">
      <alignment horizontal="center"/>
    </xf>
    <xf numFmtId="0" fontId="12" fillId="3" borderId="0" xfId="0" applyFont="1" applyFill="1" applyAlignment="1">
      <alignment horizontal="center"/>
    </xf>
    <xf numFmtId="0" fontId="7" fillId="3" borderId="0" xfId="0" applyFont="1" applyFill="1" applyAlignment="1">
      <alignment horizontal="left"/>
    </xf>
    <xf numFmtId="0" fontId="8" fillId="3" borderId="0" xfId="0" applyFont="1" applyFill="1" applyAlignment="1">
      <alignment horizontal="left"/>
    </xf>
    <xf numFmtId="0" fontId="12" fillId="3" borderId="18" xfId="0" applyFont="1" applyFill="1" applyBorder="1" applyAlignment="1">
      <alignment horizontal="center"/>
    </xf>
    <xf numFmtId="0" fontId="12" fillId="3" borderId="16" xfId="0" applyFont="1" applyFill="1" applyBorder="1" applyAlignment="1">
      <alignment horizontal="center"/>
    </xf>
    <xf numFmtId="0" fontId="3" fillId="4" borderId="3" xfId="0" applyFont="1" applyFill="1" applyBorder="1" applyAlignment="1">
      <alignment horizontal="center" vertical="center"/>
    </xf>
    <xf numFmtId="0" fontId="3" fillId="4" borderId="0" xfId="0" applyFont="1" applyFill="1" applyAlignment="1">
      <alignment horizontal="center" vertical="center"/>
    </xf>
    <xf numFmtId="0" fontId="3" fillId="4" borderId="19" xfId="0" applyFont="1" applyFill="1" applyBorder="1" applyAlignment="1">
      <alignment horizontal="center" vertical="center"/>
    </xf>
    <xf numFmtId="0" fontId="3" fillId="4" borderId="14" xfId="0" applyFont="1" applyFill="1" applyBorder="1" applyAlignment="1">
      <alignment horizontal="center" vertical="center"/>
    </xf>
    <xf numFmtId="3" fontId="0" fillId="0" borderId="0" xfId="0" applyNumberFormat="1"/>
    <xf numFmtId="3" fontId="1" fillId="0" borderId="1" xfId="0" applyNumberFormat="1" applyFont="1" applyBorder="1" applyAlignment="1">
      <alignment horizontal="center"/>
    </xf>
    <xf numFmtId="3" fontId="1" fillId="0" borderId="5" xfId="0" applyNumberFormat="1" applyFont="1" applyBorder="1" applyAlignment="1">
      <alignment horizontal="center"/>
    </xf>
    <xf numFmtId="3" fontId="1" fillId="0" borderId="2" xfId="0" applyNumberFormat="1" applyFont="1" applyBorder="1" applyAlignment="1">
      <alignment horizontal="center"/>
    </xf>
    <xf numFmtId="3" fontId="1" fillId="0" borderId="0" xfId="0" applyNumberFormat="1" applyFont="1" applyAlignment="1">
      <alignment horizontal="center"/>
    </xf>
    <xf numFmtId="3" fontId="1" fillId="0" borderId="4" xfId="0" applyNumberFormat="1" applyFont="1" applyBorder="1" applyAlignment="1">
      <alignment horizontal="center"/>
    </xf>
    <xf numFmtId="3" fontId="1" fillId="0" borderId="11" xfId="0" applyNumberFormat="1" applyFont="1" applyBorder="1" applyAlignment="1">
      <alignment horizontal="center"/>
    </xf>
    <xf numFmtId="3" fontId="0" fillId="0" borderId="3" xfId="0" applyNumberFormat="1" applyBorder="1" applyAlignment="1">
      <alignment horizontal="center"/>
    </xf>
    <xf numFmtId="3" fontId="0" fillId="0" borderId="0" xfId="0" applyNumberFormat="1" applyAlignment="1">
      <alignment horizontal="center"/>
    </xf>
    <xf numFmtId="3" fontId="0" fillId="0" borderId="4" xfId="0" applyNumberFormat="1" applyBorder="1" applyAlignment="1">
      <alignment horizontal="center"/>
    </xf>
    <xf numFmtId="3" fontId="0" fillId="0" borderId="1" xfId="0" applyNumberFormat="1" applyBorder="1" applyAlignment="1">
      <alignment horizontal="center"/>
    </xf>
    <xf numFmtId="3" fontId="0" fillId="0" borderId="5" xfId="0" applyNumberFormat="1" applyBorder="1" applyAlignment="1">
      <alignment horizontal="center"/>
    </xf>
    <xf numFmtId="3" fontId="0" fillId="0" borderId="9" xfId="0" applyNumberFormat="1" applyBorder="1" applyAlignment="1">
      <alignment horizontal="center"/>
    </xf>
    <xf numFmtId="3" fontId="1" fillId="0" borderId="3" xfId="0" applyNumberFormat="1" applyFont="1" applyBorder="1" applyAlignment="1">
      <alignment horizontal="center"/>
    </xf>
    <xf numFmtId="3" fontId="1" fillId="0" borderId="9" xfId="0" applyNumberFormat="1" applyFont="1" applyBorder="1" applyAlignment="1">
      <alignment horizontal="center"/>
    </xf>
    <xf numFmtId="3" fontId="0" fillId="0" borderId="7" xfId="0" applyNumberFormat="1" applyBorder="1" applyAlignment="1">
      <alignment horizontal="center"/>
    </xf>
    <xf numFmtId="3" fontId="0" fillId="0" borderId="8" xfId="0" applyNumberFormat="1" applyBorder="1" applyAlignment="1">
      <alignment horizontal="center"/>
    </xf>
    <xf numFmtId="3" fontId="0" fillId="0" borderId="6" xfId="0" applyNumberFormat="1" applyBorder="1" applyAlignment="1">
      <alignment horizontal="center"/>
    </xf>
    <xf numFmtId="3" fontId="0" fillId="0" borderId="10" xfId="0" applyNumberFormat="1" applyBorder="1" applyAlignment="1">
      <alignment horizontal="center"/>
    </xf>
    <xf numFmtId="3" fontId="8" fillId="3" borderId="13" xfId="0" applyNumberFormat="1" applyFont="1" applyFill="1" applyBorder="1" applyAlignment="1">
      <alignment horizontal="center"/>
    </xf>
    <xf numFmtId="3" fontId="7" fillId="3" borderId="13" xfId="0" applyNumberFormat="1" applyFont="1" applyFill="1" applyBorder="1" applyAlignment="1">
      <alignment horizontal="center"/>
    </xf>
    <xf numFmtId="3" fontId="9" fillId="3" borderId="0" xfId="0" applyNumberFormat="1" applyFont="1" applyFill="1"/>
    <xf numFmtId="3" fontId="8" fillId="3" borderId="13" xfId="0" applyNumberFormat="1" applyFont="1" applyFill="1" applyBorder="1"/>
    <xf numFmtId="3" fontId="8" fillId="3" borderId="0" xfId="0" applyNumberFormat="1" applyFont="1" applyFill="1"/>
    <xf numFmtId="3" fontId="8" fillId="3" borderId="17" xfId="0" applyNumberFormat="1" applyFont="1" applyFill="1" applyBorder="1"/>
    <xf numFmtId="3" fontId="10" fillId="3" borderId="13" xfId="0" applyNumberFormat="1" applyFont="1" applyFill="1" applyBorder="1"/>
    <xf numFmtId="3" fontId="1" fillId="0" borderId="0" xfId="0" applyNumberFormat="1" applyFont="1" applyBorder="1" applyAlignment="1">
      <alignment horizontal="center"/>
    </xf>
    <xf numFmtId="3" fontId="0" fillId="0" borderId="0" xfId="0" applyNumberFormat="1" applyBorder="1" applyAlignment="1">
      <alignment horizontal="center"/>
    </xf>
    <xf numFmtId="0" fontId="12" fillId="3" borderId="0" xfId="0" applyFont="1" applyFill="1" applyBorder="1" applyAlignment="1">
      <alignment horizontal="center"/>
    </xf>
    <xf numFmtId="169" fontId="0" fillId="0" borderId="0" xfId="0" applyNumberFormat="1"/>
    <xf numFmtId="166" fontId="0" fillId="0" borderId="0" xfId="0" applyNumberFormat="1"/>
    <xf numFmtId="170" fontId="0" fillId="0" borderId="0" xfId="0" applyNumberFormat="1"/>
    <xf numFmtId="3" fontId="8" fillId="3" borderId="20" xfId="0" applyNumberFormat="1" applyFont="1" applyFill="1" applyBorder="1"/>
    <xf numFmtId="0" fontId="8" fillId="3" borderId="13" xfId="0" applyNumberFormat="1" applyFont="1" applyFill="1" applyBorder="1"/>
    <xf numFmtId="0" fontId="8" fillId="3" borderId="13" xfId="0" applyFont="1" applyFill="1" applyBorder="1" applyAlignment="1">
      <alignment horizontal="center"/>
    </xf>
    <xf numFmtId="0" fontId="12" fillId="3" borderId="21" xfId="0" applyFont="1" applyFill="1" applyBorder="1" applyAlignment="1">
      <alignment horizontal="center"/>
    </xf>
  </cellXfs>
  <cellStyles count="1">
    <cellStyle name="Normal" xfId="0" builtinId="0"/>
  </cellStyles>
  <dxfs count="708">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font>
        <b/>
        <i val="0"/>
        <color theme="0"/>
      </font>
    </dxf>
    <dxf>
      <fill>
        <patternFill>
          <bgColor theme="1"/>
        </patternFill>
      </fill>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 formatCode="0.00"/>
    </dxf>
    <dxf>
      <numFmt numFmtId="2" formatCode="0.00"/>
    </dxf>
    <dxf>
      <numFmt numFmtId="3" formatCode="#,##0"/>
    </dxf>
    <dxf>
      <numFmt numFmtId="3" formatCode="#,##0"/>
    </dxf>
    <dxf>
      <numFmt numFmtId="3" formatCode="#,##0"/>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outline="0">
        <left/>
        <right/>
        <top/>
        <bottom style="medium">
          <color indexed="64"/>
        </bottom>
      </border>
    </dxf>
    <dxf>
      <numFmt numFmtId="3" formatCode="#,##0"/>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3" formatCode="#,##0"/>
      <alignment horizontal="center" vertical="bottom" textRotation="0" wrapText="0" indent="0" justifyLastLine="0" shrinkToFit="0" readingOrder="0"/>
      <border diagonalUp="0" diagonalDown="0" outline="0">
        <left/>
        <right/>
        <top/>
        <bottom style="medium">
          <color indexed="64"/>
        </bottom>
      </border>
    </dxf>
    <dxf>
      <numFmt numFmtId="3" formatCode="#,##0"/>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1"/>
        <color theme="1"/>
        <name val="Calibri"/>
        <family val="2"/>
        <scheme val="minor"/>
      </font>
      <numFmt numFmtId="19" formatCode="dd/mm/yyyy"/>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right style="medium">
          <color indexed="64"/>
        </right>
        <top/>
        <bottom/>
      </border>
    </dxf>
    <dxf>
      <numFmt numFmtId="3" formatCode="#,##0"/>
      <alignment horizontal="center" vertical="bottom" textRotation="0" wrapText="0" indent="0" justifyLastLine="0" shrinkToFit="0" readingOrder="0"/>
      <border diagonalUp="0" diagonalDown="0">
        <left style="medium">
          <color indexed="64"/>
        </left>
        <right/>
        <top/>
        <bottom/>
      </border>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font>
        <b/>
      </font>
      <numFmt numFmtId="3" formatCode="#,##0"/>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right style="medium">
          <color indexed="64"/>
        </right>
        <top/>
        <bottom/>
      </border>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1"/>
        <color theme="1"/>
        <name val="Calibri"/>
        <family val="2"/>
        <scheme val="minor"/>
      </font>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top style="medium">
          <color indexed="64"/>
        </top>
      </border>
    </dxf>
    <dxf>
      <alignment horizontal="center" vertical="bottom" textRotation="0" wrapText="0" indent="0" justifyLastLine="0" shrinkToFit="0" readingOrder="0"/>
    </dxf>
    <dxf>
      <alignment horizontal="center" vertical="bottom" textRotation="0" wrapText="0" indent="0" justifyLastLine="0" shrinkToFit="0" readingOrder="0"/>
    </dxf>
  </dxfs>
  <tableStyles count="1" defaultTableStyle="TableStyleMedium2" defaultPivotStyle="PivotStyleMedium9">
    <tableStyle name="Test" pivot="0" table="0" count="7" xr9:uid="{D8FAC6E3-39D2-457D-8A00-5455291CD109}">
      <tableStyleElement type="wholeTable" dxfId="9"/>
      <tableStyleElement type="headerRow" dxfId="8"/>
    </tableStyle>
  </tableStyles>
  <colors>
    <mruColors>
      <color rgb="FF000000"/>
      <color rgb="FF44546A"/>
    </mruColors>
  </colors>
  <extLst>
    <ext xmlns:x14="http://schemas.microsoft.com/office/spreadsheetml/2009/9/main" uri="{46F421CA-312F-682f-3DD2-61675219B42D}">
      <x14:dxfs count="58">
        <dxf>
          <font>
            <b/>
            <i val="0"/>
            <color theme="0"/>
          </font>
          <fill>
            <patternFill>
              <bgColor theme="5"/>
            </patternFill>
          </fill>
        </dxf>
        <dxf>
          <font>
            <b/>
            <i val="0"/>
            <color theme="0"/>
          </font>
          <fill>
            <patternFill>
              <bgColor theme="4" tint="0.39994506668294322"/>
            </patternFill>
          </fill>
        </dxf>
        <dxf>
          <fill>
            <patternFill>
              <bgColor theme="4" tint="0.59996337778862885"/>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5"/>
            </patternFill>
          </fill>
        </dxf>
        <dxf>
          <font>
            <b/>
            <i val="0"/>
            <color theme="0"/>
          </font>
          <fill>
            <patternFill>
              <bgColor theme="4" tint="0.39994506668294322"/>
            </patternFill>
          </fill>
        </dxf>
        <dxf>
          <fill>
            <patternFill>
              <bgColor theme="4" tint="0.59996337778862885"/>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5"/>
            </patternFill>
          </fill>
        </dxf>
        <dxf>
          <font>
            <b/>
            <i val="0"/>
            <color theme="0"/>
          </font>
          <fill>
            <patternFill>
              <bgColor theme="4" tint="0.39994506668294322"/>
            </patternFill>
          </fill>
        </dxf>
        <dxf>
          <fill>
            <patternFill>
              <bgColor theme="4" tint="0.59996337778862885"/>
            </patternFill>
          </fill>
        </dxf>
        <dxf>
          <font>
            <b/>
            <i val="0"/>
            <color theme="0"/>
          </font>
          <fill>
            <patternFill>
              <bgColor theme="5"/>
            </patternFill>
          </fill>
        </dxf>
        <dxf>
          <font>
            <b/>
            <i val="0"/>
            <color theme="0"/>
          </font>
          <fill>
            <patternFill>
              <bgColor theme="2" tint="-0.499984740745262"/>
            </patternFill>
          </fill>
        </dxf>
        <dxf>
          <font>
            <b/>
            <i val="0"/>
            <color theme="0"/>
          </font>
          <fill>
            <patternFill>
              <bgColor theme="5"/>
            </patternFill>
          </fill>
        </dxf>
        <dxf>
          <font>
            <b/>
            <i val="0"/>
            <color theme="0"/>
          </font>
          <fill>
            <patternFill>
              <bgColor theme="4" tint="0.39994506668294322"/>
            </patternFill>
          </fill>
        </dxf>
        <dxf>
          <fill>
            <patternFill>
              <bgColor theme="4" tint="0.59996337778862885"/>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5"/>
            </patternFill>
          </fill>
        </dxf>
        <dxf>
          <font>
            <b/>
            <i val="0"/>
            <color theme="0"/>
          </font>
          <fill>
            <patternFill>
              <bgColor theme="4" tint="-0.499984740745262"/>
            </patternFill>
          </fill>
        </dxf>
        <dxf>
          <fill>
            <patternFill>
              <bgColor theme="4" tint="0.59996337778862885"/>
            </patternFill>
          </fill>
        </dxf>
        <dxf>
          <font>
            <b/>
            <i val="0"/>
            <color theme="0"/>
          </font>
          <fill>
            <patternFill>
              <bgColor theme="4" tint="-0.24994659260841701"/>
            </patternFill>
          </fill>
        </dxf>
        <dxf>
          <font>
            <b/>
            <i val="0"/>
            <color theme="0"/>
          </font>
          <fill>
            <patternFill>
              <bgColor theme="2" tint="-0.499984740745262"/>
            </patternFill>
          </fill>
        </dxf>
        <dxf>
          <fill>
            <patternFill>
              <bgColor theme="5"/>
            </patternFill>
          </fill>
        </dxf>
        <dxf>
          <font>
            <b/>
            <i val="0"/>
            <color theme="0"/>
          </font>
          <fill>
            <patternFill>
              <bgColor theme="5"/>
            </patternFill>
          </fill>
        </dxf>
        <dxf>
          <font>
            <b/>
            <i val="0"/>
            <color theme="0"/>
          </font>
          <fill>
            <patternFill>
              <bgColor theme="4" tint="-0.499984740745262"/>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5"/>
            </patternFill>
          </fill>
        </dxf>
        <dxf>
          <font>
            <b/>
            <i val="0"/>
            <color theme="0"/>
          </font>
          <fill>
            <patternFill>
              <bgColor theme="4" tint="-0.499984740745262"/>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4" tint="-0.499984740745262"/>
            </patternFill>
          </fill>
        </dxf>
        <dxf>
          <font>
            <b/>
            <i val="0"/>
            <color theme="0"/>
          </font>
          <fill>
            <patternFill>
              <bgColor theme="4" tint="-0.24994659260841701"/>
            </patternFill>
          </fill>
        </dxf>
        <dxf>
          <font>
            <b/>
            <i val="0"/>
            <color theme="0"/>
          </font>
          <fill>
            <patternFill>
              <bgColor theme="2" tint="-0.499984740745262"/>
            </patternFill>
          </fill>
        </dxf>
        <dxf>
          <font>
            <b/>
            <i val="0"/>
            <color theme="0"/>
          </font>
          <fill>
            <patternFill>
              <bgColor theme="4" tint="-0.499984740745262"/>
            </patternFill>
          </fill>
        </dxf>
        <dxf>
          <font>
            <b/>
            <i val="0"/>
            <color theme="0"/>
          </font>
          <fill>
            <patternFill>
              <bgColor theme="4" tint="-0.24994659260841701"/>
            </patternFill>
          </fill>
        </dxf>
        <dxf>
          <font>
            <b/>
            <i val="0"/>
            <color theme="0"/>
          </font>
          <fill>
            <patternFill>
              <bgColor theme="5"/>
            </patternFill>
          </fill>
        </dxf>
        <dxf>
          <font>
            <b/>
            <i val="0"/>
            <color theme="0"/>
          </font>
          <fill>
            <patternFill>
              <bgColor theme="5"/>
            </patternFill>
          </fill>
        </dxf>
        <dxf>
          <font>
            <b/>
            <i val="0"/>
            <color theme="0"/>
          </font>
          <fill>
            <patternFill>
              <bgColor theme="4" tint="-0.24994659260841701"/>
            </patternFill>
          </fill>
        </dxf>
        <dxf>
          <font>
            <b/>
            <i val="0"/>
            <color theme="0"/>
          </font>
          <fill>
            <patternFill>
              <bgColor theme="2" tint="-9.9948118533890809E-2"/>
            </patternFill>
          </fill>
        </dxf>
        <dxf>
          <font>
            <b/>
            <i val="0"/>
            <color theme="0"/>
          </font>
          <fill>
            <patternFill>
              <bgColor theme="4" tint="0.39994506668294322"/>
            </patternFill>
          </fill>
        </dxf>
        <dxf>
          <font>
            <b/>
            <i val="0"/>
            <color theme="0"/>
          </font>
          <fill>
            <patternFill>
              <bgColor theme="4" tint="-0.24994659260841701"/>
            </patternFill>
          </fill>
        </dxf>
        <dxf>
          <font>
            <b/>
            <i val="0"/>
            <color theme="0"/>
          </font>
          <fill>
            <patternFill>
              <bgColor theme="2" tint="-9.9948118533890809E-2"/>
            </patternFill>
          </fill>
        </dxf>
        <dxf>
          <font>
            <b/>
            <i val="0"/>
            <color theme="0"/>
          </font>
          <fill>
            <patternFill>
              <bgColor theme="4"/>
            </patternFill>
          </fill>
        </dxf>
        <dxf>
          <font>
            <b/>
            <i val="0"/>
            <color theme="0"/>
          </font>
          <fill>
            <patternFill>
              <bgColor theme="4" tint="-0.24994659260841701"/>
            </patternFill>
          </fill>
        </dxf>
        <dxf>
          <font>
            <b/>
            <i val="0"/>
            <color theme="0"/>
          </font>
          <fill>
            <patternFill>
              <bgColor theme="2" tint="-9.9948118533890809E-2"/>
            </patternFill>
          </fill>
        </dxf>
        <dxf>
          <font>
            <b/>
            <i val="0"/>
            <color theme="0"/>
          </font>
          <fill>
            <patternFill>
              <bgColor theme="4"/>
            </patternFill>
          </fill>
        </dxf>
        <dxf>
          <font>
            <b/>
            <i val="0"/>
            <color theme="0"/>
          </font>
          <fill>
            <patternFill>
              <bgColor theme="4" tint="0.39994506668294322"/>
            </patternFill>
          </fill>
        </dxf>
        <dxf>
          <font>
            <b/>
            <i val="0"/>
            <color theme="0"/>
          </font>
          <fill>
            <patternFill>
              <bgColor theme="2" tint="-9.9948118533890809E-2"/>
            </patternFill>
          </fill>
        </dxf>
        <dxf>
          <font>
            <b/>
            <i val="0"/>
            <color theme="0"/>
          </font>
          <fill>
            <patternFill>
              <bgColor theme="2" tint="-9.9948118533890809E-2"/>
            </patternFill>
          </fill>
        </dxf>
        <dxf>
          <font>
            <b/>
            <i val="0"/>
            <color theme="0"/>
          </font>
          <fill>
            <patternFill>
              <bgColor theme="4"/>
            </patternFill>
          </fill>
        </dxf>
        <dxf>
          <font>
            <b/>
            <i val="0"/>
            <color theme="0"/>
          </font>
          <fill>
            <patternFill>
              <bgColor theme="4" tint="0.79998168889431442"/>
            </patternFill>
          </fill>
        </dxf>
        <dxf>
          <font>
            <b/>
            <i val="0"/>
            <color theme="0"/>
          </font>
          <fill>
            <patternFill>
              <bgColor theme="4" tint="0.79998168889431442"/>
            </patternFill>
          </fill>
        </dxf>
        <dxf>
          <font>
            <b/>
            <i val="0"/>
            <color theme="0"/>
          </font>
          <fill>
            <patternFill>
              <bgColor theme="4"/>
            </patternFill>
          </fill>
        </dxf>
        <dxf>
          <font>
            <b/>
            <i val="0"/>
            <color theme="0"/>
          </font>
          <fill>
            <patternFill>
              <bgColor theme="4" tint="0.79998168889431442"/>
            </patternFill>
          </fill>
        </dxf>
      </x14:dxfs>
    </ext>
    <ext xmlns:x14="http://schemas.microsoft.com/office/spreadsheetml/2009/9/main" uri="{EB79DEF2-80B8-43e5-95BD-54CBDDF9020C}">
      <x14:slicerStyles defaultSlicerStyle="SlicerStyleLight1">
        <x14:slicerStyle name="Test">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[Project_18th_V5_macro_enabled.xlsm]Profit!PivotTable17</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Profit!$B$1</c:f>
              <c:strCache>
                <c:ptCount val="1"/>
                <c:pt idx="0">
                  <c:v>Sum of Profit</c:v>
                </c:pt>
              </c:strCache>
            </c:strRef>
          </c:tx>
          <c:spPr>
            <a:ln w="28575" cap="rnd">
              <a:solidFill>
                <a:schemeClr val="accent1"/>
              </a:solidFill>
              <a:round/>
            </a:ln>
            <a:effectLst/>
          </c:spPr>
          <c:marker>
            <c:symbol val="none"/>
          </c:marker>
          <c:cat>
            <c:strRef>
              <c:f>Profit!$A$2:$A$22</c:f>
              <c:strCach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strCache>
            </c:strRef>
          </c:cat>
          <c:val>
            <c:numRef>
              <c:f>Profit!$B$2:$B$22</c:f>
              <c:numCache>
                <c:formatCode>#,##0</c:formatCode>
                <c:ptCount val="20"/>
                <c:pt idx="0">
                  <c:v>40735260</c:v>
                </c:pt>
                <c:pt idx="1">
                  <c:v>39751200</c:v>
                </c:pt>
                <c:pt idx="2">
                  <c:v>102117588.02</c:v>
                </c:pt>
                <c:pt idx="3">
                  <c:v>120057326.30159999</c:v>
                </c:pt>
                <c:pt idx="4">
                  <c:v>126136523.18570399</c:v>
                </c:pt>
                <c:pt idx="5">
                  <c:v>119103599.90984258</c:v>
                </c:pt>
                <c:pt idx="6">
                  <c:v>136828733.94057605</c:v>
                </c:pt>
                <c:pt idx="7">
                  <c:v>139565308.61938754</c:v>
                </c:pt>
                <c:pt idx="8">
                  <c:v>142356614.79177532</c:v>
                </c:pt>
                <c:pt idx="9">
                  <c:v>145203747.08761081</c:v>
                </c:pt>
                <c:pt idx="10">
                  <c:v>148107822.02936304</c:v>
                </c:pt>
                <c:pt idx="11">
                  <c:v>151069978.46995029</c:v>
                </c:pt>
                <c:pt idx="12">
                  <c:v>154091378.03934929</c:v>
                </c:pt>
                <c:pt idx="13">
                  <c:v>157173205.60013628</c:v>
                </c:pt>
                <c:pt idx="14">
                  <c:v>160316669.71213901</c:v>
                </c:pt>
                <c:pt idx="15">
                  <c:v>163523003.10638177</c:v>
                </c:pt>
                <c:pt idx="16">
                  <c:v>166793463.16850945</c:v>
                </c:pt>
                <c:pt idx="17">
                  <c:v>170129332.43187961</c:v>
                </c:pt>
                <c:pt idx="18">
                  <c:v>173531919.08051726</c:v>
                </c:pt>
                <c:pt idx="19">
                  <c:v>177002557.46212757</c:v>
                </c:pt>
              </c:numCache>
            </c:numRef>
          </c:val>
          <c:smooth val="0"/>
          <c:extLst>
            <c:ext xmlns:c16="http://schemas.microsoft.com/office/drawing/2014/chart" uri="{C3380CC4-5D6E-409C-BE32-E72D297353CC}">
              <c16:uniqueId val="{00000000-CC80-4CE1-946C-2DDCA6C701A9}"/>
            </c:ext>
          </c:extLst>
        </c:ser>
        <c:ser>
          <c:idx val="1"/>
          <c:order val="1"/>
          <c:tx>
            <c:strRef>
              <c:f>Profit!$C$1</c:f>
              <c:strCache>
                <c:ptCount val="1"/>
                <c:pt idx="0">
                  <c:v>Sum of Profit NS</c:v>
                </c:pt>
              </c:strCache>
            </c:strRef>
          </c:tx>
          <c:spPr>
            <a:ln w="28575" cap="rnd">
              <a:solidFill>
                <a:schemeClr val="accent2"/>
              </a:solidFill>
              <a:round/>
            </a:ln>
            <a:effectLst/>
          </c:spPr>
          <c:marker>
            <c:symbol val="none"/>
          </c:marker>
          <c:cat>
            <c:strRef>
              <c:f>Profit!$A$2:$A$22</c:f>
              <c:strCach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strCache>
            </c:strRef>
          </c:cat>
          <c:val>
            <c:numRef>
              <c:f>Profit!$C$2:$C$22</c:f>
              <c:numCache>
                <c:formatCode>#,##0</c:formatCode>
                <c:ptCount val="20"/>
                <c:pt idx="0">
                  <c:v>35335260</c:v>
                </c:pt>
                <c:pt idx="1">
                  <c:v>6976800</c:v>
                </c:pt>
                <c:pt idx="2">
                  <c:v>10158007.823999999</c:v>
                </c:pt>
                <c:pt idx="3">
                  <c:v>10671762.337919997</c:v>
                </c:pt>
                <c:pt idx="4">
                  <c:v>11212135.3942848</c:v>
                </c:pt>
                <c:pt idx="5">
                  <c:v>10586986.658652671</c:v>
                </c:pt>
                <c:pt idx="6">
                  <c:v>12162554.128051199</c:v>
                </c:pt>
                <c:pt idx="7">
                  <c:v>12405805.210612224</c:v>
                </c:pt>
                <c:pt idx="8">
                  <c:v>12653921.314824469</c:v>
                </c:pt>
                <c:pt idx="9">
                  <c:v>12906999.741120961</c:v>
                </c:pt>
                <c:pt idx="10">
                  <c:v>13165139.735943379</c:v>
                </c:pt>
                <c:pt idx="11">
                  <c:v>13697011.381275492</c:v>
                </c:pt>
                <c:pt idx="12">
                  <c:v>13970951.608901005</c:v>
                </c:pt>
                <c:pt idx="13">
                  <c:v>14250370.641079023</c:v>
                </c:pt>
                <c:pt idx="14">
                  <c:v>14535378.053900601</c:v>
                </c:pt>
                <c:pt idx="15">
                  <c:v>14826085.614978613</c:v>
                </c:pt>
                <c:pt idx="16">
                  <c:v>15122607.327278186</c:v>
                </c:pt>
                <c:pt idx="17">
                  <c:v>15425059.473823752</c:v>
                </c:pt>
                <c:pt idx="18">
                  <c:v>15733560.663300227</c:v>
                </c:pt>
                <c:pt idx="19">
                  <c:v>16048231.876566229</c:v>
                </c:pt>
              </c:numCache>
            </c:numRef>
          </c:val>
          <c:smooth val="0"/>
          <c:extLst>
            <c:ext xmlns:c16="http://schemas.microsoft.com/office/drawing/2014/chart" uri="{C3380CC4-5D6E-409C-BE32-E72D297353CC}">
              <c16:uniqueId val="{00000001-CC80-4CE1-946C-2DDCA6C701A9}"/>
            </c:ext>
          </c:extLst>
        </c:ser>
        <c:dLbls>
          <c:showLegendKey val="0"/>
          <c:showVal val="0"/>
          <c:showCatName val="0"/>
          <c:showSerName val="0"/>
          <c:showPercent val="0"/>
          <c:showBubbleSize val="0"/>
        </c:dLbls>
        <c:smooth val="0"/>
        <c:axId val="1255574736"/>
        <c:axId val="1597891312"/>
      </c:lineChart>
      <c:catAx>
        <c:axId val="125557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891312"/>
        <c:crosses val="autoZero"/>
        <c:auto val="1"/>
        <c:lblAlgn val="ctr"/>
        <c:lblOffset val="100"/>
        <c:noMultiLvlLbl val="0"/>
      </c:catAx>
      <c:valAx>
        <c:axId val="1597891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5574736"/>
        <c:crosses val="autoZero"/>
        <c:crossBetween val="between"/>
      </c:valAx>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[Project_18th_V5_macro_enabled.xlsm]Profit!PivotTable17</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s>
    <c:plotArea>
      <c:layout/>
      <c:lineChart>
        <c:grouping val="standard"/>
        <c:varyColors val="0"/>
        <c:ser>
          <c:idx val="0"/>
          <c:order val="0"/>
          <c:tx>
            <c:strRef>
              <c:f>Profit!$B$1</c:f>
              <c:strCache>
                <c:ptCount val="1"/>
                <c:pt idx="0">
                  <c:v>Sum of Profit</c:v>
                </c:pt>
              </c:strCache>
            </c:strRef>
          </c:tx>
          <c:spPr>
            <a:ln w="28575" cap="rnd">
              <a:solidFill>
                <a:schemeClr val="accent1">
                  <a:lumMod val="60000"/>
                  <a:lumOff val="40000"/>
                </a:schemeClr>
              </a:solidFill>
              <a:round/>
            </a:ln>
            <a:effectLst/>
          </c:spPr>
          <c:marker>
            <c:symbol val="none"/>
          </c:marker>
          <c:cat>
            <c:strRef>
              <c:f>Profit!$A$2:$A$22</c:f>
              <c:strCach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strCache>
            </c:strRef>
          </c:cat>
          <c:val>
            <c:numRef>
              <c:f>Profit!$B$2:$B$22</c:f>
              <c:numCache>
                <c:formatCode>#,##0</c:formatCode>
                <c:ptCount val="20"/>
                <c:pt idx="0">
                  <c:v>40735260</c:v>
                </c:pt>
                <c:pt idx="1">
                  <c:v>39751200</c:v>
                </c:pt>
                <c:pt idx="2">
                  <c:v>102117588.02</c:v>
                </c:pt>
                <c:pt idx="3">
                  <c:v>120057326.30159999</c:v>
                </c:pt>
                <c:pt idx="4">
                  <c:v>126136523.18570399</c:v>
                </c:pt>
                <c:pt idx="5">
                  <c:v>119103599.90984258</c:v>
                </c:pt>
                <c:pt idx="6">
                  <c:v>136828733.94057605</c:v>
                </c:pt>
                <c:pt idx="7">
                  <c:v>139565308.61938754</c:v>
                </c:pt>
                <c:pt idx="8">
                  <c:v>142356614.79177532</c:v>
                </c:pt>
                <c:pt idx="9">
                  <c:v>145203747.08761081</c:v>
                </c:pt>
                <c:pt idx="10">
                  <c:v>148107822.02936304</c:v>
                </c:pt>
                <c:pt idx="11">
                  <c:v>151069978.46995029</c:v>
                </c:pt>
                <c:pt idx="12">
                  <c:v>154091378.03934929</c:v>
                </c:pt>
                <c:pt idx="13">
                  <c:v>157173205.60013628</c:v>
                </c:pt>
                <c:pt idx="14">
                  <c:v>160316669.71213901</c:v>
                </c:pt>
                <c:pt idx="15">
                  <c:v>163523003.10638177</c:v>
                </c:pt>
                <c:pt idx="16">
                  <c:v>166793463.16850945</c:v>
                </c:pt>
                <c:pt idx="17">
                  <c:v>170129332.43187961</c:v>
                </c:pt>
                <c:pt idx="18">
                  <c:v>173531919.08051726</c:v>
                </c:pt>
                <c:pt idx="19">
                  <c:v>177002557.46212757</c:v>
                </c:pt>
              </c:numCache>
            </c:numRef>
          </c:val>
          <c:smooth val="0"/>
          <c:extLst>
            <c:ext xmlns:c16="http://schemas.microsoft.com/office/drawing/2014/chart" uri="{C3380CC4-5D6E-409C-BE32-E72D297353CC}">
              <c16:uniqueId val="{00000000-B702-4549-B9AE-36A01FA75110}"/>
            </c:ext>
          </c:extLst>
        </c:ser>
        <c:ser>
          <c:idx val="1"/>
          <c:order val="1"/>
          <c:tx>
            <c:strRef>
              <c:f>Profit!$C$1</c:f>
              <c:strCache>
                <c:ptCount val="1"/>
                <c:pt idx="0">
                  <c:v>Sum of Profit NS</c:v>
                </c:pt>
              </c:strCache>
            </c:strRef>
          </c:tx>
          <c:spPr>
            <a:ln w="28575" cap="rnd">
              <a:solidFill>
                <a:schemeClr val="accent6">
                  <a:lumMod val="75000"/>
                </a:schemeClr>
              </a:solidFill>
              <a:round/>
            </a:ln>
            <a:effectLst/>
          </c:spPr>
          <c:marker>
            <c:symbol val="none"/>
          </c:marker>
          <c:cat>
            <c:strRef>
              <c:f>Profit!$A$2:$A$22</c:f>
              <c:strCach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strCache>
            </c:strRef>
          </c:cat>
          <c:val>
            <c:numRef>
              <c:f>Profit!$C$2:$C$22</c:f>
              <c:numCache>
                <c:formatCode>#,##0</c:formatCode>
                <c:ptCount val="20"/>
                <c:pt idx="0">
                  <c:v>35335260</c:v>
                </c:pt>
                <c:pt idx="1">
                  <c:v>6976800</c:v>
                </c:pt>
                <c:pt idx="2">
                  <c:v>10158007.823999999</c:v>
                </c:pt>
                <c:pt idx="3">
                  <c:v>10671762.337919997</c:v>
                </c:pt>
                <c:pt idx="4">
                  <c:v>11212135.3942848</c:v>
                </c:pt>
                <c:pt idx="5">
                  <c:v>10586986.658652671</c:v>
                </c:pt>
                <c:pt idx="6">
                  <c:v>12162554.128051199</c:v>
                </c:pt>
                <c:pt idx="7">
                  <c:v>12405805.210612224</c:v>
                </c:pt>
                <c:pt idx="8">
                  <c:v>12653921.314824469</c:v>
                </c:pt>
                <c:pt idx="9">
                  <c:v>12906999.741120961</c:v>
                </c:pt>
                <c:pt idx="10">
                  <c:v>13165139.735943379</c:v>
                </c:pt>
                <c:pt idx="11">
                  <c:v>13697011.381275492</c:v>
                </c:pt>
                <c:pt idx="12">
                  <c:v>13970951.608901005</c:v>
                </c:pt>
                <c:pt idx="13">
                  <c:v>14250370.641079023</c:v>
                </c:pt>
                <c:pt idx="14">
                  <c:v>14535378.053900601</c:v>
                </c:pt>
                <c:pt idx="15">
                  <c:v>14826085.614978613</c:v>
                </c:pt>
                <c:pt idx="16">
                  <c:v>15122607.327278186</c:v>
                </c:pt>
                <c:pt idx="17">
                  <c:v>15425059.473823752</c:v>
                </c:pt>
                <c:pt idx="18">
                  <c:v>15733560.663300227</c:v>
                </c:pt>
                <c:pt idx="19">
                  <c:v>16048231.876566229</c:v>
                </c:pt>
              </c:numCache>
            </c:numRef>
          </c:val>
          <c:smooth val="0"/>
          <c:extLst>
            <c:ext xmlns:c16="http://schemas.microsoft.com/office/drawing/2014/chart" uri="{C3380CC4-5D6E-409C-BE32-E72D297353CC}">
              <c16:uniqueId val="{00000001-B702-4549-B9AE-36A01FA75110}"/>
            </c:ext>
          </c:extLst>
        </c:ser>
        <c:dLbls>
          <c:showLegendKey val="0"/>
          <c:showVal val="0"/>
          <c:showCatName val="0"/>
          <c:showSerName val="0"/>
          <c:showPercent val="0"/>
          <c:showBubbleSize val="0"/>
        </c:dLbls>
        <c:smooth val="0"/>
        <c:axId val="1255574736"/>
        <c:axId val="1597891312"/>
      </c:lineChart>
      <c:catAx>
        <c:axId val="125557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97891312"/>
        <c:crosses val="autoZero"/>
        <c:auto val="1"/>
        <c:lblAlgn val="ctr"/>
        <c:lblOffset val="100"/>
        <c:noMultiLvlLbl val="0"/>
      </c:catAx>
      <c:valAx>
        <c:axId val="1597891312"/>
        <c:scaling>
          <c:orientation val="minMax"/>
          <c:max val="210000000"/>
          <c:min val="1000000"/>
        </c:scaling>
        <c:delete val="0"/>
        <c:axPos val="l"/>
        <c:majorGridlines>
          <c:spPr>
            <a:ln w="9525" cap="flat" cmpd="sng" algn="ctr">
              <a:solidFill>
                <a:schemeClr val="lt1">
                  <a:shade val="50000"/>
                  <a:alpha val="50000"/>
                </a:schemeClr>
              </a:solidFill>
              <a:prstDash val="sys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55574736"/>
        <c:crosses val="autoZero"/>
        <c:crossBetween val="between"/>
      </c:valAx>
      <c:spPr>
        <a:noFill/>
        <a:ln>
          <a:noFill/>
        </a:ln>
        <a:effectLst/>
      </c:spPr>
    </c:plotArea>
    <c:legend>
      <c:legendPos val="r"/>
      <c:layout>
        <c:manualLayout>
          <c:xMode val="edge"/>
          <c:yMode val="edge"/>
          <c:x val="0.7714347327321649"/>
          <c:y val="0.57435453571745154"/>
          <c:w val="0.22856526726783513"/>
          <c:h val="0.16591796848538715"/>
        </c:manualLayout>
      </c:layout>
      <c:overlay val="1"/>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xml"/><Relationship Id="rId7" Type="http://schemas.openxmlformats.org/officeDocument/2006/relationships/image" Target="../media/image5.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svg"/><Relationship Id="rId5" Type="http://schemas.openxmlformats.org/officeDocument/2006/relationships/image" Target="../media/image3.svg"/><Relationship Id="rId10" Type="http://schemas.openxmlformats.org/officeDocument/2006/relationships/image" Target="../media/image8.png"/><Relationship Id="rId4" Type="http://schemas.openxmlformats.org/officeDocument/2006/relationships/image" Target="../media/image2.png"/><Relationship Id="rId9" Type="http://schemas.openxmlformats.org/officeDocument/2006/relationships/image" Target="../media/image7.svg"/></Relationships>
</file>

<file path=xl/drawings/drawing1.xml><?xml version="1.0" encoding="utf-8"?>
<xdr:wsDr xmlns:xdr="http://schemas.openxmlformats.org/drawingml/2006/spreadsheetDrawing" xmlns:a="http://schemas.openxmlformats.org/drawingml/2006/main">
  <xdr:twoCellAnchor>
    <xdr:from>
      <xdr:col>3</xdr:col>
      <xdr:colOff>576262</xdr:colOff>
      <xdr:row>2</xdr:row>
      <xdr:rowOff>176212</xdr:rowOff>
    </xdr:from>
    <xdr:to>
      <xdr:col>11</xdr:col>
      <xdr:colOff>271462</xdr:colOff>
      <xdr:row>17</xdr:row>
      <xdr:rowOff>61912</xdr:rowOff>
    </xdr:to>
    <xdr:graphicFrame macro="">
      <xdr:nvGraphicFramePr>
        <xdr:cNvPr id="3" name="Chart 2">
          <a:extLst>
            <a:ext uri="{FF2B5EF4-FFF2-40B4-BE49-F238E27FC236}">
              <a16:creationId xmlns:a16="http://schemas.microsoft.com/office/drawing/2014/main" id="{7391D0B7-E287-7684-DFAF-FB4595318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26267</xdr:colOff>
      <xdr:row>0</xdr:row>
      <xdr:rowOff>14654</xdr:rowOff>
    </xdr:from>
    <xdr:to>
      <xdr:col>12</xdr:col>
      <xdr:colOff>282466</xdr:colOff>
      <xdr:row>25</xdr:row>
      <xdr:rowOff>56029</xdr:rowOff>
    </xdr:to>
    <xdr:pic>
      <xdr:nvPicPr>
        <xdr:cNvPr id="44" name="Picture 43">
          <a:extLst>
            <a:ext uri="{FF2B5EF4-FFF2-40B4-BE49-F238E27FC236}">
              <a16:creationId xmlns:a16="http://schemas.microsoft.com/office/drawing/2014/main" id="{B6993AF8-3ADE-9B6A-B803-ECDE08F010EB}"/>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aturation sat="33000"/>
                  </a14:imgEffect>
                </a14:imgLayer>
              </a14:imgProps>
            </a:ext>
            <a:ext uri="{28A0092B-C50C-407E-A947-70E740481C1C}">
              <a14:useLocalDpi xmlns:a14="http://schemas.microsoft.com/office/drawing/2010/main" val="0"/>
            </a:ext>
          </a:extLst>
        </a:blip>
        <a:srcRect l="11860" r="20076"/>
        <a:stretch/>
      </xdr:blipFill>
      <xdr:spPr bwMode="auto">
        <a:xfrm>
          <a:off x="26267" y="14654"/>
          <a:ext cx="9505302" cy="483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401518</xdr:colOff>
      <xdr:row>16</xdr:row>
      <xdr:rowOff>14654</xdr:rowOff>
    </xdr:from>
    <xdr:to>
      <xdr:col>9</xdr:col>
      <xdr:colOff>14655</xdr:colOff>
      <xdr:row>19</xdr:row>
      <xdr:rowOff>80598</xdr:rowOff>
    </xdr:to>
    <xdr:sp macro="" textlink="">
      <xdr:nvSpPr>
        <xdr:cNvPr id="32" name="Rectangle 31" descr="=GETPIVOTDATA(&quot;Sum of Potential Lost&quot;;'Potential Lost'!$A$1)">
          <a:extLst>
            <a:ext uri="{FF2B5EF4-FFF2-40B4-BE49-F238E27FC236}">
              <a16:creationId xmlns:a16="http://schemas.microsoft.com/office/drawing/2014/main" id="{75B01145-D015-4D82-BC9A-708403240261}"/>
            </a:ext>
          </a:extLst>
        </xdr:cNvPr>
        <xdr:cNvSpPr/>
      </xdr:nvSpPr>
      <xdr:spPr>
        <a:xfrm>
          <a:off x="5860076" y="3091962"/>
          <a:ext cx="1554771" cy="637444"/>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Potential</a:t>
          </a:r>
          <a:r>
            <a:rPr lang="en-US" sz="1100" b="1" baseline="0"/>
            <a:t> lost </a:t>
          </a:r>
        </a:p>
      </xdr:txBody>
    </xdr:sp>
    <xdr:clientData/>
  </xdr:twoCellAnchor>
  <xdr:twoCellAnchor>
    <xdr:from>
      <xdr:col>9</xdr:col>
      <xdr:colOff>91106</xdr:colOff>
      <xdr:row>12</xdr:row>
      <xdr:rowOff>53866</xdr:rowOff>
    </xdr:from>
    <xdr:to>
      <xdr:col>11</xdr:col>
      <xdr:colOff>328447</xdr:colOff>
      <xdr:row>15</xdr:row>
      <xdr:rowOff>100200</xdr:rowOff>
    </xdr:to>
    <xdr:sp macro="" textlink="">
      <xdr:nvSpPr>
        <xdr:cNvPr id="19" name="Rectangle 18">
          <a:extLst>
            <a:ext uri="{FF2B5EF4-FFF2-40B4-BE49-F238E27FC236}">
              <a16:creationId xmlns:a16="http://schemas.microsoft.com/office/drawing/2014/main" id="{B2905633-2382-4909-9D7E-144FD6B6409E}"/>
            </a:ext>
          </a:extLst>
        </xdr:cNvPr>
        <xdr:cNvSpPr/>
      </xdr:nvSpPr>
      <xdr:spPr>
        <a:xfrm>
          <a:off x="7507468" y="2366142"/>
          <a:ext cx="1459169" cy="617834"/>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AVG Tickets</a:t>
          </a:r>
          <a:r>
            <a:rPr lang="en-US" sz="1100" b="1" baseline="0">
              <a:solidFill>
                <a:schemeClr val="lt1"/>
              </a:solidFill>
              <a:effectLst/>
              <a:latin typeface="+mn-lt"/>
              <a:ea typeface="+mn-ea"/>
              <a:cs typeface="+mn-cs"/>
            </a:rPr>
            <a:t> NS</a:t>
          </a:r>
          <a:endParaRPr lang="en-US" sz="1100"/>
        </a:p>
        <a:p>
          <a:pPr algn="l"/>
          <a:r>
            <a:rPr lang="en-US" sz="900"/>
            <a:t>                  </a:t>
          </a:r>
          <a:endParaRPr lang="en-US" sz="900" b="1"/>
        </a:p>
      </xdr:txBody>
    </xdr:sp>
    <xdr:clientData/>
  </xdr:twoCellAnchor>
  <xdr:twoCellAnchor>
    <xdr:from>
      <xdr:col>9</xdr:col>
      <xdr:colOff>98536</xdr:colOff>
      <xdr:row>16</xdr:row>
      <xdr:rowOff>13188</xdr:rowOff>
    </xdr:from>
    <xdr:to>
      <xdr:col>11</xdr:col>
      <xdr:colOff>321880</xdr:colOff>
      <xdr:row>19</xdr:row>
      <xdr:rowOff>79132</xdr:rowOff>
    </xdr:to>
    <xdr:sp macro="" textlink="">
      <xdr:nvSpPr>
        <xdr:cNvPr id="33" name="Rectangle 32">
          <a:extLst>
            <a:ext uri="{FF2B5EF4-FFF2-40B4-BE49-F238E27FC236}">
              <a16:creationId xmlns:a16="http://schemas.microsoft.com/office/drawing/2014/main" id="{000ADD75-5C2F-4D86-9533-F2793DF07B92}"/>
            </a:ext>
          </a:extLst>
        </xdr:cNvPr>
        <xdr:cNvSpPr/>
      </xdr:nvSpPr>
      <xdr:spPr>
        <a:xfrm>
          <a:off x="7514898" y="3087464"/>
          <a:ext cx="1445172" cy="637444"/>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Potential</a:t>
          </a:r>
          <a:r>
            <a:rPr lang="en-US" sz="1100" b="1" baseline="0">
              <a:solidFill>
                <a:schemeClr val="lt1"/>
              </a:solidFill>
              <a:effectLst/>
              <a:latin typeface="+mn-lt"/>
              <a:ea typeface="+mn-ea"/>
              <a:cs typeface="+mn-cs"/>
            </a:rPr>
            <a:t> lost NS</a:t>
          </a:r>
          <a:endParaRPr lang="en-US" b="1">
            <a:effectLst/>
          </a:endParaRPr>
        </a:p>
        <a:p>
          <a:pPr algn="l"/>
          <a:endParaRPr lang="en-US" sz="1100"/>
        </a:p>
      </xdr:txBody>
    </xdr:sp>
    <xdr:clientData/>
  </xdr:twoCellAnchor>
  <xdr:twoCellAnchor>
    <xdr:from>
      <xdr:col>2</xdr:col>
      <xdr:colOff>159728</xdr:colOff>
      <xdr:row>4</xdr:row>
      <xdr:rowOff>183173</xdr:rowOff>
    </xdr:from>
    <xdr:to>
      <xdr:col>6</xdr:col>
      <xdr:colOff>300405</xdr:colOff>
      <xdr:row>19</xdr:row>
      <xdr:rowOff>79130</xdr:rowOff>
    </xdr:to>
    <xdr:sp macro="" textlink="">
      <xdr:nvSpPr>
        <xdr:cNvPr id="34" name="Rectangle 33">
          <a:extLst>
            <a:ext uri="{FF2B5EF4-FFF2-40B4-BE49-F238E27FC236}">
              <a16:creationId xmlns:a16="http://schemas.microsoft.com/office/drawing/2014/main" id="{A72AE2E7-3760-4A43-85B1-EFFAFD372A96}"/>
            </a:ext>
          </a:extLst>
        </xdr:cNvPr>
        <xdr:cNvSpPr/>
      </xdr:nvSpPr>
      <xdr:spPr>
        <a:xfrm>
          <a:off x="1375997" y="945173"/>
          <a:ext cx="4382966" cy="2782765"/>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6</xdr:col>
      <xdr:colOff>385397</xdr:colOff>
      <xdr:row>12</xdr:row>
      <xdr:rowOff>45984</xdr:rowOff>
    </xdr:from>
    <xdr:to>
      <xdr:col>9</xdr:col>
      <xdr:colOff>13138</xdr:colOff>
      <xdr:row>15</xdr:row>
      <xdr:rowOff>92318</xdr:rowOff>
    </xdr:to>
    <xdr:sp macro="" textlink="">
      <xdr:nvSpPr>
        <xdr:cNvPr id="35" name="Rectangle 34">
          <a:extLst>
            <a:ext uri="{FF2B5EF4-FFF2-40B4-BE49-F238E27FC236}">
              <a16:creationId xmlns:a16="http://schemas.microsoft.com/office/drawing/2014/main" id="{D61CFAF5-81BC-4009-82AF-7710AC98DECF}"/>
            </a:ext>
          </a:extLst>
        </xdr:cNvPr>
        <xdr:cNvSpPr/>
      </xdr:nvSpPr>
      <xdr:spPr>
        <a:xfrm>
          <a:off x="5857345" y="2358260"/>
          <a:ext cx="1572155" cy="617834"/>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AVG Tickets</a:t>
          </a:r>
          <a:r>
            <a:rPr lang="en-US" sz="1100" b="1" baseline="0">
              <a:solidFill>
                <a:schemeClr val="lt1"/>
              </a:solidFill>
              <a:effectLst/>
              <a:latin typeface="+mn-lt"/>
              <a:ea typeface="+mn-ea"/>
              <a:cs typeface="+mn-cs"/>
            </a:rPr>
            <a:t> Normal</a:t>
          </a:r>
          <a:endParaRPr lang="en-US" sz="1100"/>
        </a:p>
        <a:p>
          <a:pPr algn="l"/>
          <a:r>
            <a:rPr lang="en-US" sz="900"/>
            <a:t>                  </a:t>
          </a:r>
          <a:endParaRPr lang="en-US" sz="900" b="1"/>
        </a:p>
      </xdr:txBody>
    </xdr:sp>
    <xdr:clientData/>
  </xdr:twoCellAnchor>
  <xdr:twoCellAnchor>
    <xdr:from>
      <xdr:col>6</xdr:col>
      <xdr:colOff>384690</xdr:colOff>
      <xdr:row>8</xdr:row>
      <xdr:rowOff>111671</xdr:rowOff>
    </xdr:from>
    <xdr:to>
      <xdr:col>9</xdr:col>
      <xdr:colOff>15411</xdr:colOff>
      <xdr:row>11</xdr:row>
      <xdr:rowOff>145676</xdr:rowOff>
    </xdr:to>
    <xdr:sp macro="" textlink="">
      <xdr:nvSpPr>
        <xdr:cNvPr id="36" name="Rectangle 35">
          <a:extLst>
            <a:ext uri="{FF2B5EF4-FFF2-40B4-BE49-F238E27FC236}">
              <a16:creationId xmlns:a16="http://schemas.microsoft.com/office/drawing/2014/main" id="{67F8DECD-130D-412F-983E-80C798BF62EE}"/>
            </a:ext>
          </a:extLst>
        </xdr:cNvPr>
        <xdr:cNvSpPr/>
      </xdr:nvSpPr>
      <xdr:spPr>
        <a:xfrm>
          <a:off x="5856638" y="1661947"/>
          <a:ext cx="1575135" cy="605505"/>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NPV</a:t>
          </a:r>
          <a:r>
            <a:rPr lang="en-US" sz="1100" b="1" baseline="0"/>
            <a:t> Yearly</a:t>
          </a:r>
          <a:endParaRPr lang="en-US" sz="1100" b="1"/>
        </a:p>
      </xdr:txBody>
    </xdr:sp>
    <xdr:clientData/>
  </xdr:twoCellAnchor>
  <xdr:twoCellAnchor>
    <xdr:from>
      <xdr:col>9</xdr:col>
      <xdr:colOff>90905</xdr:colOff>
      <xdr:row>8</xdr:row>
      <xdr:rowOff>112870</xdr:rowOff>
    </xdr:from>
    <xdr:to>
      <xdr:col>11</xdr:col>
      <xdr:colOff>329761</xdr:colOff>
      <xdr:row>11</xdr:row>
      <xdr:rowOff>150782</xdr:rowOff>
    </xdr:to>
    <xdr:sp macro="" textlink="">
      <xdr:nvSpPr>
        <xdr:cNvPr id="37" name="Rectangle 36">
          <a:extLst>
            <a:ext uri="{FF2B5EF4-FFF2-40B4-BE49-F238E27FC236}">
              <a16:creationId xmlns:a16="http://schemas.microsoft.com/office/drawing/2014/main" id="{2FE59CD6-D73C-4CB6-9C10-FFDD919A565D}"/>
            </a:ext>
          </a:extLst>
        </xdr:cNvPr>
        <xdr:cNvSpPr/>
      </xdr:nvSpPr>
      <xdr:spPr>
        <a:xfrm>
          <a:off x="7507267" y="1663146"/>
          <a:ext cx="1460684" cy="609412"/>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1">
              <a:solidFill>
                <a:schemeClr val="lt1"/>
              </a:solidFill>
              <a:effectLst/>
              <a:latin typeface="+mn-lt"/>
              <a:ea typeface="+mn-ea"/>
              <a:cs typeface="+mn-cs"/>
            </a:rPr>
            <a:t>NPV</a:t>
          </a:r>
          <a:r>
            <a:rPr lang="en-US" sz="1000" b="1" baseline="0">
              <a:solidFill>
                <a:schemeClr val="lt1"/>
              </a:solidFill>
              <a:effectLst/>
              <a:latin typeface="+mn-lt"/>
              <a:ea typeface="+mn-ea"/>
              <a:cs typeface="+mn-cs"/>
            </a:rPr>
            <a:t> NS</a:t>
          </a:r>
          <a:endParaRPr lang="en-US" sz="1000" b="1">
            <a:solidFill>
              <a:schemeClr val="lt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1000">
            <a:solidFill>
              <a:schemeClr val="lt1"/>
            </a:solidFill>
            <a:effectLst/>
            <a:latin typeface="+mn-lt"/>
            <a:ea typeface="+mn-ea"/>
            <a:cs typeface="+mn-cs"/>
          </a:endParaRPr>
        </a:p>
        <a:p>
          <a:pPr algn="l"/>
          <a:endParaRPr lang="en-US" sz="1100"/>
        </a:p>
      </xdr:txBody>
    </xdr:sp>
    <xdr:clientData/>
  </xdr:twoCellAnchor>
  <xdr:twoCellAnchor>
    <xdr:from>
      <xdr:col>0</xdr:col>
      <xdr:colOff>561975</xdr:colOff>
      <xdr:row>4</xdr:row>
      <xdr:rowOff>161925</xdr:rowOff>
    </xdr:from>
    <xdr:to>
      <xdr:col>2</xdr:col>
      <xdr:colOff>0</xdr:colOff>
      <xdr:row>6</xdr:row>
      <xdr:rowOff>0</xdr:rowOff>
    </xdr:to>
    <xdr:sp macro="[0]!Macro1000" textlink="">
      <xdr:nvSpPr>
        <xdr:cNvPr id="2" name="Rectangle: Rounded Corners 1">
          <a:extLst>
            <a:ext uri="{FF2B5EF4-FFF2-40B4-BE49-F238E27FC236}">
              <a16:creationId xmlns:a16="http://schemas.microsoft.com/office/drawing/2014/main" id="{548B10A8-E95E-CA5B-2A34-20C2E0A1D66C}"/>
            </a:ext>
          </a:extLst>
        </xdr:cNvPr>
        <xdr:cNvSpPr/>
      </xdr:nvSpPr>
      <xdr:spPr>
        <a:xfrm>
          <a:off x="561975" y="923925"/>
          <a:ext cx="657225"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1000</a:t>
          </a:r>
        </a:p>
      </xdr:txBody>
    </xdr:sp>
    <xdr:clientData/>
  </xdr:twoCellAnchor>
  <xdr:twoCellAnchor>
    <xdr:from>
      <xdr:col>0</xdr:col>
      <xdr:colOff>571501</xdr:colOff>
      <xdr:row>2</xdr:row>
      <xdr:rowOff>28576</xdr:rowOff>
    </xdr:from>
    <xdr:to>
      <xdr:col>2</xdr:col>
      <xdr:colOff>13139</xdr:colOff>
      <xdr:row>4</xdr:row>
      <xdr:rowOff>123825</xdr:rowOff>
    </xdr:to>
    <xdr:sp macro="" textlink="">
      <xdr:nvSpPr>
        <xdr:cNvPr id="9" name="Rectangle: Rounded Corners 8">
          <a:extLst>
            <a:ext uri="{FF2B5EF4-FFF2-40B4-BE49-F238E27FC236}">
              <a16:creationId xmlns:a16="http://schemas.microsoft.com/office/drawing/2014/main" id="{4658952D-468E-C5A0-759C-318E0102100B}"/>
            </a:ext>
          </a:extLst>
        </xdr:cNvPr>
        <xdr:cNvSpPr/>
      </xdr:nvSpPr>
      <xdr:spPr>
        <a:xfrm>
          <a:off x="571501" y="409576"/>
          <a:ext cx="663466" cy="476249"/>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Number</a:t>
          </a:r>
          <a:r>
            <a:rPr lang="en-US" sz="900" b="1" baseline="0"/>
            <a:t> of Seats</a:t>
          </a:r>
          <a:endParaRPr lang="en-US" sz="900" b="1"/>
        </a:p>
      </xdr:txBody>
    </xdr:sp>
    <xdr:clientData/>
  </xdr:twoCellAnchor>
  <xdr:twoCellAnchor>
    <xdr:from>
      <xdr:col>0</xdr:col>
      <xdr:colOff>561975</xdr:colOff>
      <xdr:row>6</xdr:row>
      <xdr:rowOff>44585</xdr:rowOff>
    </xdr:from>
    <xdr:to>
      <xdr:col>1</xdr:col>
      <xdr:colOff>607978</xdr:colOff>
      <xdr:row>7</xdr:row>
      <xdr:rowOff>92210</xdr:rowOff>
    </xdr:to>
    <xdr:sp macro="[0]!Macro2000" textlink="">
      <xdr:nvSpPr>
        <xdr:cNvPr id="12" name="Rectangle: Rounded Corners 11">
          <a:extLst>
            <a:ext uri="{FF2B5EF4-FFF2-40B4-BE49-F238E27FC236}">
              <a16:creationId xmlns:a16="http://schemas.microsoft.com/office/drawing/2014/main" id="{2718BC26-A801-4394-BAA7-CB7E986D20E2}"/>
            </a:ext>
          </a:extLst>
        </xdr:cNvPr>
        <xdr:cNvSpPr/>
      </xdr:nvSpPr>
      <xdr:spPr>
        <a:xfrm>
          <a:off x="561975" y="1207851"/>
          <a:ext cx="653982"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2000</a:t>
          </a:r>
        </a:p>
      </xdr:txBody>
    </xdr:sp>
    <xdr:clientData/>
  </xdr:twoCellAnchor>
  <xdr:twoCellAnchor>
    <xdr:from>
      <xdr:col>0</xdr:col>
      <xdr:colOff>561975</xdr:colOff>
      <xdr:row>7</xdr:row>
      <xdr:rowOff>149968</xdr:rowOff>
    </xdr:from>
    <xdr:to>
      <xdr:col>1</xdr:col>
      <xdr:colOff>607978</xdr:colOff>
      <xdr:row>9</xdr:row>
      <xdr:rowOff>8309</xdr:rowOff>
    </xdr:to>
    <xdr:sp macro="[0]!Macro3000" textlink="">
      <xdr:nvSpPr>
        <xdr:cNvPr id="15" name="Rectangle: Rounded Corners 14">
          <a:extLst>
            <a:ext uri="{FF2B5EF4-FFF2-40B4-BE49-F238E27FC236}">
              <a16:creationId xmlns:a16="http://schemas.microsoft.com/office/drawing/2014/main" id="{99458077-F460-486F-B3F2-FB0398B21CEC}"/>
            </a:ext>
          </a:extLst>
        </xdr:cNvPr>
        <xdr:cNvSpPr/>
      </xdr:nvSpPr>
      <xdr:spPr>
        <a:xfrm>
          <a:off x="561975" y="1503734"/>
          <a:ext cx="653982" cy="239341"/>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3000</a:t>
          </a:r>
        </a:p>
      </xdr:txBody>
    </xdr:sp>
    <xdr:clientData/>
  </xdr:twoCellAnchor>
  <xdr:twoCellAnchor>
    <xdr:from>
      <xdr:col>0</xdr:col>
      <xdr:colOff>561975</xdr:colOff>
      <xdr:row>9</xdr:row>
      <xdr:rowOff>52894</xdr:rowOff>
    </xdr:from>
    <xdr:to>
      <xdr:col>1</xdr:col>
      <xdr:colOff>607978</xdr:colOff>
      <xdr:row>10</xdr:row>
      <xdr:rowOff>100519</xdr:rowOff>
    </xdr:to>
    <xdr:sp macro="[0]!Macro4000" textlink="">
      <xdr:nvSpPr>
        <xdr:cNvPr id="16" name="Rectangle: Rounded Corners 15">
          <a:extLst>
            <a:ext uri="{FF2B5EF4-FFF2-40B4-BE49-F238E27FC236}">
              <a16:creationId xmlns:a16="http://schemas.microsoft.com/office/drawing/2014/main" id="{3B50AFEB-0142-4CF6-BBBD-90C7240F230A}"/>
            </a:ext>
          </a:extLst>
        </xdr:cNvPr>
        <xdr:cNvSpPr/>
      </xdr:nvSpPr>
      <xdr:spPr>
        <a:xfrm>
          <a:off x="561975" y="1787660"/>
          <a:ext cx="653982"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4000</a:t>
          </a:r>
        </a:p>
      </xdr:txBody>
    </xdr:sp>
    <xdr:clientData/>
  </xdr:twoCellAnchor>
  <xdr:twoCellAnchor>
    <xdr:from>
      <xdr:col>0</xdr:col>
      <xdr:colOff>561975</xdr:colOff>
      <xdr:row>10</xdr:row>
      <xdr:rowOff>133755</xdr:rowOff>
    </xdr:from>
    <xdr:to>
      <xdr:col>1</xdr:col>
      <xdr:colOff>607978</xdr:colOff>
      <xdr:row>11</xdr:row>
      <xdr:rowOff>182596</xdr:rowOff>
    </xdr:to>
    <xdr:sp macro="[0]!Macro5000" textlink="">
      <xdr:nvSpPr>
        <xdr:cNvPr id="17" name="Rectangle: Rounded Corners 16">
          <a:extLst>
            <a:ext uri="{FF2B5EF4-FFF2-40B4-BE49-F238E27FC236}">
              <a16:creationId xmlns:a16="http://schemas.microsoft.com/office/drawing/2014/main" id="{1C0DD86E-6A1C-4318-B3CA-0EC6FFCE0BFA}"/>
            </a:ext>
          </a:extLst>
        </xdr:cNvPr>
        <xdr:cNvSpPr/>
      </xdr:nvSpPr>
      <xdr:spPr>
        <a:xfrm>
          <a:off x="561975" y="2059021"/>
          <a:ext cx="653982" cy="239341"/>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5000</a:t>
          </a:r>
        </a:p>
      </xdr:txBody>
    </xdr:sp>
    <xdr:clientData/>
  </xdr:twoCellAnchor>
  <xdr:twoCellAnchor>
    <xdr:from>
      <xdr:col>0</xdr:col>
      <xdr:colOff>561975</xdr:colOff>
      <xdr:row>12</xdr:row>
      <xdr:rowOff>28575</xdr:rowOff>
    </xdr:from>
    <xdr:to>
      <xdr:col>1</xdr:col>
      <xdr:colOff>607978</xdr:colOff>
      <xdr:row>13</xdr:row>
      <xdr:rowOff>76200</xdr:rowOff>
    </xdr:to>
    <xdr:sp macro="[0]!Macro6000" textlink="">
      <xdr:nvSpPr>
        <xdr:cNvPr id="18" name="Rectangle: Rounded Corners 17">
          <a:extLst>
            <a:ext uri="{FF2B5EF4-FFF2-40B4-BE49-F238E27FC236}">
              <a16:creationId xmlns:a16="http://schemas.microsoft.com/office/drawing/2014/main" id="{52F0C436-03F2-4A11-A426-5F5ADA9BEB32}"/>
            </a:ext>
          </a:extLst>
        </xdr:cNvPr>
        <xdr:cNvSpPr/>
      </xdr:nvSpPr>
      <xdr:spPr>
        <a:xfrm>
          <a:off x="561975" y="2334841"/>
          <a:ext cx="653982"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6000</a:t>
          </a:r>
        </a:p>
      </xdr:txBody>
    </xdr:sp>
    <xdr:clientData/>
  </xdr:twoCellAnchor>
  <xdr:twoCellAnchor>
    <xdr:from>
      <xdr:col>0</xdr:col>
      <xdr:colOff>561975</xdr:colOff>
      <xdr:row>13</xdr:row>
      <xdr:rowOff>118355</xdr:rowOff>
    </xdr:from>
    <xdr:to>
      <xdr:col>1</xdr:col>
      <xdr:colOff>607978</xdr:colOff>
      <xdr:row>14</xdr:row>
      <xdr:rowOff>165980</xdr:rowOff>
    </xdr:to>
    <xdr:sp macro="[0]!Macro7000" textlink="">
      <xdr:nvSpPr>
        <xdr:cNvPr id="26" name="Rectangle: Rounded Corners 25">
          <a:extLst>
            <a:ext uri="{FF2B5EF4-FFF2-40B4-BE49-F238E27FC236}">
              <a16:creationId xmlns:a16="http://schemas.microsoft.com/office/drawing/2014/main" id="{033B7472-2934-400E-985C-794C46FBA5BE}"/>
            </a:ext>
          </a:extLst>
        </xdr:cNvPr>
        <xdr:cNvSpPr/>
      </xdr:nvSpPr>
      <xdr:spPr>
        <a:xfrm>
          <a:off x="561975" y="2615121"/>
          <a:ext cx="653982"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7000</a:t>
          </a:r>
        </a:p>
      </xdr:txBody>
    </xdr:sp>
    <xdr:clientData/>
  </xdr:twoCellAnchor>
  <xdr:twoCellAnchor>
    <xdr:from>
      <xdr:col>0</xdr:col>
      <xdr:colOff>561975</xdr:colOff>
      <xdr:row>15</xdr:row>
      <xdr:rowOff>11257</xdr:rowOff>
    </xdr:from>
    <xdr:to>
      <xdr:col>1</xdr:col>
      <xdr:colOff>607978</xdr:colOff>
      <xdr:row>16</xdr:row>
      <xdr:rowOff>60098</xdr:rowOff>
    </xdr:to>
    <xdr:sp macro="[0]!Macro8000" textlink="">
      <xdr:nvSpPr>
        <xdr:cNvPr id="27" name="Rectangle: Rounded Corners 26">
          <a:extLst>
            <a:ext uri="{FF2B5EF4-FFF2-40B4-BE49-F238E27FC236}">
              <a16:creationId xmlns:a16="http://schemas.microsoft.com/office/drawing/2014/main" id="{171BAEBB-65D7-41D8-AA76-88E146C74F19}"/>
            </a:ext>
          </a:extLst>
        </xdr:cNvPr>
        <xdr:cNvSpPr/>
      </xdr:nvSpPr>
      <xdr:spPr>
        <a:xfrm>
          <a:off x="561975" y="2890738"/>
          <a:ext cx="654138" cy="239341"/>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8000</a:t>
          </a:r>
        </a:p>
      </xdr:txBody>
    </xdr:sp>
    <xdr:clientData/>
  </xdr:twoCellAnchor>
  <xdr:twoCellAnchor>
    <xdr:from>
      <xdr:col>0</xdr:col>
      <xdr:colOff>561975</xdr:colOff>
      <xdr:row>16</xdr:row>
      <xdr:rowOff>104683</xdr:rowOff>
    </xdr:from>
    <xdr:to>
      <xdr:col>1</xdr:col>
      <xdr:colOff>607978</xdr:colOff>
      <xdr:row>17</xdr:row>
      <xdr:rowOff>152308</xdr:rowOff>
    </xdr:to>
    <xdr:sp macro="[0]!Macro9000" textlink="">
      <xdr:nvSpPr>
        <xdr:cNvPr id="28" name="Rectangle: Rounded Corners 27">
          <a:extLst>
            <a:ext uri="{FF2B5EF4-FFF2-40B4-BE49-F238E27FC236}">
              <a16:creationId xmlns:a16="http://schemas.microsoft.com/office/drawing/2014/main" id="{EB52D743-8795-41E1-9B6F-1B6A391D9A3F}"/>
            </a:ext>
          </a:extLst>
        </xdr:cNvPr>
        <xdr:cNvSpPr/>
      </xdr:nvSpPr>
      <xdr:spPr>
        <a:xfrm>
          <a:off x="561975" y="3174664"/>
          <a:ext cx="654138" cy="238125"/>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9000</a:t>
          </a:r>
        </a:p>
      </xdr:txBody>
    </xdr:sp>
    <xdr:clientData/>
  </xdr:twoCellAnchor>
  <xdr:twoCellAnchor>
    <xdr:from>
      <xdr:col>0</xdr:col>
      <xdr:colOff>561975</xdr:colOff>
      <xdr:row>18</xdr:row>
      <xdr:rowOff>2371</xdr:rowOff>
    </xdr:from>
    <xdr:to>
      <xdr:col>1</xdr:col>
      <xdr:colOff>607978</xdr:colOff>
      <xdr:row>19</xdr:row>
      <xdr:rowOff>51212</xdr:rowOff>
    </xdr:to>
    <xdr:sp macro="[0]!Macro10000" textlink="">
      <xdr:nvSpPr>
        <xdr:cNvPr id="29" name="Rectangle: Rounded Corners 28">
          <a:extLst>
            <a:ext uri="{FF2B5EF4-FFF2-40B4-BE49-F238E27FC236}">
              <a16:creationId xmlns:a16="http://schemas.microsoft.com/office/drawing/2014/main" id="{7C2B285F-7616-429F-9740-7956D6727294}"/>
            </a:ext>
          </a:extLst>
        </xdr:cNvPr>
        <xdr:cNvSpPr/>
      </xdr:nvSpPr>
      <xdr:spPr>
        <a:xfrm>
          <a:off x="561975" y="3453352"/>
          <a:ext cx="654138" cy="239341"/>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haroni" panose="02010803020104030203" pitchFamily="2" charset="-79"/>
            </a:rPr>
            <a:t>10000</a:t>
          </a:r>
        </a:p>
      </xdr:txBody>
    </xdr:sp>
    <xdr:clientData/>
  </xdr:twoCellAnchor>
  <xdr:twoCellAnchor>
    <xdr:from>
      <xdr:col>3</xdr:col>
      <xdr:colOff>118243</xdr:colOff>
      <xdr:row>1</xdr:row>
      <xdr:rowOff>7327</xdr:rowOff>
    </xdr:from>
    <xdr:to>
      <xdr:col>10</xdr:col>
      <xdr:colOff>91966</xdr:colOff>
      <xdr:row>5</xdr:row>
      <xdr:rowOff>51288</xdr:rowOff>
    </xdr:to>
    <xdr:sp macro="" textlink="">
      <xdr:nvSpPr>
        <xdr:cNvPr id="40" name="TextBox 39">
          <a:extLst>
            <a:ext uri="{FF2B5EF4-FFF2-40B4-BE49-F238E27FC236}">
              <a16:creationId xmlns:a16="http://schemas.microsoft.com/office/drawing/2014/main" id="{A09DF1D7-D3F0-3625-8A21-27CE3BC6D3B8}"/>
            </a:ext>
          </a:extLst>
        </xdr:cNvPr>
        <xdr:cNvSpPr txBox="1"/>
      </xdr:nvSpPr>
      <xdr:spPr>
        <a:xfrm>
          <a:off x="1950984" y="197827"/>
          <a:ext cx="6168258" cy="80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Dashboard</a:t>
          </a:r>
        </a:p>
        <a:p>
          <a:pPr algn="ctr"/>
          <a:r>
            <a:rPr lang="en-US" sz="1050" b="1">
              <a:solidFill>
                <a:schemeClr val="bg1"/>
              </a:solidFill>
            </a:rPr>
            <a:t>-</a:t>
          </a:r>
        </a:p>
        <a:p>
          <a:pPr algn="ctr"/>
          <a:r>
            <a:rPr lang="en-US" sz="1400" b="1">
              <a:solidFill>
                <a:schemeClr val="bg1"/>
              </a:solidFill>
            </a:rPr>
            <a:t>Stadium</a:t>
          </a:r>
          <a:r>
            <a:rPr lang="en-US" sz="1400" b="1" baseline="0">
              <a:solidFill>
                <a:schemeClr val="bg1"/>
              </a:solidFill>
            </a:rPr>
            <a:t> stand construction project</a:t>
          </a:r>
          <a:endParaRPr lang="en-US" sz="1400" b="1">
            <a:solidFill>
              <a:schemeClr val="bg1"/>
            </a:solidFill>
          </a:endParaRPr>
        </a:p>
      </xdr:txBody>
    </xdr:sp>
    <xdr:clientData/>
  </xdr:twoCellAnchor>
  <xdr:twoCellAnchor>
    <xdr:from>
      <xdr:col>2</xdr:col>
      <xdr:colOff>161191</xdr:colOff>
      <xdr:row>5</xdr:row>
      <xdr:rowOff>73269</xdr:rowOff>
    </xdr:from>
    <xdr:to>
      <xdr:col>6</xdr:col>
      <xdr:colOff>205153</xdr:colOff>
      <xdr:row>18</xdr:row>
      <xdr:rowOff>153866</xdr:rowOff>
    </xdr:to>
    <xdr:graphicFrame macro="">
      <xdr:nvGraphicFramePr>
        <xdr:cNvPr id="38" name="Chart 37">
          <a:extLst>
            <a:ext uri="{FF2B5EF4-FFF2-40B4-BE49-F238E27FC236}">
              <a16:creationId xmlns:a16="http://schemas.microsoft.com/office/drawing/2014/main" id="{7A774361-8EAA-4145-98C1-0204552D8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454269</xdr:colOff>
      <xdr:row>17</xdr:row>
      <xdr:rowOff>87923</xdr:rowOff>
    </xdr:from>
    <xdr:to>
      <xdr:col>8</xdr:col>
      <xdr:colOff>527539</xdr:colOff>
      <xdr:row>18</xdr:row>
      <xdr:rowOff>175846</xdr:rowOff>
    </xdr:to>
    <xdr:sp macro="" textlink="'Potential Lost'!B23">
      <xdr:nvSpPr>
        <xdr:cNvPr id="42" name="TextBox 41">
          <a:extLst>
            <a:ext uri="{FF2B5EF4-FFF2-40B4-BE49-F238E27FC236}">
              <a16:creationId xmlns:a16="http://schemas.microsoft.com/office/drawing/2014/main" id="{08A17600-3125-4122-0DDC-64A097B8AF58}"/>
            </a:ext>
          </a:extLst>
        </xdr:cNvPr>
        <xdr:cNvSpPr txBox="1"/>
      </xdr:nvSpPr>
      <xdr:spPr>
        <a:xfrm>
          <a:off x="5912827" y="3355731"/>
          <a:ext cx="1406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1FBF65E-6A43-4ABA-9CE4-70CB83B26A1B}" type="TxLink">
            <a:rPr lang="en-US" sz="1800" b="1" i="0" u="none" strike="noStrike" baseline="0">
              <a:solidFill>
                <a:schemeClr val="accent1">
                  <a:lumMod val="40000"/>
                  <a:lumOff val="60000"/>
                </a:schemeClr>
              </a:solidFill>
              <a:latin typeface="Calibri"/>
              <a:ea typeface="Calibri"/>
              <a:cs typeface="Calibri"/>
            </a:rPr>
            <a:pPr marL="0" indent="0"/>
            <a:t>£33 048 953</a:t>
          </a:fld>
          <a:endParaRPr lang="en-US" sz="1800" b="1" i="0" u="none" strike="noStrike" baseline="0">
            <a:solidFill>
              <a:schemeClr val="accent1">
                <a:lumMod val="40000"/>
                <a:lumOff val="60000"/>
              </a:schemeClr>
            </a:solidFill>
            <a:latin typeface="Calibri"/>
            <a:ea typeface="Calibri"/>
            <a:cs typeface="Calibri"/>
          </a:endParaRPr>
        </a:p>
      </xdr:txBody>
    </xdr:sp>
    <xdr:clientData/>
  </xdr:twoCellAnchor>
  <xdr:twoCellAnchor>
    <xdr:from>
      <xdr:col>9</xdr:col>
      <xdr:colOff>130420</xdr:colOff>
      <xdr:row>17</xdr:row>
      <xdr:rowOff>86458</xdr:rowOff>
    </xdr:from>
    <xdr:to>
      <xdr:col>11</xdr:col>
      <xdr:colOff>320920</xdr:colOff>
      <xdr:row>18</xdr:row>
      <xdr:rowOff>174381</xdr:rowOff>
    </xdr:to>
    <xdr:sp macro="" textlink="'Potential Lost'!C23">
      <xdr:nvSpPr>
        <xdr:cNvPr id="43" name="TextBox 42">
          <a:extLst>
            <a:ext uri="{FF2B5EF4-FFF2-40B4-BE49-F238E27FC236}">
              <a16:creationId xmlns:a16="http://schemas.microsoft.com/office/drawing/2014/main" id="{2FD2FABD-CFD7-40F3-9946-83A65987BF91}"/>
            </a:ext>
          </a:extLst>
        </xdr:cNvPr>
        <xdr:cNvSpPr txBox="1"/>
      </xdr:nvSpPr>
      <xdr:spPr>
        <a:xfrm>
          <a:off x="7546782" y="3351234"/>
          <a:ext cx="1412328"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BCA95A4-45C5-4DF8-8308-3E3FAAC987D1}" type="TxLink">
            <a:rPr lang="en-US" sz="1800" b="1" i="0" u="none" strike="noStrike" baseline="0">
              <a:solidFill>
                <a:schemeClr val="accent6">
                  <a:lumMod val="75000"/>
                </a:schemeClr>
              </a:solidFill>
              <a:latin typeface="Calibri"/>
              <a:ea typeface="Calibri"/>
              <a:cs typeface="Calibri"/>
            </a:rPr>
            <a:pPr marL="0" indent="0"/>
            <a:t>£42 644 183</a:t>
          </a:fld>
          <a:endParaRPr lang="en-US" sz="1800" b="1" i="0" u="none" strike="noStrike" baseline="0">
            <a:solidFill>
              <a:schemeClr val="accent6">
                <a:lumMod val="75000"/>
              </a:schemeClr>
            </a:solidFill>
            <a:latin typeface="Calibri"/>
            <a:ea typeface="Calibri"/>
            <a:cs typeface="Calibri"/>
          </a:endParaRPr>
        </a:p>
      </xdr:txBody>
    </xdr:sp>
    <xdr:clientData/>
  </xdr:twoCellAnchor>
  <xdr:twoCellAnchor>
    <xdr:from>
      <xdr:col>9</xdr:col>
      <xdr:colOff>429359</xdr:colOff>
      <xdr:row>13</xdr:row>
      <xdr:rowOff>128955</xdr:rowOff>
    </xdr:from>
    <xdr:to>
      <xdr:col>12</xdr:col>
      <xdr:colOff>11725</xdr:colOff>
      <xdr:row>15</xdr:row>
      <xdr:rowOff>87922</xdr:rowOff>
    </xdr:to>
    <xdr:sp macro="" textlink="Tickets!C23">
      <xdr:nvSpPr>
        <xdr:cNvPr id="46" name="TextBox 45">
          <a:extLst>
            <a:ext uri="{FF2B5EF4-FFF2-40B4-BE49-F238E27FC236}">
              <a16:creationId xmlns:a16="http://schemas.microsoft.com/office/drawing/2014/main" id="{444BF9CF-9BD4-4CAC-A2DD-4C9E173620B5}"/>
            </a:ext>
          </a:extLst>
        </xdr:cNvPr>
        <xdr:cNvSpPr txBox="1"/>
      </xdr:nvSpPr>
      <xdr:spPr>
        <a:xfrm>
          <a:off x="7829551" y="2634763"/>
          <a:ext cx="1406770" cy="339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E88677-6F87-4A1A-B295-48F3751811AD}" type="TxLink">
            <a:rPr lang="en-US" sz="1800" b="1" i="0" u="none" strike="noStrike" baseline="0">
              <a:solidFill>
                <a:schemeClr val="accent6">
                  <a:lumMod val="75000"/>
                </a:schemeClr>
              </a:solidFill>
              <a:latin typeface="Calibri"/>
              <a:ea typeface="Calibri"/>
              <a:cs typeface="Calibri"/>
            </a:rPr>
            <a:pPr marL="0" indent="0"/>
            <a:t>£55,34</a:t>
          </a:fld>
          <a:endParaRPr lang="en-US" sz="1800" b="1" i="0" u="none" strike="noStrike" baseline="0">
            <a:solidFill>
              <a:schemeClr val="accent6">
                <a:lumMod val="75000"/>
              </a:schemeClr>
            </a:solidFill>
            <a:latin typeface="Calibri"/>
            <a:ea typeface="Calibri"/>
            <a:cs typeface="Calibri"/>
          </a:endParaRPr>
        </a:p>
      </xdr:txBody>
    </xdr:sp>
    <xdr:clientData/>
  </xdr:twoCellAnchor>
  <xdr:twoCellAnchor>
    <xdr:from>
      <xdr:col>7</xdr:col>
      <xdr:colOff>150936</xdr:colOff>
      <xdr:row>13</xdr:row>
      <xdr:rowOff>150935</xdr:rowOff>
    </xdr:from>
    <xdr:to>
      <xdr:col>9</xdr:col>
      <xdr:colOff>224206</xdr:colOff>
      <xdr:row>15</xdr:row>
      <xdr:rowOff>102577</xdr:rowOff>
    </xdr:to>
    <xdr:sp macro="" textlink="Tickets!B23">
      <xdr:nvSpPr>
        <xdr:cNvPr id="47" name="TextBox 46">
          <a:extLst>
            <a:ext uri="{FF2B5EF4-FFF2-40B4-BE49-F238E27FC236}">
              <a16:creationId xmlns:a16="http://schemas.microsoft.com/office/drawing/2014/main" id="{2679B570-69EA-45D1-AF03-1DA993BB3849}"/>
            </a:ext>
          </a:extLst>
        </xdr:cNvPr>
        <xdr:cNvSpPr txBox="1"/>
      </xdr:nvSpPr>
      <xdr:spPr>
        <a:xfrm>
          <a:off x="6217628" y="2656743"/>
          <a:ext cx="1406770" cy="332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F3E5458-A5B2-4CB1-B9ED-9E6086B9BCE1}" type="TxLink">
            <a:rPr lang="en-US" sz="1800" b="1" i="0" u="none" strike="noStrike" baseline="0">
              <a:solidFill>
                <a:schemeClr val="accent1">
                  <a:lumMod val="40000"/>
                  <a:lumOff val="60000"/>
                </a:schemeClr>
              </a:solidFill>
              <a:latin typeface="Calibri"/>
              <a:ea typeface="Calibri"/>
              <a:cs typeface="Calibri"/>
            </a:rPr>
            <a:pPr marL="0" indent="0"/>
            <a:t>£67,33</a:t>
          </a:fld>
          <a:endParaRPr lang="en-US" sz="1800" b="1" i="0" u="none" strike="noStrike" baseline="0">
            <a:solidFill>
              <a:schemeClr val="accent1">
                <a:lumMod val="40000"/>
                <a:lumOff val="60000"/>
              </a:schemeClr>
            </a:solidFill>
            <a:latin typeface="Calibri"/>
            <a:ea typeface="Calibri"/>
            <a:cs typeface="Calibri"/>
          </a:endParaRPr>
        </a:p>
      </xdr:txBody>
    </xdr:sp>
    <xdr:clientData/>
  </xdr:twoCellAnchor>
  <xdr:twoCellAnchor editAs="oneCell">
    <xdr:from>
      <xdr:col>8</xdr:col>
      <xdr:colOff>410055</xdr:colOff>
      <xdr:row>16</xdr:row>
      <xdr:rowOff>20466</xdr:rowOff>
    </xdr:from>
    <xdr:to>
      <xdr:col>8</xdr:col>
      <xdr:colOff>608378</xdr:colOff>
      <xdr:row>17</xdr:row>
      <xdr:rowOff>26276</xdr:rowOff>
    </xdr:to>
    <xdr:pic>
      <xdr:nvPicPr>
        <xdr:cNvPr id="8" name="Graphic 7" descr="Downward trend graph with solid fill">
          <a:extLst>
            <a:ext uri="{FF2B5EF4-FFF2-40B4-BE49-F238E27FC236}">
              <a16:creationId xmlns:a16="http://schemas.microsoft.com/office/drawing/2014/main" id="{BB8D61A4-E94A-D0E8-7A7E-F593EEC58D2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215503" y="3094742"/>
          <a:ext cx="198323" cy="196310"/>
        </a:xfrm>
        <a:prstGeom prst="rect">
          <a:avLst/>
        </a:prstGeom>
      </xdr:spPr>
    </xdr:pic>
    <xdr:clientData/>
  </xdr:twoCellAnchor>
  <xdr:twoCellAnchor editAs="oneCell">
    <xdr:from>
      <xdr:col>8</xdr:col>
      <xdr:colOff>388830</xdr:colOff>
      <xdr:row>8</xdr:row>
      <xdr:rowOff>124054</xdr:rowOff>
    </xdr:from>
    <xdr:to>
      <xdr:col>8</xdr:col>
      <xdr:colOff>590723</xdr:colOff>
      <xdr:row>9</xdr:row>
      <xdr:rowOff>131380</xdr:rowOff>
    </xdr:to>
    <xdr:pic>
      <xdr:nvPicPr>
        <xdr:cNvPr id="24" name="Graphic 23" descr="Bar chart with solid fill">
          <a:extLst>
            <a:ext uri="{FF2B5EF4-FFF2-40B4-BE49-F238E27FC236}">
              <a16:creationId xmlns:a16="http://schemas.microsoft.com/office/drawing/2014/main" id="{7D89CE3C-66E2-B731-C75F-35E1D2AF1A6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194278" y="1674330"/>
          <a:ext cx="201893" cy="197826"/>
        </a:xfrm>
        <a:prstGeom prst="rect">
          <a:avLst/>
        </a:prstGeom>
      </xdr:spPr>
    </xdr:pic>
    <xdr:clientData/>
  </xdr:twoCellAnchor>
  <xdr:twoCellAnchor>
    <xdr:from>
      <xdr:col>6</xdr:col>
      <xdr:colOff>462354</xdr:colOff>
      <xdr:row>10</xdr:row>
      <xdr:rowOff>10863</xdr:rowOff>
    </xdr:from>
    <xdr:to>
      <xdr:col>9</xdr:col>
      <xdr:colOff>22740</xdr:colOff>
      <xdr:row>11</xdr:row>
      <xdr:rowOff>120766</xdr:rowOff>
    </xdr:to>
    <xdr:sp macro="" textlink="NPV!B25">
      <xdr:nvSpPr>
        <xdr:cNvPr id="30" name="TextBox 29">
          <a:extLst>
            <a:ext uri="{FF2B5EF4-FFF2-40B4-BE49-F238E27FC236}">
              <a16:creationId xmlns:a16="http://schemas.microsoft.com/office/drawing/2014/main" id="{E556A687-E642-5683-F6E5-58F58E5AFFCB}"/>
            </a:ext>
          </a:extLst>
        </xdr:cNvPr>
        <xdr:cNvSpPr txBox="1"/>
      </xdr:nvSpPr>
      <xdr:spPr>
        <a:xfrm>
          <a:off x="5934302" y="1942139"/>
          <a:ext cx="1504800" cy="300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DC7B1C5-7DEF-4C07-BA1E-29FCE6340D06}" type="TxLink">
            <a:rPr lang="en-US" sz="1800" b="1" i="0" u="none" strike="noStrike" baseline="0">
              <a:solidFill>
                <a:schemeClr val="accent1">
                  <a:lumMod val="40000"/>
                  <a:lumOff val="60000"/>
                </a:schemeClr>
              </a:solidFill>
              <a:latin typeface="Calibri"/>
              <a:ea typeface="Calibri"/>
              <a:cs typeface="Calibri"/>
            </a:rPr>
            <a:pPr marL="0" indent="0"/>
            <a:t>£2 523 496 485</a:t>
          </a:fld>
          <a:endParaRPr lang="en-US" sz="1800" b="1" i="0" u="none" strike="noStrike" baseline="0">
            <a:solidFill>
              <a:schemeClr val="accent1">
                <a:lumMod val="40000"/>
                <a:lumOff val="60000"/>
              </a:schemeClr>
            </a:solidFill>
            <a:latin typeface="Calibri"/>
            <a:ea typeface="Calibri"/>
            <a:cs typeface="Calibri"/>
          </a:endParaRPr>
        </a:p>
      </xdr:txBody>
    </xdr:sp>
    <xdr:clientData/>
  </xdr:twoCellAnchor>
  <xdr:twoCellAnchor>
    <xdr:from>
      <xdr:col>9</xdr:col>
      <xdr:colOff>192015</xdr:colOff>
      <xdr:row>10</xdr:row>
      <xdr:rowOff>17432</xdr:rowOff>
    </xdr:from>
    <xdr:to>
      <xdr:col>11</xdr:col>
      <xdr:colOff>387568</xdr:colOff>
      <xdr:row>11</xdr:row>
      <xdr:rowOff>163970</xdr:rowOff>
    </xdr:to>
    <xdr:sp macro="" textlink="NPV!C25">
      <xdr:nvSpPr>
        <xdr:cNvPr id="39" name="TextBox 38">
          <a:extLst>
            <a:ext uri="{FF2B5EF4-FFF2-40B4-BE49-F238E27FC236}">
              <a16:creationId xmlns:a16="http://schemas.microsoft.com/office/drawing/2014/main" id="{67A968BD-9EBD-BF20-C647-18172CC04C80}"/>
            </a:ext>
          </a:extLst>
        </xdr:cNvPr>
        <xdr:cNvSpPr txBox="1"/>
      </xdr:nvSpPr>
      <xdr:spPr>
        <a:xfrm>
          <a:off x="7608377" y="1948708"/>
          <a:ext cx="1417381" cy="337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3A5FE3C-569D-47F6-8657-5A499A53A050}" type="TxLink">
            <a:rPr lang="en-US" sz="1800" b="1" i="0" u="none" strike="noStrike" baseline="0">
              <a:solidFill>
                <a:schemeClr val="accent6">
                  <a:lumMod val="75000"/>
                </a:schemeClr>
              </a:solidFill>
              <a:latin typeface="Calibri"/>
              <a:ea typeface="Calibri"/>
              <a:cs typeface="Calibri"/>
            </a:rPr>
            <a:pPr marL="0" indent="0"/>
            <a:t>£280 667 314</a:t>
          </a:fld>
          <a:endParaRPr lang="en-US" sz="1800" b="1" i="0" u="none" strike="noStrike" baseline="0">
            <a:solidFill>
              <a:schemeClr val="accent6">
                <a:lumMod val="75000"/>
              </a:schemeClr>
            </a:solidFill>
            <a:latin typeface="Calibri"/>
            <a:ea typeface="Calibri"/>
            <a:cs typeface="Calibri"/>
          </a:endParaRPr>
        </a:p>
      </xdr:txBody>
    </xdr:sp>
    <xdr:clientData/>
  </xdr:twoCellAnchor>
  <xdr:twoCellAnchor editAs="oneCell">
    <xdr:from>
      <xdr:col>0</xdr:col>
      <xdr:colOff>551794</xdr:colOff>
      <xdr:row>20</xdr:row>
      <xdr:rowOff>52553</xdr:rowOff>
    </xdr:from>
    <xdr:to>
      <xdr:col>11</xdr:col>
      <xdr:colOff>367862</xdr:colOff>
      <xdr:row>24</xdr:row>
      <xdr:rowOff>157655</xdr:rowOff>
    </xdr:to>
    <mc:AlternateContent xmlns:mc="http://schemas.openxmlformats.org/markup-compatibility/2006">
      <mc:Choice xmlns:a14="http://schemas.microsoft.com/office/drawing/2010/main" Requires="a14">
        <xdr:graphicFrame macro="">
          <xdr:nvGraphicFramePr>
            <xdr:cNvPr id="48" name="Years">
              <a:extLst>
                <a:ext uri="{FF2B5EF4-FFF2-40B4-BE49-F238E27FC236}">
                  <a16:creationId xmlns:a16="http://schemas.microsoft.com/office/drawing/2014/main" id="{539BBD45-4483-5082-795A-46AD7626179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551794" y="3888829"/>
              <a:ext cx="8454258" cy="867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130721</xdr:colOff>
      <xdr:row>2</xdr:row>
      <xdr:rowOff>38755</xdr:rowOff>
    </xdr:from>
    <xdr:to>
      <xdr:col>3</xdr:col>
      <xdr:colOff>105104</xdr:colOff>
      <xdr:row>4</xdr:row>
      <xdr:rowOff>137946</xdr:rowOff>
    </xdr:to>
    <xdr:sp macro="" textlink="'Data Entry'!F4">
      <xdr:nvSpPr>
        <xdr:cNvPr id="51" name="TextBox 50">
          <a:extLst>
            <a:ext uri="{FF2B5EF4-FFF2-40B4-BE49-F238E27FC236}">
              <a16:creationId xmlns:a16="http://schemas.microsoft.com/office/drawing/2014/main" id="{519A85A9-3C62-A125-4763-9B32C718B8A6}"/>
            </a:ext>
          </a:extLst>
        </xdr:cNvPr>
        <xdr:cNvSpPr txBox="1"/>
      </xdr:nvSpPr>
      <xdr:spPr>
        <a:xfrm>
          <a:off x="1352549" y="419755"/>
          <a:ext cx="585296" cy="480191"/>
        </a:xfrm>
        <a:prstGeom prst="round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8B049B1-FF53-424B-A6DF-4883E827710C}" type="TxLink">
            <a:rPr lang="en-US" sz="1200" b="1">
              <a:solidFill>
                <a:schemeClr val="accent2"/>
              </a:solidFill>
              <a:latin typeface="+mn-lt"/>
              <a:ea typeface="+mn-ea"/>
              <a:cs typeface="Aharoni" panose="02010803020104030203" pitchFamily="2" charset="-79"/>
            </a:rPr>
            <a:pPr marL="0" indent="0" algn="ctr"/>
            <a:t>3000</a:t>
          </a:fld>
          <a:endParaRPr lang="en-US" sz="1200" b="1">
            <a:solidFill>
              <a:schemeClr val="accent2"/>
            </a:solidFill>
            <a:latin typeface="+mn-lt"/>
            <a:ea typeface="+mn-ea"/>
            <a:cs typeface="Aharoni" panose="02010803020104030203" pitchFamily="2" charset="-79"/>
          </a:endParaRPr>
        </a:p>
      </xdr:txBody>
    </xdr:sp>
    <xdr:clientData/>
  </xdr:twoCellAnchor>
  <xdr:twoCellAnchor editAs="oneCell">
    <xdr:from>
      <xdr:col>2</xdr:col>
      <xdr:colOff>275897</xdr:colOff>
      <xdr:row>2</xdr:row>
      <xdr:rowOff>19707</xdr:rowOff>
    </xdr:from>
    <xdr:to>
      <xdr:col>2</xdr:col>
      <xdr:colOff>571500</xdr:colOff>
      <xdr:row>3</xdr:row>
      <xdr:rowOff>124810</xdr:rowOff>
    </xdr:to>
    <xdr:pic>
      <xdr:nvPicPr>
        <xdr:cNvPr id="50" name="Graphic 49" descr="Meeting with solid fill">
          <a:extLst>
            <a:ext uri="{FF2B5EF4-FFF2-40B4-BE49-F238E27FC236}">
              <a16:creationId xmlns:a16="http://schemas.microsoft.com/office/drawing/2014/main" id="{72A586FA-417F-3AB4-C658-1B78E335B9E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97725" y="400707"/>
          <a:ext cx="295603" cy="295603"/>
        </a:xfrm>
        <a:prstGeom prst="rect">
          <a:avLst/>
        </a:prstGeom>
      </xdr:spPr>
    </xdr:pic>
    <xdr:clientData/>
  </xdr:twoCellAnchor>
  <xdr:twoCellAnchor>
    <xdr:from>
      <xdr:col>6</xdr:col>
      <xdr:colOff>386004</xdr:colOff>
      <xdr:row>4</xdr:row>
      <xdr:rowOff>185244</xdr:rowOff>
    </xdr:from>
    <xdr:to>
      <xdr:col>9</xdr:col>
      <xdr:colOff>16725</xdr:colOff>
      <xdr:row>8</xdr:row>
      <xdr:rowOff>39414</xdr:rowOff>
    </xdr:to>
    <xdr:sp macro="" textlink="">
      <xdr:nvSpPr>
        <xdr:cNvPr id="7" name="Rectangle 6">
          <a:extLst>
            <a:ext uri="{FF2B5EF4-FFF2-40B4-BE49-F238E27FC236}">
              <a16:creationId xmlns:a16="http://schemas.microsoft.com/office/drawing/2014/main" id="{A8521268-4097-485C-AFFF-A820DB5B4F0A}"/>
            </a:ext>
          </a:extLst>
        </xdr:cNvPr>
        <xdr:cNvSpPr/>
      </xdr:nvSpPr>
      <xdr:spPr>
        <a:xfrm>
          <a:off x="5857952" y="947244"/>
          <a:ext cx="1575135" cy="642446"/>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Sum</a:t>
          </a:r>
          <a:r>
            <a:rPr lang="en-US" sz="1100" b="1" baseline="0"/>
            <a:t> of Profit</a:t>
          </a:r>
          <a:endParaRPr lang="en-US" sz="1100" b="1"/>
        </a:p>
      </xdr:txBody>
    </xdr:sp>
    <xdr:clientData/>
  </xdr:twoCellAnchor>
  <xdr:twoCellAnchor>
    <xdr:from>
      <xdr:col>9</xdr:col>
      <xdr:colOff>85145</xdr:colOff>
      <xdr:row>5</xdr:row>
      <xdr:rowOff>2626</xdr:rowOff>
    </xdr:from>
    <xdr:to>
      <xdr:col>11</xdr:col>
      <xdr:colOff>328448</xdr:colOff>
      <xdr:row>8</xdr:row>
      <xdr:rowOff>47296</xdr:rowOff>
    </xdr:to>
    <xdr:sp macro="" textlink="">
      <xdr:nvSpPr>
        <xdr:cNvPr id="11" name="Rectangle 10">
          <a:extLst>
            <a:ext uri="{FF2B5EF4-FFF2-40B4-BE49-F238E27FC236}">
              <a16:creationId xmlns:a16="http://schemas.microsoft.com/office/drawing/2014/main" id="{51699B7D-3BD1-4316-9B5E-5DDB58E6D787}"/>
            </a:ext>
          </a:extLst>
        </xdr:cNvPr>
        <xdr:cNvSpPr/>
      </xdr:nvSpPr>
      <xdr:spPr>
        <a:xfrm>
          <a:off x="7501507" y="955126"/>
          <a:ext cx="1465131" cy="642446"/>
        </a:xfrm>
        <a:prstGeom prst="rect">
          <a:avLst/>
        </a:prstGeom>
        <a:solidFill>
          <a:srgbClr val="000000">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Sum of Profit NS</a:t>
          </a:r>
        </a:p>
      </xdr:txBody>
    </xdr:sp>
    <xdr:clientData/>
  </xdr:twoCellAnchor>
  <xdr:twoCellAnchor>
    <xdr:from>
      <xdr:col>6</xdr:col>
      <xdr:colOff>411116</xdr:colOff>
      <xdr:row>6</xdr:row>
      <xdr:rowOff>84435</xdr:rowOff>
    </xdr:from>
    <xdr:to>
      <xdr:col>8</xdr:col>
      <xdr:colOff>582416</xdr:colOff>
      <xdr:row>8</xdr:row>
      <xdr:rowOff>3838</xdr:rowOff>
    </xdr:to>
    <xdr:sp macro="" textlink="Profit!B24">
      <xdr:nvSpPr>
        <xdr:cNvPr id="13" name="TextBox 12">
          <a:extLst>
            <a:ext uri="{FF2B5EF4-FFF2-40B4-BE49-F238E27FC236}">
              <a16:creationId xmlns:a16="http://schemas.microsoft.com/office/drawing/2014/main" id="{EEC5CF1B-F5EC-4364-B406-172D1D0C6BC1}"/>
            </a:ext>
          </a:extLst>
        </xdr:cNvPr>
        <xdr:cNvSpPr txBox="1"/>
      </xdr:nvSpPr>
      <xdr:spPr>
        <a:xfrm>
          <a:off x="5883064" y="1253711"/>
          <a:ext cx="1504800" cy="300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17FE22-4470-4496-AA15-343575549F9F}" type="TxLink">
            <a:rPr lang="en-US" sz="1800" b="1" i="0" u="none" strike="noStrike" baseline="0">
              <a:solidFill>
                <a:schemeClr val="accent1">
                  <a:lumMod val="40000"/>
                  <a:lumOff val="60000"/>
                </a:schemeClr>
              </a:solidFill>
              <a:latin typeface="Calibri"/>
              <a:ea typeface="Calibri"/>
              <a:cs typeface="Calibri"/>
            </a:rPr>
            <a:pPr marL="0" indent="0"/>
            <a:t>£2 733 595 231</a:t>
          </a:fld>
          <a:endParaRPr lang="en-US" sz="1800" b="1" i="0" u="none" strike="noStrike" baseline="0">
            <a:solidFill>
              <a:schemeClr val="accent1">
                <a:lumMod val="40000"/>
                <a:lumOff val="60000"/>
              </a:schemeClr>
            </a:solidFill>
            <a:latin typeface="Calibri"/>
            <a:ea typeface="Calibri"/>
            <a:cs typeface="Calibri"/>
          </a:endParaRPr>
        </a:p>
      </xdr:txBody>
    </xdr:sp>
    <xdr:clientData/>
  </xdr:twoCellAnchor>
  <xdr:twoCellAnchor>
    <xdr:from>
      <xdr:col>9</xdr:col>
      <xdr:colOff>107933</xdr:colOff>
      <xdr:row>6</xdr:row>
      <xdr:rowOff>84435</xdr:rowOff>
    </xdr:from>
    <xdr:to>
      <xdr:col>11</xdr:col>
      <xdr:colOff>303486</xdr:colOff>
      <xdr:row>8</xdr:row>
      <xdr:rowOff>40473</xdr:rowOff>
    </xdr:to>
    <xdr:sp macro="" textlink="Profit!C24">
      <xdr:nvSpPr>
        <xdr:cNvPr id="14" name="TextBox 13">
          <a:extLst>
            <a:ext uri="{FF2B5EF4-FFF2-40B4-BE49-F238E27FC236}">
              <a16:creationId xmlns:a16="http://schemas.microsoft.com/office/drawing/2014/main" id="{D20BF60A-0527-4425-966B-9CA29B02DA1A}"/>
            </a:ext>
          </a:extLst>
        </xdr:cNvPr>
        <xdr:cNvSpPr txBox="1"/>
      </xdr:nvSpPr>
      <xdr:spPr>
        <a:xfrm>
          <a:off x="7524295" y="1253711"/>
          <a:ext cx="1417381" cy="337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460C833-878B-412C-B237-E7C8BE333FA7}" type="TxLink">
            <a:rPr lang="en-US" sz="1800" b="1" i="0" u="none" strike="noStrike" baseline="0">
              <a:solidFill>
                <a:schemeClr val="accent6">
                  <a:lumMod val="75000"/>
                </a:schemeClr>
              </a:solidFill>
              <a:latin typeface="Calibri"/>
              <a:ea typeface="Calibri"/>
              <a:cs typeface="Calibri"/>
            </a:rPr>
            <a:pPr marL="0" indent="0"/>
            <a:t>£281 844 629</a:t>
          </a:fld>
          <a:endParaRPr lang="en-US" sz="1800" b="1" i="0" u="none" strike="noStrike" baseline="0">
            <a:solidFill>
              <a:schemeClr val="accent6">
                <a:lumMod val="75000"/>
              </a:schemeClr>
            </a:solidFill>
            <a:latin typeface="Calibri"/>
            <a:ea typeface="Calibri"/>
            <a:cs typeface="Calibri"/>
          </a:endParaRPr>
        </a:p>
      </xdr:txBody>
    </xdr:sp>
    <xdr:clientData/>
  </xdr:twoCellAnchor>
  <xdr:twoCellAnchor editAs="oneCell">
    <xdr:from>
      <xdr:col>8</xdr:col>
      <xdr:colOff>406570</xdr:colOff>
      <xdr:row>12</xdr:row>
      <xdr:rowOff>50330</xdr:rowOff>
    </xdr:from>
    <xdr:to>
      <xdr:col>9</xdr:col>
      <xdr:colOff>8085</xdr:colOff>
      <xdr:row>13</xdr:row>
      <xdr:rowOff>72259</xdr:rowOff>
    </xdr:to>
    <xdr:pic>
      <xdr:nvPicPr>
        <xdr:cNvPr id="20" name="Graphic 19" descr="Ticket with solid fill">
          <a:extLst>
            <a:ext uri="{FF2B5EF4-FFF2-40B4-BE49-F238E27FC236}">
              <a16:creationId xmlns:a16="http://schemas.microsoft.com/office/drawing/2014/main" id="{EC6ADF29-401C-4283-95DC-872095D0422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212018" y="2362606"/>
          <a:ext cx="212429" cy="212429"/>
        </a:xfrm>
        <a:prstGeom prst="rect">
          <a:avLst/>
        </a:prstGeom>
      </xdr:spPr>
    </xdr:pic>
    <xdr:clientData/>
  </xdr:twoCellAnchor>
  <xdr:twoCellAnchor editAs="oneCell">
    <xdr:from>
      <xdr:col>11</xdr:col>
      <xdr:colOff>86004</xdr:colOff>
      <xdr:row>12</xdr:row>
      <xdr:rowOff>51644</xdr:rowOff>
    </xdr:from>
    <xdr:to>
      <xdr:col>11</xdr:col>
      <xdr:colOff>298433</xdr:colOff>
      <xdr:row>13</xdr:row>
      <xdr:rowOff>73573</xdr:rowOff>
    </xdr:to>
    <xdr:pic>
      <xdr:nvPicPr>
        <xdr:cNvPr id="21" name="Graphic 20" descr="Ticket with solid fill">
          <a:extLst>
            <a:ext uri="{FF2B5EF4-FFF2-40B4-BE49-F238E27FC236}">
              <a16:creationId xmlns:a16="http://schemas.microsoft.com/office/drawing/2014/main" id="{475F6A56-56DA-4B54-9C76-282FCEADAA3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724194" y="2363920"/>
          <a:ext cx="212429" cy="212429"/>
        </a:xfrm>
        <a:prstGeom prst="rect">
          <a:avLst/>
        </a:prstGeom>
      </xdr:spPr>
    </xdr:pic>
    <xdr:clientData/>
  </xdr:twoCellAnchor>
  <xdr:twoCellAnchor editAs="oneCell">
    <xdr:from>
      <xdr:col>11</xdr:col>
      <xdr:colOff>114247</xdr:colOff>
      <xdr:row>8</xdr:row>
      <xdr:rowOff>118799</xdr:rowOff>
    </xdr:from>
    <xdr:to>
      <xdr:col>11</xdr:col>
      <xdr:colOff>316140</xdr:colOff>
      <xdr:row>9</xdr:row>
      <xdr:rowOff>126125</xdr:rowOff>
    </xdr:to>
    <xdr:pic>
      <xdr:nvPicPr>
        <xdr:cNvPr id="22" name="Graphic 21" descr="Bar chart with solid fill">
          <a:extLst>
            <a:ext uri="{FF2B5EF4-FFF2-40B4-BE49-F238E27FC236}">
              <a16:creationId xmlns:a16="http://schemas.microsoft.com/office/drawing/2014/main" id="{8D9E6BF2-04BE-4939-AE4B-436F00AD02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752437" y="1669075"/>
          <a:ext cx="201893" cy="197826"/>
        </a:xfrm>
        <a:prstGeom prst="rect">
          <a:avLst/>
        </a:prstGeom>
      </xdr:spPr>
    </xdr:pic>
    <xdr:clientData/>
  </xdr:twoCellAnchor>
  <xdr:twoCellAnchor editAs="oneCell">
    <xdr:from>
      <xdr:col>11</xdr:col>
      <xdr:colOff>109196</xdr:colOff>
      <xdr:row>16</xdr:row>
      <xdr:rowOff>28349</xdr:rowOff>
    </xdr:from>
    <xdr:to>
      <xdr:col>11</xdr:col>
      <xdr:colOff>307519</xdr:colOff>
      <xdr:row>17</xdr:row>
      <xdr:rowOff>34159</xdr:rowOff>
    </xdr:to>
    <xdr:pic>
      <xdr:nvPicPr>
        <xdr:cNvPr id="23" name="Graphic 22" descr="Downward trend graph with solid fill">
          <a:extLst>
            <a:ext uri="{FF2B5EF4-FFF2-40B4-BE49-F238E27FC236}">
              <a16:creationId xmlns:a16="http://schemas.microsoft.com/office/drawing/2014/main" id="{A3ED873A-517B-4FC0-8911-A4EBB2795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747386" y="3102625"/>
          <a:ext cx="198323" cy="19631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mon" refreshedDate="44941.600263541666" createdVersion="8" refreshedVersion="8" minRefreshableVersion="3" recordCount="237" xr:uid="{04D836DF-C508-44A0-BAEE-6DA96CC69549}">
  <cacheSource type="worksheet">
    <worksheetSource name="Table3"/>
  </cacheSource>
  <cacheFields count="21">
    <cacheField name="YEAR" numFmtId="14">
      <sharedItems containsSemiMixedTypes="0" containsNonDate="0" containsDate="1" containsString="0" minDate="2022-04-01T00:00:00" maxDate="2041-12-02T00:00:00" count="237">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d v="2026-10-01T00:00:00"/>
        <d v="2026-11-01T00:00:00"/>
        <d v="2026-12-01T00:00:00"/>
        <d v="2027-01-01T00:00:00"/>
        <d v="2027-02-01T00:00:00"/>
        <d v="2027-03-01T00:00:00"/>
        <d v="2027-04-01T00:00:00"/>
        <d v="2027-05-01T00:00:00"/>
        <d v="2027-06-01T00:00:00"/>
        <d v="2027-07-01T00:00:00"/>
        <d v="2027-08-01T00:00:00"/>
        <d v="2027-09-01T00:00:00"/>
        <d v="2027-10-01T00:00:00"/>
        <d v="2027-11-01T00:00:00"/>
        <d v="2027-12-01T00:00:00"/>
        <d v="2028-01-01T00:00:00"/>
        <d v="2028-02-01T00:00:00"/>
        <d v="2028-03-01T00:00:00"/>
        <d v="2028-04-01T00:00:00"/>
        <d v="2028-05-01T00:00:00"/>
        <d v="2028-06-01T00:00:00"/>
        <d v="2028-07-01T00:00:00"/>
        <d v="2028-08-01T00:00:00"/>
        <d v="2028-09-01T00:00:00"/>
        <d v="2028-10-01T00:00:00"/>
        <d v="2028-11-01T00:00:00"/>
        <d v="2028-12-01T00:00:00"/>
        <d v="2029-01-01T00:00:00"/>
        <d v="2029-02-01T00:00:00"/>
        <d v="2029-03-01T00:00:00"/>
        <d v="2029-04-01T00:00:00"/>
        <d v="2029-05-01T00:00:00"/>
        <d v="2029-06-01T00:00:00"/>
        <d v="2029-07-01T00:00:00"/>
        <d v="2029-08-01T00:00:00"/>
        <d v="2029-09-01T00:00:00"/>
        <d v="2029-10-01T00:00:00"/>
        <d v="2029-11-01T00:00:00"/>
        <d v="2029-12-01T00:00:00"/>
        <d v="2030-01-01T00:00:00"/>
        <d v="2030-02-01T00:00:00"/>
        <d v="2030-03-01T00:00:00"/>
        <d v="2030-04-01T00:00:00"/>
        <d v="2030-05-01T00:00:00"/>
        <d v="2030-06-01T00:00:00"/>
        <d v="2030-07-01T00:00:00"/>
        <d v="2030-08-01T00:00:00"/>
        <d v="2030-09-01T00:00:00"/>
        <d v="2030-10-01T00:00:00"/>
        <d v="2030-11-01T00:00:00"/>
        <d v="2030-12-01T00:00:00"/>
        <d v="2031-01-01T00:00:00"/>
        <d v="2031-02-01T00:00:00"/>
        <d v="2031-03-01T00:00:00"/>
        <d v="2031-04-01T00:00:00"/>
        <d v="2031-05-01T00:00:00"/>
        <d v="2031-06-01T00:00:00"/>
        <d v="2031-07-01T00:00:00"/>
        <d v="2031-08-01T00:00:00"/>
        <d v="2031-09-01T00:00:00"/>
        <d v="2031-10-01T00:00:00"/>
        <d v="2031-11-01T00:00:00"/>
        <d v="2031-12-01T00:00:00"/>
        <d v="2032-01-01T00:00:00"/>
        <d v="2032-02-01T00:00:00"/>
        <d v="2032-03-01T00:00:00"/>
        <d v="2032-04-01T00:00:00"/>
        <d v="2032-05-01T00:00:00"/>
        <d v="2032-06-01T00:00:00"/>
        <d v="2032-07-01T00:00:00"/>
        <d v="2032-08-01T00:00:00"/>
        <d v="2032-09-01T00:00:00"/>
        <d v="2032-10-01T00:00:00"/>
        <d v="2032-11-01T00:00:00"/>
        <d v="2032-12-01T00:00:00"/>
        <d v="2033-01-01T00:00:00"/>
        <d v="2033-02-01T00:00:00"/>
        <d v="2033-03-01T00:00:00"/>
        <d v="2033-04-01T00:00:00"/>
        <d v="2033-05-01T00:00:00"/>
        <d v="2033-06-01T00:00:00"/>
        <d v="2033-07-01T00:00:00"/>
        <d v="2033-08-01T00:00:00"/>
        <d v="2033-09-01T00:00:00"/>
        <d v="2033-10-01T00:00:00"/>
        <d v="2033-11-01T00:00:00"/>
        <d v="2033-12-01T00:00:00"/>
        <d v="2034-01-01T00:00:00"/>
        <d v="2034-02-01T00:00:00"/>
        <d v="2034-03-01T00:00:00"/>
        <d v="2034-04-01T00:00:00"/>
        <d v="2034-05-01T00:00:00"/>
        <d v="2034-06-01T00:00:00"/>
        <d v="2034-07-01T00:00:00"/>
        <d v="2034-08-01T00:00:00"/>
        <d v="2034-09-01T00:00:00"/>
        <d v="2034-10-01T00:00:00"/>
        <d v="2034-11-01T00:00:00"/>
        <d v="2034-12-01T00:00:00"/>
        <d v="2035-01-01T00:00:00"/>
        <d v="2035-02-01T00:00:00"/>
        <d v="2035-03-01T00:00:00"/>
        <d v="2035-04-01T00:00:00"/>
        <d v="2035-05-01T00:00:00"/>
        <d v="2035-06-01T00:00:00"/>
        <d v="2035-07-01T00:00:00"/>
        <d v="2035-08-01T00:00:00"/>
        <d v="2035-09-01T00:00:00"/>
        <d v="2035-10-01T00:00:00"/>
        <d v="2035-11-01T00:00:00"/>
        <d v="2035-12-01T00:00:00"/>
        <d v="2036-01-01T00:00:00"/>
        <d v="2036-02-01T00:00:00"/>
        <d v="2036-03-01T00:00:00"/>
        <d v="2036-04-01T00:00:00"/>
        <d v="2036-05-01T00:00:00"/>
        <d v="2036-06-01T00:00:00"/>
        <d v="2036-07-01T00:00:00"/>
        <d v="2036-08-01T00:00:00"/>
        <d v="2036-09-01T00:00:00"/>
        <d v="2036-10-01T00:00:00"/>
        <d v="2036-11-01T00:00:00"/>
        <d v="2036-12-01T00:00:00"/>
        <d v="2037-01-01T00:00:00"/>
        <d v="2037-02-01T00:00:00"/>
        <d v="2037-03-01T00:00:00"/>
        <d v="2037-04-01T00:00:00"/>
        <d v="2037-05-01T00:00:00"/>
        <d v="2037-06-01T00:00:00"/>
        <d v="2037-07-01T00:00:00"/>
        <d v="2037-08-01T00:00:00"/>
        <d v="2037-09-01T00:00:00"/>
        <d v="2037-10-01T00:00:00"/>
        <d v="2037-11-01T00:00:00"/>
        <d v="2037-12-01T00:00:00"/>
        <d v="2038-01-01T00:00:00"/>
        <d v="2038-02-01T00:00:00"/>
        <d v="2038-03-01T00:00:00"/>
        <d v="2038-04-01T00:00:00"/>
        <d v="2038-05-01T00:00:00"/>
        <d v="2038-06-01T00:00:00"/>
        <d v="2038-07-01T00:00:00"/>
        <d v="2038-08-01T00:00:00"/>
        <d v="2038-09-01T00:00:00"/>
        <d v="2038-10-01T00:00:00"/>
        <d v="2038-11-01T00:00:00"/>
        <d v="2038-12-01T00:00:00"/>
        <d v="2039-01-01T00:00:00"/>
        <d v="2039-02-01T00:00:00"/>
        <d v="2039-03-01T00:00:00"/>
        <d v="2039-04-01T00:00:00"/>
        <d v="2039-05-01T00:00:00"/>
        <d v="2039-06-01T00:00:00"/>
        <d v="2039-07-01T00:00:00"/>
        <d v="2039-08-01T00:00:00"/>
        <d v="2039-09-01T00:00:00"/>
        <d v="2039-10-01T00:00:00"/>
        <d v="2039-11-01T00:00:00"/>
        <d v="2039-12-01T00:00:00"/>
        <d v="2040-01-01T00:00:00"/>
        <d v="2040-02-01T00:00:00"/>
        <d v="2040-03-01T00:00:00"/>
        <d v="2040-04-01T00:00:00"/>
        <d v="2040-05-01T00:00:00"/>
        <d v="2040-06-01T00:00:00"/>
        <d v="2040-07-01T00:00:00"/>
        <d v="2040-08-01T00:00:00"/>
        <d v="2040-09-01T00:00:00"/>
        <d v="2040-10-01T00:00:00"/>
        <d v="2040-11-01T00:00:00"/>
        <d v="2040-12-01T00:00:00"/>
        <d v="2041-01-01T00:00:00"/>
        <d v="2041-02-01T00:00:00"/>
        <d v="2041-03-01T00:00:00"/>
        <d v="2041-04-01T00:00:00"/>
        <d v="2041-05-01T00:00:00"/>
        <d v="2041-06-01T00:00:00"/>
        <d v="2041-07-01T00:00:00"/>
        <d v="2041-08-01T00:00:00"/>
        <d v="2041-09-01T00:00:00"/>
        <d v="2041-10-01T00:00:00"/>
        <d v="2041-11-01T00:00:00"/>
        <d v="2041-12-01T00:00:00"/>
      </sharedItems>
      <fieldGroup par="20" base="0">
        <rangePr groupBy="months" startDate="2022-04-01T00:00:00" endDate="2041-12-02T00:00:00"/>
        <groupItems count="14">
          <s v="&lt;01/04/2022"/>
          <s v="janv"/>
          <s v="févr"/>
          <s v="mars"/>
          <s v="avr"/>
          <s v="mai"/>
          <s v="juin"/>
          <s v="juil"/>
          <s v="août"/>
          <s v="sept"/>
          <s v="oct"/>
          <s v="nov"/>
          <s v="déc"/>
          <s v="&gt;02/12/2041"/>
        </groupItems>
      </fieldGroup>
    </cacheField>
    <cacheField name="Sales Tickets" numFmtId="3">
      <sharedItems containsSemiMixedTypes="0" containsString="0" containsNumber="1" containsInteger="1" minValue="0" maxValue="30000"/>
    </cacheField>
    <cacheField name="Tickets" numFmtId="3">
      <sharedItems containsSemiMixedTypes="0" containsString="0" containsNumber="1" minValue="45" maxValue="81.945628454688688"/>
    </cacheField>
    <cacheField name="Revenue" numFmtId="3">
      <sharedItems containsSemiMixedTypes="0" containsString="0" containsNumber="1" minValue="0" maxValue="22125319.682765946"/>
    </cacheField>
    <cacheField name="Sales Forecast" numFmtId="3">
      <sharedItems containsString="0" containsBlank="1" containsNumber="1" containsInteger="1" minValue="0" maxValue="38319"/>
    </cacheField>
    <cacheField name="Revenue Forecast" numFmtId="3">
      <sharedItems containsString="0" containsBlank="1" containsNumber="1" minValue="0" maxValue="28260670.830796942"/>
    </cacheField>
    <cacheField name="Capacity" numFmtId="3">
      <sharedItems containsSemiMixedTypes="0" containsString="0" containsNumber="1" containsInteger="1" minValue="19000" maxValue="32000"/>
    </cacheField>
    <cacheField name="Seat availibility" numFmtId="3">
      <sharedItems containsString="0" containsBlank="1" containsNumber="1" containsInteger="1" minValue="-4879" maxValue="7331"/>
    </cacheField>
    <cacheField name="Potential Lost" numFmtId="3">
      <sharedItems containsString="0" containsBlank="1" containsNumber="1" minValue="0" maxValue="517814.42620517779"/>
    </cacheField>
    <cacheField name="Profit" numFmtId="3">
      <sharedItems containsSemiMixedTypes="0" containsString="0" containsNumber="1" minValue="-11505000" maxValue="22125319.682765946"/>
    </cacheField>
    <cacheField name="Ticket NS" numFmtId="3">
      <sharedItems containsSemiMixedTypes="0" containsString="0" containsNumber="1" minValue="45" maxValue="66.867632819025957"/>
    </cacheField>
    <cacheField name="Revenue NS" numFmtId="3">
      <sharedItems containsSemiMixedTypes="0" containsString="0" containsNumber="1" minValue="0" maxValue="10353420"/>
    </cacheField>
    <cacheField name="Capacity NS" numFmtId="3">
      <sharedItems containsSemiMixedTypes="0" containsString="0" containsNumber="1" containsInteger="1" minValue="29000" maxValue="29000"/>
    </cacheField>
    <cacheField name="Seat Availibility NS" numFmtId="3">
      <sharedItems containsString="0" containsBlank="1" containsNumber="1" containsInteger="1" minValue="-29000" maxValue="9319"/>
    </cacheField>
    <cacheField name="Potential lost NS" numFmtId="3">
      <sharedItems containsString="0" containsBlank="1" containsNumber="1" minValue="0" maxValue="623139.47024050285"/>
    </cacheField>
    <cacheField name="Profit NS" numFmtId="3">
      <sharedItems containsSemiMixedTypes="0" containsString="0" containsNumber="1" minValue="0" maxValue="10353420"/>
    </cacheField>
    <cacheField name="NPV Normal" numFmtId="3">
      <sharedItems containsString="0" containsBlank="1" containsNumber="1" minValue="36405619.538537733" maxValue="163338192.98197922"/>
    </cacheField>
    <cacheField name="NPV NS" numFmtId="3">
      <sharedItems containsString="0" containsBlank="1" containsNumber="1" minValue="6438200.2222792907" maxValue="34696544.975444362"/>
    </cacheField>
    <cacheField name="Payments" numFmtId="3">
      <sharedItems containsString="0" containsBlank="1" containsNumber="1" containsInteger="1" minValue="1920000" maxValue="19200000"/>
    </cacheField>
    <cacheField name="Quarters" numFmtId="0" databaseField="0">
      <fieldGroup base="0">
        <rangePr groupBy="quarters" startDate="2022-04-01T00:00:00" endDate="2041-12-02T00:00:00"/>
        <groupItems count="6">
          <s v="&lt;01/04/2022"/>
          <s v="Qtr1"/>
          <s v="Qtr2"/>
          <s v="Qtr3"/>
          <s v="Qtr4"/>
          <s v="&gt;02/12/2041"/>
        </groupItems>
      </fieldGroup>
    </cacheField>
    <cacheField name="Years" numFmtId="0" databaseField="0">
      <fieldGroup base="0">
        <rangePr groupBy="years" startDate="2022-04-01T00:00:00" endDate="2041-12-02T00:00:00"/>
        <groupItems count="22">
          <s v="&lt;01/04/2022"/>
          <s v="2022"/>
          <s v="2023"/>
          <s v="2024"/>
          <s v="2025"/>
          <s v="2026"/>
          <s v="2027"/>
          <s v="2028"/>
          <s v="2029"/>
          <s v="2030"/>
          <s v="2031"/>
          <s v="2032"/>
          <s v="2033"/>
          <s v="2034"/>
          <s v="2035"/>
          <s v="2036"/>
          <s v="2037"/>
          <s v="2038"/>
          <s v="2039"/>
          <s v="2040"/>
          <s v="2041"/>
          <s v="&gt;02/12/2041"/>
        </groupItems>
      </fieldGroup>
    </cacheField>
  </cacheFields>
  <extLst>
    <ext xmlns:x14="http://schemas.microsoft.com/office/spreadsheetml/2009/9/main" uri="{725AE2AE-9491-48be-B2B4-4EB974FC3084}">
      <x14:pivotCacheDefinition pivotCacheId="15489043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7">
  <r>
    <x v="0"/>
    <n v="25564"/>
    <n v="45"/>
    <n v="10353420"/>
    <m/>
    <m/>
    <n v="29000"/>
    <m/>
    <m/>
    <n v="10353420"/>
    <n v="45"/>
    <n v="10353420"/>
    <n v="29000"/>
    <m/>
    <m/>
    <n v="10353420"/>
    <m/>
    <m/>
    <m/>
  </r>
  <r>
    <x v="1"/>
    <n v="25564"/>
    <n v="45"/>
    <n v="10353420"/>
    <m/>
    <m/>
    <n v="29000"/>
    <m/>
    <m/>
    <n v="10353420"/>
    <n v="45"/>
    <n v="10353420"/>
    <n v="29000"/>
    <m/>
    <m/>
    <n v="10353420"/>
    <m/>
    <m/>
    <m/>
  </r>
  <r>
    <x v="2"/>
    <n v="25564"/>
    <n v="45"/>
    <n v="10353420"/>
    <m/>
    <m/>
    <n v="29000"/>
    <m/>
    <m/>
    <n v="10353420"/>
    <n v="45"/>
    <n v="10353420"/>
    <n v="29000"/>
    <m/>
    <m/>
    <n v="10353420"/>
    <m/>
    <m/>
    <m/>
  </r>
  <r>
    <x v="3"/>
    <n v="19000"/>
    <n v="45"/>
    <n v="7695000"/>
    <n v="25564"/>
    <n v="10353420"/>
    <n v="19000"/>
    <n v="6564"/>
    <n v="295380"/>
    <n v="-11505000"/>
    <n v="45"/>
    <n v="855000"/>
    <n v="29000"/>
    <n v="-3436"/>
    <n v="0"/>
    <n v="855000"/>
    <m/>
    <m/>
    <n v="19200000"/>
  </r>
  <r>
    <x v="4"/>
    <n v="19000"/>
    <n v="45"/>
    <n v="7695000"/>
    <n v="25564"/>
    <n v="10353420"/>
    <n v="19000"/>
    <n v="6564"/>
    <n v="295380"/>
    <n v="5775000"/>
    <n v="45"/>
    <n v="855000"/>
    <n v="29000"/>
    <n v="-3436"/>
    <n v="0"/>
    <n v="855000"/>
    <m/>
    <m/>
    <n v="1920000"/>
  </r>
  <r>
    <x v="5"/>
    <n v="19000"/>
    <n v="45"/>
    <n v="7695000"/>
    <n v="25564"/>
    <n v="10353420"/>
    <n v="19000"/>
    <n v="6564"/>
    <n v="295380"/>
    <n v="5775000"/>
    <n v="45"/>
    <n v="855000"/>
    <n v="29000"/>
    <n v="-3436"/>
    <n v="0"/>
    <n v="855000"/>
    <m/>
    <m/>
    <n v="1920000"/>
  </r>
  <r>
    <x v="6"/>
    <n v="19000"/>
    <n v="45"/>
    <n v="7695000"/>
    <n v="25564"/>
    <n v="10353420"/>
    <n v="19000"/>
    <n v="6564"/>
    <n v="295380"/>
    <n v="5775000"/>
    <n v="45"/>
    <n v="855000"/>
    <n v="29000"/>
    <n v="-3436"/>
    <n v="0"/>
    <n v="855000"/>
    <m/>
    <m/>
    <n v="1920000"/>
  </r>
  <r>
    <x v="7"/>
    <n v="19000"/>
    <n v="45"/>
    <n v="7695000"/>
    <n v="25564"/>
    <n v="10353420"/>
    <n v="19000"/>
    <n v="6564"/>
    <n v="295380"/>
    <n v="5775000"/>
    <n v="45"/>
    <n v="855000"/>
    <n v="29000"/>
    <n v="-3436"/>
    <n v="0"/>
    <n v="855000"/>
    <m/>
    <m/>
    <n v="1920000"/>
  </r>
  <r>
    <x v="8"/>
    <n v="0"/>
    <n v="45"/>
    <n v="0"/>
    <n v="0"/>
    <n v="0"/>
    <n v="19000"/>
    <n v="0"/>
    <n v="0"/>
    <n v="-1920000"/>
    <n v="45"/>
    <n v="0"/>
    <n v="29000"/>
    <n v="-29000"/>
    <n v="0"/>
    <n v="0"/>
    <n v="39432394.745383672"/>
    <n v="34696544.975444362"/>
    <n v="1920000"/>
  </r>
  <r>
    <x v="9"/>
    <n v="0"/>
    <n v="45.9"/>
    <n v="0"/>
    <n v="0"/>
    <n v="0"/>
    <n v="19000"/>
    <n v="0"/>
    <n v="0"/>
    <n v="-1920000"/>
    <n v="45.9"/>
    <n v="0"/>
    <n v="29000"/>
    <n v="-29000"/>
    <n v="0"/>
    <n v="0"/>
    <m/>
    <m/>
    <n v="1920000"/>
  </r>
  <r>
    <x v="10"/>
    <n v="0"/>
    <n v="45.9"/>
    <n v="0"/>
    <n v="0"/>
    <n v="0"/>
    <n v="19000"/>
    <n v="0"/>
    <n v="0"/>
    <n v="-1920000"/>
    <n v="45.9"/>
    <n v="0"/>
    <n v="29000"/>
    <n v="-29000"/>
    <n v="0"/>
    <n v="0"/>
    <m/>
    <m/>
    <n v="1920000"/>
  </r>
  <r>
    <x v="11"/>
    <n v="0"/>
    <n v="45.9"/>
    <n v="0"/>
    <n v="0"/>
    <n v="0"/>
    <n v="19000"/>
    <n v="0"/>
    <n v="0"/>
    <n v="-1920000"/>
    <n v="45.9"/>
    <n v="0"/>
    <n v="29000"/>
    <n v="-29000"/>
    <n v="0"/>
    <n v="0"/>
    <m/>
    <m/>
    <n v="1920000"/>
  </r>
  <r>
    <x v="12"/>
    <n v="19000"/>
    <n v="45.9"/>
    <n v="7848900"/>
    <n v="26331"/>
    <n v="10877336.1"/>
    <n v="19000"/>
    <n v="7331"/>
    <n v="336492.89999999997"/>
    <n v="5928900"/>
    <n v="45.9"/>
    <n v="872100"/>
    <n v="29000"/>
    <n v="-2669"/>
    <n v="0"/>
    <n v="872100"/>
    <m/>
    <m/>
    <n v="1920000"/>
  </r>
  <r>
    <x v="13"/>
    <n v="19000"/>
    <n v="45.9"/>
    <n v="7848900"/>
    <n v="26331"/>
    <n v="10877336.1"/>
    <n v="19000"/>
    <n v="7331"/>
    <n v="336492.89999999997"/>
    <n v="5928900"/>
    <n v="45.9"/>
    <n v="872100"/>
    <n v="29000"/>
    <n v="-2669"/>
    <n v="0"/>
    <n v="872100"/>
    <m/>
    <m/>
    <n v="1920000"/>
  </r>
  <r>
    <x v="14"/>
    <n v="19000"/>
    <n v="45.9"/>
    <n v="7848900"/>
    <n v="26331"/>
    <n v="10877336.1"/>
    <n v="19000"/>
    <n v="7331"/>
    <n v="336492.89999999997"/>
    <n v="5928900"/>
    <n v="45.9"/>
    <n v="872100"/>
    <n v="29000"/>
    <n v="-2669"/>
    <n v="0"/>
    <n v="872100"/>
    <m/>
    <m/>
    <n v="1920000"/>
  </r>
  <r>
    <x v="15"/>
    <n v="19000"/>
    <n v="45.9"/>
    <n v="7848900"/>
    <n v="26331"/>
    <n v="10877336.1"/>
    <n v="19000"/>
    <n v="7331"/>
    <n v="336492.89999999997"/>
    <n v="5928900"/>
    <n v="45.9"/>
    <n v="872100"/>
    <n v="29000"/>
    <n v="-2669"/>
    <n v="0"/>
    <n v="872100"/>
    <m/>
    <m/>
    <n v="1920000"/>
  </r>
  <r>
    <x v="16"/>
    <n v="19000"/>
    <n v="45.9"/>
    <n v="7848900"/>
    <n v="26331"/>
    <n v="10877336.1"/>
    <n v="19000"/>
    <n v="7331"/>
    <n v="336492.89999999997"/>
    <n v="5928900"/>
    <n v="45.9"/>
    <n v="872100"/>
    <n v="29000"/>
    <n v="-2669"/>
    <n v="0"/>
    <n v="872100"/>
    <m/>
    <m/>
    <n v="1920000"/>
  </r>
  <r>
    <x v="17"/>
    <n v="19000"/>
    <n v="45.9"/>
    <n v="7848900"/>
    <n v="26331"/>
    <n v="10877336.1"/>
    <n v="19000"/>
    <n v="7331"/>
    <n v="336492.89999999997"/>
    <n v="5928900"/>
    <n v="45.9"/>
    <n v="872100"/>
    <n v="29000"/>
    <n v="-2669"/>
    <n v="0"/>
    <n v="872100"/>
    <m/>
    <m/>
    <n v="1920000"/>
  </r>
  <r>
    <x v="18"/>
    <n v="19000"/>
    <n v="45.9"/>
    <n v="7848900"/>
    <n v="26331"/>
    <n v="10877336.1"/>
    <n v="19000"/>
    <n v="7331"/>
    <n v="336492.89999999997"/>
    <n v="5928900"/>
    <n v="45.9"/>
    <n v="872100"/>
    <n v="29000"/>
    <n v="-2669"/>
    <n v="0"/>
    <n v="872100"/>
    <m/>
    <m/>
    <n v="1920000"/>
  </r>
  <r>
    <x v="19"/>
    <n v="19000"/>
    <n v="45.9"/>
    <n v="7848900"/>
    <n v="26331"/>
    <n v="10877336.1"/>
    <n v="19000"/>
    <n v="7331"/>
    <n v="336492.89999999997"/>
    <n v="5928900"/>
    <n v="45.9"/>
    <n v="872100"/>
    <n v="29000"/>
    <n v="-2669"/>
    <n v="0"/>
    <n v="872100"/>
    <m/>
    <m/>
    <n v="1920000"/>
  </r>
  <r>
    <x v="20"/>
    <n v="0"/>
    <n v="45.9"/>
    <n v="0"/>
    <n v="0"/>
    <n v="0"/>
    <n v="19000"/>
    <n v="0"/>
    <n v="0"/>
    <n v="-1920000"/>
    <n v="45.9"/>
    <n v="0"/>
    <n v="29000"/>
    <n v="-29000"/>
    <n v="0"/>
    <n v="0"/>
    <n v="36405619.538537733"/>
    <n v="6438200.2222792907"/>
    <n v="1920000"/>
  </r>
  <r>
    <x v="21"/>
    <n v="0"/>
    <n v="46.817999999999998"/>
    <n v="0"/>
    <n v="0"/>
    <n v="0"/>
    <n v="19000"/>
    <n v="0"/>
    <n v="0"/>
    <n v="-1920000"/>
    <n v="46.817999999999998"/>
    <n v="0"/>
    <n v="29000"/>
    <n v="-29000"/>
    <n v="0"/>
    <n v="0"/>
    <m/>
    <m/>
    <n v="1920000"/>
  </r>
  <r>
    <x v="22"/>
    <n v="0"/>
    <n v="46.817999999999998"/>
    <n v="0"/>
    <n v="0"/>
    <n v="0"/>
    <n v="19000"/>
    <n v="0"/>
    <n v="0"/>
    <n v="-1920000"/>
    <n v="46.817999999999998"/>
    <n v="0"/>
    <n v="29000"/>
    <n v="-29000"/>
    <n v="0"/>
    <n v="0"/>
    <m/>
    <m/>
    <n v="1920000"/>
  </r>
  <r>
    <x v="23"/>
    <n v="0"/>
    <n v="46.817999999999998"/>
    <n v="0"/>
    <n v="0"/>
    <n v="0"/>
    <n v="19000"/>
    <n v="0"/>
    <n v="0"/>
    <n v="-1920000"/>
    <n v="46.817999999999998"/>
    <n v="0"/>
    <n v="29000"/>
    <n v="-29000"/>
    <n v="0"/>
    <n v="0"/>
    <m/>
    <m/>
    <n v="1920000"/>
  </r>
  <r>
    <x v="24"/>
    <n v="27121"/>
    <n v="58.522499999999994"/>
    <n v="14284698.502499999"/>
    <n v="27121"/>
    <n v="14284698.502499999"/>
    <n v="32000"/>
    <n v="-4879"/>
    <n v="0"/>
    <n v="7884698.5024999995"/>
    <n v="46.817999999999998"/>
    <n v="1269750.9779999999"/>
    <n v="29000"/>
    <n v="-1879"/>
    <n v="0"/>
    <n v="1269750.9779999999"/>
    <m/>
    <m/>
    <n v="6400000"/>
  </r>
  <r>
    <x v="25"/>
    <n v="27121"/>
    <n v="58.522499999999994"/>
    <n v="14284698.502499999"/>
    <n v="27121"/>
    <n v="14284698.502499999"/>
    <n v="32000"/>
    <n v="-4879"/>
    <n v="0"/>
    <n v="14284698.502499999"/>
    <n v="46.817999999999998"/>
    <n v="1269750.9779999999"/>
    <n v="29000"/>
    <n v="-1879"/>
    <n v="0"/>
    <n v="1269750.9779999999"/>
    <m/>
    <m/>
    <m/>
  </r>
  <r>
    <x v="26"/>
    <n v="27121"/>
    <n v="58.522499999999994"/>
    <n v="14284698.502499999"/>
    <n v="27121"/>
    <n v="14284698.502499999"/>
    <n v="32000"/>
    <n v="-4879"/>
    <n v="0"/>
    <n v="14284698.502499999"/>
    <n v="46.817999999999998"/>
    <n v="1269750.9779999999"/>
    <n v="29000"/>
    <n v="-1879"/>
    <n v="0"/>
    <n v="1269750.9779999999"/>
    <m/>
    <m/>
    <m/>
  </r>
  <r>
    <x v="27"/>
    <n v="27121"/>
    <n v="58.522499999999994"/>
    <n v="14284698.502499999"/>
    <n v="27121"/>
    <n v="14284698.502499999"/>
    <n v="32000"/>
    <n v="-4879"/>
    <n v="0"/>
    <n v="14284698.502499999"/>
    <n v="46.817999999999998"/>
    <n v="1269750.9779999999"/>
    <n v="29000"/>
    <n v="-1879"/>
    <n v="0"/>
    <n v="1269750.9779999999"/>
    <m/>
    <m/>
    <m/>
  </r>
  <r>
    <x v="28"/>
    <n v="27121"/>
    <n v="58.522499999999994"/>
    <n v="14284698.502499999"/>
    <n v="27121"/>
    <n v="14284698.502499999"/>
    <n v="32000"/>
    <n v="-4879"/>
    <n v="0"/>
    <n v="14284698.502499999"/>
    <n v="46.817999999999998"/>
    <n v="1269750.9779999999"/>
    <n v="29000"/>
    <n v="-1879"/>
    <n v="0"/>
    <n v="1269750.9779999999"/>
    <m/>
    <m/>
    <m/>
  </r>
  <r>
    <x v="29"/>
    <n v="27121"/>
    <n v="58.522499999999994"/>
    <n v="14284698.502499999"/>
    <n v="27121"/>
    <n v="14284698.502499999"/>
    <n v="32000"/>
    <n v="-4879"/>
    <n v="0"/>
    <n v="14284698.502499999"/>
    <n v="46.817999999999998"/>
    <n v="1269750.9779999999"/>
    <n v="29000"/>
    <n v="-1879"/>
    <n v="0"/>
    <n v="1269750.9779999999"/>
    <m/>
    <m/>
    <m/>
  </r>
  <r>
    <x v="30"/>
    <n v="27121"/>
    <n v="58.522499999999994"/>
    <n v="14284698.502499999"/>
    <n v="27121"/>
    <n v="14284698.502499999"/>
    <n v="32000"/>
    <n v="-4879"/>
    <n v="0"/>
    <n v="14284698.502499999"/>
    <n v="46.817999999999998"/>
    <n v="1269750.9779999999"/>
    <n v="29000"/>
    <n v="-1879"/>
    <n v="0"/>
    <n v="1269750.9779999999"/>
    <m/>
    <m/>
    <m/>
  </r>
  <r>
    <x v="31"/>
    <n v="27121"/>
    <n v="58.522499999999994"/>
    <n v="14284698.502499999"/>
    <n v="27121"/>
    <n v="14284698.502499999"/>
    <n v="32000"/>
    <n v="-4879"/>
    <n v="0"/>
    <n v="14284698.502499999"/>
    <n v="46.817999999999998"/>
    <n v="1269750.9779999999"/>
    <n v="29000"/>
    <n v="-1879"/>
    <n v="0"/>
    <n v="1269750.9779999999"/>
    <m/>
    <m/>
    <m/>
  </r>
  <r>
    <x v="32"/>
    <n v="0"/>
    <n v="58.522499999999994"/>
    <n v="0"/>
    <n v="0"/>
    <n v="0"/>
    <n v="32000"/>
    <n v="0"/>
    <n v="0"/>
    <n v="0"/>
    <n v="46.817999999999998"/>
    <n v="0"/>
    <n v="29000"/>
    <n v="-29000"/>
    <n v="0"/>
    <n v="0"/>
    <n v="93600449.796824038"/>
    <n v="10158007.823999999"/>
    <m/>
  </r>
  <r>
    <x v="33"/>
    <n v="0"/>
    <n v="59.692949999999996"/>
    <n v="0"/>
    <n v="0"/>
    <n v="0"/>
    <n v="32000"/>
    <n v="0"/>
    <n v="0"/>
    <n v="0"/>
    <n v="47.754359999999998"/>
    <n v="0"/>
    <n v="29000"/>
    <n v="-29000"/>
    <n v="0"/>
    <n v="0"/>
    <m/>
    <m/>
    <m/>
  </r>
  <r>
    <x v="34"/>
    <n v="0"/>
    <n v="59.692949999999996"/>
    <n v="0"/>
    <n v="0"/>
    <n v="0"/>
    <n v="32000"/>
    <n v="0"/>
    <n v="0"/>
    <n v="0"/>
    <n v="47.754359999999998"/>
    <n v="0"/>
    <n v="29000"/>
    <n v="-29000"/>
    <n v="0"/>
    <n v="0"/>
    <m/>
    <m/>
    <m/>
  </r>
  <r>
    <x v="35"/>
    <n v="0"/>
    <n v="59.692949999999996"/>
    <n v="0"/>
    <n v="0"/>
    <n v="0"/>
    <n v="32000"/>
    <n v="0"/>
    <n v="0"/>
    <n v="0"/>
    <n v="47.754359999999998"/>
    <n v="0"/>
    <n v="29000"/>
    <n v="-29000"/>
    <n v="0"/>
    <n v="0"/>
    <m/>
    <m/>
    <m/>
  </r>
  <r>
    <x v="36"/>
    <n v="27934"/>
    <n v="59.692949999999996"/>
    <n v="15007165.787699999"/>
    <n v="27934"/>
    <n v="15007165.787699999"/>
    <n v="32000"/>
    <n v="-4066"/>
    <n v="0"/>
    <n v="15007165.787699999"/>
    <n v="47.754359999999998"/>
    <n v="1333970.2922399999"/>
    <n v="29000"/>
    <n v="-1066"/>
    <n v="0"/>
    <n v="1333970.2922399999"/>
    <m/>
    <m/>
    <m/>
  </r>
  <r>
    <x v="37"/>
    <n v="27934"/>
    <n v="59.692949999999996"/>
    <n v="15007165.787699999"/>
    <n v="27934"/>
    <n v="15007165.787699999"/>
    <n v="32000"/>
    <n v="-4066"/>
    <n v="0"/>
    <n v="15007165.787699999"/>
    <n v="47.754359999999998"/>
    <n v="1333970.2922399999"/>
    <n v="29000"/>
    <n v="-1066"/>
    <n v="0"/>
    <n v="1333970.2922399999"/>
    <m/>
    <m/>
    <m/>
  </r>
  <r>
    <x v="38"/>
    <n v="27934"/>
    <n v="59.692949999999996"/>
    <n v="15007165.787699999"/>
    <n v="27934"/>
    <n v="15007165.787699999"/>
    <n v="32000"/>
    <n v="-4066"/>
    <n v="0"/>
    <n v="15007165.787699999"/>
    <n v="47.754359999999998"/>
    <n v="1333970.2922399999"/>
    <n v="29000"/>
    <n v="-1066"/>
    <n v="0"/>
    <n v="1333970.2922399999"/>
    <m/>
    <m/>
    <m/>
  </r>
  <r>
    <x v="39"/>
    <n v="27934"/>
    <n v="59.692949999999996"/>
    <n v="15007165.787699999"/>
    <n v="27934"/>
    <n v="15007165.787699999"/>
    <n v="32000"/>
    <n v="-4066"/>
    <n v="0"/>
    <n v="15007165.787699999"/>
    <n v="47.754359999999998"/>
    <n v="1333970.2922399999"/>
    <n v="29000"/>
    <n v="-1066"/>
    <n v="0"/>
    <n v="1333970.2922399999"/>
    <m/>
    <m/>
    <m/>
  </r>
  <r>
    <x v="40"/>
    <n v="27934"/>
    <n v="59.692949999999996"/>
    <n v="15007165.787699999"/>
    <n v="27934"/>
    <n v="15007165.787699999"/>
    <n v="32000"/>
    <n v="-4066"/>
    <n v="0"/>
    <n v="15007165.787699999"/>
    <n v="47.754359999999998"/>
    <n v="1333970.2922399999"/>
    <n v="29000"/>
    <n v="-1066"/>
    <n v="0"/>
    <n v="1333970.2922399999"/>
    <m/>
    <m/>
    <m/>
  </r>
  <r>
    <x v="41"/>
    <n v="27934"/>
    <n v="59.692949999999996"/>
    <n v="15007165.787699999"/>
    <n v="27934"/>
    <n v="15007165.787699999"/>
    <n v="32000"/>
    <n v="-4066"/>
    <n v="0"/>
    <n v="15007165.787699999"/>
    <n v="47.754359999999998"/>
    <n v="1333970.2922399999"/>
    <n v="29000"/>
    <n v="-1066"/>
    <n v="0"/>
    <n v="1333970.2922399999"/>
    <m/>
    <m/>
    <m/>
  </r>
  <r>
    <x v="42"/>
    <n v="27934"/>
    <n v="59.692949999999996"/>
    <n v="15007165.787699999"/>
    <n v="27934"/>
    <n v="15007165.787699999"/>
    <n v="32000"/>
    <n v="-4066"/>
    <n v="0"/>
    <n v="15007165.787699999"/>
    <n v="47.754359999999998"/>
    <n v="1333970.2922399999"/>
    <n v="29000"/>
    <n v="-1066"/>
    <n v="0"/>
    <n v="1333970.2922399999"/>
    <m/>
    <m/>
    <m/>
  </r>
  <r>
    <x v="43"/>
    <n v="27934"/>
    <n v="59.692949999999996"/>
    <n v="15007165.787699999"/>
    <n v="27934"/>
    <n v="15007165.787699999"/>
    <n v="32000"/>
    <n v="-4066"/>
    <n v="0"/>
    <n v="15007165.787699999"/>
    <n v="47.754359999999998"/>
    <n v="1333970.2922399999"/>
    <n v="29000"/>
    <n v="-1066"/>
    <n v="0"/>
    <n v="1333970.2922399999"/>
    <m/>
    <m/>
    <m/>
  </r>
  <r>
    <x v="44"/>
    <n v="0"/>
    <n v="59.692949999999996"/>
    <n v="0"/>
    <n v="0"/>
    <n v="0"/>
    <n v="32000"/>
    <n v="0"/>
    <n v="0"/>
    <n v="0"/>
    <n v="47.754359999999998"/>
    <n v="0"/>
    <n v="29000"/>
    <n v="-29000"/>
    <n v="0"/>
    <n v="0"/>
    <n v="110789058.72050488"/>
    <n v="10671762.337919997"/>
    <m/>
  </r>
  <r>
    <x v="45"/>
    <n v="0"/>
    <n v="60.886809"/>
    <n v="0"/>
    <n v="0"/>
    <n v="0"/>
    <n v="32000"/>
    <n v="0"/>
    <n v="0"/>
    <n v="0"/>
    <n v="48.7094472"/>
    <n v="0"/>
    <n v="29000"/>
    <n v="-29000"/>
    <n v="0"/>
    <n v="0"/>
    <m/>
    <m/>
    <m/>
  </r>
  <r>
    <x v="46"/>
    <n v="0"/>
    <n v="60.886809"/>
    <n v="0"/>
    <n v="0"/>
    <n v="0"/>
    <n v="32000"/>
    <n v="0"/>
    <n v="0"/>
    <n v="0"/>
    <n v="48.7094472"/>
    <n v="0"/>
    <n v="29000"/>
    <n v="-29000"/>
    <n v="0"/>
    <n v="0"/>
    <m/>
    <m/>
    <m/>
  </r>
  <r>
    <x v="47"/>
    <n v="0"/>
    <n v="60.886809"/>
    <n v="0"/>
    <n v="0"/>
    <n v="0"/>
    <n v="32000"/>
    <n v="0"/>
    <n v="0"/>
    <n v="0"/>
    <n v="48.7094472"/>
    <n v="0"/>
    <n v="29000"/>
    <n v="-29000"/>
    <n v="0"/>
    <n v="0"/>
    <m/>
    <m/>
    <m/>
  </r>
  <r>
    <x v="48"/>
    <n v="28773"/>
    <n v="60.886809"/>
    <n v="15767065.398212999"/>
    <n v="28773"/>
    <n v="15767065.398212999"/>
    <n v="32000"/>
    <n v="-3227"/>
    <n v="0"/>
    <n v="15767065.398212999"/>
    <n v="48.7094472"/>
    <n v="1401516.9242856"/>
    <n v="29000"/>
    <n v="-227"/>
    <n v="0"/>
    <n v="1401516.9242856"/>
    <m/>
    <m/>
    <m/>
  </r>
  <r>
    <x v="49"/>
    <n v="28773"/>
    <n v="60.886809"/>
    <n v="15767065.398212999"/>
    <n v="28773"/>
    <n v="15767065.398212999"/>
    <n v="32000"/>
    <n v="-3227"/>
    <n v="0"/>
    <n v="15767065.398212999"/>
    <n v="48.7094472"/>
    <n v="1401516.9242856"/>
    <n v="29000"/>
    <n v="-227"/>
    <n v="0"/>
    <n v="1401516.9242856"/>
    <m/>
    <m/>
    <m/>
  </r>
  <r>
    <x v="50"/>
    <n v="28773"/>
    <n v="60.886809"/>
    <n v="15767065.398212999"/>
    <n v="28773"/>
    <n v="15767065.398212999"/>
    <n v="32000"/>
    <n v="-3227"/>
    <n v="0"/>
    <n v="15767065.398212999"/>
    <n v="48.7094472"/>
    <n v="1401516.9242856"/>
    <n v="29000"/>
    <n v="-227"/>
    <n v="0"/>
    <n v="1401516.9242856"/>
    <m/>
    <m/>
    <m/>
  </r>
  <r>
    <x v="51"/>
    <n v="28773"/>
    <n v="60.886809"/>
    <n v="15767065.398212999"/>
    <n v="28773"/>
    <n v="15767065.398212999"/>
    <n v="32000"/>
    <n v="-3227"/>
    <n v="0"/>
    <n v="15767065.398212999"/>
    <n v="48.7094472"/>
    <n v="1401516.9242856"/>
    <n v="29000"/>
    <n v="-227"/>
    <n v="0"/>
    <n v="1401516.9242856"/>
    <m/>
    <m/>
    <m/>
  </r>
  <r>
    <x v="52"/>
    <n v="28773"/>
    <n v="60.886809"/>
    <n v="15767065.398212999"/>
    <n v="28773"/>
    <n v="15767065.398212999"/>
    <n v="32000"/>
    <n v="-3227"/>
    <n v="0"/>
    <n v="15767065.398212999"/>
    <n v="48.7094472"/>
    <n v="1401516.9242856"/>
    <n v="29000"/>
    <n v="-227"/>
    <n v="0"/>
    <n v="1401516.9242856"/>
    <m/>
    <m/>
    <m/>
  </r>
  <r>
    <x v="53"/>
    <n v="28773"/>
    <n v="60.886809"/>
    <n v="15767065.398212999"/>
    <n v="28773"/>
    <n v="15767065.398212999"/>
    <n v="32000"/>
    <n v="-3227"/>
    <n v="0"/>
    <n v="15767065.398212999"/>
    <n v="48.7094472"/>
    <n v="1401516.9242856"/>
    <n v="29000"/>
    <n v="-227"/>
    <n v="0"/>
    <n v="1401516.9242856"/>
    <m/>
    <m/>
    <m/>
  </r>
  <r>
    <x v="54"/>
    <n v="28773"/>
    <n v="60.886809"/>
    <n v="15767065.398212999"/>
    <n v="28773"/>
    <n v="15767065.398212999"/>
    <n v="32000"/>
    <n v="-3227"/>
    <n v="0"/>
    <n v="15767065.398212999"/>
    <n v="48.7094472"/>
    <n v="1401516.9242856"/>
    <n v="29000"/>
    <n v="-227"/>
    <n v="0"/>
    <n v="1401516.9242856"/>
    <m/>
    <m/>
    <m/>
  </r>
  <r>
    <x v="55"/>
    <n v="28773"/>
    <n v="60.886809"/>
    <n v="15767065.398212999"/>
    <n v="28773"/>
    <n v="15767065.398212999"/>
    <n v="32000"/>
    <n v="-3227"/>
    <n v="0"/>
    <n v="15767065.398212999"/>
    <n v="48.7094472"/>
    <n v="1401516.9242856"/>
    <n v="29000"/>
    <n v="-227"/>
    <n v="0"/>
    <n v="1401516.9242856"/>
    <m/>
    <m/>
    <m/>
  </r>
  <r>
    <x v="56"/>
    <n v="0"/>
    <n v="60.886809"/>
    <n v="0"/>
    <n v="0"/>
    <n v="0"/>
    <n v="32000"/>
    <n v="0"/>
    <n v="0"/>
    <n v="0"/>
    <n v="48.7094472"/>
    <n v="0"/>
    <n v="29000"/>
    <n v="-29000"/>
    <n v="0"/>
    <n v="0"/>
    <n v="116398949.60608536"/>
    <n v="11212135.3942848"/>
    <m/>
  </r>
  <r>
    <x v="57"/>
    <n v="0"/>
    <n v="62.104545180000002"/>
    <n v="0"/>
    <n v="0"/>
    <n v="0"/>
    <n v="32000"/>
    <n v="0"/>
    <n v="0"/>
    <n v="0"/>
    <n v="49.683636143999998"/>
    <n v="0"/>
    <n v="29000"/>
    <n v="-29000"/>
    <n v="0"/>
    <n v="0"/>
    <m/>
    <m/>
    <m/>
  </r>
  <r>
    <x v="58"/>
    <n v="0"/>
    <n v="62.104545180000002"/>
    <n v="0"/>
    <n v="0"/>
    <n v="0"/>
    <n v="32000"/>
    <n v="0"/>
    <n v="0"/>
    <n v="0"/>
    <n v="49.683636143999998"/>
    <n v="0"/>
    <n v="29000"/>
    <n v="-29000"/>
    <n v="0"/>
    <n v="0"/>
    <m/>
    <m/>
    <m/>
  </r>
  <r>
    <x v="59"/>
    <n v="0"/>
    <n v="62.104545180000002"/>
    <n v="0"/>
    <n v="0"/>
    <n v="0"/>
    <n v="32000"/>
    <n v="0"/>
    <n v="0"/>
    <n v="0"/>
    <n v="49.683636143999998"/>
    <n v="0"/>
    <n v="29000"/>
    <n v="-29000"/>
    <n v="0"/>
    <n v="0"/>
    <m/>
    <m/>
    <m/>
  </r>
  <r>
    <x v="60"/>
    <n v="26636"/>
    <n v="62.104545180000002"/>
    <n v="14887949.988730321"/>
    <n v="29636"/>
    <n v="16564772.708590319"/>
    <n v="32000"/>
    <n v="-2364"/>
    <n v="0"/>
    <n v="14887949.988730321"/>
    <n v="49.683636143999998"/>
    <n v="1323373.3323315838"/>
    <n v="29000"/>
    <n v="636"/>
    <n v="31598.792587583997"/>
    <n v="1323373.3323315838"/>
    <m/>
    <m/>
    <m/>
  </r>
  <r>
    <x v="61"/>
    <n v="26636"/>
    <n v="62.104545180000002"/>
    <n v="14887949.988730321"/>
    <n v="29636"/>
    <n v="16564772.708590319"/>
    <n v="32000"/>
    <n v="-2364"/>
    <n v="0"/>
    <n v="14887949.988730321"/>
    <n v="49.683636143999998"/>
    <n v="1323373.3323315838"/>
    <n v="29000"/>
    <n v="636"/>
    <n v="31598.792587583997"/>
    <n v="1323373.3323315838"/>
    <m/>
    <m/>
    <m/>
  </r>
  <r>
    <x v="62"/>
    <n v="26636"/>
    <n v="62.104545180000002"/>
    <n v="14887949.988730321"/>
    <n v="29636"/>
    <n v="16564772.708590319"/>
    <n v="32000"/>
    <n v="-2364"/>
    <n v="0"/>
    <n v="14887949.988730321"/>
    <n v="49.683636143999998"/>
    <n v="1323373.3323315838"/>
    <n v="29000"/>
    <n v="636"/>
    <n v="31598.792587583997"/>
    <n v="1323373.3323315838"/>
    <m/>
    <m/>
    <m/>
  </r>
  <r>
    <x v="63"/>
    <n v="26636"/>
    <n v="62.104545180000002"/>
    <n v="14887949.988730321"/>
    <n v="29636"/>
    <n v="16564772.708590319"/>
    <n v="32000"/>
    <n v="-2364"/>
    <n v="0"/>
    <n v="14887949.988730321"/>
    <n v="49.683636143999998"/>
    <n v="1323373.3323315838"/>
    <n v="29000"/>
    <n v="636"/>
    <n v="31598.792587583997"/>
    <n v="1323373.3323315838"/>
    <m/>
    <m/>
    <m/>
  </r>
  <r>
    <x v="64"/>
    <n v="26636"/>
    <n v="62.104545180000002"/>
    <n v="14887949.988730321"/>
    <n v="29636"/>
    <n v="16564772.708590319"/>
    <n v="32000"/>
    <n v="-2364"/>
    <n v="0"/>
    <n v="14887949.988730321"/>
    <n v="49.683636143999998"/>
    <n v="1323373.3323315838"/>
    <n v="29000"/>
    <n v="636"/>
    <n v="31598.792587583997"/>
    <n v="1323373.3323315838"/>
    <m/>
    <m/>
    <m/>
  </r>
  <r>
    <x v="65"/>
    <n v="26636"/>
    <n v="62.104545180000002"/>
    <n v="14887949.988730321"/>
    <n v="29636"/>
    <n v="16564772.708590319"/>
    <n v="32000"/>
    <n v="-2364"/>
    <n v="0"/>
    <n v="14887949.988730321"/>
    <n v="49.683636143999998"/>
    <n v="1323373.3323315838"/>
    <n v="29000"/>
    <n v="636"/>
    <n v="31598.792587583997"/>
    <n v="1323373.3323315838"/>
    <m/>
    <m/>
    <m/>
  </r>
  <r>
    <x v="66"/>
    <n v="26636"/>
    <n v="62.104545180000002"/>
    <n v="14887949.988730321"/>
    <n v="29636"/>
    <n v="16564772.708590319"/>
    <n v="32000"/>
    <n v="-2364"/>
    <n v="0"/>
    <n v="14887949.988730321"/>
    <n v="49.683636143999998"/>
    <n v="1323373.3323315838"/>
    <n v="29000"/>
    <n v="636"/>
    <n v="31598.792587583997"/>
    <n v="1323373.3323315838"/>
    <m/>
    <m/>
    <m/>
  </r>
  <r>
    <x v="67"/>
    <n v="26636"/>
    <n v="62.104545180000002"/>
    <n v="14887949.988730321"/>
    <n v="29636"/>
    <n v="16564772.708590319"/>
    <n v="32000"/>
    <n v="-2364"/>
    <n v="0"/>
    <n v="14887949.988730321"/>
    <n v="49.683636143999998"/>
    <n v="1323373.3323315838"/>
    <n v="29000"/>
    <n v="636"/>
    <n v="31598.792587583997"/>
    <n v="1323373.3323315838"/>
    <m/>
    <m/>
    <m/>
  </r>
  <r>
    <x v="68"/>
    <n v="0"/>
    <n v="62.104545180000002"/>
    <n v="0"/>
    <n v="0"/>
    <n v="0"/>
    <n v="32000"/>
    <n v="0"/>
    <n v="0"/>
    <n v="0"/>
    <n v="49.683636143999998"/>
    <n v="0"/>
    <n v="29000"/>
    <n v="-29000"/>
    <n v="0"/>
    <n v="0"/>
    <n v="109908958.7509764"/>
    <n v="10586986.658652671"/>
    <m/>
  </r>
  <r>
    <x v="69"/>
    <n v="0"/>
    <n v="63.346636083600004"/>
    <n v="0"/>
    <n v="0"/>
    <n v="0"/>
    <n v="32000"/>
    <n v="0"/>
    <n v="0"/>
    <n v="0"/>
    <n v="50.677308866879997"/>
    <n v="0"/>
    <n v="29000"/>
    <n v="-29000"/>
    <n v="0"/>
    <n v="0"/>
    <m/>
    <m/>
    <m/>
  </r>
  <r>
    <x v="70"/>
    <n v="0"/>
    <n v="63.346636083600004"/>
    <n v="0"/>
    <n v="0"/>
    <n v="0"/>
    <n v="32000"/>
    <n v="0"/>
    <n v="0"/>
    <n v="0"/>
    <n v="50.677308866879997"/>
    <n v="0"/>
    <n v="29000"/>
    <n v="-29000"/>
    <n v="0"/>
    <n v="0"/>
    <m/>
    <m/>
    <m/>
  </r>
  <r>
    <x v="71"/>
    <n v="0"/>
    <n v="63.346636083600004"/>
    <n v="0"/>
    <n v="0"/>
    <n v="0"/>
    <n v="32000"/>
    <n v="0"/>
    <n v="0"/>
    <n v="0"/>
    <n v="50.677308866879997"/>
    <n v="0"/>
    <n v="29000"/>
    <n v="-29000"/>
    <n v="0"/>
    <n v="0"/>
    <m/>
    <m/>
    <m/>
  </r>
  <r>
    <x v="72"/>
    <n v="30000"/>
    <n v="63.346636083600004"/>
    <n v="17103591.742572002"/>
    <n v="30525"/>
    <n v="17402904.598067012"/>
    <n v="32000"/>
    <n v="-1475"/>
    <n v="0"/>
    <n v="17103591.742572002"/>
    <n v="50.677308866879997"/>
    <n v="1520319.2660063999"/>
    <n v="29000"/>
    <n v="1525"/>
    <n v="77282.896021991997"/>
    <n v="1520319.2660063999"/>
    <m/>
    <m/>
    <m/>
  </r>
  <r>
    <x v="73"/>
    <n v="30000"/>
    <n v="63.346636083600004"/>
    <n v="17103591.742572002"/>
    <n v="30525"/>
    <n v="17402904.598067012"/>
    <n v="32000"/>
    <n v="-1475"/>
    <n v="0"/>
    <n v="17103591.742572002"/>
    <n v="50.677308866879997"/>
    <n v="1520319.2660063999"/>
    <n v="29000"/>
    <n v="1525"/>
    <n v="77282.896021991997"/>
    <n v="1520319.2660063999"/>
    <m/>
    <m/>
    <m/>
  </r>
  <r>
    <x v="74"/>
    <n v="30000"/>
    <n v="63.346636083600004"/>
    <n v="17103591.742572002"/>
    <n v="30525"/>
    <n v="17402904.598067012"/>
    <n v="32000"/>
    <n v="-1475"/>
    <n v="0"/>
    <n v="17103591.742572002"/>
    <n v="50.677308866879997"/>
    <n v="1520319.2660063999"/>
    <n v="29000"/>
    <n v="1525"/>
    <n v="77282.896021991997"/>
    <n v="1520319.2660063999"/>
    <m/>
    <m/>
    <m/>
  </r>
  <r>
    <x v="75"/>
    <n v="30000"/>
    <n v="63.346636083600004"/>
    <n v="17103591.742572002"/>
    <n v="30525"/>
    <n v="17402904.598067012"/>
    <n v="32000"/>
    <n v="-1475"/>
    <n v="0"/>
    <n v="17103591.742572002"/>
    <n v="50.677308866879997"/>
    <n v="1520319.2660063999"/>
    <n v="29000"/>
    <n v="1525"/>
    <n v="77282.896021991997"/>
    <n v="1520319.2660063999"/>
    <m/>
    <m/>
    <m/>
  </r>
  <r>
    <x v="76"/>
    <n v="30000"/>
    <n v="63.346636083600004"/>
    <n v="17103591.742572002"/>
    <n v="30525"/>
    <n v="17402904.598067012"/>
    <n v="32000"/>
    <n v="-1475"/>
    <n v="0"/>
    <n v="17103591.742572002"/>
    <n v="50.677308866879997"/>
    <n v="1520319.2660063999"/>
    <n v="29000"/>
    <n v="1525"/>
    <n v="77282.896021991997"/>
    <n v="1520319.2660063999"/>
    <m/>
    <m/>
    <m/>
  </r>
  <r>
    <x v="77"/>
    <n v="30000"/>
    <n v="63.346636083600004"/>
    <n v="17103591.742572002"/>
    <n v="30525"/>
    <n v="17402904.598067012"/>
    <n v="32000"/>
    <n v="-1475"/>
    <n v="0"/>
    <n v="17103591.742572002"/>
    <n v="50.677308866879997"/>
    <n v="1520319.2660063999"/>
    <n v="29000"/>
    <n v="1525"/>
    <n v="77282.896021991997"/>
    <n v="1520319.2660063999"/>
    <m/>
    <m/>
    <m/>
  </r>
  <r>
    <x v="78"/>
    <n v="30000"/>
    <n v="63.346636083600004"/>
    <n v="17103591.742572002"/>
    <n v="30525"/>
    <n v="17402904.598067012"/>
    <n v="32000"/>
    <n v="-1475"/>
    <n v="0"/>
    <n v="17103591.742572002"/>
    <n v="50.677308866879997"/>
    <n v="1520319.2660063999"/>
    <n v="29000"/>
    <n v="1525"/>
    <n v="77282.896021991997"/>
    <n v="1520319.2660063999"/>
    <m/>
    <m/>
    <m/>
  </r>
  <r>
    <x v="79"/>
    <n v="30000"/>
    <n v="63.346636083600004"/>
    <n v="17103591.742572002"/>
    <n v="30525"/>
    <n v="17402904.598067012"/>
    <n v="32000"/>
    <n v="-1475"/>
    <n v="0"/>
    <n v="17103591.742572002"/>
    <n v="50.677308866879997"/>
    <n v="1520319.2660063999"/>
    <n v="29000"/>
    <n v="1525"/>
    <n v="77282.896021991997"/>
    <n v="1520319.2660063999"/>
    <m/>
    <m/>
    <m/>
  </r>
  <r>
    <x v="80"/>
    <n v="0"/>
    <n v="63.346636083600004"/>
    <n v="0"/>
    <n v="0"/>
    <n v="0"/>
    <n v="32000"/>
    <n v="0"/>
    <n v="0"/>
    <n v="0"/>
    <n v="50.677308866879997"/>
    <n v="0"/>
    <n v="29000"/>
    <n v="-29000"/>
    <n v="0"/>
    <n v="0"/>
    <n v="126265735.76287274"/>
    <n v="12162554.128051199"/>
    <m/>
  </r>
  <r>
    <x v="81"/>
    <n v="0"/>
    <n v="64.61356880527201"/>
    <n v="0"/>
    <n v="0"/>
    <n v="0"/>
    <n v="32000"/>
    <n v="0"/>
    <n v="0"/>
    <n v="0"/>
    <n v="51.690855044217599"/>
    <n v="0"/>
    <n v="29000"/>
    <n v="-29000"/>
    <n v="0"/>
    <n v="0"/>
    <m/>
    <m/>
    <m/>
  </r>
  <r>
    <x v="82"/>
    <n v="0"/>
    <n v="64.61356880527201"/>
    <n v="0"/>
    <n v="0"/>
    <n v="0"/>
    <n v="32000"/>
    <n v="0"/>
    <n v="0"/>
    <n v="0"/>
    <n v="51.690855044217599"/>
    <n v="0"/>
    <n v="29000"/>
    <n v="-29000"/>
    <n v="0"/>
    <n v="0"/>
    <m/>
    <m/>
    <m/>
  </r>
  <r>
    <x v="83"/>
    <n v="0"/>
    <n v="64.61356880527201"/>
    <n v="0"/>
    <n v="0"/>
    <n v="0"/>
    <n v="32000"/>
    <n v="0"/>
    <n v="0"/>
    <n v="0"/>
    <n v="51.690855044217599"/>
    <n v="0"/>
    <n v="29000"/>
    <n v="-29000"/>
    <n v="0"/>
    <n v="0"/>
    <m/>
    <m/>
    <m/>
  </r>
  <r>
    <x v="84"/>
    <n v="30000"/>
    <n v="64.61356880527201"/>
    <n v="17445663.577423442"/>
    <n v="31440"/>
    <n v="18283055.429139771"/>
    <n v="32000"/>
    <n v="-560"/>
    <n v="0"/>
    <n v="17445663.577423442"/>
    <n v="51.690855044217599"/>
    <n v="1550725.6513265281"/>
    <n v="29000"/>
    <n v="2440"/>
    <n v="126125.68630789094"/>
    <n v="1550725.6513265281"/>
    <m/>
    <m/>
    <m/>
  </r>
  <r>
    <x v="85"/>
    <n v="30000"/>
    <n v="64.61356880527201"/>
    <n v="17445663.577423442"/>
    <n v="31440"/>
    <n v="18283055.429139771"/>
    <n v="32000"/>
    <n v="-560"/>
    <n v="0"/>
    <n v="17445663.577423442"/>
    <n v="51.690855044217599"/>
    <n v="1550725.6513265281"/>
    <n v="29000"/>
    <n v="2440"/>
    <n v="126125.68630789094"/>
    <n v="1550725.6513265281"/>
    <m/>
    <m/>
    <m/>
  </r>
  <r>
    <x v="86"/>
    <n v="30000"/>
    <n v="64.61356880527201"/>
    <n v="17445663.577423442"/>
    <n v="31440"/>
    <n v="18283055.429139771"/>
    <n v="32000"/>
    <n v="-560"/>
    <n v="0"/>
    <n v="17445663.577423442"/>
    <n v="51.690855044217599"/>
    <n v="1550725.6513265281"/>
    <n v="29000"/>
    <n v="2440"/>
    <n v="126125.68630789094"/>
    <n v="1550725.6513265281"/>
    <m/>
    <m/>
    <m/>
  </r>
  <r>
    <x v="87"/>
    <n v="30000"/>
    <n v="64.61356880527201"/>
    <n v="17445663.577423442"/>
    <n v="31440"/>
    <n v="18283055.429139771"/>
    <n v="32000"/>
    <n v="-560"/>
    <n v="0"/>
    <n v="17445663.577423442"/>
    <n v="51.690855044217599"/>
    <n v="1550725.6513265281"/>
    <n v="29000"/>
    <n v="2440"/>
    <n v="126125.68630789094"/>
    <n v="1550725.6513265281"/>
    <m/>
    <m/>
    <m/>
  </r>
  <r>
    <x v="88"/>
    <n v="30000"/>
    <n v="64.61356880527201"/>
    <n v="17445663.577423442"/>
    <n v="31440"/>
    <n v="18283055.429139771"/>
    <n v="32000"/>
    <n v="-560"/>
    <n v="0"/>
    <n v="17445663.577423442"/>
    <n v="51.690855044217599"/>
    <n v="1550725.6513265281"/>
    <n v="29000"/>
    <n v="2440"/>
    <n v="126125.68630789094"/>
    <n v="1550725.6513265281"/>
    <m/>
    <m/>
    <m/>
  </r>
  <r>
    <x v="89"/>
    <n v="30000"/>
    <n v="64.61356880527201"/>
    <n v="17445663.577423442"/>
    <n v="31440"/>
    <n v="18283055.429139771"/>
    <n v="32000"/>
    <n v="-560"/>
    <n v="0"/>
    <n v="17445663.577423442"/>
    <n v="51.690855044217599"/>
    <n v="1550725.6513265281"/>
    <n v="29000"/>
    <n v="2440"/>
    <n v="126125.68630789094"/>
    <n v="1550725.6513265281"/>
    <m/>
    <m/>
    <m/>
  </r>
  <r>
    <x v="90"/>
    <n v="30000"/>
    <n v="64.61356880527201"/>
    <n v="17445663.577423442"/>
    <n v="31440"/>
    <n v="18283055.429139771"/>
    <n v="32000"/>
    <n v="-560"/>
    <n v="0"/>
    <n v="17445663.577423442"/>
    <n v="51.690855044217599"/>
    <n v="1550725.6513265281"/>
    <n v="29000"/>
    <n v="2440"/>
    <n v="126125.68630789094"/>
    <n v="1550725.6513265281"/>
    <m/>
    <m/>
    <m/>
  </r>
  <r>
    <x v="91"/>
    <n v="30000"/>
    <n v="64.61356880527201"/>
    <n v="17445663.577423442"/>
    <n v="31440"/>
    <n v="18283055.429139771"/>
    <n v="32000"/>
    <n v="-560"/>
    <n v="0"/>
    <n v="17445663.577423442"/>
    <n v="51.690855044217599"/>
    <n v="1550725.6513265281"/>
    <n v="29000"/>
    <n v="2440"/>
    <n v="126125.68630789094"/>
    <n v="1550725.6513265281"/>
    <m/>
    <m/>
    <m/>
  </r>
  <r>
    <x v="92"/>
    <n v="0"/>
    <n v="64.61356880527201"/>
    <n v="0"/>
    <n v="0"/>
    <n v="0"/>
    <n v="32000"/>
    <n v="0"/>
    <n v="0"/>
    <n v="0"/>
    <n v="51.690855044217599"/>
    <n v="0"/>
    <n v="29000"/>
    <n v="-29000"/>
    <n v="0"/>
    <n v="0"/>
    <n v="128791050.47813022"/>
    <n v="12405805.210612224"/>
    <m/>
  </r>
  <r>
    <x v="93"/>
    <n v="0"/>
    <n v="65.905840181377457"/>
    <n v="0"/>
    <n v="0"/>
    <n v="0"/>
    <n v="32000"/>
    <n v="0"/>
    <n v="0"/>
    <n v="0"/>
    <n v="52.724672145101955"/>
    <n v="0"/>
    <n v="29000"/>
    <n v="-29000"/>
    <n v="0"/>
    <n v="0"/>
    <m/>
    <m/>
    <m/>
  </r>
  <r>
    <x v="94"/>
    <n v="0"/>
    <n v="65.905840181377457"/>
    <n v="0"/>
    <n v="0"/>
    <n v="0"/>
    <n v="32000"/>
    <n v="0"/>
    <n v="0"/>
    <n v="0"/>
    <n v="52.724672145101955"/>
    <n v="0"/>
    <n v="29000"/>
    <n v="-29000"/>
    <n v="0"/>
    <n v="0"/>
    <m/>
    <m/>
    <m/>
  </r>
  <r>
    <x v="95"/>
    <n v="0"/>
    <n v="65.905840181377457"/>
    <n v="0"/>
    <n v="0"/>
    <n v="0"/>
    <n v="32000"/>
    <n v="0"/>
    <n v="0"/>
    <n v="0"/>
    <n v="52.724672145101955"/>
    <n v="0"/>
    <n v="29000"/>
    <n v="-29000"/>
    <n v="0"/>
    <n v="0"/>
    <m/>
    <m/>
    <m/>
  </r>
  <r>
    <x v="96"/>
    <n v="30000"/>
    <n v="65.905840181377457"/>
    <n v="17794576.848971914"/>
    <n v="32384"/>
    <n v="19208652.55590355"/>
    <n v="32000"/>
    <n v="384"/>
    <n v="25307.842629648942"/>
    <n v="17794576.848971914"/>
    <n v="52.724672145101955"/>
    <n v="1581740.1643530587"/>
    <n v="29000"/>
    <n v="3384"/>
    <n v="178420.29053902501"/>
    <n v="1581740.1643530587"/>
    <m/>
    <m/>
    <m/>
  </r>
  <r>
    <x v="97"/>
    <n v="30000"/>
    <n v="65.905840181377457"/>
    <n v="17794576.848971914"/>
    <n v="32384"/>
    <n v="19208652.55590355"/>
    <n v="32000"/>
    <n v="384"/>
    <n v="25307.842629648942"/>
    <n v="17794576.848971914"/>
    <n v="52.724672145101955"/>
    <n v="1581740.1643530587"/>
    <n v="29000"/>
    <n v="3384"/>
    <n v="178420.29053902501"/>
    <n v="1581740.1643530587"/>
    <m/>
    <m/>
    <m/>
  </r>
  <r>
    <x v="98"/>
    <n v="30000"/>
    <n v="65.905840181377457"/>
    <n v="17794576.848971914"/>
    <n v="32384"/>
    <n v="19208652.55590355"/>
    <n v="32000"/>
    <n v="384"/>
    <n v="25307.842629648942"/>
    <n v="17794576.848971914"/>
    <n v="52.724672145101955"/>
    <n v="1581740.1643530587"/>
    <n v="29000"/>
    <n v="3384"/>
    <n v="178420.29053902501"/>
    <n v="1581740.1643530587"/>
    <m/>
    <m/>
    <m/>
  </r>
  <r>
    <x v="99"/>
    <n v="30000"/>
    <n v="65.905840181377457"/>
    <n v="17794576.848971914"/>
    <n v="32384"/>
    <n v="19208652.55590355"/>
    <n v="32000"/>
    <n v="384"/>
    <n v="25307.842629648942"/>
    <n v="17794576.848971914"/>
    <n v="52.724672145101955"/>
    <n v="1581740.1643530587"/>
    <n v="29000"/>
    <n v="3384"/>
    <n v="178420.29053902501"/>
    <n v="1581740.1643530587"/>
    <m/>
    <m/>
    <m/>
  </r>
  <r>
    <x v="100"/>
    <n v="30000"/>
    <n v="65.905840181377457"/>
    <n v="17794576.848971914"/>
    <n v="32384"/>
    <n v="19208652.55590355"/>
    <n v="32000"/>
    <n v="384"/>
    <n v="25307.842629648942"/>
    <n v="17794576.848971914"/>
    <n v="52.724672145101955"/>
    <n v="1581740.1643530587"/>
    <n v="29000"/>
    <n v="3384"/>
    <n v="178420.29053902501"/>
    <n v="1581740.1643530587"/>
    <m/>
    <m/>
    <m/>
  </r>
  <r>
    <x v="101"/>
    <n v="30000"/>
    <n v="65.905840181377457"/>
    <n v="17794576.848971914"/>
    <n v="32384"/>
    <n v="19208652.55590355"/>
    <n v="32000"/>
    <n v="384"/>
    <n v="25307.842629648942"/>
    <n v="17794576.848971914"/>
    <n v="52.724672145101955"/>
    <n v="1581740.1643530587"/>
    <n v="29000"/>
    <n v="3384"/>
    <n v="178420.29053902501"/>
    <n v="1581740.1643530587"/>
    <m/>
    <m/>
    <m/>
  </r>
  <r>
    <x v="102"/>
    <n v="30000"/>
    <n v="65.905840181377457"/>
    <n v="17794576.848971914"/>
    <n v="32384"/>
    <n v="19208652.55590355"/>
    <n v="32000"/>
    <n v="384"/>
    <n v="25307.842629648942"/>
    <n v="17794576.848971914"/>
    <n v="52.724672145101955"/>
    <n v="1581740.1643530587"/>
    <n v="29000"/>
    <n v="3384"/>
    <n v="178420.29053902501"/>
    <n v="1581740.1643530587"/>
    <m/>
    <m/>
    <m/>
  </r>
  <r>
    <x v="103"/>
    <n v="30000"/>
    <n v="65.905840181377457"/>
    <n v="17794576.848971914"/>
    <n v="32384"/>
    <n v="19208652.55590355"/>
    <n v="32000"/>
    <n v="384"/>
    <n v="25307.842629648942"/>
    <n v="17794576.848971914"/>
    <n v="52.724672145101955"/>
    <n v="1581740.1643530587"/>
    <n v="29000"/>
    <n v="3384"/>
    <n v="178420.29053902501"/>
    <n v="1581740.1643530587"/>
    <m/>
    <m/>
    <m/>
  </r>
  <r>
    <x v="104"/>
    <n v="0"/>
    <n v="65.905840181377457"/>
    <n v="0"/>
    <n v="0"/>
    <n v="0"/>
    <n v="32000"/>
    <n v="0"/>
    <n v="0"/>
    <n v="0"/>
    <n v="52.724672145101955"/>
    <n v="0"/>
    <n v="29000"/>
    <n v="-29000"/>
    <n v="0"/>
    <n v="0"/>
    <n v="131366871.48769283"/>
    <n v="12653921.314824469"/>
    <m/>
  </r>
  <r>
    <x v="105"/>
    <n v="0"/>
    <n v="67.223956985005003"/>
    <n v="0"/>
    <n v="0"/>
    <n v="0"/>
    <n v="32000"/>
    <n v="0"/>
    <n v="0"/>
    <n v="0"/>
    <n v="53.779165588003998"/>
    <n v="0"/>
    <n v="29000"/>
    <n v="-29000"/>
    <n v="0"/>
    <n v="0"/>
    <m/>
    <m/>
    <m/>
  </r>
  <r>
    <x v="106"/>
    <n v="0"/>
    <n v="67.223956985005003"/>
    <n v="0"/>
    <n v="0"/>
    <n v="0"/>
    <n v="32000"/>
    <n v="0"/>
    <n v="0"/>
    <n v="0"/>
    <n v="53.779165588003998"/>
    <n v="0"/>
    <n v="29000"/>
    <n v="-29000"/>
    <n v="0"/>
    <n v="0"/>
    <m/>
    <m/>
    <m/>
  </r>
  <r>
    <x v="107"/>
    <n v="0"/>
    <n v="67.223956985005003"/>
    <n v="0"/>
    <n v="0"/>
    <n v="0"/>
    <n v="32000"/>
    <n v="0"/>
    <n v="0"/>
    <n v="0"/>
    <n v="53.779165588003998"/>
    <n v="0"/>
    <n v="29000"/>
    <n v="-29000"/>
    <n v="0"/>
    <n v="0"/>
    <m/>
    <m/>
    <m/>
  </r>
  <r>
    <x v="108"/>
    <n v="30000"/>
    <n v="67.223956985005003"/>
    <n v="18150468.385951351"/>
    <n v="33355"/>
    <n v="20180295.767113578"/>
    <n v="32000"/>
    <n v="1355"/>
    <n v="91088.461714681776"/>
    <n v="18150468.385951351"/>
    <n v="53.779165588003998"/>
    <n v="1613374.9676401198"/>
    <n v="29000"/>
    <n v="4355"/>
    <n v="234208.26613575741"/>
    <n v="1613374.9676401198"/>
    <m/>
    <m/>
    <m/>
  </r>
  <r>
    <x v="109"/>
    <n v="30000"/>
    <n v="67.223956985005003"/>
    <n v="18150468.385951351"/>
    <n v="33355"/>
    <n v="20180295.767113578"/>
    <n v="32000"/>
    <n v="1355"/>
    <n v="91088.461714681776"/>
    <n v="18150468.385951351"/>
    <n v="53.779165588003998"/>
    <n v="1613374.9676401198"/>
    <n v="29000"/>
    <n v="4355"/>
    <n v="234208.26613575741"/>
    <n v="1613374.9676401198"/>
    <m/>
    <m/>
    <m/>
  </r>
  <r>
    <x v="110"/>
    <n v="30000"/>
    <n v="67.223956985005003"/>
    <n v="18150468.385951351"/>
    <n v="33355"/>
    <n v="20180295.767113578"/>
    <n v="32000"/>
    <n v="1355"/>
    <n v="91088.461714681776"/>
    <n v="18150468.385951351"/>
    <n v="53.779165588003998"/>
    <n v="1613374.9676401198"/>
    <n v="29000"/>
    <n v="4355"/>
    <n v="234208.26613575741"/>
    <n v="1613374.9676401198"/>
    <m/>
    <m/>
    <m/>
  </r>
  <r>
    <x v="111"/>
    <n v="30000"/>
    <n v="67.223956985005003"/>
    <n v="18150468.385951351"/>
    <n v="33355"/>
    <n v="20180295.767113578"/>
    <n v="32000"/>
    <n v="1355"/>
    <n v="91088.461714681776"/>
    <n v="18150468.385951351"/>
    <n v="53.779165588003998"/>
    <n v="1613374.9676401198"/>
    <n v="29000"/>
    <n v="4355"/>
    <n v="234208.26613575741"/>
    <n v="1613374.9676401198"/>
    <m/>
    <m/>
    <m/>
  </r>
  <r>
    <x v="112"/>
    <n v="30000"/>
    <n v="67.223956985005003"/>
    <n v="18150468.385951351"/>
    <n v="33355"/>
    <n v="20180295.767113578"/>
    <n v="32000"/>
    <n v="1355"/>
    <n v="91088.461714681776"/>
    <n v="18150468.385951351"/>
    <n v="53.779165588003998"/>
    <n v="1613374.9676401198"/>
    <n v="29000"/>
    <n v="4355"/>
    <n v="234208.26613575741"/>
    <n v="1613374.9676401198"/>
    <m/>
    <m/>
    <m/>
  </r>
  <r>
    <x v="113"/>
    <n v="30000"/>
    <n v="67.223956985005003"/>
    <n v="18150468.385951351"/>
    <n v="33355"/>
    <n v="20180295.767113578"/>
    <n v="32000"/>
    <n v="1355"/>
    <n v="91088.461714681776"/>
    <n v="18150468.385951351"/>
    <n v="53.779165588003998"/>
    <n v="1613374.9676401198"/>
    <n v="29000"/>
    <n v="4355"/>
    <n v="234208.26613575741"/>
    <n v="1613374.9676401198"/>
    <m/>
    <m/>
    <m/>
  </r>
  <r>
    <x v="114"/>
    <n v="30000"/>
    <n v="67.223956985005003"/>
    <n v="18150468.385951351"/>
    <n v="33355"/>
    <n v="20180295.767113578"/>
    <n v="32000"/>
    <n v="1355"/>
    <n v="91088.461714681776"/>
    <n v="18150468.385951351"/>
    <n v="53.779165588003998"/>
    <n v="1613374.9676401198"/>
    <n v="29000"/>
    <n v="4355"/>
    <n v="234208.26613575741"/>
    <n v="1613374.9676401198"/>
    <m/>
    <m/>
    <m/>
  </r>
  <r>
    <x v="115"/>
    <n v="30000"/>
    <n v="67.223956985005003"/>
    <n v="18150468.385951351"/>
    <n v="33355"/>
    <n v="20180295.767113578"/>
    <n v="32000"/>
    <n v="1355"/>
    <n v="91088.461714681776"/>
    <n v="18150468.385951351"/>
    <n v="53.779165588003998"/>
    <n v="1613374.9676401198"/>
    <n v="29000"/>
    <n v="4355"/>
    <n v="234208.26613575741"/>
    <n v="1613374.9676401198"/>
    <m/>
    <m/>
    <m/>
  </r>
  <r>
    <x v="116"/>
    <n v="0"/>
    <n v="67.223956985005003"/>
    <n v="0"/>
    <n v="0"/>
    <n v="0"/>
    <n v="32000"/>
    <n v="0"/>
    <n v="0"/>
    <n v="0"/>
    <n v="53.779165588003998"/>
    <n v="0"/>
    <n v="29000"/>
    <n v="-29000"/>
    <n v="0"/>
    <n v="0"/>
    <n v="133994208.91744667"/>
    <n v="12906999.741120961"/>
    <m/>
  </r>
  <r>
    <x v="117"/>
    <n v="0"/>
    <n v="68.568436124705102"/>
    <n v="0"/>
    <n v="0"/>
    <n v="0"/>
    <n v="32000"/>
    <n v="0"/>
    <n v="0"/>
    <n v="0"/>
    <n v="54.854748899764083"/>
    <n v="0"/>
    <n v="29000"/>
    <n v="-29000"/>
    <n v="0"/>
    <n v="0"/>
    <m/>
    <m/>
    <m/>
  </r>
  <r>
    <x v="118"/>
    <n v="0"/>
    <n v="68.568436124705102"/>
    <n v="0"/>
    <n v="0"/>
    <n v="0"/>
    <n v="32000"/>
    <n v="0"/>
    <n v="0"/>
    <n v="0"/>
    <n v="54.854748899764083"/>
    <n v="0"/>
    <n v="29000"/>
    <n v="-29000"/>
    <n v="0"/>
    <n v="0"/>
    <m/>
    <m/>
    <m/>
  </r>
  <r>
    <x v="119"/>
    <n v="0"/>
    <n v="68.568436124705102"/>
    <n v="0"/>
    <n v="0"/>
    <n v="0"/>
    <n v="32000"/>
    <n v="0"/>
    <n v="0"/>
    <n v="0"/>
    <n v="54.854748899764083"/>
    <n v="0"/>
    <n v="29000"/>
    <n v="-29000"/>
    <n v="0"/>
    <n v="0"/>
    <m/>
    <m/>
    <m/>
  </r>
  <r>
    <x v="120"/>
    <n v="30000"/>
    <n v="68.568436124705102"/>
    <n v="18513477.75367038"/>
    <n v="34356"/>
    <n v="21201634.723503318"/>
    <n v="32000"/>
    <n v="2356"/>
    <n v="161547.23550980521"/>
    <n v="18513477.75367038"/>
    <n v="54.854748899764083"/>
    <n v="1645642.4669929226"/>
    <n v="29000"/>
    <n v="5356"/>
    <n v="293802.03510713641"/>
    <n v="1645642.4669929226"/>
    <m/>
    <m/>
    <m/>
  </r>
  <r>
    <x v="121"/>
    <n v="30000"/>
    <n v="68.568436124705102"/>
    <n v="18513477.75367038"/>
    <n v="34356"/>
    <n v="21201634.723503318"/>
    <n v="32000"/>
    <n v="2356"/>
    <n v="161547.23550980521"/>
    <n v="18513477.75367038"/>
    <n v="54.854748899764083"/>
    <n v="1645642.4669929226"/>
    <n v="29000"/>
    <n v="5356"/>
    <n v="293802.03510713641"/>
    <n v="1645642.4669929226"/>
    <m/>
    <m/>
    <m/>
  </r>
  <r>
    <x v="122"/>
    <n v="30000"/>
    <n v="68.568436124705102"/>
    <n v="18513477.75367038"/>
    <n v="34356"/>
    <n v="21201634.723503318"/>
    <n v="32000"/>
    <n v="2356"/>
    <n v="161547.23550980521"/>
    <n v="18513477.75367038"/>
    <n v="54.854748899764083"/>
    <n v="1645642.4669929226"/>
    <n v="29000"/>
    <n v="5356"/>
    <n v="293802.03510713641"/>
    <n v="1645642.4669929226"/>
    <m/>
    <m/>
    <m/>
  </r>
  <r>
    <x v="123"/>
    <n v="30000"/>
    <n v="68.568436124705102"/>
    <n v="18513477.75367038"/>
    <n v="34356"/>
    <n v="21201634.723503318"/>
    <n v="32000"/>
    <n v="2356"/>
    <n v="161547.23550980521"/>
    <n v="18513477.75367038"/>
    <n v="54.854748899764083"/>
    <n v="1645642.4669929226"/>
    <n v="29000"/>
    <n v="5356"/>
    <n v="293802.03510713641"/>
    <n v="1645642.4669929226"/>
    <m/>
    <m/>
    <m/>
  </r>
  <r>
    <x v="124"/>
    <n v="30000"/>
    <n v="68.568436124705102"/>
    <n v="18513477.75367038"/>
    <n v="34356"/>
    <n v="21201634.723503318"/>
    <n v="32000"/>
    <n v="2356"/>
    <n v="161547.23550980521"/>
    <n v="18513477.75367038"/>
    <n v="54.854748899764083"/>
    <n v="1645642.4669929226"/>
    <n v="29000"/>
    <n v="5356"/>
    <n v="293802.03510713641"/>
    <n v="1645642.4669929226"/>
    <m/>
    <m/>
    <m/>
  </r>
  <r>
    <x v="125"/>
    <n v="30000"/>
    <n v="68.568436124705102"/>
    <n v="18513477.75367038"/>
    <n v="34356"/>
    <n v="21201634.723503318"/>
    <n v="32000"/>
    <n v="2356"/>
    <n v="161547.23550980521"/>
    <n v="18513477.75367038"/>
    <n v="54.854748899764083"/>
    <n v="1645642.4669929226"/>
    <n v="29000"/>
    <n v="5356"/>
    <n v="293802.03510713641"/>
    <n v="1645642.4669929226"/>
    <m/>
    <m/>
    <m/>
  </r>
  <r>
    <x v="126"/>
    <n v="30000"/>
    <n v="68.568436124705102"/>
    <n v="18513477.75367038"/>
    <n v="34356"/>
    <n v="21201634.723503318"/>
    <n v="32000"/>
    <n v="2356"/>
    <n v="161547.23550980521"/>
    <n v="18513477.75367038"/>
    <n v="54.854748899764083"/>
    <n v="1645642.4669929226"/>
    <n v="29000"/>
    <n v="5356"/>
    <n v="293802.03510713641"/>
    <n v="1645642.4669929226"/>
    <m/>
    <m/>
    <m/>
  </r>
  <r>
    <x v="127"/>
    <n v="30000"/>
    <n v="68.568436124705102"/>
    <n v="18513477.75367038"/>
    <n v="34356"/>
    <n v="21201634.723503318"/>
    <n v="32000"/>
    <n v="2356"/>
    <n v="161547.23550980521"/>
    <n v="18513477.75367038"/>
    <n v="54.854748899764083"/>
    <n v="1645642.4669929226"/>
    <n v="29000"/>
    <n v="5356"/>
    <n v="293802.03510713641"/>
    <n v="1645642.4669929226"/>
    <m/>
    <m/>
    <m/>
  </r>
  <r>
    <x v="128"/>
    <n v="0"/>
    <n v="68.568436124705102"/>
    <n v="0"/>
    <n v="0"/>
    <n v="0"/>
    <n v="32000"/>
    <n v="0"/>
    <n v="0"/>
    <n v="0"/>
    <n v="54.854748899764083"/>
    <n v="0"/>
    <n v="29000"/>
    <n v="-29000"/>
    <n v="0"/>
    <n v="0"/>
    <n v="136674093.0957956"/>
    <n v="13165139.735943379"/>
    <m/>
  </r>
  <r>
    <x v="129"/>
    <n v="0"/>
    <n v="69.939804847199198"/>
    <n v="0"/>
    <n v="0"/>
    <n v="0"/>
    <n v="32000"/>
    <n v="0"/>
    <n v="0"/>
    <n v="0"/>
    <n v="55.951843877759366"/>
    <n v="0"/>
    <n v="29000"/>
    <n v="-29000"/>
    <n v="0"/>
    <n v="0"/>
    <m/>
    <m/>
    <m/>
  </r>
  <r>
    <x v="130"/>
    <n v="0"/>
    <n v="69.939804847199198"/>
    <n v="0"/>
    <n v="0"/>
    <n v="0"/>
    <n v="32000"/>
    <n v="0"/>
    <n v="0"/>
    <n v="0"/>
    <n v="57.070880755314555"/>
    <n v="0"/>
    <n v="29000"/>
    <n v="-29000"/>
    <n v="0"/>
    <n v="0"/>
    <m/>
    <m/>
    <m/>
  </r>
  <r>
    <x v="131"/>
    <n v="0"/>
    <n v="69.939804847199198"/>
    <n v="0"/>
    <n v="0"/>
    <n v="0"/>
    <n v="32000"/>
    <n v="0"/>
    <n v="0"/>
    <n v="0"/>
    <n v="57.070880755314555"/>
    <n v="0"/>
    <n v="29000"/>
    <n v="-29000"/>
    <n v="0"/>
    <n v="0"/>
    <m/>
    <m/>
    <m/>
  </r>
  <r>
    <x v="132"/>
    <n v="30000"/>
    <n v="69.939804847199198"/>
    <n v="18883747.308743786"/>
    <n v="35387"/>
    <n v="22274638.867150541"/>
    <n v="32000"/>
    <n v="3387"/>
    <n v="236886.11901746367"/>
    <n v="18883747.308743786"/>
    <n v="57.070880755314555"/>
    <n v="1712126.4226594367"/>
    <n v="29000"/>
    <n v="6387"/>
    <n v="364511.71538419405"/>
    <n v="1712126.4226594367"/>
    <m/>
    <m/>
    <m/>
  </r>
  <r>
    <x v="133"/>
    <n v="30000"/>
    <n v="69.939804847199198"/>
    <n v="18883747.308743786"/>
    <n v="35387"/>
    <n v="22274638.867150541"/>
    <n v="32000"/>
    <n v="3387"/>
    <n v="236886.11901746367"/>
    <n v="18883747.308743786"/>
    <n v="57.070880755314555"/>
    <n v="1712126.4226594367"/>
    <n v="29000"/>
    <n v="6387"/>
    <n v="364511.71538419405"/>
    <n v="1712126.4226594367"/>
    <m/>
    <m/>
    <m/>
  </r>
  <r>
    <x v="134"/>
    <n v="30000"/>
    <n v="69.939804847199198"/>
    <n v="18883747.308743786"/>
    <n v="35387"/>
    <n v="22274638.867150541"/>
    <n v="32000"/>
    <n v="3387"/>
    <n v="236886.11901746367"/>
    <n v="18883747.308743786"/>
    <n v="57.070880755314555"/>
    <n v="1712126.4226594367"/>
    <n v="29000"/>
    <n v="6387"/>
    <n v="364511.71538419405"/>
    <n v="1712126.4226594367"/>
    <m/>
    <m/>
    <m/>
  </r>
  <r>
    <x v="135"/>
    <n v="30000"/>
    <n v="69.939804847199198"/>
    <n v="18883747.308743786"/>
    <n v="35387"/>
    <n v="22274638.867150541"/>
    <n v="32000"/>
    <n v="3387"/>
    <n v="236886.11901746367"/>
    <n v="18883747.308743786"/>
    <n v="57.070880755314555"/>
    <n v="1712126.4226594367"/>
    <n v="29000"/>
    <n v="6387"/>
    <n v="364511.71538419405"/>
    <n v="1712126.4226594367"/>
    <m/>
    <m/>
    <m/>
  </r>
  <r>
    <x v="136"/>
    <n v="30000"/>
    <n v="69.939804847199198"/>
    <n v="18883747.308743786"/>
    <n v="35387"/>
    <n v="22274638.867150541"/>
    <n v="32000"/>
    <n v="3387"/>
    <n v="236886.11901746367"/>
    <n v="18883747.308743786"/>
    <n v="57.070880755314555"/>
    <n v="1712126.4226594367"/>
    <n v="29000"/>
    <n v="6387"/>
    <n v="364511.71538419405"/>
    <n v="1712126.4226594367"/>
    <m/>
    <m/>
    <m/>
  </r>
  <r>
    <x v="137"/>
    <n v="30000"/>
    <n v="69.939804847199198"/>
    <n v="18883747.308743786"/>
    <n v="35387"/>
    <n v="22274638.867150541"/>
    <n v="32000"/>
    <n v="3387"/>
    <n v="236886.11901746367"/>
    <n v="18883747.308743786"/>
    <n v="57.070880755314555"/>
    <n v="1712126.4226594367"/>
    <n v="29000"/>
    <n v="6387"/>
    <n v="364511.71538419405"/>
    <n v="1712126.4226594367"/>
    <m/>
    <m/>
    <m/>
  </r>
  <r>
    <x v="138"/>
    <n v="30000"/>
    <n v="69.939804847199198"/>
    <n v="18883747.308743786"/>
    <n v="35387"/>
    <n v="22274638.867150541"/>
    <n v="32000"/>
    <n v="3387"/>
    <n v="236886.11901746367"/>
    <n v="18883747.308743786"/>
    <n v="57.070880755314555"/>
    <n v="1712126.4226594367"/>
    <n v="29000"/>
    <n v="6387"/>
    <n v="364511.71538419405"/>
    <n v="1712126.4226594367"/>
    <m/>
    <m/>
    <m/>
  </r>
  <r>
    <x v="139"/>
    <n v="30000"/>
    <n v="69.939804847199198"/>
    <n v="18883747.308743786"/>
    <n v="35387"/>
    <n v="22274638.867150541"/>
    <n v="32000"/>
    <n v="3387"/>
    <n v="236886.11901746367"/>
    <n v="18883747.308743786"/>
    <n v="57.070880755314555"/>
    <n v="1712126.4226594367"/>
    <n v="29000"/>
    <n v="6387"/>
    <n v="364511.71538419405"/>
    <n v="1712126.4226594367"/>
    <m/>
    <m/>
    <m/>
  </r>
  <r>
    <x v="140"/>
    <n v="0"/>
    <n v="69.939804847199198"/>
    <n v="0"/>
    <n v="0"/>
    <n v="0"/>
    <n v="32000"/>
    <n v="0"/>
    <n v="0"/>
    <n v="0"/>
    <n v="57.070880755314555"/>
    <n v="0"/>
    <n v="29000"/>
    <n v="-29000"/>
    <n v="0"/>
    <n v="0"/>
    <n v="139407574.95771152"/>
    <n v="13697011.381275492"/>
    <m/>
  </r>
  <r>
    <x v="141"/>
    <n v="0"/>
    <n v="71.338600944143181"/>
    <n v="0"/>
    <n v="0"/>
    <n v="0"/>
    <n v="32000"/>
    <n v="0"/>
    <n v="0"/>
    <n v="0"/>
    <n v="58.212298370420847"/>
    <n v="0"/>
    <n v="29000"/>
    <n v="-29000"/>
    <n v="0"/>
    <n v="0"/>
    <m/>
    <m/>
    <m/>
  </r>
  <r>
    <x v="142"/>
    <n v="0"/>
    <n v="71.338600944143181"/>
    <n v="0"/>
    <n v="0"/>
    <n v="0"/>
    <n v="32000"/>
    <n v="0"/>
    <n v="0"/>
    <n v="0"/>
    <n v="58.212298370420847"/>
    <n v="0"/>
    <n v="29000"/>
    <n v="-29000"/>
    <n v="0"/>
    <n v="0"/>
    <m/>
    <m/>
    <m/>
  </r>
  <r>
    <x v="143"/>
    <n v="0"/>
    <n v="71.338600944143181"/>
    <n v="0"/>
    <n v="0"/>
    <n v="0"/>
    <n v="32000"/>
    <n v="0"/>
    <n v="0"/>
    <n v="0"/>
    <n v="58.212298370420847"/>
    <n v="0"/>
    <n v="29000"/>
    <n v="-29000"/>
    <n v="0"/>
    <n v="0"/>
    <m/>
    <m/>
    <m/>
  </r>
  <r>
    <x v="144"/>
    <n v="30000"/>
    <n v="71.338600944143181"/>
    <n v="19261422.254918657"/>
    <n v="35740"/>
    <n v="22946774.379693098"/>
    <n v="32000"/>
    <n v="3740"/>
    <n v="266806.36753109552"/>
    <n v="19261422.254918657"/>
    <n v="58.212298370420847"/>
    <n v="1746368.9511126254"/>
    <n v="29000"/>
    <n v="6740"/>
    <n v="392350.89101663651"/>
    <n v="1746368.9511126254"/>
    <m/>
    <m/>
    <m/>
  </r>
  <r>
    <x v="145"/>
    <n v="30000"/>
    <n v="71.338600944143181"/>
    <n v="19261422.254918657"/>
    <n v="35740"/>
    <n v="22946774.379693098"/>
    <n v="32000"/>
    <n v="3740"/>
    <n v="266806.36753109552"/>
    <n v="19261422.254918657"/>
    <n v="58.212298370420847"/>
    <n v="1746368.9511126254"/>
    <n v="29000"/>
    <n v="6740"/>
    <n v="392350.89101663651"/>
    <n v="1746368.9511126254"/>
    <m/>
    <m/>
    <m/>
  </r>
  <r>
    <x v="146"/>
    <n v="30000"/>
    <n v="71.338600944143181"/>
    <n v="19261422.254918657"/>
    <n v="35740"/>
    <n v="22946774.379693098"/>
    <n v="32000"/>
    <n v="3740"/>
    <n v="266806.36753109552"/>
    <n v="19261422.254918657"/>
    <n v="58.212298370420847"/>
    <n v="1746368.9511126254"/>
    <n v="29000"/>
    <n v="6740"/>
    <n v="392350.89101663651"/>
    <n v="1746368.9511126254"/>
    <m/>
    <m/>
    <m/>
  </r>
  <r>
    <x v="147"/>
    <n v="30000"/>
    <n v="71.338600944143181"/>
    <n v="19261422.254918657"/>
    <n v="35740"/>
    <n v="22946774.379693098"/>
    <n v="32000"/>
    <n v="3740"/>
    <n v="266806.36753109552"/>
    <n v="19261422.254918657"/>
    <n v="58.212298370420847"/>
    <n v="1746368.9511126254"/>
    <n v="29000"/>
    <n v="6740"/>
    <n v="392350.89101663651"/>
    <n v="1746368.9511126254"/>
    <m/>
    <m/>
    <m/>
  </r>
  <r>
    <x v="148"/>
    <n v="30000"/>
    <n v="71.338600944143181"/>
    <n v="19261422.254918657"/>
    <n v="35740"/>
    <n v="22946774.379693098"/>
    <n v="32000"/>
    <n v="3740"/>
    <n v="266806.36753109552"/>
    <n v="19261422.254918657"/>
    <n v="58.212298370420847"/>
    <n v="1746368.9511126254"/>
    <n v="29000"/>
    <n v="6740"/>
    <n v="392350.89101663651"/>
    <n v="1746368.9511126254"/>
    <m/>
    <m/>
    <m/>
  </r>
  <r>
    <x v="149"/>
    <n v="30000"/>
    <n v="71.338600944143181"/>
    <n v="19261422.254918657"/>
    <n v="35740"/>
    <n v="22946774.379693098"/>
    <n v="32000"/>
    <n v="3740"/>
    <n v="266806.36753109552"/>
    <n v="19261422.254918657"/>
    <n v="58.212298370420847"/>
    <n v="1746368.9511126254"/>
    <n v="29000"/>
    <n v="6740"/>
    <n v="392350.89101663651"/>
    <n v="1746368.9511126254"/>
    <m/>
    <m/>
    <m/>
  </r>
  <r>
    <x v="150"/>
    <n v="30000"/>
    <n v="71.338600944143181"/>
    <n v="19261422.254918657"/>
    <n v="35740"/>
    <n v="22946774.379693098"/>
    <n v="32000"/>
    <n v="3740"/>
    <n v="266806.36753109552"/>
    <n v="19261422.254918657"/>
    <n v="58.212298370420847"/>
    <n v="1746368.9511126254"/>
    <n v="29000"/>
    <n v="6740"/>
    <n v="392350.89101663651"/>
    <n v="1746368.9511126254"/>
    <m/>
    <m/>
    <m/>
  </r>
  <r>
    <x v="151"/>
    <n v="30000"/>
    <n v="71.338600944143181"/>
    <n v="19261422.254918657"/>
    <n v="35740"/>
    <n v="22946774.379693098"/>
    <n v="32000"/>
    <n v="3740"/>
    <n v="266806.36753109552"/>
    <n v="19261422.254918657"/>
    <n v="58.212298370420847"/>
    <n v="1746368.9511126254"/>
    <n v="29000"/>
    <n v="6740"/>
    <n v="392350.89101663651"/>
    <n v="1746368.9511126254"/>
    <m/>
    <m/>
    <m/>
  </r>
  <r>
    <x v="152"/>
    <n v="0"/>
    <n v="71.338600944143181"/>
    <n v="0"/>
    <n v="0"/>
    <n v="0"/>
    <n v="32000"/>
    <n v="0"/>
    <n v="0"/>
    <n v="0"/>
    <n v="58.212298370420847"/>
    <n v="0"/>
    <n v="29000"/>
    <n v="-29000"/>
    <n v="0"/>
    <n v="0"/>
    <n v="142195726.4568657"/>
    <n v="13970951.608901005"/>
    <m/>
  </r>
  <r>
    <x v="153"/>
    <n v="0"/>
    <n v="72.765372963026053"/>
    <n v="0"/>
    <n v="0"/>
    <n v="0"/>
    <n v="32000"/>
    <n v="0"/>
    <n v="0"/>
    <n v="0"/>
    <n v="59.376544337829266"/>
    <n v="0"/>
    <n v="29000"/>
    <n v="-29000"/>
    <n v="0"/>
    <n v="0"/>
    <m/>
    <m/>
    <m/>
  </r>
  <r>
    <x v="154"/>
    <n v="0"/>
    <n v="72.765372963026053"/>
    <n v="0"/>
    <n v="0"/>
    <n v="0"/>
    <n v="32000"/>
    <n v="0"/>
    <n v="0"/>
    <n v="0"/>
    <n v="59.376544337829266"/>
    <n v="0"/>
    <n v="29000"/>
    <n v="-29000"/>
    <n v="0"/>
    <n v="0"/>
    <m/>
    <m/>
    <m/>
  </r>
  <r>
    <x v="155"/>
    <n v="0"/>
    <n v="72.765372963026053"/>
    <n v="0"/>
    <n v="0"/>
    <n v="0"/>
    <n v="32000"/>
    <n v="0"/>
    <n v="0"/>
    <n v="0"/>
    <n v="59.376544337829266"/>
    <n v="0"/>
    <n v="29000"/>
    <n v="-29000"/>
    <n v="0"/>
    <n v="0"/>
    <m/>
    <m/>
    <m/>
  </r>
  <r>
    <x v="156"/>
    <n v="30000"/>
    <n v="72.765372963026053"/>
    <n v="19646650.700017035"/>
    <n v="36098"/>
    <n v="23640159.89897383"/>
    <n v="32000"/>
    <n v="4098"/>
    <n v="298192.49840248079"/>
    <n v="19646650.700017035"/>
    <n v="59.376544337829266"/>
    <n v="1781296.3301348779"/>
    <n v="29000"/>
    <n v="7098"/>
    <n v="421454.71170991211"/>
    <n v="1781296.3301348779"/>
    <m/>
    <m/>
    <m/>
  </r>
  <r>
    <x v="157"/>
    <n v="30000"/>
    <n v="72.765372963026053"/>
    <n v="19646650.700017035"/>
    <n v="36098"/>
    <n v="23640159.89897383"/>
    <n v="32000"/>
    <n v="4098"/>
    <n v="298192.49840248079"/>
    <n v="19646650.700017035"/>
    <n v="59.376544337829266"/>
    <n v="1781296.3301348779"/>
    <n v="29000"/>
    <n v="7098"/>
    <n v="421454.71170991211"/>
    <n v="1781296.3301348779"/>
    <m/>
    <m/>
    <m/>
  </r>
  <r>
    <x v="158"/>
    <n v="30000"/>
    <n v="72.765372963026053"/>
    <n v="19646650.700017035"/>
    <n v="36098"/>
    <n v="23640159.89897383"/>
    <n v="32000"/>
    <n v="4098"/>
    <n v="298192.49840248079"/>
    <n v="19646650.700017035"/>
    <n v="59.376544337829266"/>
    <n v="1781296.3301348779"/>
    <n v="29000"/>
    <n v="7098"/>
    <n v="421454.71170991211"/>
    <n v="1781296.3301348779"/>
    <m/>
    <m/>
    <m/>
  </r>
  <r>
    <x v="159"/>
    <n v="30000"/>
    <n v="72.765372963026053"/>
    <n v="19646650.700017035"/>
    <n v="36098"/>
    <n v="23640159.89897383"/>
    <n v="32000"/>
    <n v="4098"/>
    <n v="298192.49840248079"/>
    <n v="19646650.700017035"/>
    <n v="59.376544337829266"/>
    <n v="1781296.3301348779"/>
    <n v="29000"/>
    <n v="7098"/>
    <n v="421454.71170991211"/>
    <n v="1781296.3301348779"/>
    <m/>
    <m/>
    <m/>
  </r>
  <r>
    <x v="160"/>
    <n v="30000"/>
    <n v="72.765372963026053"/>
    <n v="19646650.700017035"/>
    <n v="36098"/>
    <n v="23640159.89897383"/>
    <n v="32000"/>
    <n v="4098"/>
    <n v="298192.49840248079"/>
    <n v="19646650.700017035"/>
    <n v="59.376544337829266"/>
    <n v="1781296.3301348779"/>
    <n v="29000"/>
    <n v="7098"/>
    <n v="421454.71170991211"/>
    <n v="1781296.3301348779"/>
    <m/>
    <m/>
    <m/>
  </r>
  <r>
    <x v="161"/>
    <n v="30000"/>
    <n v="72.765372963026053"/>
    <n v="19646650.700017035"/>
    <n v="36098"/>
    <n v="23640159.89897383"/>
    <n v="32000"/>
    <n v="4098"/>
    <n v="298192.49840248079"/>
    <n v="19646650.700017035"/>
    <n v="59.376544337829266"/>
    <n v="1781296.3301348779"/>
    <n v="29000"/>
    <n v="7098"/>
    <n v="421454.71170991211"/>
    <n v="1781296.3301348779"/>
    <m/>
    <m/>
    <m/>
  </r>
  <r>
    <x v="162"/>
    <n v="30000"/>
    <n v="72.765372963026053"/>
    <n v="19646650.700017035"/>
    <n v="36098"/>
    <n v="23640159.89897383"/>
    <n v="32000"/>
    <n v="4098"/>
    <n v="298192.49840248079"/>
    <n v="19646650.700017035"/>
    <n v="59.376544337829266"/>
    <n v="1781296.3301348779"/>
    <n v="29000"/>
    <n v="7098"/>
    <n v="421454.71170991211"/>
    <n v="1781296.3301348779"/>
    <m/>
    <m/>
    <m/>
  </r>
  <r>
    <x v="163"/>
    <n v="30000"/>
    <n v="72.765372963026053"/>
    <n v="19646650.700017035"/>
    <n v="36098"/>
    <n v="23640159.89897383"/>
    <n v="32000"/>
    <n v="4098"/>
    <n v="298192.49840248079"/>
    <n v="19646650.700017035"/>
    <n v="59.376544337829266"/>
    <n v="1781296.3301348779"/>
    <n v="29000"/>
    <n v="7098"/>
    <n v="421454.71170991211"/>
    <n v="1781296.3301348779"/>
    <m/>
    <m/>
    <m/>
  </r>
  <r>
    <x v="164"/>
    <n v="0"/>
    <n v="72.765372963026053"/>
    <n v="0"/>
    <n v="0"/>
    <n v="0"/>
    <n v="32000"/>
    <n v="0"/>
    <n v="0"/>
    <n v="0"/>
    <n v="59.376544337829266"/>
    <n v="0"/>
    <n v="29000"/>
    <n v="-29000"/>
    <n v="0"/>
    <n v="0"/>
    <n v="145039640.98600307"/>
    <n v="14250370.641079023"/>
    <m/>
  </r>
  <r>
    <x v="165"/>
    <n v="0"/>
    <n v="74.220680422286577"/>
    <n v="0"/>
    <n v="0"/>
    <n v="0"/>
    <n v="32000"/>
    <n v="0"/>
    <n v="0"/>
    <n v="0"/>
    <n v="60.564075224585849"/>
    <n v="0"/>
    <n v="29000"/>
    <n v="-29000"/>
    <n v="0"/>
    <n v="0"/>
    <m/>
    <m/>
    <m/>
  </r>
  <r>
    <x v="166"/>
    <n v="0"/>
    <n v="74.220680422286577"/>
    <n v="0"/>
    <n v="0"/>
    <n v="0"/>
    <n v="32000"/>
    <n v="0"/>
    <n v="0"/>
    <n v="0"/>
    <n v="60.564075224585849"/>
    <n v="0"/>
    <n v="29000"/>
    <n v="-29000"/>
    <n v="0"/>
    <n v="0"/>
    <m/>
    <m/>
    <m/>
  </r>
  <r>
    <x v="167"/>
    <n v="0"/>
    <n v="74.220680422286577"/>
    <n v="0"/>
    <n v="0"/>
    <n v="0"/>
    <n v="32000"/>
    <n v="0"/>
    <n v="0"/>
    <n v="0"/>
    <n v="60.564075224585849"/>
    <n v="0"/>
    <n v="29000"/>
    <n v="-29000"/>
    <n v="0"/>
    <n v="0"/>
    <m/>
    <m/>
    <m/>
  </r>
  <r>
    <x v="168"/>
    <n v="30000"/>
    <n v="74.220680422286577"/>
    <n v="20039583.714017376"/>
    <n v="36459"/>
    <n v="24354106.087645318"/>
    <n v="32000"/>
    <n v="4459"/>
    <n v="330950.01400297583"/>
    <n v="20039583.714017376"/>
    <n v="60.564075224585849"/>
    <n v="1816922.2567375754"/>
    <n v="29000"/>
    <n v="7459"/>
    <n v="451747.43710018584"/>
    <n v="1816922.2567375754"/>
    <m/>
    <m/>
    <m/>
  </r>
  <r>
    <x v="169"/>
    <n v="30000"/>
    <n v="74.220680422286577"/>
    <n v="20039583.714017376"/>
    <n v="36459"/>
    <n v="24354106.087645318"/>
    <n v="32000"/>
    <n v="4459"/>
    <n v="330950.01400297583"/>
    <n v="20039583.714017376"/>
    <n v="60.564075224585849"/>
    <n v="1816922.2567375754"/>
    <n v="29000"/>
    <n v="7459"/>
    <n v="451747.43710018584"/>
    <n v="1816922.2567375754"/>
    <m/>
    <m/>
    <m/>
  </r>
  <r>
    <x v="170"/>
    <n v="30000"/>
    <n v="74.220680422286577"/>
    <n v="20039583.714017376"/>
    <n v="36459"/>
    <n v="24354106.087645318"/>
    <n v="32000"/>
    <n v="4459"/>
    <n v="330950.01400297583"/>
    <n v="20039583.714017376"/>
    <n v="60.564075224585849"/>
    <n v="1816922.2567375754"/>
    <n v="29000"/>
    <n v="7459"/>
    <n v="451747.43710018584"/>
    <n v="1816922.2567375754"/>
    <m/>
    <m/>
    <m/>
  </r>
  <r>
    <x v="171"/>
    <n v="30000"/>
    <n v="74.220680422286577"/>
    <n v="20039583.714017376"/>
    <n v="36459"/>
    <n v="24354106.087645318"/>
    <n v="32000"/>
    <n v="4459"/>
    <n v="330950.01400297583"/>
    <n v="20039583.714017376"/>
    <n v="60.564075224585849"/>
    <n v="1816922.2567375754"/>
    <n v="29000"/>
    <n v="7459"/>
    <n v="451747.43710018584"/>
    <n v="1816922.2567375754"/>
    <m/>
    <m/>
    <m/>
  </r>
  <r>
    <x v="172"/>
    <n v="30000"/>
    <n v="74.220680422286577"/>
    <n v="20039583.714017376"/>
    <n v="36459"/>
    <n v="24354106.087645318"/>
    <n v="32000"/>
    <n v="4459"/>
    <n v="330950.01400297583"/>
    <n v="20039583.714017376"/>
    <n v="60.564075224585849"/>
    <n v="1816922.2567375754"/>
    <n v="29000"/>
    <n v="7459"/>
    <n v="451747.43710018584"/>
    <n v="1816922.2567375754"/>
    <m/>
    <m/>
    <m/>
  </r>
  <r>
    <x v="173"/>
    <n v="30000"/>
    <n v="74.220680422286577"/>
    <n v="20039583.714017376"/>
    <n v="36459"/>
    <n v="24354106.087645318"/>
    <n v="32000"/>
    <n v="4459"/>
    <n v="330950.01400297583"/>
    <n v="20039583.714017376"/>
    <n v="60.564075224585849"/>
    <n v="1816922.2567375754"/>
    <n v="29000"/>
    <n v="7459"/>
    <n v="451747.43710018584"/>
    <n v="1816922.2567375754"/>
    <m/>
    <m/>
    <m/>
  </r>
  <r>
    <x v="174"/>
    <n v="30000"/>
    <n v="74.220680422286577"/>
    <n v="20039583.714017376"/>
    <n v="36459"/>
    <n v="24354106.087645318"/>
    <n v="32000"/>
    <n v="4459"/>
    <n v="330950.01400297583"/>
    <n v="20039583.714017376"/>
    <n v="60.564075224585849"/>
    <n v="1816922.2567375754"/>
    <n v="29000"/>
    <n v="7459"/>
    <n v="451747.43710018584"/>
    <n v="1816922.2567375754"/>
    <m/>
    <m/>
    <m/>
  </r>
  <r>
    <x v="175"/>
    <n v="30000"/>
    <n v="74.220680422286577"/>
    <n v="20039583.714017376"/>
    <n v="36459"/>
    <n v="24354106.087645318"/>
    <n v="32000"/>
    <n v="4459"/>
    <n v="330950.01400297583"/>
    <n v="20039583.714017376"/>
    <n v="60.564075224585849"/>
    <n v="1816922.2567375754"/>
    <n v="29000"/>
    <n v="7459"/>
    <n v="451747.43710018584"/>
    <n v="1816922.2567375754"/>
    <m/>
    <m/>
    <m/>
  </r>
  <r>
    <x v="176"/>
    <n v="0"/>
    <n v="74.220680422286577"/>
    <n v="0"/>
    <n v="0"/>
    <n v="0"/>
    <n v="32000"/>
    <n v="0"/>
    <n v="0"/>
    <n v="0"/>
    <n v="60.564075224585849"/>
    <n v="0"/>
    <n v="29000"/>
    <n v="-29000"/>
    <n v="0"/>
    <n v="0"/>
    <n v="147940433.80572313"/>
    <n v="14535378.053900601"/>
    <m/>
  </r>
  <r>
    <x v="177"/>
    <n v="0"/>
    <n v="75.705094030732312"/>
    <n v="0"/>
    <n v="0"/>
    <n v="0"/>
    <n v="32000"/>
    <n v="0"/>
    <n v="0"/>
    <n v="0"/>
    <n v="61.775356729077565"/>
    <n v="0"/>
    <n v="29000"/>
    <n v="-29000"/>
    <n v="0"/>
    <n v="0"/>
    <m/>
    <m/>
    <m/>
  </r>
  <r>
    <x v="178"/>
    <n v="0"/>
    <n v="75.705094030732312"/>
    <n v="0"/>
    <n v="0"/>
    <n v="0"/>
    <n v="32000"/>
    <n v="0"/>
    <n v="0"/>
    <n v="0"/>
    <n v="61.775356729077565"/>
    <n v="0"/>
    <n v="29000"/>
    <n v="-29000"/>
    <n v="0"/>
    <n v="0"/>
    <m/>
    <m/>
    <m/>
  </r>
  <r>
    <x v="179"/>
    <n v="0"/>
    <n v="75.705094030732312"/>
    <n v="0"/>
    <n v="0"/>
    <n v="0"/>
    <n v="32000"/>
    <n v="0"/>
    <n v="0"/>
    <n v="0"/>
    <n v="61.775356729077565"/>
    <n v="0"/>
    <n v="29000"/>
    <n v="-29000"/>
    <n v="0"/>
    <n v="0"/>
    <m/>
    <m/>
    <m/>
  </r>
  <r>
    <x v="180"/>
    <n v="30000"/>
    <n v="75.705094030732312"/>
    <n v="20440375.388297722"/>
    <n v="36823"/>
    <n v="25089198.097442903"/>
    <n v="32000"/>
    <n v="4823"/>
    <n v="365125.66851022193"/>
    <n v="20440375.388297722"/>
    <n v="61.775356729077565"/>
    <n v="1853260.7018723269"/>
    <n v="29000"/>
    <n v="7823"/>
    <n v="483268.61569157377"/>
    <n v="1853260.7018723269"/>
    <m/>
    <m/>
    <m/>
  </r>
  <r>
    <x v="181"/>
    <n v="30000"/>
    <n v="75.705094030732312"/>
    <n v="20440375.388297722"/>
    <n v="36823"/>
    <n v="25089198.097442903"/>
    <n v="32000"/>
    <n v="4823"/>
    <n v="365125.66851022193"/>
    <n v="20440375.388297722"/>
    <n v="61.775356729077565"/>
    <n v="1853260.7018723269"/>
    <n v="29000"/>
    <n v="7823"/>
    <n v="483268.61569157377"/>
    <n v="1853260.7018723269"/>
    <m/>
    <m/>
    <m/>
  </r>
  <r>
    <x v="182"/>
    <n v="30000"/>
    <n v="75.705094030732312"/>
    <n v="20440375.388297722"/>
    <n v="36823"/>
    <n v="25089198.097442903"/>
    <n v="32000"/>
    <n v="4823"/>
    <n v="365125.66851022193"/>
    <n v="20440375.388297722"/>
    <n v="61.775356729077565"/>
    <n v="1853260.7018723269"/>
    <n v="29000"/>
    <n v="7823"/>
    <n v="483268.61569157377"/>
    <n v="1853260.7018723269"/>
    <m/>
    <m/>
    <m/>
  </r>
  <r>
    <x v="183"/>
    <n v="30000"/>
    <n v="75.705094030732312"/>
    <n v="20440375.388297722"/>
    <n v="36823"/>
    <n v="25089198.097442903"/>
    <n v="32000"/>
    <n v="4823"/>
    <n v="365125.66851022193"/>
    <n v="20440375.388297722"/>
    <n v="61.775356729077565"/>
    <n v="1853260.7018723269"/>
    <n v="29000"/>
    <n v="7823"/>
    <n v="483268.61569157377"/>
    <n v="1853260.7018723269"/>
    <m/>
    <m/>
    <m/>
  </r>
  <r>
    <x v="184"/>
    <n v="30000"/>
    <n v="75.705094030732312"/>
    <n v="20440375.388297722"/>
    <n v="36823"/>
    <n v="25089198.097442903"/>
    <n v="32000"/>
    <n v="4823"/>
    <n v="365125.66851022193"/>
    <n v="20440375.388297722"/>
    <n v="61.775356729077565"/>
    <n v="1853260.7018723269"/>
    <n v="29000"/>
    <n v="7823"/>
    <n v="483268.61569157377"/>
    <n v="1853260.7018723269"/>
    <m/>
    <m/>
    <m/>
  </r>
  <r>
    <x v="185"/>
    <n v="30000"/>
    <n v="75.705094030732312"/>
    <n v="20440375.388297722"/>
    <n v="36823"/>
    <n v="25089198.097442903"/>
    <n v="32000"/>
    <n v="4823"/>
    <n v="365125.66851022193"/>
    <n v="20440375.388297722"/>
    <n v="61.775356729077565"/>
    <n v="1853260.7018723269"/>
    <n v="29000"/>
    <n v="7823"/>
    <n v="483268.61569157377"/>
    <n v="1853260.7018723269"/>
    <m/>
    <m/>
    <m/>
  </r>
  <r>
    <x v="186"/>
    <n v="30000"/>
    <n v="75.705094030732312"/>
    <n v="20440375.388297722"/>
    <n v="36823"/>
    <n v="25089198.097442903"/>
    <n v="32000"/>
    <n v="4823"/>
    <n v="365125.66851022193"/>
    <n v="20440375.388297722"/>
    <n v="61.775356729077565"/>
    <n v="1853260.7018723269"/>
    <n v="29000"/>
    <n v="7823"/>
    <n v="483268.61569157377"/>
    <n v="1853260.7018723269"/>
    <m/>
    <m/>
    <m/>
  </r>
  <r>
    <x v="187"/>
    <n v="30000"/>
    <n v="75.705094030732312"/>
    <n v="20440375.388297722"/>
    <n v="36823"/>
    <n v="25089198.097442903"/>
    <n v="32000"/>
    <n v="4823"/>
    <n v="365125.66851022193"/>
    <n v="20440375.388297722"/>
    <n v="61.775356729077565"/>
    <n v="1853260.7018723269"/>
    <n v="29000"/>
    <n v="7823"/>
    <n v="483268.61569157377"/>
    <n v="1853260.7018723269"/>
    <m/>
    <m/>
    <m/>
  </r>
  <r>
    <x v="188"/>
    <n v="0"/>
    <n v="75.705094030732312"/>
    <n v="0"/>
    <n v="0"/>
    <n v="0"/>
    <n v="32000"/>
    <n v="0"/>
    <n v="0"/>
    <n v="0"/>
    <n v="61.775356729077565"/>
    <n v="0"/>
    <n v="29000"/>
    <n v="-29000"/>
    <n v="0"/>
    <n v="0"/>
    <n v="150899242.48183757"/>
    <n v="14826085.614978613"/>
    <m/>
  </r>
  <r>
    <x v="189"/>
    <n v="0"/>
    <n v="77.219195911346958"/>
    <n v="0"/>
    <n v="0"/>
    <n v="0"/>
    <n v="32000"/>
    <n v="0"/>
    <n v="0"/>
    <n v="0"/>
    <n v="63.010863863659118"/>
    <n v="0"/>
    <n v="29000"/>
    <n v="-29000"/>
    <n v="0"/>
    <n v="0"/>
    <m/>
    <m/>
    <m/>
  </r>
  <r>
    <x v="190"/>
    <n v="0"/>
    <n v="77.219195911346958"/>
    <n v="0"/>
    <n v="0"/>
    <n v="0"/>
    <n v="32000"/>
    <n v="0"/>
    <n v="0"/>
    <n v="0"/>
    <n v="63.010863863659118"/>
    <n v="0"/>
    <n v="29000"/>
    <n v="-29000"/>
    <n v="0"/>
    <n v="0"/>
    <m/>
    <m/>
    <m/>
  </r>
  <r>
    <x v="191"/>
    <n v="0"/>
    <n v="77.219195911346958"/>
    <n v="0"/>
    <n v="0"/>
    <n v="0"/>
    <n v="32000"/>
    <n v="0"/>
    <n v="0"/>
    <n v="0"/>
    <n v="63.010863863659118"/>
    <n v="0"/>
    <n v="29000"/>
    <n v="-29000"/>
    <n v="0"/>
    <n v="0"/>
    <m/>
    <m/>
    <m/>
  </r>
  <r>
    <x v="192"/>
    <n v="30000"/>
    <n v="77.219195911346958"/>
    <n v="20849182.896063678"/>
    <n v="37192"/>
    <n v="25847427.009013344"/>
    <n v="32000"/>
    <n v="5192"/>
    <n v="400922.06517171342"/>
    <n v="20849182.896063678"/>
    <n v="63.010863863659118"/>
    <n v="1890325.9159097734"/>
    <n v="29000"/>
    <n v="8192"/>
    <n v="516184.9967710955"/>
    <n v="1890325.9159097734"/>
    <m/>
    <m/>
    <m/>
  </r>
  <r>
    <x v="193"/>
    <n v="30000"/>
    <n v="77.219195911346958"/>
    <n v="20849182.896063678"/>
    <n v="37192"/>
    <n v="25847427.009013344"/>
    <n v="32000"/>
    <n v="5192"/>
    <n v="400922.06517171342"/>
    <n v="20849182.896063678"/>
    <n v="63.010863863659118"/>
    <n v="1890325.9159097734"/>
    <n v="29000"/>
    <n v="8192"/>
    <n v="516184.9967710955"/>
    <n v="1890325.9159097734"/>
    <m/>
    <m/>
    <m/>
  </r>
  <r>
    <x v="194"/>
    <n v="30000"/>
    <n v="77.219195911346958"/>
    <n v="20849182.896063678"/>
    <n v="37192"/>
    <n v="25847427.009013344"/>
    <n v="32000"/>
    <n v="5192"/>
    <n v="400922.06517171342"/>
    <n v="20849182.896063678"/>
    <n v="63.010863863659118"/>
    <n v="1890325.9159097734"/>
    <n v="29000"/>
    <n v="8192"/>
    <n v="516184.9967710955"/>
    <n v="1890325.9159097734"/>
    <m/>
    <m/>
    <m/>
  </r>
  <r>
    <x v="195"/>
    <n v="30000"/>
    <n v="77.219195911346958"/>
    <n v="20849182.896063678"/>
    <n v="37192"/>
    <n v="25847427.009013344"/>
    <n v="32000"/>
    <n v="5192"/>
    <n v="400922.06517171342"/>
    <n v="20849182.896063678"/>
    <n v="63.010863863659118"/>
    <n v="1890325.9159097734"/>
    <n v="29000"/>
    <n v="8192"/>
    <n v="516184.9967710955"/>
    <n v="1890325.9159097734"/>
    <m/>
    <m/>
    <m/>
  </r>
  <r>
    <x v="196"/>
    <n v="30000"/>
    <n v="77.219195911346958"/>
    <n v="20849182.896063678"/>
    <n v="37192"/>
    <n v="25847427.009013344"/>
    <n v="32000"/>
    <n v="5192"/>
    <n v="400922.06517171342"/>
    <n v="20849182.896063678"/>
    <n v="63.010863863659118"/>
    <n v="1890325.9159097734"/>
    <n v="29000"/>
    <n v="8192"/>
    <n v="516184.9967710955"/>
    <n v="1890325.9159097734"/>
    <m/>
    <m/>
    <m/>
  </r>
  <r>
    <x v="197"/>
    <n v="30000"/>
    <n v="77.219195911346958"/>
    <n v="20849182.896063678"/>
    <n v="37192"/>
    <n v="25847427.009013344"/>
    <n v="32000"/>
    <n v="5192"/>
    <n v="400922.06517171342"/>
    <n v="20849182.896063678"/>
    <n v="63.010863863659118"/>
    <n v="1890325.9159097734"/>
    <n v="29000"/>
    <n v="8192"/>
    <n v="516184.9967710955"/>
    <n v="1890325.9159097734"/>
    <m/>
    <m/>
    <m/>
  </r>
  <r>
    <x v="198"/>
    <n v="30000"/>
    <n v="77.219195911346958"/>
    <n v="20849182.896063678"/>
    <n v="37192"/>
    <n v="25847427.009013344"/>
    <n v="32000"/>
    <n v="5192"/>
    <n v="400922.06517171342"/>
    <n v="20849182.896063678"/>
    <n v="63.010863863659118"/>
    <n v="1890325.9159097734"/>
    <n v="29000"/>
    <n v="8192"/>
    <n v="516184.9967710955"/>
    <n v="1890325.9159097734"/>
    <m/>
    <m/>
    <m/>
  </r>
  <r>
    <x v="199"/>
    <n v="30000"/>
    <n v="77.219195911346958"/>
    <n v="20849182.896063678"/>
    <n v="37192"/>
    <n v="25847427.009013344"/>
    <n v="32000"/>
    <n v="5192"/>
    <n v="400922.06517171342"/>
    <n v="20849182.896063678"/>
    <n v="63.010863863659118"/>
    <n v="1890325.9159097734"/>
    <n v="29000"/>
    <n v="8192"/>
    <n v="516184.9967710955"/>
    <n v="1890325.9159097734"/>
    <m/>
    <m/>
    <m/>
  </r>
  <r>
    <x v="200"/>
    <n v="0"/>
    <n v="77.219195911346958"/>
    <n v="0"/>
    <n v="0"/>
    <n v="0"/>
    <n v="32000"/>
    <n v="0"/>
    <n v="0"/>
    <n v="0"/>
    <n v="63.010863863659118"/>
    <n v="0"/>
    <n v="29000"/>
    <n v="-29000"/>
    <n v="0"/>
    <n v="0"/>
    <n v="153917227.33147436"/>
    <n v="15122607.327278186"/>
    <m/>
  </r>
  <r>
    <x v="201"/>
    <n v="0"/>
    <n v="78.763579829573899"/>
    <n v="0"/>
    <n v="0"/>
    <n v="0"/>
    <n v="32000"/>
    <n v="0"/>
    <n v="0"/>
    <n v="0"/>
    <n v="64.271081140932296"/>
    <n v="0"/>
    <n v="29000"/>
    <n v="-29000"/>
    <n v="0"/>
    <n v="0"/>
    <m/>
    <m/>
    <m/>
  </r>
  <r>
    <x v="202"/>
    <n v="0"/>
    <n v="78.763579829573899"/>
    <n v="0"/>
    <n v="0"/>
    <n v="0"/>
    <n v="32000"/>
    <n v="0"/>
    <n v="0"/>
    <n v="0"/>
    <n v="64.271081140932296"/>
    <n v="0"/>
    <n v="29000"/>
    <n v="-29000"/>
    <n v="0"/>
    <n v="0"/>
    <m/>
    <m/>
    <m/>
  </r>
  <r>
    <x v="203"/>
    <n v="0"/>
    <n v="78.763579829573899"/>
    <n v="0"/>
    <n v="0"/>
    <n v="0"/>
    <n v="32000"/>
    <n v="0"/>
    <n v="0"/>
    <n v="0"/>
    <n v="64.271081140932296"/>
    <n v="0"/>
    <n v="29000"/>
    <n v="-29000"/>
    <n v="0"/>
    <n v="0"/>
    <m/>
    <m/>
    <m/>
  </r>
  <r>
    <x v="204"/>
    <n v="30000"/>
    <n v="78.763579829573899"/>
    <n v="21266166.553984951"/>
    <n v="37564"/>
    <n v="26628076.014463026"/>
    <n v="32000"/>
    <n v="5564"/>
    <n v="438240.55817174917"/>
    <n v="21266166.553984951"/>
    <n v="64.271081140932296"/>
    <n v="1928132.4342279688"/>
    <n v="29000"/>
    <n v="8564"/>
    <n v="550417.53889094421"/>
    <n v="1928132.4342279688"/>
    <m/>
    <m/>
    <m/>
  </r>
  <r>
    <x v="205"/>
    <n v="30000"/>
    <n v="78.763579829573899"/>
    <n v="21266166.553984951"/>
    <n v="37564"/>
    <n v="26628076.014463026"/>
    <n v="32000"/>
    <n v="5564"/>
    <n v="438240.55817174917"/>
    <n v="21266166.553984951"/>
    <n v="64.271081140932296"/>
    <n v="1928132.4342279688"/>
    <n v="29000"/>
    <n v="8564"/>
    <n v="550417.53889094421"/>
    <n v="1928132.4342279688"/>
    <m/>
    <m/>
    <m/>
  </r>
  <r>
    <x v="206"/>
    <n v="30000"/>
    <n v="78.763579829573899"/>
    <n v="21266166.553984951"/>
    <n v="37564"/>
    <n v="26628076.014463026"/>
    <n v="32000"/>
    <n v="5564"/>
    <n v="438240.55817174917"/>
    <n v="21266166.553984951"/>
    <n v="64.271081140932296"/>
    <n v="1928132.4342279688"/>
    <n v="29000"/>
    <n v="8564"/>
    <n v="550417.53889094421"/>
    <n v="1928132.4342279688"/>
    <m/>
    <m/>
    <m/>
  </r>
  <r>
    <x v="207"/>
    <n v="30000"/>
    <n v="78.763579829573899"/>
    <n v="21266166.553984951"/>
    <n v="37564"/>
    <n v="26628076.014463026"/>
    <n v="32000"/>
    <n v="5564"/>
    <n v="438240.55817174917"/>
    <n v="21266166.553984951"/>
    <n v="64.271081140932296"/>
    <n v="1928132.4342279688"/>
    <n v="29000"/>
    <n v="8564"/>
    <n v="550417.53889094421"/>
    <n v="1928132.4342279688"/>
    <m/>
    <m/>
    <m/>
  </r>
  <r>
    <x v="208"/>
    <n v="30000"/>
    <n v="78.763579829573899"/>
    <n v="21266166.553984951"/>
    <n v="37564"/>
    <n v="26628076.014463026"/>
    <n v="32000"/>
    <n v="5564"/>
    <n v="438240.55817174917"/>
    <n v="21266166.553984951"/>
    <n v="64.271081140932296"/>
    <n v="1928132.4342279688"/>
    <n v="29000"/>
    <n v="8564"/>
    <n v="550417.53889094421"/>
    <n v="1928132.4342279688"/>
    <m/>
    <m/>
    <m/>
  </r>
  <r>
    <x v="209"/>
    <n v="30000"/>
    <n v="78.763579829573899"/>
    <n v="21266166.553984951"/>
    <n v="37564"/>
    <n v="26628076.014463026"/>
    <n v="32000"/>
    <n v="5564"/>
    <n v="438240.55817174917"/>
    <n v="21266166.553984951"/>
    <n v="64.271081140932296"/>
    <n v="1928132.4342279688"/>
    <n v="29000"/>
    <n v="8564"/>
    <n v="550417.53889094421"/>
    <n v="1928132.4342279688"/>
    <m/>
    <m/>
    <m/>
  </r>
  <r>
    <x v="210"/>
    <n v="30000"/>
    <n v="78.763579829573899"/>
    <n v="21266166.553984951"/>
    <n v="37564"/>
    <n v="26628076.014463026"/>
    <n v="32000"/>
    <n v="5564"/>
    <n v="438240.55817174917"/>
    <n v="21266166.553984951"/>
    <n v="64.271081140932296"/>
    <n v="1928132.4342279688"/>
    <n v="29000"/>
    <n v="8564"/>
    <n v="550417.53889094421"/>
    <n v="1928132.4342279688"/>
    <m/>
    <m/>
    <m/>
  </r>
  <r>
    <x v="211"/>
    <n v="30000"/>
    <n v="78.763579829573899"/>
    <n v="21266166.553984951"/>
    <n v="37564"/>
    <n v="26628076.014463026"/>
    <n v="32000"/>
    <n v="5564"/>
    <n v="438240.55817174917"/>
    <n v="21266166.553984951"/>
    <n v="64.271081140932296"/>
    <n v="1928132.4342279688"/>
    <n v="29000"/>
    <n v="8564"/>
    <n v="550417.53889094421"/>
    <n v="1928132.4342279688"/>
    <m/>
    <m/>
    <m/>
  </r>
  <r>
    <x v="212"/>
    <n v="0"/>
    <n v="78.763579829573899"/>
    <n v="0"/>
    <n v="0"/>
    <n v="0"/>
    <n v="32000"/>
    <n v="0"/>
    <n v="0"/>
    <n v="0"/>
    <n v="64.271081140932296"/>
    <n v="0"/>
    <n v="29000"/>
    <n v="-29000"/>
    <n v="0"/>
    <n v="0"/>
    <n v="156995571.87810382"/>
    <n v="15425059.473823752"/>
    <m/>
  </r>
  <r>
    <x v="213"/>
    <n v="0"/>
    <n v="80.338851426165377"/>
    <n v="0"/>
    <n v="0"/>
    <n v="0"/>
    <n v="32000"/>
    <n v="0"/>
    <n v="0"/>
    <n v="0"/>
    <n v="65.556502763750942"/>
    <n v="0"/>
    <n v="29000"/>
    <n v="-29000"/>
    <n v="0"/>
    <n v="0"/>
    <m/>
    <m/>
    <m/>
  </r>
  <r>
    <x v="214"/>
    <n v="0"/>
    <n v="80.338851426165377"/>
    <n v="0"/>
    <n v="0"/>
    <n v="0"/>
    <n v="32000"/>
    <n v="0"/>
    <n v="0"/>
    <n v="0"/>
    <n v="65.556502763750942"/>
    <n v="0"/>
    <n v="29000"/>
    <n v="-29000"/>
    <n v="0"/>
    <n v="0"/>
    <m/>
    <m/>
    <m/>
  </r>
  <r>
    <x v="215"/>
    <n v="0"/>
    <n v="80.338851426165377"/>
    <n v="0"/>
    <n v="0"/>
    <n v="0"/>
    <n v="32000"/>
    <n v="0"/>
    <n v="0"/>
    <n v="0"/>
    <n v="65.556502763750942"/>
    <n v="0"/>
    <n v="29000"/>
    <n v="-29000"/>
    <n v="0"/>
    <n v="0"/>
    <m/>
    <m/>
    <m/>
  </r>
  <r>
    <x v="216"/>
    <n v="30000"/>
    <n v="80.338851426165377"/>
    <n v="21691489.885064654"/>
    <n v="37939"/>
    <n v="27431781.158315592"/>
    <n v="32000"/>
    <n v="5939"/>
    <n v="477132.43861999619"/>
    <n v="21691489.885064654"/>
    <n v="65.556502763750942"/>
    <n v="1966695.0829125282"/>
    <n v="29000"/>
    <n v="8939"/>
    <n v="586009.57820516964"/>
    <n v="1966695.0829125282"/>
    <m/>
    <m/>
    <m/>
  </r>
  <r>
    <x v="217"/>
    <n v="30000"/>
    <n v="80.338851426165377"/>
    <n v="21691489.885064654"/>
    <n v="37939"/>
    <n v="27431781.158315592"/>
    <n v="32000"/>
    <n v="5939"/>
    <n v="477132.43861999619"/>
    <n v="21691489.885064654"/>
    <n v="65.556502763750942"/>
    <n v="1966695.0829125282"/>
    <n v="29000"/>
    <n v="8939"/>
    <n v="586009.57820516964"/>
    <n v="1966695.0829125282"/>
    <m/>
    <m/>
    <m/>
  </r>
  <r>
    <x v="218"/>
    <n v="30000"/>
    <n v="80.338851426165377"/>
    <n v="21691489.885064654"/>
    <n v="37939"/>
    <n v="27431781.158315592"/>
    <n v="32000"/>
    <n v="5939"/>
    <n v="477132.43861999619"/>
    <n v="21691489.885064654"/>
    <n v="65.556502763750942"/>
    <n v="1966695.0829125282"/>
    <n v="29000"/>
    <n v="8939"/>
    <n v="586009.57820516964"/>
    <n v="1966695.0829125282"/>
    <m/>
    <m/>
    <m/>
  </r>
  <r>
    <x v="219"/>
    <n v="30000"/>
    <n v="80.338851426165377"/>
    <n v="21691489.885064654"/>
    <n v="37939"/>
    <n v="27431781.158315592"/>
    <n v="32000"/>
    <n v="5939"/>
    <n v="477132.43861999619"/>
    <n v="21691489.885064654"/>
    <n v="65.556502763750942"/>
    <n v="1966695.0829125282"/>
    <n v="29000"/>
    <n v="8939"/>
    <n v="586009.57820516964"/>
    <n v="1966695.0829125282"/>
    <m/>
    <m/>
    <m/>
  </r>
  <r>
    <x v="220"/>
    <n v="30000"/>
    <n v="80.338851426165377"/>
    <n v="21691489.885064654"/>
    <n v="37939"/>
    <n v="27431781.158315592"/>
    <n v="32000"/>
    <n v="5939"/>
    <n v="477132.43861999619"/>
    <n v="21691489.885064654"/>
    <n v="65.556502763750942"/>
    <n v="1966695.0829125282"/>
    <n v="29000"/>
    <n v="8939"/>
    <n v="586009.57820516964"/>
    <n v="1966695.0829125282"/>
    <m/>
    <m/>
    <m/>
  </r>
  <r>
    <x v="221"/>
    <n v="30000"/>
    <n v="80.338851426165377"/>
    <n v="21691489.885064654"/>
    <n v="37939"/>
    <n v="27431781.158315592"/>
    <n v="32000"/>
    <n v="5939"/>
    <n v="477132.43861999619"/>
    <n v="21691489.885064654"/>
    <n v="65.556502763750942"/>
    <n v="1966695.0829125282"/>
    <n v="29000"/>
    <n v="8939"/>
    <n v="586009.57820516964"/>
    <n v="1966695.0829125282"/>
    <m/>
    <m/>
    <m/>
  </r>
  <r>
    <x v="222"/>
    <n v="30000"/>
    <n v="80.338851426165377"/>
    <n v="21691489.885064654"/>
    <n v="37939"/>
    <n v="27431781.158315592"/>
    <n v="32000"/>
    <n v="5939"/>
    <n v="477132.43861999619"/>
    <n v="21691489.885064654"/>
    <n v="65.556502763750942"/>
    <n v="1966695.0829125282"/>
    <n v="29000"/>
    <n v="8939"/>
    <n v="586009.57820516964"/>
    <n v="1966695.0829125282"/>
    <m/>
    <m/>
    <m/>
  </r>
  <r>
    <x v="223"/>
    <n v="30000"/>
    <n v="80.338851426165377"/>
    <n v="21691489.885064654"/>
    <n v="37939"/>
    <n v="27431781.158315592"/>
    <n v="32000"/>
    <n v="5939"/>
    <n v="477132.43861999619"/>
    <n v="21691489.885064654"/>
    <n v="65.556502763750942"/>
    <n v="1966695.0829125282"/>
    <n v="29000"/>
    <n v="8939"/>
    <n v="586009.57820516964"/>
    <n v="1966695.0829125282"/>
    <m/>
    <m/>
    <m/>
  </r>
  <r>
    <x v="224"/>
    <n v="0"/>
    <n v="80.338851426165377"/>
    <n v="0"/>
    <n v="0"/>
    <n v="0"/>
    <n v="32000"/>
    <n v="0"/>
    <n v="0"/>
    <n v="0"/>
    <n v="65.556502763750942"/>
    <n v="0"/>
    <n v="29000"/>
    <n v="-29000"/>
    <n v="0"/>
    <n v="0"/>
    <n v="160135483.31566593"/>
    <n v="15733560.663300227"/>
    <m/>
  </r>
  <r>
    <x v="225"/>
    <n v="0"/>
    <n v="81.945628454688688"/>
    <n v="0"/>
    <n v="0"/>
    <n v="0"/>
    <n v="32000"/>
    <n v="0"/>
    <n v="0"/>
    <n v="0"/>
    <n v="66.867632819025957"/>
    <n v="0"/>
    <n v="29000"/>
    <n v="-29000"/>
    <n v="0"/>
    <n v="0"/>
    <m/>
    <m/>
    <m/>
  </r>
  <r>
    <x v="226"/>
    <n v="0"/>
    <n v="81.945628454688688"/>
    <n v="0"/>
    <n v="0"/>
    <n v="0"/>
    <n v="32000"/>
    <n v="0"/>
    <n v="0"/>
    <n v="0"/>
    <n v="66.867632819025957"/>
    <n v="0"/>
    <n v="29000"/>
    <n v="-29000"/>
    <n v="0"/>
    <n v="0"/>
    <m/>
    <m/>
    <m/>
  </r>
  <r>
    <x v="227"/>
    <n v="0"/>
    <n v="81.945628454688688"/>
    <n v="0"/>
    <n v="0"/>
    <n v="0"/>
    <n v="32000"/>
    <n v="0"/>
    <n v="0"/>
    <n v="0"/>
    <n v="66.867632819025957"/>
    <n v="0"/>
    <n v="29000"/>
    <n v="-29000"/>
    <n v="0"/>
    <n v="0"/>
    <m/>
    <m/>
    <m/>
  </r>
  <r>
    <x v="228"/>
    <n v="30000"/>
    <n v="81.945628454688688"/>
    <n v="22125319.682765946"/>
    <n v="38319"/>
    <n v="28260670.830796942"/>
    <n v="32000"/>
    <n v="6319"/>
    <n v="517814.42620517779"/>
    <n v="22125319.682765946"/>
    <n v="66.867632819025957"/>
    <n v="2006028.9845707787"/>
    <n v="29000"/>
    <n v="9319"/>
    <n v="623139.47024050285"/>
    <n v="2006028.9845707787"/>
    <m/>
    <m/>
    <m/>
  </r>
  <r>
    <x v="229"/>
    <n v="30000"/>
    <n v="81.945628454688688"/>
    <n v="22125319.682765946"/>
    <n v="38319"/>
    <n v="28260670.830796942"/>
    <n v="32000"/>
    <n v="6319"/>
    <n v="517814.42620517779"/>
    <n v="22125319.682765946"/>
    <n v="66.867632819025957"/>
    <n v="2006028.9845707787"/>
    <n v="29000"/>
    <n v="9319"/>
    <n v="623139.47024050285"/>
    <n v="2006028.9845707787"/>
    <m/>
    <m/>
    <m/>
  </r>
  <r>
    <x v="230"/>
    <n v="30000"/>
    <n v="81.945628454688688"/>
    <n v="22125319.682765946"/>
    <n v="38319"/>
    <n v="28260670.830796942"/>
    <n v="32000"/>
    <n v="6319"/>
    <n v="517814.42620517779"/>
    <n v="22125319.682765946"/>
    <n v="66.867632819025957"/>
    <n v="2006028.9845707787"/>
    <n v="29000"/>
    <n v="9319"/>
    <n v="623139.47024050285"/>
    <n v="2006028.9845707787"/>
    <m/>
    <m/>
    <m/>
  </r>
  <r>
    <x v="231"/>
    <n v="30000"/>
    <n v="81.945628454688688"/>
    <n v="22125319.682765946"/>
    <n v="38319"/>
    <n v="28260670.830796942"/>
    <n v="32000"/>
    <n v="6319"/>
    <n v="517814.42620517779"/>
    <n v="22125319.682765946"/>
    <n v="66.867632819025957"/>
    <n v="2006028.9845707787"/>
    <n v="29000"/>
    <n v="9319"/>
    <n v="623139.47024050285"/>
    <n v="2006028.9845707787"/>
    <m/>
    <m/>
    <m/>
  </r>
  <r>
    <x v="232"/>
    <n v="30000"/>
    <n v="81.945628454688688"/>
    <n v="22125319.682765946"/>
    <n v="38319"/>
    <n v="28260670.830796942"/>
    <n v="32000"/>
    <n v="6319"/>
    <n v="517814.42620517779"/>
    <n v="22125319.682765946"/>
    <n v="66.867632819025957"/>
    <n v="2006028.9845707787"/>
    <n v="29000"/>
    <n v="9319"/>
    <n v="623139.47024050285"/>
    <n v="2006028.9845707787"/>
    <m/>
    <m/>
    <m/>
  </r>
  <r>
    <x v="233"/>
    <n v="30000"/>
    <n v="81.945628454688688"/>
    <n v="22125319.682765946"/>
    <n v="38319"/>
    <n v="28260670.830796942"/>
    <n v="32000"/>
    <n v="6319"/>
    <n v="517814.42620517779"/>
    <n v="22125319.682765946"/>
    <n v="66.867632819025957"/>
    <n v="2006028.9845707787"/>
    <n v="29000"/>
    <n v="9319"/>
    <n v="623139.47024050285"/>
    <n v="2006028.9845707787"/>
    <m/>
    <m/>
    <m/>
  </r>
  <r>
    <x v="234"/>
    <n v="30000"/>
    <n v="81.945628454688688"/>
    <n v="22125319.682765946"/>
    <n v="38319"/>
    <n v="28260670.830796942"/>
    <n v="32000"/>
    <n v="6319"/>
    <n v="517814.42620517779"/>
    <n v="22125319.682765946"/>
    <n v="66.867632819025957"/>
    <n v="2006028.9845707787"/>
    <n v="29000"/>
    <n v="9319"/>
    <n v="623139.47024050285"/>
    <n v="2006028.9845707787"/>
    <m/>
    <m/>
    <m/>
  </r>
  <r>
    <x v="235"/>
    <n v="30000"/>
    <n v="81.945628454688688"/>
    <n v="22125319.682765946"/>
    <n v="38319"/>
    <n v="28260670.830796942"/>
    <n v="32000"/>
    <n v="6319"/>
    <n v="517814.42620517779"/>
    <n v="22125319.682765946"/>
    <n v="66.867632819025957"/>
    <n v="2006028.9845707787"/>
    <n v="29000"/>
    <n v="9319"/>
    <n v="623139.47024050285"/>
    <n v="2006028.9845707787"/>
    <m/>
    <m/>
    <m/>
  </r>
  <r>
    <x v="236"/>
    <n v="0"/>
    <n v="81.945628454688688"/>
    <n v="0"/>
    <n v="0"/>
    <n v="0"/>
    <n v="32000"/>
    <n v="0"/>
    <n v="0"/>
    <n v="0"/>
    <n v="66.867632819025957"/>
    <n v="0"/>
    <n v="29000"/>
    <n v="-29000"/>
    <n v="0"/>
    <n v="0"/>
    <n v="163338192.98197922"/>
    <n v="16048231.87656622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428C34-9E9D-4498-8D2D-0B4382035066}" name="NPV"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C23" firstHeaderRow="0" firstDataRow="1" firstDataCol="1"/>
  <pivotFields count="21">
    <pivotField numFmtId="14" showAll="0">
      <items count="15">
        <item x="0"/>
        <item x="1"/>
        <item x="2"/>
        <item x="3"/>
        <item x="4"/>
        <item x="5"/>
        <item x="6"/>
        <item x="7"/>
        <item x="8"/>
        <item x="9"/>
        <item x="10"/>
        <item x="11"/>
        <item x="12"/>
        <item x="13"/>
        <item t="default"/>
      </items>
    </pivotField>
    <pivotField numFmtId="3" showAll="0"/>
    <pivotField numFmtId="3" showAll="0"/>
    <pivotField numFmtId="3" showAll="0"/>
    <pivotField showAll="0"/>
    <pivotField showAll="0"/>
    <pivotField numFmtId="3" showAll="0"/>
    <pivotField showAll="0"/>
    <pivotField showAll="0"/>
    <pivotField numFmtId="3" showAll="0"/>
    <pivotField numFmtId="3" showAll="0"/>
    <pivotField numFmtId="3" showAll="0"/>
    <pivotField numFmtId="3" showAll="0"/>
    <pivotField showAll="0"/>
    <pivotField showAll="0"/>
    <pivotField numFmtId="3" showAll="0"/>
    <pivotField dataField="1" showAll="0"/>
    <pivotField dataField="1" showAll="0"/>
    <pivotField showAll="0"/>
    <pivotField showAll="0" defaultSubtotal="0"/>
    <pivotField axis="axisRow"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20"/>
  </rowFields>
  <rowItems count="21">
    <i>
      <x v="1"/>
    </i>
    <i>
      <x v="2"/>
    </i>
    <i>
      <x v="3"/>
    </i>
    <i>
      <x v="4"/>
    </i>
    <i>
      <x v="5"/>
    </i>
    <i>
      <x v="6"/>
    </i>
    <i>
      <x v="7"/>
    </i>
    <i>
      <x v="8"/>
    </i>
    <i>
      <x v="9"/>
    </i>
    <i>
      <x v="10"/>
    </i>
    <i>
      <x v="11"/>
    </i>
    <i>
      <x v="12"/>
    </i>
    <i>
      <x v="13"/>
    </i>
    <i>
      <x v="14"/>
    </i>
    <i>
      <x v="15"/>
    </i>
    <i>
      <x v="16"/>
    </i>
    <i>
      <x v="17"/>
    </i>
    <i>
      <x v="18"/>
    </i>
    <i>
      <x v="19"/>
    </i>
    <i>
      <x v="20"/>
    </i>
    <i t="grand">
      <x/>
    </i>
  </rowItems>
  <colFields count="1">
    <field x="-2"/>
  </colFields>
  <colItems count="2">
    <i>
      <x/>
    </i>
    <i i="1">
      <x v="1"/>
    </i>
  </colItems>
  <dataFields count="2">
    <dataField name="Sum of NPV Normal" fld="16" baseField="0" baseItem="0"/>
    <dataField name="Sum of NPV NS" fld="17" baseField="0" baseItem="0"/>
  </dataFields>
  <formats count="2">
    <format dxfId="660">
      <pivotArea outline="0" collapsedLevelsAreSubtotals="1" fieldPosition="0"/>
    </format>
    <format dxfId="661">
      <pivotArea dataOnly="0" labelOnly="1" outline="0" fieldPosition="0">
        <references count="1">
          <reference field="4294967294" count="2">
            <x v="0"/>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09C6BF-10A9-436B-B70F-472E32D3FD56}" name="PivotTable17" cacheId="170" applyNumberFormats="0" applyBorderFormats="0" applyFontFormats="0" applyPatternFormats="0" applyAlignmentFormats="0" applyWidthHeightFormats="1" dataCaption="Values" updatedVersion="8" minRefreshableVersion="3" showDrill="0" showDataTips="0" useAutoFormatting="1" itemPrintTitles="1" createdVersion="8" indent="0" showHeaders="0" outline="1" outlineData="1" multipleFieldFilters="0" chartFormat="6">
  <location ref="A1:C22" firstHeaderRow="0" firstDataRow="1" firstDataCol="1"/>
  <pivotFields count="21">
    <pivotField axis="axisRow" numFmtId="14" showAll="0">
      <items count="15">
        <item x="0"/>
        <item x="1"/>
        <item x="2"/>
        <item x="3"/>
        <item x="4"/>
        <item x="5"/>
        <item x="6"/>
        <item x="7"/>
        <item x="8"/>
        <item x="9"/>
        <item x="10"/>
        <item x="11"/>
        <item x="12"/>
        <item x="13"/>
        <item t="default"/>
      </items>
    </pivotField>
    <pivotField numFmtId="1" showAll="0"/>
    <pivotField numFmtId="2" showAll="0"/>
    <pivotField numFmtId="1" showAll="0"/>
    <pivotField showAll="0"/>
    <pivotField showAll="0"/>
    <pivotField numFmtId="1" showAll="0"/>
    <pivotField showAll="0"/>
    <pivotField showAll="0"/>
    <pivotField dataField="1" numFmtId="1" showAll="0"/>
    <pivotField numFmtId="2" showAll="0"/>
    <pivotField numFmtId="1" showAll="0"/>
    <pivotField numFmtId="1" showAll="0"/>
    <pivotField showAll="0"/>
    <pivotField showAll="0"/>
    <pivotField dataField="1" numFmtId="1" showAll="0"/>
    <pivotField showAll="0"/>
    <pivotField showAll="0"/>
    <pivotField showAll="0"/>
    <pivotField showAll="0">
      <items count="7">
        <item sd="0" x="0"/>
        <item sd="0" x="1"/>
        <item sd="0" x="2"/>
        <item sd="0" x="3"/>
        <item sd="0" x="4"/>
        <item sd="0" x="5"/>
        <item t="default"/>
      </items>
    </pivotField>
    <pivotField axis="axisRow" showAll="0">
      <items count="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t="default" sd="0"/>
      </items>
    </pivotField>
  </pivotFields>
  <rowFields count="2">
    <field x="20"/>
    <field x="0"/>
  </rowFields>
  <rowItems count="21">
    <i>
      <x v="1"/>
    </i>
    <i>
      <x v="2"/>
    </i>
    <i>
      <x v="3"/>
    </i>
    <i>
      <x v="4"/>
    </i>
    <i>
      <x v="5"/>
    </i>
    <i>
      <x v="6"/>
    </i>
    <i>
      <x v="7"/>
    </i>
    <i>
      <x v="8"/>
    </i>
    <i>
      <x v="9"/>
    </i>
    <i>
      <x v="10"/>
    </i>
    <i>
      <x v="11"/>
    </i>
    <i>
      <x v="12"/>
    </i>
    <i>
      <x v="13"/>
    </i>
    <i>
      <x v="14"/>
    </i>
    <i>
      <x v="15"/>
    </i>
    <i>
      <x v="16"/>
    </i>
    <i>
      <x v="17"/>
    </i>
    <i>
      <x v="18"/>
    </i>
    <i>
      <x v="19"/>
    </i>
    <i>
      <x v="20"/>
    </i>
    <i t="grand">
      <x/>
    </i>
  </rowItems>
  <colFields count="1">
    <field x="-2"/>
  </colFields>
  <colItems count="2">
    <i>
      <x/>
    </i>
    <i i="1">
      <x v="1"/>
    </i>
  </colItems>
  <dataFields count="2">
    <dataField name="Sum of Profit" fld="9" baseField="0" baseItem="0"/>
    <dataField name="Sum of Profit NS" fld="15" baseField="0" baseItem="0"/>
  </dataFields>
  <formats count="2">
    <format dxfId="664">
      <pivotArea outline="0" collapsedLevelsAreSubtotals="1" fieldPosition="0"/>
    </format>
    <format dxfId="665">
      <pivotArea dataOnly="0" labelOnly="1" outline="0" fieldPosition="0">
        <references count="1">
          <reference field="4294967294" count="2">
            <x v="0"/>
            <x v="1"/>
          </reference>
        </references>
      </pivotArea>
    </format>
  </formats>
  <chartFormats count="7">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5" format="6">
      <pivotArea type="data" outline="0" fieldPosition="0">
        <references count="2">
          <reference field="4294967294" count="1" selected="0">
            <x v="1"/>
          </reference>
          <reference field="20"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2D9DED-8A70-45E0-8B08-BEFA17AC7A99}" name="PivotTable15"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2" firstHeaderRow="0" firstDataRow="1" firstDataCol="1"/>
  <pivotFields count="21">
    <pivotField numFmtId="14" showAll="0">
      <items count="15">
        <item x="0"/>
        <item x="1"/>
        <item x="2"/>
        <item x="3"/>
        <item x="4"/>
        <item x="5"/>
        <item x="6"/>
        <item x="7"/>
        <item x="8"/>
        <item x="9"/>
        <item x="10"/>
        <item x="11"/>
        <item x="12"/>
        <item x="13"/>
        <item t="default"/>
      </items>
    </pivotField>
    <pivotField numFmtId="1" showAll="0"/>
    <pivotField dataField="1" numFmtId="2" showAll="0"/>
    <pivotField numFmtId="1" showAll="0"/>
    <pivotField showAll="0"/>
    <pivotField showAll="0"/>
    <pivotField numFmtId="1" showAll="0"/>
    <pivotField showAll="0"/>
    <pivotField showAll="0"/>
    <pivotField numFmtId="1" showAll="0"/>
    <pivotField dataField="1" numFmtId="2" showAll="0"/>
    <pivotField numFmtId="1" showAll="0"/>
    <pivotField numFmtId="1" showAll="0"/>
    <pivotField showAll="0"/>
    <pivotField showAll="0"/>
    <pivotField numFmtId="1" showAll="0"/>
    <pivotField showAll="0"/>
    <pivotField showAll="0"/>
    <pivotField showAll="0"/>
    <pivotField showAll="0">
      <items count="7">
        <item sd="0" x="0"/>
        <item sd="0" x="1"/>
        <item sd="0" x="2"/>
        <item sd="0" x="3"/>
        <item sd="0" x="4"/>
        <item sd="0" x="5"/>
        <item t="default"/>
      </items>
    </pivotField>
    <pivotField axis="axisRow" showAll="0">
      <items count="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t="default"/>
      </items>
    </pivotField>
  </pivotFields>
  <rowFields count="1">
    <field x="20"/>
  </rowFields>
  <rowItems count="21">
    <i>
      <x v="1"/>
    </i>
    <i>
      <x v="2"/>
    </i>
    <i>
      <x v="3"/>
    </i>
    <i>
      <x v="4"/>
    </i>
    <i>
      <x v="5"/>
    </i>
    <i>
      <x v="6"/>
    </i>
    <i>
      <x v="7"/>
    </i>
    <i>
      <x v="8"/>
    </i>
    <i>
      <x v="9"/>
    </i>
    <i>
      <x v="10"/>
    </i>
    <i>
      <x v="11"/>
    </i>
    <i>
      <x v="12"/>
    </i>
    <i>
      <x v="13"/>
    </i>
    <i>
      <x v="14"/>
    </i>
    <i>
      <x v="15"/>
    </i>
    <i>
      <x v="16"/>
    </i>
    <i>
      <x v="17"/>
    </i>
    <i>
      <x v="18"/>
    </i>
    <i>
      <x v="19"/>
    </i>
    <i>
      <x v="20"/>
    </i>
    <i t="grand">
      <x/>
    </i>
  </rowItems>
  <colFields count="1">
    <field x="-2"/>
  </colFields>
  <colItems count="2">
    <i>
      <x/>
    </i>
    <i i="1">
      <x v="1"/>
    </i>
  </colItems>
  <dataFields count="2">
    <dataField name="Average of Tickets" fld="2" subtotal="average" baseField="16" baseItem="1"/>
    <dataField name="Average of Ticket NS" fld="10" subtotal="average" baseField="16" baseItem="1"/>
  </dataFields>
  <formats count="2">
    <format dxfId="662">
      <pivotArea outline="0" collapsedLevelsAreSubtotals="1" fieldPosition="0"/>
    </format>
    <format dxfId="663">
      <pivotArea dataOnly="0" labelOnly="1" outline="0" fieldPosition="0">
        <references count="1">
          <reference field="4294967294" count="2">
            <x v="0"/>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719B96-3201-45EE-BA2E-CE058800A25E}" name="PivotTable14"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2" firstHeaderRow="0" firstDataRow="1" firstDataCol="1"/>
  <pivotFields count="21">
    <pivotField axis="axisRow" numFmtId="14" showAll="0">
      <items count="15">
        <item x="0"/>
        <item x="1"/>
        <item x="2"/>
        <item x="3"/>
        <item x="4"/>
        <item x="5"/>
        <item x="6"/>
        <item x="7"/>
        <item x="8"/>
        <item x="9"/>
        <item x="10"/>
        <item x="11"/>
        <item x="12"/>
        <item x="13"/>
        <item t="default"/>
      </items>
    </pivotField>
    <pivotField numFmtId="1" showAll="0"/>
    <pivotField numFmtId="2" showAll="0"/>
    <pivotField numFmtId="1" showAll="0"/>
    <pivotField showAll="0"/>
    <pivotField showAll="0"/>
    <pivotField numFmtId="1" showAll="0"/>
    <pivotField showAll="0"/>
    <pivotField dataField="1" showAll="0"/>
    <pivotField numFmtId="1" showAll="0"/>
    <pivotField numFmtId="2" showAll="0"/>
    <pivotField numFmtId="1" showAll="0"/>
    <pivotField numFmtId="1" showAll="0"/>
    <pivotField showAll="0"/>
    <pivotField dataField="1" showAll="0"/>
    <pivotField numFmtId="1" showAll="0"/>
    <pivotField showAll="0"/>
    <pivotField showAll="0"/>
    <pivotField showAll="0"/>
    <pivotField showAll="0">
      <items count="7">
        <item sd="0" x="0"/>
        <item sd="0" x="1"/>
        <item sd="0" x="2"/>
        <item sd="0" x="3"/>
        <item sd="0" x="4"/>
        <item sd="0" x="5"/>
        <item t="default"/>
      </items>
    </pivotField>
    <pivotField axis="axisRow" showAll="0">
      <items count="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t="default"/>
      </items>
    </pivotField>
  </pivotFields>
  <rowFields count="2">
    <field x="20"/>
    <field x="0"/>
  </rowFields>
  <rowItems count="21">
    <i>
      <x v="1"/>
    </i>
    <i>
      <x v="2"/>
    </i>
    <i>
      <x v="3"/>
    </i>
    <i>
      <x v="4"/>
    </i>
    <i>
      <x v="5"/>
    </i>
    <i>
      <x v="6"/>
    </i>
    <i>
      <x v="7"/>
    </i>
    <i>
      <x v="8"/>
    </i>
    <i>
      <x v="9"/>
    </i>
    <i>
      <x v="10"/>
    </i>
    <i>
      <x v="11"/>
    </i>
    <i>
      <x v="12"/>
    </i>
    <i>
      <x v="13"/>
    </i>
    <i>
      <x v="14"/>
    </i>
    <i>
      <x v="15"/>
    </i>
    <i>
      <x v="16"/>
    </i>
    <i>
      <x v="17"/>
    </i>
    <i>
      <x v="18"/>
    </i>
    <i>
      <x v="19"/>
    </i>
    <i>
      <x v="20"/>
    </i>
    <i t="grand">
      <x/>
    </i>
  </rowItems>
  <colFields count="1">
    <field x="-2"/>
  </colFields>
  <colItems count="2">
    <i>
      <x/>
    </i>
    <i i="1">
      <x v="1"/>
    </i>
  </colItems>
  <dataFields count="2">
    <dataField name="Sum of Potential Lost" fld="8" baseField="0" baseItem="0"/>
    <dataField name="Sum of Potential lost NS" fld="14" baseField="0" baseItem="0"/>
  </dataFields>
  <formats count="2">
    <format dxfId="658">
      <pivotArea outline="0" collapsedLevelsAreSubtotals="1" fieldPosition="0"/>
    </format>
    <format dxfId="659">
      <pivotArea dataOnly="0" labelOnly="1" outline="0" fieldPosition="0">
        <references count="1">
          <reference field="4294967294" count="2">
            <x v="0"/>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12CDC6C1-B4BF-4D15-9B06-DE26D4EA5CBD}" sourceName="Years">
  <pivotTables>
    <pivotTable tabId="17" name="PivotTable17"/>
    <pivotTable tabId="14" name="PivotTable14"/>
    <pivotTable tabId="16" name="PivotTable15"/>
    <pivotTable tabId="18" name="NPV"/>
  </pivotTables>
  <data>
    <tabular pivotCacheId="1548904390">
      <items count="22">
        <i x="1" s="1"/>
        <i x="2" s="1"/>
        <i x="3" s="1"/>
        <i x="4" s="1"/>
        <i x="5" s="1"/>
        <i x="6" s="1"/>
        <i x="7" s="1"/>
        <i x="8" s="1"/>
        <i x="9" s="1"/>
        <i x="10" s="1"/>
        <i x="11" s="1"/>
        <i x="12" s="1"/>
        <i x="13" s="1"/>
        <i x="14" s="1"/>
        <i x="15" s="1"/>
        <i x="16" s="1"/>
        <i x="17" s="1"/>
        <i x="18" s="1"/>
        <i x="19" s="1"/>
        <i x="20" s="1"/>
        <i x="0" s="1" nd="1"/>
        <i x="2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6299A4BF-FD71-449B-B994-9BFEC6FD66EA}" cache="Slicer_Years" caption="Years" columnCount="11" style="Test"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E32A0F-72B5-4D86-865F-98F9DE93324F}" name="Table3" displayName="Table3" ref="B1:T239" totalsRowCount="1" headerRowDxfId="707" dataDxfId="706" totalsRowDxfId="704" tableBorderDxfId="705">
  <autoFilter ref="B1:T238" xr:uid="{3DE32A0F-72B5-4D86-865F-98F9DE93324F}"/>
  <tableColumns count="19">
    <tableColumn id="1" xr3:uid="{E235D501-65F2-4113-9705-36CCEB8E697A}" name="YEAR" totalsRowLabel="Total" dataDxfId="703" totalsRowDxfId="684"/>
    <tableColumn id="2" xr3:uid="{7EA2100F-FC68-4B0D-9ABE-20A6777B1BF9}" name="Sales Tickets" dataDxfId="702" totalsRowDxfId="683"/>
    <tableColumn id="3" xr3:uid="{E9DCED59-46B9-49F5-9CCE-48B6D9ED8C26}" name="Tickets" totalsRowFunction="average" dataDxfId="701" totalsRowDxfId="682">
      <calculatedColumnFormula>$D$226*'Data Entry'!$D$17</calculatedColumnFormula>
    </tableColumn>
    <tableColumn id="6" xr3:uid="{AAF8C22F-3272-435A-9A74-FD1EF72F77CC}" name="Revenue" totalsRowFunction="sum" dataDxfId="700" totalsRowDxfId="681"/>
    <tableColumn id="5" xr3:uid="{5CD68367-C435-46EA-81D2-9F44C7046357}" name="Sales Forecast" dataDxfId="699" totalsRowDxfId="680"/>
    <tableColumn id="4" xr3:uid="{C97B714C-87B9-4224-8453-67C253607FB0}" name="Revenue Forecast" dataDxfId="698" totalsRowDxfId="679"/>
    <tableColumn id="18" xr3:uid="{DA953C17-C904-4D74-A78E-9031302AC49D}" name="Capacity" dataDxfId="697" totalsRowDxfId="678"/>
    <tableColumn id="20" xr3:uid="{3DBE8862-AD5F-469C-9E3F-94E17F3263F1}" name="Seat availibility" dataDxfId="696" totalsRowDxfId="677">
      <calculatedColumnFormula>Table3[[#This Row],[Capacity]]-Table3[[#This Row],[Sales Forecast]]</calculatedColumnFormula>
    </tableColumn>
    <tableColumn id="22" xr3:uid="{80A121B7-1C34-4022-B10F-1ECAB7735B28}" name="Potential Lost" totalsRowFunction="sum" dataDxfId="695" totalsRowDxfId="676">
      <calculatedColumnFormula>IF(Table3[[#This Row],[Seat availibility]]&gt;0,,Table3[[#This Row],[Seat availibility]]*Table3[[#This Row],[Tickets]])</calculatedColumnFormula>
    </tableColumn>
    <tableColumn id="25" xr3:uid="{DF398E70-F071-4BC5-8026-4DC6C54A6EFB}" name="Profit" dataDxfId="694" totalsRowDxfId="675">
      <calculatedColumnFormula>Table3[[#This Row],[Revenue]]-Table3[[#This Row],[Payments]]</calculatedColumnFormula>
    </tableColumn>
    <tableColumn id="9" xr3:uid="{A0E6A9F8-5140-48FD-8F7C-8C880A56FBAB}" name="Ticket NS" totalsRowFunction="average" dataDxfId="693" totalsRowDxfId="674"/>
    <tableColumn id="10" xr3:uid="{8455A210-5C9D-4FB6-9732-09C36A2440B7}" name="Revenue NS" totalsRowFunction="custom" dataDxfId="692" totalsRowDxfId="673">
      <totalsRowFormula>SUBTOTAL(9,Table3[Revenue NS])</totalsRowFormula>
    </tableColumn>
    <tableColumn id="16" xr3:uid="{013D9017-977A-4B00-8413-528B1DC97D31}" name="Capacity NS" dataDxfId="691" totalsRowDxfId="672">
      <calculatedColumnFormula>'Data Entry'!$D$7</calculatedColumnFormula>
    </tableColumn>
    <tableColumn id="23" xr3:uid="{1D81A8AF-AA3F-481E-B43F-6FB6F9C780A5}" name="Seat Availibility NS" dataDxfId="690" totalsRowDxfId="671"/>
    <tableColumn id="24" xr3:uid="{E86D2DB4-B29F-4F3D-B313-26E2E21C2641}" name="Potential lost NS" totalsRowFunction="sum" dataDxfId="689" totalsRowDxfId="670"/>
    <tableColumn id="26" xr3:uid="{988784C3-5909-4954-BE45-05AA7A9A75DD}" name="Profit NS" dataDxfId="688" totalsRowDxfId="669">
      <calculatedColumnFormula>Table3[[#This Row],[Revenue NS]]</calculatedColumnFormula>
    </tableColumn>
    <tableColumn id="7" xr3:uid="{4E631E07-3339-4C5E-9B2F-B3FCEA469323}" name="NPV Normal" dataDxfId="687" totalsRowDxfId="668"/>
    <tableColumn id="11" xr3:uid="{512C8CD8-2519-46E1-92E9-8BAE6AA3DDE1}" name="NPV NS" dataDxfId="686" totalsRowDxfId="667"/>
    <tableColumn id="8" xr3:uid="{4CC4B594-A4E2-418C-8400-20DD076C1BAB}" name="Payments" totalsRowFunction="sum" dataDxfId="685" totalsRowDxfId="6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F3FA5F8-3DF5-410D-A656-53BD29F35A02}">
  <we:reference id="wa104381504" version="1.0.0.0" store="en-US"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32CB3-EFFA-489B-80D5-29F6A4C011F8}">
  <dimension ref="B1:G42"/>
  <sheetViews>
    <sheetView showGridLines="0" workbookViewId="0">
      <selection activeCell="J19" sqref="J19"/>
    </sheetView>
  </sheetViews>
  <sheetFormatPr defaultRowHeight="15" x14ac:dyDescent="0.25"/>
  <cols>
    <col min="1" max="1" width="9.140625" style="13"/>
    <col min="2" max="2" width="46.42578125" style="13" bestFit="1" customWidth="1"/>
    <col min="3" max="3" width="9" style="13" bestFit="1" customWidth="1"/>
    <col min="4" max="4" width="9" style="53" bestFit="1" customWidth="1"/>
    <col min="5" max="5" width="11.42578125" style="53" bestFit="1" customWidth="1"/>
    <col min="6" max="6" width="16.85546875" style="13" customWidth="1"/>
    <col min="7" max="10" width="9.140625" style="13"/>
    <col min="11" max="11" width="9.140625" style="13" customWidth="1"/>
    <col min="12" max="16384" width="9.140625" style="13"/>
  </cols>
  <sheetData>
    <row r="1" spans="2:7" ht="15" customHeight="1" x14ac:dyDescent="0.25">
      <c r="B1" s="26" t="s">
        <v>56</v>
      </c>
      <c r="C1" s="27"/>
      <c r="D1" s="27"/>
      <c r="E1" s="27"/>
    </row>
    <row r="2" spans="2:7" ht="15" customHeight="1" x14ac:dyDescent="0.25">
      <c r="B2" s="28"/>
      <c r="C2" s="29"/>
      <c r="D2" s="29"/>
      <c r="E2" s="29"/>
    </row>
    <row r="3" spans="2:7" x14ac:dyDescent="0.25">
      <c r="B3" s="15" t="s">
        <v>69</v>
      </c>
      <c r="C3" s="16" t="s">
        <v>68</v>
      </c>
      <c r="D3" s="49">
        <v>10</v>
      </c>
      <c r="E3" s="49">
        <v>55000000</v>
      </c>
    </row>
    <row r="4" spans="2:7" x14ac:dyDescent="0.25">
      <c r="B4" s="15" t="s">
        <v>70</v>
      </c>
      <c r="C4" s="16">
        <v>3000000</v>
      </c>
      <c r="D4" s="50">
        <v>3</v>
      </c>
      <c r="E4" s="49">
        <f>C4*D4</f>
        <v>9000000</v>
      </c>
      <c r="F4" s="14">
        <f>D4*1000</f>
        <v>3000</v>
      </c>
    </row>
    <row r="5" spans="2:7" x14ac:dyDescent="0.25">
      <c r="B5" s="15" t="s">
        <v>7</v>
      </c>
      <c r="C5" s="16" t="s">
        <v>68</v>
      </c>
      <c r="D5" s="49" t="s">
        <v>68</v>
      </c>
      <c r="E5" s="49">
        <f>E3+E4</f>
        <v>64000000</v>
      </c>
    </row>
    <row r="6" spans="2:7" ht="15.75" x14ac:dyDescent="0.25">
      <c r="B6" s="21" t="s">
        <v>52</v>
      </c>
      <c r="C6" s="21"/>
      <c r="D6" s="21"/>
      <c r="E6" s="51"/>
      <c r="F6" s="22"/>
      <c r="G6" s="23"/>
    </row>
    <row r="7" spans="2:7" x14ac:dyDescent="0.25">
      <c r="B7" s="18" t="s">
        <v>53</v>
      </c>
      <c r="C7" s="18"/>
      <c r="D7" s="52">
        <v>29000</v>
      </c>
    </row>
    <row r="8" spans="2:7" x14ac:dyDescent="0.25">
      <c r="B8" s="18" t="s">
        <v>54</v>
      </c>
      <c r="C8" s="18"/>
      <c r="D8" s="52">
        <v>19000</v>
      </c>
    </row>
    <row r="9" spans="2:7" x14ac:dyDescent="0.25">
      <c r="B9" s="18" t="s">
        <v>55</v>
      </c>
      <c r="C9" s="18"/>
      <c r="D9" s="52">
        <f>29000+(D4*1000)</f>
        <v>32000</v>
      </c>
    </row>
    <row r="10" spans="2:7" ht="15.75" x14ac:dyDescent="0.25">
      <c r="B10" s="20" t="s">
        <v>6</v>
      </c>
      <c r="C10" s="21"/>
      <c r="D10" s="21"/>
      <c r="E10" s="51"/>
    </row>
    <row r="11" spans="2:7" x14ac:dyDescent="0.25">
      <c r="B11" s="18" t="s">
        <v>8</v>
      </c>
      <c r="C11" s="18"/>
      <c r="D11" s="52">
        <v>0.3</v>
      </c>
      <c r="E11" s="52">
        <f>E5*D11</f>
        <v>19200000</v>
      </c>
    </row>
    <row r="12" spans="2:7" x14ac:dyDescent="0.25">
      <c r="B12" s="18" t="s">
        <v>9</v>
      </c>
      <c r="C12" s="18"/>
      <c r="D12" s="52">
        <v>0.1</v>
      </c>
      <c r="E12" s="52">
        <f>E5*D12</f>
        <v>6400000</v>
      </c>
    </row>
    <row r="13" spans="2:7" x14ac:dyDescent="0.25">
      <c r="B13" s="18" t="s">
        <v>10</v>
      </c>
      <c r="C13" s="18"/>
      <c r="D13" s="52">
        <v>20</v>
      </c>
      <c r="E13" s="52">
        <f>(E5-E11-E12)/D13</f>
        <v>1920000</v>
      </c>
    </row>
    <row r="14" spans="2:7" ht="15.75" x14ac:dyDescent="0.25">
      <c r="B14" s="24" t="s">
        <v>11</v>
      </c>
      <c r="C14" s="25"/>
      <c r="D14" s="25"/>
      <c r="E14" s="51"/>
    </row>
    <row r="15" spans="2:7" x14ac:dyDescent="0.25">
      <c r="B15" s="18" t="s">
        <v>0</v>
      </c>
      <c r="C15" s="18"/>
      <c r="D15" s="52">
        <v>30</v>
      </c>
    </row>
    <row r="16" spans="2:7" x14ac:dyDescent="0.25">
      <c r="B16" s="18" t="s">
        <v>12</v>
      </c>
      <c r="C16" s="18"/>
      <c r="D16" s="52">
        <v>15</v>
      </c>
    </row>
    <row r="17" spans="2:5" x14ac:dyDescent="0.25">
      <c r="B17" s="18" t="s">
        <v>14</v>
      </c>
      <c r="C17" s="18"/>
      <c r="D17" s="52">
        <v>1.02</v>
      </c>
    </row>
    <row r="18" spans="2:5" x14ac:dyDescent="0.25">
      <c r="B18" s="18" t="s">
        <v>13</v>
      </c>
      <c r="C18" s="18"/>
      <c r="D18" s="52">
        <v>1.25</v>
      </c>
    </row>
    <row r="19" spans="2:5" x14ac:dyDescent="0.25">
      <c r="B19" s="19" t="s">
        <v>15</v>
      </c>
      <c r="C19" s="19"/>
      <c r="D19" s="54">
        <v>9</v>
      </c>
    </row>
    <row r="20" spans="2:5" x14ac:dyDescent="0.25">
      <c r="B20" s="17" t="s">
        <v>16</v>
      </c>
      <c r="C20" s="16" t="s">
        <v>3</v>
      </c>
      <c r="D20" s="49" t="s">
        <v>17</v>
      </c>
      <c r="E20" s="49" t="s">
        <v>18</v>
      </c>
    </row>
    <row r="21" spans="2:5" x14ac:dyDescent="0.25">
      <c r="C21" s="15">
        <v>2022</v>
      </c>
      <c r="D21" s="55">
        <v>25564</v>
      </c>
      <c r="E21" s="52">
        <v>19000</v>
      </c>
    </row>
    <row r="22" spans="2:5" x14ac:dyDescent="0.25">
      <c r="C22" s="15">
        <v>2023</v>
      </c>
      <c r="D22" s="55">
        <v>26331</v>
      </c>
      <c r="E22" s="52">
        <v>19000</v>
      </c>
    </row>
    <row r="23" spans="2:5" x14ac:dyDescent="0.25">
      <c r="C23" s="15">
        <v>2024</v>
      </c>
      <c r="D23" s="55">
        <v>27121</v>
      </c>
      <c r="E23" s="52">
        <v>27121</v>
      </c>
    </row>
    <row r="24" spans="2:5" x14ac:dyDescent="0.25">
      <c r="C24" s="15">
        <v>2025</v>
      </c>
      <c r="D24" s="55">
        <v>27934</v>
      </c>
      <c r="E24" s="52">
        <v>27934</v>
      </c>
    </row>
    <row r="25" spans="2:5" x14ac:dyDescent="0.25">
      <c r="C25" s="15">
        <v>2026</v>
      </c>
      <c r="D25" s="55">
        <v>28773</v>
      </c>
      <c r="E25" s="52">
        <v>28773</v>
      </c>
    </row>
    <row r="26" spans="2:5" x14ac:dyDescent="0.25">
      <c r="C26" s="15">
        <v>2027</v>
      </c>
      <c r="D26" s="55">
        <v>29636</v>
      </c>
      <c r="E26" s="52">
        <v>26636</v>
      </c>
    </row>
    <row r="27" spans="2:5" x14ac:dyDescent="0.25">
      <c r="C27" s="15">
        <v>2028</v>
      </c>
      <c r="D27" s="55">
        <v>30525</v>
      </c>
      <c r="E27" s="52">
        <v>30000</v>
      </c>
    </row>
    <row r="28" spans="2:5" x14ac:dyDescent="0.25">
      <c r="C28" s="15">
        <v>2029</v>
      </c>
      <c r="D28" s="55">
        <v>31440</v>
      </c>
      <c r="E28" s="52">
        <v>30000</v>
      </c>
    </row>
    <row r="29" spans="2:5" x14ac:dyDescent="0.25">
      <c r="C29" s="15">
        <v>2030</v>
      </c>
      <c r="D29" s="55">
        <v>32384</v>
      </c>
      <c r="E29" s="52">
        <v>30000</v>
      </c>
    </row>
    <row r="30" spans="2:5" x14ac:dyDescent="0.25">
      <c r="C30" s="15">
        <v>2031</v>
      </c>
      <c r="D30" s="55">
        <v>33355</v>
      </c>
      <c r="E30" s="52">
        <v>30000</v>
      </c>
    </row>
    <row r="31" spans="2:5" x14ac:dyDescent="0.25">
      <c r="C31" s="15">
        <v>2032</v>
      </c>
      <c r="D31" s="55">
        <v>34356</v>
      </c>
      <c r="E31" s="52">
        <v>30000</v>
      </c>
    </row>
    <row r="32" spans="2:5" x14ac:dyDescent="0.25">
      <c r="C32" s="15">
        <v>2033</v>
      </c>
      <c r="D32" s="55">
        <v>35387</v>
      </c>
      <c r="E32" s="52">
        <v>30000</v>
      </c>
    </row>
    <row r="33" spans="2:5" x14ac:dyDescent="0.25">
      <c r="C33" s="15">
        <v>2034</v>
      </c>
      <c r="D33" s="55">
        <v>35740</v>
      </c>
      <c r="E33" s="52">
        <v>30000</v>
      </c>
    </row>
    <row r="34" spans="2:5" x14ac:dyDescent="0.25">
      <c r="C34" s="15">
        <v>2035</v>
      </c>
      <c r="D34" s="55">
        <v>36098</v>
      </c>
      <c r="E34" s="52">
        <v>30000</v>
      </c>
    </row>
    <row r="35" spans="2:5" x14ac:dyDescent="0.25">
      <c r="C35" s="15">
        <v>2036</v>
      </c>
      <c r="D35" s="55">
        <v>36459</v>
      </c>
      <c r="E35" s="52">
        <v>30000</v>
      </c>
    </row>
    <row r="36" spans="2:5" x14ac:dyDescent="0.25">
      <c r="C36" s="15">
        <v>2037</v>
      </c>
      <c r="D36" s="55">
        <v>36823</v>
      </c>
      <c r="E36" s="52">
        <v>30000</v>
      </c>
    </row>
    <row r="37" spans="2:5" x14ac:dyDescent="0.25">
      <c r="C37" s="15">
        <v>2038</v>
      </c>
      <c r="D37" s="55">
        <v>37192</v>
      </c>
      <c r="E37" s="52">
        <v>30000</v>
      </c>
    </row>
    <row r="38" spans="2:5" x14ac:dyDescent="0.25">
      <c r="C38" s="15">
        <v>2039</v>
      </c>
      <c r="D38" s="55">
        <v>37564</v>
      </c>
      <c r="E38" s="52">
        <v>30000</v>
      </c>
    </row>
    <row r="39" spans="2:5" x14ac:dyDescent="0.25">
      <c r="C39" s="15">
        <v>2040</v>
      </c>
      <c r="D39" s="55">
        <v>37939</v>
      </c>
      <c r="E39" s="52">
        <v>30000</v>
      </c>
    </row>
    <row r="40" spans="2:5" x14ac:dyDescent="0.25">
      <c r="C40" s="15">
        <v>2041</v>
      </c>
      <c r="D40" s="55">
        <v>38319</v>
      </c>
      <c r="E40" s="52">
        <v>30000</v>
      </c>
    </row>
    <row r="41" spans="2:5" ht="15.75" x14ac:dyDescent="0.25">
      <c r="B41" s="58" t="s">
        <v>71</v>
      </c>
      <c r="C41" s="58"/>
      <c r="D41" s="58"/>
      <c r="E41" s="65"/>
    </row>
    <row r="42" spans="2:5" x14ac:dyDescent="0.25">
      <c r="B42" s="64" t="s">
        <v>64</v>
      </c>
      <c r="C42" s="64"/>
      <c r="D42" s="63">
        <v>0.15</v>
      </c>
      <c r="E42" s="62"/>
    </row>
  </sheetData>
  <mergeCells count="18">
    <mergeCell ref="B41:D41"/>
    <mergeCell ref="B42:C42"/>
    <mergeCell ref="B11:C11"/>
    <mergeCell ref="B12:C12"/>
    <mergeCell ref="B13:C13"/>
    <mergeCell ref="B14:D14"/>
    <mergeCell ref="B1:E2"/>
    <mergeCell ref="B10:D10"/>
    <mergeCell ref="F6:G6"/>
    <mergeCell ref="B7:C7"/>
    <mergeCell ref="B8:C8"/>
    <mergeCell ref="B9:C9"/>
    <mergeCell ref="B6:D6"/>
    <mergeCell ref="B15:C15"/>
    <mergeCell ref="B16:C16"/>
    <mergeCell ref="B17:C17"/>
    <mergeCell ref="B18:C18"/>
    <mergeCell ref="B19:C19"/>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99D1-D2B7-4CF4-856D-B414F9DCA33C}">
  <dimension ref="B1:Z239"/>
  <sheetViews>
    <sheetView showGridLines="0" topLeftCell="A207" zoomScale="85" zoomScaleNormal="85" workbookViewId="0">
      <selection activeCell="G243" sqref="E243:G245"/>
    </sheetView>
  </sheetViews>
  <sheetFormatPr defaultRowHeight="15" x14ac:dyDescent="0.25"/>
  <cols>
    <col min="2" max="2" width="10.85546875" style="3" bestFit="1" customWidth="1"/>
    <col min="3" max="3" width="17.28515625" style="30" customWidth="1"/>
    <col min="4" max="4" width="12.42578125" style="30" customWidth="1"/>
    <col min="5" max="5" width="13.7109375" style="30" customWidth="1"/>
    <col min="6" max="6" width="18.42578125" style="30" customWidth="1"/>
    <col min="7" max="11" width="21.42578125" style="30" customWidth="1"/>
    <col min="12" max="12" width="19.85546875" style="30" customWidth="1"/>
    <col min="13" max="19" width="22.140625" style="30" customWidth="1"/>
    <col min="20" max="20" width="14.7109375" style="30" bestFit="1" customWidth="1"/>
    <col min="21" max="21" width="14.7109375" style="30" customWidth="1"/>
    <col min="23" max="23" width="22.140625" bestFit="1" customWidth="1"/>
    <col min="24" max="24" width="14.7109375" style="5" bestFit="1" customWidth="1"/>
    <col min="26" max="26" width="20.5703125" style="6" bestFit="1" customWidth="1"/>
    <col min="29" max="29" width="48.85546875" bestFit="1" customWidth="1"/>
    <col min="30" max="30" width="9.28515625" bestFit="1" customWidth="1"/>
    <col min="31" max="31" width="9" bestFit="1" customWidth="1"/>
    <col min="32" max="32" width="12" bestFit="1" customWidth="1"/>
    <col min="33" max="33" width="11.42578125" bestFit="1" customWidth="1"/>
  </cols>
  <sheetData>
    <row r="1" spans="2:22" ht="15.75" thickBot="1" x14ac:dyDescent="0.3">
      <c r="B1" s="7" t="s">
        <v>3</v>
      </c>
      <c r="C1" s="31" t="s">
        <v>22</v>
      </c>
      <c r="D1" s="32" t="s">
        <v>20</v>
      </c>
      <c r="E1" s="33" t="s">
        <v>19</v>
      </c>
      <c r="F1" s="34" t="s">
        <v>23</v>
      </c>
      <c r="G1" s="35" t="s">
        <v>21</v>
      </c>
      <c r="H1" s="34" t="s">
        <v>2</v>
      </c>
      <c r="I1" s="34" t="s">
        <v>24</v>
      </c>
      <c r="J1" s="34" t="s">
        <v>25</v>
      </c>
      <c r="K1" s="34" t="s">
        <v>60</v>
      </c>
      <c r="L1" s="34" t="s">
        <v>51</v>
      </c>
      <c r="M1" s="34" t="s">
        <v>50</v>
      </c>
      <c r="N1" s="34" t="s">
        <v>49</v>
      </c>
      <c r="O1" s="34" t="s">
        <v>48</v>
      </c>
      <c r="P1" s="34" t="s">
        <v>47</v>
      </c>
      <c r="Q1" s="34" t="s">
        <v>61</v>
      </c>
      <c r="R1" s="34" t="s">
        <v>65</v>
      </c>
      <c r="S1" s="34" t="s">
        <v>66</v>
      </c>
      <c r="T1" s="36" t="s">
        <v>6</v>
      </c>
      <c r="U1" s="56"/>
      <c r="V1" s="6"/>
    </row>
    <row r="2" spans="2:22" x14ac:dyDescent="0.25">
      <c r="B2" s="7">
        <v>44652</v>
      </c>
      <c r="C2" s="37">
        <f>230076/9</f>
        <v>25564</v>
      </c>
      <c r="D2" s="38">
        <f>'Data Entry'!$D$15+'Data Entry'!$D$16</f>
        <v>45</v>
      </c>
      <c r="E2" s="39">
        <v>10353420</v>
      </c>
      <c r="F2" s="34"/>
      <c r="G2" s="38"/>
      <c r="H2" s="38">
        <f>'Data Entry'!$D$7</f>
        <v>29000</v>
      </c>
      <c r="I2" s="38"/>
      <c r="J2" s="38"/>
      <c r="K2" s="38">
        <f>Table3[[#This Row],[Revenue]]-Table3[[#This Row],[Payments]]</f>
        <v>10353420</v>
      </c>
      <c r="L2" s="40">
        <f>'Data Entry'!$D$15+'Data Entry'!$D$16</f>
        <v>45</v>
      </c>
      <c r="M2" s="41">
        <v>10353420</v>
      </c>
      <c r="N2" s="38">
        <f>'Data Entry'!$D$7</f>
        <v>29000</v>
      </c>
      <c r="O2" s="38"/>
      <c r="P2" s="38"/>
      <c r="Q2" s="38">
        <f>Table3[[#This Row],[Revenue NS]]</f>
        <v>10353420</v>
      </c>
      <c r="R2" s="38"/>
      <c r="S2" s="38"/>
      <c r="T2" s="42"/>
      <c r="U2" s="57"/>
      <c r="V2" s="6"/>
    </row>
    <row r="3" spans="2:22" x14ac:dyDescent="0.25">
      <c r="B3" s="7">
        <v>44682</v>
      </c>
      <c r="C3" s="37">
        <f t="shared" ref="C3:C4" si="0">230076/9</f>
        <v>25564</v>
      </c>
      <c r="D3" s="38">
        <f>'Data Entry'!$D$15+'Data Entry'!$D$16</f>
        <v>45</v>
      </c>
      <c r="E3" s="39">
        <v>10353420</v>
      </c>
      <c r="F3" s="34"/>
      <c r="G3" s="38"/>
      <c r="H3" s="38">
        <f>'Data Entry'!$D$7</f>
        <v>29000</v>
      </c>
      <c r="I3" s="38"/>
      <c r="J3" s="38"/>
      <c r="K3" s="38">
        <f>Table3[[#This Row],[Revenue]]-Table3[[#This Row],[Payments]]</f>
        <v>10353420</v>
      </c>
      <c r="L3" s="37">
        <f>'Data Entry'!$D$15+'Data Entry'!$D$16</f>
        <v>45</v>
      </c>
      <c r="M3" s="38">
        <v>10353420</v>
      </c>
      <c r="N3" s="38">
        <f>'Data Entry'!$D$7</f>
        <v>29000</v>
      </c>
      <c r="O3" s="38"/>
      <c r="P3" s="38"/>
      <c r="Q3" s="38">
        <f>Table3[[#This Row],[Revenue NS]]</f>
        <v>10353420</v>
      </c>
      <c r="R3" s="38"/>
      <c r="S3" s="38"/>
      <c r="T3" s="42"/>
      <c r="U3" s="57"/>
      <c r="V3" s="6"/>
    </row>
    <row r="4" spans="2:22" x14ac:dyDescent="0.25">
      <c r="B4" s="7">
        <v>44713</v>
      </c>
      <c r="C4" s="37">
        <f t="shared" si="0"/>
        <v>25564</v>
      </c>
      <c r="D4" s="38">
        <f>'Data Entry'!$D$15+'Data Entry'!$D$16</f>
        <v>45</v>
      </c>
      <c r="E4" s="39">
        <v>10353420</v>
      </c>
      <c r="F4" s="34"/>
      <c r="G4" s="38"/>
      <c r="H4" s="38">
        <f>'Data Entry'!$D$7</f>
        <v>29000</v>
      </c>
      <c r="I4" s="38"/>
      <c r="J4" s="38"/>
      <c r="K4" s="38">
        <f>Table3[[#This Row],[Revenue]]-Table3[[#This Row],[Payments]]</f>
        <v>10353420</v>
      </c>
      <c r="L4" s="37">
        <f>'Data Entry'!$D$15+'Data Entry'!$D$16</f>
        <v>45</v>
      </c>
      <c r="M4" s="38">
        <v>10353420</v>
      </c>
      <c r="N4" s="38">
        <f>'Data Entry'!$D$7</f>
        <v>29000</v>
      </c>
      <c r="O4" s="38"/>
      <c r="P4" s="38"/>
      <c r="Q4" s="38">
        <f>Table3[[#This Row],[Revenue NS]]</f>
        <v>10353420</v>
      </c>
      <c r="R4" s="38"/>
      <c r="S4" s="38"/>
      <c r="T4" s="42"/>
      <c r="U4" s="57"/>
      <c r="V4" s="6"/>
    </row>
    <row r="5" spans="2:22" x14ac:dyDescent="0.25">
      <c r="B5" s="7">
        <v>44743</v>
      </c>
      <c r="C5" s="37">
        <f>'Data Entry'!$E$21</f>
        <v>19000</v>
      </c>
      <c r="D5" s="38">
        <f>'Data Entry'!$D$15+'Data Entry'!$D$16</f>
        <v>45</v>
      </c>
      <c r="E5" s="39">
        <f>Table3[[#This Row],[Sales Tickets]]*Table3[[#This Row],[Tickets]]*'Data Entry'!$D$19</f>
        <v>7695000</v>
      </c>
      <c r="F5" s="34">
        <f>'Data Entry'!$D$21</f>
        <v>25564</v>
      </c>
      <c r="G5" s="38">
        <f>Table3[[#This Row],[Sales Forecast]]*Table3[[#This Row],[Tickets]]*'Data Entry'!$D$19</f>
        <v>10353420</v>
      </c>
      <c r="H5" s="38">
        <f>'Data Entry'!$D$8</f>
        <v>19000</v>
      </c>
      <c r="I5" s="38">
        <f>Table3[[#This Row],[Sales Forecast]]-Table3[[#This Row],[Capacity]]</f>
        <v>6564</v>
      </c>
      <c r="J5" s="38">
        <f>IF(Table3[[#This Row],[Seat availibility]]&gt;0,Table3[[#This Row],[Seat availibility]]*Table3[[#This Row],[Tickets]],)</f>
        <v>295380</v>
      </c>
      <c r="K5" s="38">
        <f>Table3[[#This Row],[Revenue]]-Table3[[#This Row],[Payments]]</f>
        <v>-11505000</v>
      </c>
      <c r="L5" s="37">
        <f>'Data Entry'!$D$15+'Data Entry'!$D$16</f>
        <v>45</v>
      </c>
      <c r="M5" s="38">
        <f>Table3[[#This Row],[Sales Tickets]]*Table3[[#This Row],[Ticket NS]]</f>
        <v>855000</v>
      </c>
      <c r="N5" s="38">
        <f>'Data Entry'!$D$7</f>
        <v>29000</v>
      </c>
      <c r="O5" s="38">
        <f>Table3[[#This Row],[Sales Forecast]]-Table3[[#This Row],[Capacity NS]]</f>
        <v>-3436</v>
      </c>
      <c r="P5" s="38">
        <f>IF(Table3[[#This Row],[Seat Availibility NS]]&gt;0,Table3[[#This Row],[Seat Availibility NS]]*Table3[[#This Row],[Ticket NS]],)</f>
        <v>0</v>
      </c>
      <c r="Q5" s="38">
        <f>Table3[[#This Row],[Revenue NS]]</f>
        <v>855000</v>
      </c>
      <c r="R5" s="38"/>
      <c r="S5" s="38"/>
      <c r="T5" s="42">
        <f>'Data Entry'!E11</f>
        <v>19200000</v>
      </c>
      <c r="U5" s="57"/>
      <c r="V5" s="6"/>
    </row>
    <row r="6" spans="2:22" x14ac:dyDescent="0.25">
      <c r="B6" s="7">
        <v>44774</v>
      </c>
      <c r="C6" s="37">
        <f>'Data Entry'!$E$21</f>
        <v>19000</v>
      </c>
      <c r="D6" s="38">
        <f>'Data Entry'!$D$15+'Data Entry'!$D$16</f>
        <v>45</v>
      </c>
      <c r="E6" s="39">
        <f>Table3[[#This Row],[Sales Tickets]]*Table3[[#This Row],[Tickets]]*'Data Entry'!$D$19</f>
        <v>7695000</v>
      </c>
      <c r="F6" s="34">
        <f>'Data Entry'!$D$21</f>
        <v>25564</v>
      </c>
      <c r="G6" s="38">
        <f>Table3[[#This Row],[Sales Forecast]]*Table3[[#This Row],[Tickets]]*'Data Entry'!$D$19</f>
        <v>10353420</v>
      </c>
      <c r="H6" s="38">
        <f>'Data Entry'!$D$8</f>
        <v>19000</v>
      </c>
      <c r="I6" s="38">
        <f>Table3[[#This Row],[Sales Forecast]]-Table3[[#This Row],[Capacity]]</f>
        <v>6564</v>
      </c>
      <c r="J6" s="38">
        <f>IF(Table3[[#This Row],[Seat availibility]]&gt;0,Table3[[#This Row],[Seat availibility]]*Table3[[#This Row],[Tickets]],)</f>
        <v>295380</v>
      </c>
      <c r="K6" s="38">
        <f>Table3[[#This Row],[Revenue]]-Table3[[#This Row],[Payments]]</f>
        <v>5775000</v>
      </c>
      <c r="L6" s="37">
        <f>'Data Entry'!$D$15+'Data Entry'!$D$16</f>
        <v>45</v>
      </c>
      <c r="M6" s="38">
        <f>Table3[[#This Row],[Sales Tickets]]*Table3[[#This Row],[Ticket NS]]</f>
        <v>855000</v>
      </c>
      <c r="N6" s="38">
        <f>'Data Entry'!$D$7</f>
        <v>29000</v>
      </c>
      <c r="O6" s="38">
        <f>Table3[[#This Row],[Sales Forecast]]-Table3[[#This Row],[Capacity NS]]</f>
        <v>-3436</v>
      </c>
      <c r="P6" s="38">
        <f>IF(Table3[[#This Row],[Seat Availibility NS]]&gt;0,Table3[[#This Row],[Seat Availibility NS]]*Table3[[#This Row],[Ticket NS]],)</f>
        <v>0</v>
      </c>
      <c r="Q6" s="38">
        <f>Table3[[#This Row],[Revenue NS]]</f>
        <v>855000</v>
      </c>
      <c r="R6" s="38"/>
      <c r="S6" s="38"/>
      <c r="T6" s="42">
        <f>'Data Entry'!$E$13</f>
        <v>1920000</v>
      </c>
      <c r="U6" s="57"/>
      <c r="V6" s="6"/>
    </row>
    <row r="7" spans="2:22" x14ac:dyDescent="0.25">
      <c r="B7" s="7">
        <v>44805</v>
      </c>
      <c r="C7" s="37">
        <f>'Data Entry'!$E$21</f>
        <v>19000</v>
      </c>
      <c r="D7" s="38">
        <f>'Data Entry'!$D$15+'Data Entry'!$D$16</f>
        <v>45</v>
      </c>
      <c r="E7" s="39">
        <f>Table3[[#This Row],[Sales Tickets]]*Table3[[#This Row],[Tickets]]*'Data Entry'!$D$19</f>
        <v>7695000</v>
      </c>
      <c r="F7" s="34">
        <f>'Data Entry'!$D$21</f>
        <v>25564</v>
      </c>
      <c r="G7" s="38">
        <f>Table3[[#This Row],[Sales Forecast]]*Table3[[#This Row],[Tickets]]*'Data Entry'!$D$19</f>
        <v>10353420</v>
      </c>
      <c r="H7" s="38">
        <f>'Data Entry'!$D$8</f>
        <v>19000</v>
      </c>
      <c r="I7" s="38">
        <f>Table3[[#This Row],[Sales Forecast]]-Table3[[#This Row],[Capacity]]</f>
        <v>6564</v>
      </c>
      <c r="J7" s="38">
        <f>IF(Table3[[#This Row],[Seat availibility]]&gt;0,Table3[[#This Row],[Seat availibility]]*Table3[[#This Row],[Tickets]],)</f>
        <v>295380</v>
      </c>
      <c r="K7" s="38">
        <f>Table3[[#This Row],[Revenue]]-Table3[[#This Row],[Payments]]</f>
        <v>5775000</v>
      </c>
      <c r="L7" s="37">
        <f>'Data Entry'!$D$15+'Data Entry'!$D$16</f>
        <v>45</v>
      </c>
      <c r="M7" s="38">
        <f>Table3[[#This Row],[Sales Tickets]]*Table3[[#This Row],[Ticket NS]]</f>
        <v>855000</v>
      </c>
      <c r="N7" s="38">
        <f>'Data Entry'!$D$7</f>
        <v>29000</v>
      </c>
      <c r="O7" s="38">
        <f>Table3[[#This Row],[Sales Forecast]]-Table3[[#This Row],[Capacity NS]]</f>
        <v>-3436</v>
      </c>
      <c r="P7" s="38">
        <f>IF(Table3[[#This Row],[Seat Availibility NS]]&gt;0,Table3[[#This Row],[Seat Availibility NS]]*Table3[[#This Row],[Ticket NS]],)</f>
        <v>0</v>
      </c>
      <c r="Q7" s="38">
        <f>Table3[[#This Row],[Revenue NS]]</f>
        <v>855000</v>
      </c>
      <c r="R7" s="38"/>
      <c r="S7" s="38"/>
      <c r="T7" s="42">
        <f>'Data Entry'!$E$13</f>
        <v>1920000</v>
      </c>
      <c r="U7" s="57"/>
      <c r="V7" s="6"/>
    </row>
    <row r="8" spans="2:22" x14ac:dyDescent="0.25">
      <c r="B8" s="7">
        <v>44835</v>
      </c>
      <c r="C8" s="37">
        <f>'Data Entry'!$E$21</f>
        <v>19000</v>
      </c>
      <c r="D8" s="38">
        <f>'Data Entry'!$D$15+'Data Entry'!$D$16</f>
        <v>45</v>
      </c>
      <c r="E8" s="39">
        <f>Table3[[#This Row],[Sales Tickets]]*Table3[[#This Row],[Tickets]]*'Data Entry'!$D$19</f>
        <v>7695000</v>
      </c>
      <c r="F8" s="34">
        <f>'Data Entry'!$D$21</f>
        <v>25564</v>
      </c>
      <c r="G8" s="38">
        <f>Table3[[#This Row],[Sales Forecast]]*Table3[[#This Row],[Tickets]]*'Data Entry'!$D$19</f>
        <v>10353420</v>
      </c>
      <c r="H8" s="38">
        <f>'Data Entry'!$D$8</f>
        <v>19000</v>
      </c>
      <c r="I8" s="38">
        <f>Table3[[#This Row],[Sales Forecast]]-Table3[[#This Row],[Capacity]]</f>
        <v>6564</v>
      </c>
      <c r="J8" s="38">
        <f>IF(Table3[[#This Row],[Seat availibility]]&gt;0,Table3[[#This Row],[Seat availibility]]*Table3[[#This Row],[Tickets]],)</f>
        <v>295380</v>
      </c>
      <c r="K8" s="38">
        <f>Table3[[#This Row],[Revenue]]-Table3[[#This Row],[Payments]]</f>
        <v>5775000</v>
      </c>
      <c r="L8" s="37">
        <f>'Data Entry'!$D$15+'Data Entry'!$D$16</f>
        <v>45</v>
      </c>
      <c r="M8" s="38">
        <f>Table3[[#This Row],[Sales Tickets]]*Table3[[#This Row],[Ticket NS]]</f>
        <v>855000</v>
      </c>
      <c r="N8" s="38">
        <f>'Data Entry'!$D$7</f>
        <v>29000</v>
      </c>
      <c r="O8" s="38">
        <f>Table3[[#This Row],[Sales Forecast]]-Table3[[#This Row],[Capacity NS]]</f>
        <v>-3436</v>
      </c>
      <c r="P8" s="38">
        <f>IF(Table3[[#This Row],[Seat Availibility NS]]&gt;0,Table3[[#This Row],[Seat Availibility NS]]*Table3[[#This Row],[Ticket NS]],)</f>
        <v>0</v>
      </c>
      <c r="Q8" s="38">
        <f>Table3[[#This Row],[Revenue NS]]</f>
        <v>855000</v>
      </c>
      <c r="R8" s="38"/>
      <c r="S8" s="38"/>
      <c r="T8" s="42">
        <f>'Data Entry'!$E$13</f>
        <v>1920000</v>
      </c>
      <c r="U8" s="57"/>
      <c r="V8" s="6"/>
    </row>
    <row r="9" spans="2:22" x14ac:dyDescent="0.25">
      <c r="B9" s="7">
        <v>44866</v>
      </c>
      <c r="C9" s="37">
        <f>'Data Entry'!$E$21</f>
        <v>19000</v>
      </c>
      <c r="D9" s="38">
        <f>'Data Entry'!$D$15+'Data Entry'!$D$16</f>
        <v>45</v>
      </c>
      <c r="E9" s="39">
        <f>Table3[[#This Row],[Sales Tickets]]*Table3[[#This Row],[Tickets]]*'Data Entry'!$D$19</f>
        <v>7695000</v>
      </c>
      <c r="F9" s="34">
        <f>'Data Entry'!$D$21</f>
        <v>25564</v>
      </c>
      <c r="G9" s="38">
        <f>Table3[[#This Row],[Sales Forecast]]*Table3[[#This Row],[Tickets]]*'Data Entry'!$D$19</f>
        <v>10353420</v>
      </c>
      <c r="H9" s="38">
        <f>'Data Entry'!$D$8</f>
        <v>19000</v>
      </c>
      <c r="I9" s="38">
        <f>Table3[[#This Row],[Sales Forecast]]-Table3[[#This Row],[Capacity]]</f>
        <v>6564</v>
      </c>
      <c r="J9" s="38">
        <f>IF(Table3[[#This Row],[Seat availibility]]&gt;0,Table3[[#This Row],[Seat availibility]]*Table3[[#This Row],[Tickets]],)</f>
        <v>295380</v>
      </c>
      <c r="K9" s="38">
        <f>Table3[[#This Row],[Revenue]]-Table3[[#This Row],[Payments]]</f>
        <v>5775000</v>
      </c>
      <c r="L9" s="37">
        <f>'Data Entry'!$D$15+'Data Entry'!$D$16</f>
        <v>45</v>
      </c>
      <c r="M9" s="38">
        <f>Table3[[#This Row],[Sales Tickets]]*Table3[[#This Row],[Ticket NS]]</f>
        <v>855000</v>
      </c>
      <c r="N9" s="38">
        <f>'Data Entry'!$D$7</f>
        <v>29000</v>
      </c>
      <c r="O9" s="38">
        <f>Table3[[#This Row],[Sales Forecast]]-Table3[[#This Row],[Capacity NS]]</f>
        <v>-3436</v>
      </c>
      <c r="P9" s="38">
        <f>IF(Table3[[#This Row],[Seat Availibility NS]]&gt;0,Table3[[#This Row],[Seat Availibility NS]]*Table3[[#This Row],[Ticket NS]],)</f>
        <v>0</v>
      </c>
      <c r="Q9" s="38">
        <f>Table3[[#This Row],[Revenue NS]]</f>
        <v>855000</v>
      </c>
      <c r="R9" s="38"/>
      <c r="S9" s="38"/>
      <c r="T9" s="42">
        <f>'Data Entry'!$E$13</f>
        <v>1920000</v>
      </c>
      <c r="U9" s="57"/>
      <c r="V9" s="6"/>
    </row>
    <row r="10" spans="2:22" x14ac:dyDescent="0.25">
      <c r="B10" s="7">
        <v>44896</v>
      </c>
      <c r="C10" s="37">
        <v>0</v>
      </c>
      <c r="D10" s="38">
        <f>'Data Entry'!$D$15+'Data Entry'!$D$16</f>
        <v>45</v>
      </c>
      <c r="E10" s="39">
        <v>0</v>
      </c>
      <c r="F10" s="38">
        <v>0</v>
      </c>
      <c r="G10" s="38">
        <f>Table3[[#This Row],[Sales Forecast]]*Table3[[#This Row],[Tickets]]</f>
        <v>0</v>
      </c>
      <c r="H10" s="38">
        <f>'Data Entry'!$D$8</f>
        <v>19000</v>
      </c>
      <c r="I10" s="38">
        <f>Table3[[#This Row],[Sales Forecast]]*Table3[[#This Row],[Tickets]]</f>
        <v>0</v>
      </c>
      <c r="J10" s="38">
        <f>IF(Table3[[#This Row],[Seat availibility]]&gt;0,Table3[[#This Row],[Seat availibility]]*Table3[[#This Row],[Tickets]],)</f>
        <v>0</v>
      </c>
      <c r="K10" s="38">
        <f>Table3[[#This Row],[Revenue]]-Table3[[#This Row],[Payments]]</f>
        <v>-1920000</v>
      </c>
      <c r="L10" s="37">
        <f>'Data Entry'!$D$15+'Data Entry'!$D$16</f>
        <v>45</v>
      </c>
      <c r="M10" s="38">
        <f>Table3[[#This Row],[Sales Tickets]]*Table3[[#This Row],[Ticket NS]]</f>
        <v>0</v>
      </c>
      <c r="N10" s="38">
        <f>'Data Entry'!$D$7</f>
        <v>29000</v>
      </c>
      <c r="O10" s="38">
        <f>Table3[[#This Row],[Sales Forecast]]-Table3[[#This Row],[Capacity NS]]</f>
        <v>-29000</v>
      </c>
      <c r="P10" s="38">
        <f>IF(Table3[[#This Row],[Seat Availibility NS]]&gt;0,Table3[[#This Row],[Seat Availibility NS]]*Table3[[#This Row],[Ticket NS]],)</f>
        <v>0</v>
      </c>
      <c r="Q10" s="38">
        <f>Table3[[#This Row],[Revenue NS]]</f>
        <v>0</v>
      </c>
      <c r="R10" s="38">
        <f>NPV('Data Entry'!D42/12,DataTable!K3:K10)+DataTable!K2</f>
        <v>39432394.745383672</v>
      </c>
      <c r="S10" s="38">
        <f>NPV('Data Entry'!$D$42/12,Q3:Q10)+Q2</f>
        <v>34696544.975444362</v>
      </c>
      <c r="T10" s="42">
        <f>'Data Entry'!$E$13</f>
        <v>1920000</v>
      </c>
      <c r="U10" s="57"/>
      <c r="V10" s="6"/>
    </row>
    <row r="11" spans="2:22" x14ac:dyDescent="0.25">
      <c r="B11" s="7">
        <v>44927</v>
      </c>
      <c r="C11" s="43">
        <v>0</v>
      </c>
      <c r="D11" s="38">
        <f>$D$10*'Data Entry'!$D$17</f>
        <v>45.9</v>
      </c>
      <c r="E11" s="35">
        <v>0</v>
      </c>
      <c r="F11" s="34">
        <v>0</v>
      </c>
      <c r="G11" s="38">
        <f>Table3[[#This Row],[Sales Forecast]]*Table3[[#This Row],[Tickets]]</f>
        <v>0</v>
      </c>
      <c r="H11" s="38">
        <f>'Data Entry'!$D$8</f>
        <v>19000</v>
      </c>
      <c r="I11" s="38">
        <f>Table3[[#This Row],[Sales Forecast]]*Table3[[#This Row],[Tickets]]</f>
        <v>0</v>
      </c>
      <c r="J11" s="38">
        <f>IF(Table3[[#This Row],[Seat availibility]]&gt;0,Table3[[#This Row],[Seat availibility]]*Table3[[#This Row],[Tickets]],)</f>
        <v>0</v>
      </c>
      <c r="K11" s="38">
        <f>Table3[[#This Row],[Revenue]]-Table3[[#This Row],[Payments]]</f>
        <v>-1920000</v>
      </c>
      <c r="L11" s="37">
        <f>$L$10*'Data Entry'!$D$17</f>
        <v>45.9</v>
      </c>
      <c r="M11" s="38">
        <f>Table3[[#This Row],[Sales Tickets]]*Table3[[#This Row],[Ticket NS]]</f>
        <v>0</v>
      </c>
      <c r="N11" s="38">
        <f>'Data Entry'!$D$7</f>
        <v>29000</v>
      </c>
      <c r="O11" s="38">
        <f>Table3[[#This Row],[Sales Forecast]]-Table3[[#This Row],[Capacity NS]]</f>
        <v>-29000</v>
      </c>
      <c r="P11" s="38">
        <f>IF(Table3[[#This Row],[Seat Availibility NS]]&gt;0,Table3[[#This Row],[Seat Availibility NS]]*Table3[[#This Row],[Ticket NS]],)</f>
        <v>0</v>
      </c>
      <c r="Q11" s="38">
        <f>Table3[[#This Row],[Revenue NS]]</f>
        <v>0</v>
      </c>
      <c r="R11" s="38"/>
      <c r="S11" s="38"/>
      <c r="T11" s="42">
        <f>'Data Entry'!$E$13</f>
        <v>1920000</v>
      </c>
      <c r="U11" s="57"/>
      <c r="V11" s="6"/>
    </row>
    <row r="12" spans="2:22" x14ac:dyDescent="0.25">
      <c r="B12" s="7">
        <v>44958</v>
      </c>
      <c r="C12" s="43">
        <v>0</v>
      </c>
      <c r="D12" s="38">
        <f>$D$10*'Data Entry'!$D$17</f>
        <v>45.9</v>
      </c>
      <c r="E12" s="35">
        <v>0</v>
      </c>
      <c r="F12" s="34">
        <v>0</v>
      </c>
      <c r="G12" s="38">
        <f>Table3[[#This Row],[Sales Forecast]]*Table3[[#This Row],[Tickets]]</f>
        <v>0</v>
      </c>
      <c r="H12" s="38">
        <f>'Data Entry'!$D$8</f>
        <v>19000</v>
      </c>
      <c r="I12" s="38">
        <f>Table3[[#This Row],[Sales Forecast]]*Table3[[#This Row],[Tickets]]</f>
        <v>0</v>
      </c>
      <c r="J12" s="38">
        <f>IF(Table3[[#This Row],[Seat availibility]]&gt;0,Table3[[#This Row],[Seat availibility]]*Table3[[#This Row],[Tickets]],)</f>
        <v>0</v>
      </c>
      <c r="K12" s="38">
        <f>Table3[[#This Row],[Revenue]]-Table3[[#This Row],[Payments]]</f>
        <v>-1920000</v>
      </c>
      <c r="L12" s="37">
        <f>$L$10*'Data Entry'!$D$17</f>
        <v>45.9</v>
      </c>
      <c r="M12" s="38">
        <f>Table3[[#This Row],[Sales Tickets]]*Table3[[#This Row],[Ticket NS]]</f>
        <v>0</v>
      </c>
      <c r="N12" s="38">
        <f>'Data Entry'!$D$7</f>
        <v>29000</v>
      </c>
      <c r="O12" s="38">
        <f>Table3[[#This Row],[Sales Forecast]]-Table3[[#This Row],[Capacity NS]]</f>
        <v>-29000</v>
      </c>
      <c r="P12" s="38">
        <f>IF(Table3[[#This Row],[Seat Availibility NS]]&gt;0,Table3[[#This Row],[Seat Availibility NS]]*Table3[[#This Row],[Ticket NS]],)</f>
        <v>0</v>
      </c>
      <c r="Q12" s="38">
        <f>Table3[[#This Row],[Revenue NS]]</f>
        <v>0</v>
      </c>
      <c r="R12" s="38"/>
      <c r="S12" s="38"/>
      <c r="T12" s="42">
        <f>'Data Entry'!$E$13</f>
        <v>1920000</v>
      </c>
      <c r="U12" s="57"/>
      <c r="V12" s="6"/>
    </row>
    <row r="13" spans="2:22" x14ac:dyDescent="0.25">
      <c r="B13" s="7">
        <v>44986</v>
      </c>
      <c r="C13" s="43">
        <v>0</v>
      </c>
      <c r="D13" s="38">
        <f>$D$10*'Data Entry'!$D$17</f>
        <v>45.9</v>
      </c>
      <c r="E13" s="35">
        <v>0</v>
      </c>
      <c r="F13" s="34">
        <v>0</v>
      </c>
      <c r="G13" s="38">
        <f>Table3[[#This Row],[Sales Forecast]]*Table3[[#This Row],[Tickets]]</f>
        <v>0</v>
      </c>
      <c r="H13" s="38">
        <f>'Data Entry'!$D$8</f>
        <v>19000</v>
      </c>
      <c r="I13" s="38">
        <f>Table3[[#This Row],[Sales Forecast]]*Table3[[#This Row],[Tickets]]</f>
        <v>0</v>
      </c>
      <c r="J13" s="38">
        <f>IF(Table3[[#This Row],[Seat availibility]]&gt;0,Table3[[#This Row],[Seat availibility]]*Table3[[#This Row],[Tickets]],)</f>
        <v>0</v>
      </c>
      <c r="K13" s="38">
        <f>Table3[[#This Row],[Revenue]]-Table3[[#This Row],[Payments]]</f>
        <v>-1920000</v>
      </c>
      <c r="L13" s="37">
        <f>$L$10*'Data Entry'!$D$17</f>
        <v>45.9</v>
      </c>
      <c r="M13" s="38">
        <f>Table3[[#This Row],[Sales Tickets]]*Table3[[#This Row],[Ticket NS]]</f>
        <v>0</v>
      </c>
      <c r="N13" s="38">
        <f>'Data Entry'!$D$7</f>
        <v>29000</v>
      </c>
      <c r="O13" s="38">
        <f>Table3[[#This Row],[Sales Forecast]]-Table3[[#This Row],[Capacity NS]]</f>
        <v>-29000</v>
      </c>
      <c r="P13" s="38">
        <f>IF(Table3[[#This Row],[Seat Availibility NS]]&gt;0,Table3[[#This Row],[Seat Availibility NS]]*Table3[[#This Row],[Ticket NS]],)</f>
        <v>0</v>
      </c>
      <c r="Q13" s="38">
        <f>Table3[[#This Row],[Revenue NS]]</f>
        <v>0</v>
      </c>
      <c r="R13" s="38"/>
      <c r="S13" s="38"/>
      <c r="T13" s="42">
        <f>'Data Entry'!$E$13</f>
        <v>1920000</v>
      </c>
      <c r="U13" s="57"/>
      <c r="V13" s="6"/>
    </row>
    <row r="14" spans="2:22" x14ac:dyDescent="0.25">
      <c r="B14" s="7">
        <v>45017</v>
      </c>
      <c r="C14" s="37">
        <f>'Data Entry'!$E$21</f>
        <v>19000</v>
      </c>
      <c r="D14" s="38">
        <f>$D$10*'Data Entry'!$D$17</f>
        <v>45.9</v>
      </c>
      <c r="E14" s="39">
        <f>Table3[[#This Row],[Sales Tickets]]*Table3[[#This Row],[Tickets]]*'Data Entry'!$D$19</f>
        <v>7848900</v>
      </c>
      <c r="F14" s="34">
        <f>'Data Entry'!$D$22</f>
        <v>26331</v>
      </c>
      <c r="G14" s="38">
        <f>Table3[[#This Row],[Sales Forecast]]*Table3[[#This Row],[Tickets]]*'Data Entry'!$D$19</f>
        <v>10877336.1</v>
      </c>
      <c r="H14" s="38">
        <f>'Data Entry'!$D$8</f>
        <v>19000</v>
      </c>
      <c r="I14" s="38">
        <f>Table3[[#This Row],[Sales Forecast]]-Table3[[#This Row],[Capacity]]</f>
        <v>7331</v>
      </c>
      <c r="J14" s="38">
        <f>IF(Table3[[#This Row],[Seat availibility]]&gt;0,Table3[[#This Row],[Seat availibility]]*Table3[[#This Row],[Tickets]],)</f>
        <v>336492.89999999997</v>
      </c>
      <c r="K14" s="38">
        <f>Table3[[#This Row],[Revenue]]-Table3[[#This Row],[Payments]]</f>
        <v>5928900</v>
      </c>
      <c r="L14" s="37">
        <f>$L$10*'Data Entry'!$D$17</f>
        <v>45.9</v>
      </c>
      <c r="M14" s="38">
        <f>Table3[[#This Row],[Sales Tickets]]*Table3[[#This Row],[Ticket NS]]</f>
        <v>872100</v>
      </c>
      <c r="N14" s="38">
        <f>'Data Entry'!$D$7</f>
        <v>29000</v>
      </c>
      <c r="O14" s="38">
        <f>Table3[[#This Row],[Sales Forecast]]-Table3[[#This Row],[Capacity NS]]</f>
        <v>-2669</v>
      </c>
      <c r="P14" s="38">
        <f>IF(Table3[[#This Row],[Seat Availibility NS]]&gt;0,Table3[[#This Row],[Seat Availibility NS]]*Table3[[#This Row],[Ticket NS]],)</f>
        <v>0</v>
      </c>
      <c r="Q14" s="38">
        <f>Table3[[#This Row],[Revenue NS]]</f>
        <v>872100</v>
      </c>
      <c r="R14" s="38"/>
      <c r="S14" s="38"/>
      <c r="T14" s="42">
        <f>'Data Entry'!$E$13</f>
        <v>1920000</v>
      </c>
      <c r="U14" s="57"/>
      <c r="V14" s="6"/>
    </row>
    <row r="15" spans="2:22" x14ac:dyDescent="0.25">
      <c r="B15" s="7">
        <v>45047</v>
      </c>
      <c r="C15" s="37">
        <f>'Data Entry'!$E$21</f>
        <v>19000</v>
      </c>
      <c r="D15" s="38">
        <f>$D$10*'Data Entry'!$D$17</f>
        <v>45.9</v>
      </c>
      <c r="E15" s="39">
        <f>Table3[[#This Row],[Sales Tickets]]*Table3[[#This Row],[Tickets]]*'Data Entry'!$D$19</f>
        <v>7848900</v>
      </c>
      <c r="F15" s="34">
        <f>'Data Entry'!$D$22</f>
        <v>26331</v>
      </c>
      <c r="G15" s="38">
        <f>Table3[[#This Row],[Sales Forecast]]*Table3[[#This Row],[Tickets]]*'Data Entry'!$D$19</f>
        <v>10877336.1</v>
      </c>
      <c r="H15" s="38">
        <f>'Data Entry'!$D$8</f>
        <v>19000</v>
      </c>
      <c r="I15" s="38">
        <f>Table3[[#This Row],[Sales Forecast]]-Table3[[#This Row],[Capacity]]</f>
        <v>7331</v>
      </c>
      <c r="J15" s="38">
        <f>IF(Table3[[#This Row],[Seat availibility]]&gt;0,Table3[[#This Row],[Seat availibility]]*Table3[[#This Row],[Tickets]],)</f>
        <v>336492.89999999997</v>
      </c>
      <c r="K15" s="38">
        <f>Table3[[#This Row],[Revenue]]-Table3[[#This Row],[Payments]]</f>
        <v>5928900</v>
      </c>
      <c r="L15" s="37">
        <f>$L$10*'Data Entry'!$D$17</f>
        <v>45.9</v>
      </c>
      <c r="M15" s="38">
        <f>Table3[[#This Row],[Sales Tickets]]*Table3[[#This Row],[Ticket NS]]</f>
        <v>872100</v>
      </c>
      <c r="N15" s="38">
        <f>'Data Entry'!$D$7</f>
        <v>29000</v>
      </c>
      <c r="O15" s="38">
        <f>Table3[[#This Row],[Sales Forecast]]-Table3[[#This Row],[Capacity NS]]</f>
        <v>-2669</v>
      </c>
      <c r="P15" s="38">
        <f>IF(Table3[[#This Row],[Seat Availibility NS]]&gt;0,Table3[[#This Row],[Seat Availibility NS]]*Table3[[#This Row],[Ticket NS]],)</f>
        <v>0</v>
      </c>
      <c r="Q15" s="38">
        <f>Table3[[#This Row],[Revenue NS]]</f>
        <v>872100</v>
      </c>
      <c r="R15" s="38"/>
      <c r="S15" s="38"/>
      <c r="T15" s="42">
        <f>'Data Entry'!$E$13</f>
        <v>1920000</v>
      </c>
      <c r="U15" s="57"/>
      <c r="V15" s="6"/>
    </row>
    <row r="16" spans="2:22" x14ac:dyDescent="0.25">
      <c r="B16" s="7">
        <v>45078</v>
      </c>
      <c r="C16" s="37">
        <f>'Data Entry'!$E$21</f>
        <v>19000</v>
      </c>
      <c r="D16" s="38">
        <f>$D$10*'Data Entry'!$D$17</f>
        <v>45.9</v>
      </c>
      <c r="E16" s="39">
        <f>Table3[[#This Row],[Sales Tickets]]*Table3[[#This Row],[Tickets]]*'Data Entry'!$D$19</f>
        <v>7848900</v>
      </c>
      <c r="F16" s="34">
        <f>'Data Entry'!$D$22</f>
        <v>26331</v>
      </c>
      <c r="G16" s="38">
        <f>Table3[[#This Row],[Sales Forecast]]*Table3[[#This Row],[Tickets]]*'Data Entry'!$D$19</f>
        <v>10877336.1</v>
      </c>
      <c r="H16" s="38">
        <f>'Data Entry'!$D$8</f>
        <v>19000</v>
      </c>
      <c r="I16" s="38">
        <f>Table3[[#This Row],[Sales Forecast]]-Table3[[#This Row],[Capacity]]</f>
        <v>7331</v>
      </c>
      <c r="J16" s="38">
        <f>IF(Table3[[#This Row],[Seat availibility]]&gt;0,Table3[[#This Row],[Seat availibility]]*Table3[[#This Row],[Tickets]],)</f>
        <v>336492.89999999997</v>
      </c>
      <c r="K16" s="38">
        <f>Table3[[#This Row],[Revenue]]-Table3[[#This Row],[Payments]]</f>
        <v>5928900</v>
      </c>
      <c r="L16" s="37">
        <f>$L$10*'Data Entry'!$D$17</f>
        <v>45.9</v>
      </c>
      <c r="M16" s="38">
        <f>Table3[[#This Row],[Sales Tickets]]*Table3[[#This Row],[Ticket NS]]</f>
        <v>872100</v>
      </c>
      <c r="N16" s="38">
        <f>'Data Entry'!$D$7</f>
        <v>29000</v>
      </c>
      <c r="O16" s="38">
        <f>Table3[[#This Row],[Sales Forecast]]-Table3[[#This Row],[Capacity NS]]</f>
        <v>-2669</v>
      </c>
      <c r="P16" s="38">
        <f>IF(Table3[[#This Row],[Seat Availibility NS]]&gt;0,Table3[[#This Row],[Seat Availibility NS]]*Table3[[#This Row],[Ticket NS]],)</f>
        <v>0</v>
      </c>
      <c r="Q16" s="38">
        <f>Table3[[#This Row],[Revenue NS]]</f>
        <v>872100</v>
      </c>
      <c r="R16" s="38"/>
      <c r="S16" s="38"/>
      <c r="T16" s="42">
        <f>'Data Entry'!$E$13</f>
        <v>1920000</v>
      </c>
      <c r="U16" s="57"/>
      <c r="V16" s="6"/>
    </row>
    <row r="17" spans="2:22" x14ac:dyDescent="0.25">
      <c r="B17" s="7">
        <v>45108</v>
      </c>
      <c r="C17" s="37">
        <f>'Data Entry'!$E$21</f>
        <v>19000</v>
      </c>
      <c r="D17" s="38">
        <f>$D$10*'Data Entry'!$D$17</f>
        <v>45.9</v>
      </c>
      <c r="E17" s="39">
        <f>Table3[[#This Row],[Sales Tickets]]*Table3[[#This Row],[Tickets]]*'Data Entry'!$D$19</f>
        <v>7848900</v>
      </c>
      <c r="F17" s="34">
        <f>'Data Entry'!$D$22</f>
        <v>26331</v>
      </c>
      <c r="G17" s="38">
        <f>Table3[[#This Row],[Sales Forecast]]*Table3[[#This Row],[Tickets]]*'Data Entry'!$D$19</f>
        <v>10877336.1</v>
      </c>
      <c r="H17" s="38">
        <f>'Data Entry'!$D$8</f>
        <v>19000</v>
      </c>
      <c r="I17" s="38">
        <f>Table3[[#This Row],[Sales Forecast]]-Table3[[#This Row],[Capacity]]</f>
        <v>7331</v>
      </c>
      <c r="J17" s="38">
        <f>IF(Table3[[#This Row],[Seat availibility]]&gt;0,Table3[[#This Row],[Seat availibility]]*Table3[[#This Row],[Tickets]],)</f>
        <v>336492.89999999997</v>
      </c>
      <c r="K17" s="38">
        <f>Table3[[#This Row],[Revenue]]-Table3[[#This Row],[Payments]]</f>
        <v>5928900</v>
      </c>
      <c r="L17" s="37">
        <f>$L$10*'Data Entry'!$D$17</f>
        <v>45.9</v>
      </c>
      <c r="M17" s="38">
        <f>Table3[[#This Row],[Sales Tickets]]*Table3[[#This Row],[Ticket NS]]</f>
        <v>872100</v>
      </c>
      <c r="N17" s="38">
        <f>'Data Entry'!$D$7</f>
        <v>29000</v>
      </c>
      <c r="O17" s="38">
        <f>Table3[[#This Row],[Sales Forecast]]-Table3[[#This Row],[Capacity NS]]</f>
        <v>-2669</v>
      </c>
      <c r="P17" s="38">
        <f>IF(Table3[[#This Row],[Seat Availibility NS]]&gt;0,Table3[[#This Row],[Seat Availibility NS]]*Table3[[#This Row],[Ticket NS]],)</f>
        <v>0</v>
      </c>
      <c r="Q17" s="38">
        <f>Table3[[#This Row],[Revenue NS]]</f>
        <v>872100</v>
      </c>
      <c r="R17" s="38"/>
      <c r="S17" s="38"/>
      <c r="T17" s="42">
        <f>'Data Entry'!$E$13</f>
        <v>1920000</v>
      </c>
      <c r="U17" s="57"/>
      <c r="V17" s="6"/>
    </row>
    <row r="18" spans="2:22" x14ac:dyDescent="0.25">
      <c r="B18" s="7">
        <v>45139</v>
      </c>
      <c r="C18" s="37">
        <f>'Data Entry'!$E$21</f>
        <v>19000</v>
      </c>
      <c r="D18" s="38">
        <f>$D$10*'Data Entry'!$D$17</f>
        <v>45.9</v>
      </c>
      <c r="E18" s="39">
        <f>Table3[[#This Row],[Sales Tickets]]*Table3[[#This Row],[Tickets]]*'Data Entry'!$D$19</f>
        <v>7848900</v>
      </c>
      <c r="F18" s="34">
        <f>'Data Entry'!$D$22</f>
        <v>26331</v>
      </c>
      <c r="G18" s="38">
        <f>Table3[[#This Row],[Sales Forecast]]*Table3[[#This Row],[Tickets]]*'Data Entry'!$D$19</f>
        <v>10877336.1</v>
      </c>
      <c r="H18" s="38">
        <f>'Data Entry'!$D$8</f>
        <v>19000</v>
      </c>
      <c r="I18" s="38">
        <f>Table3[[#This Row],[Sales Forecast]]-Table3[[#This Row],[Capacity]]</f>
        <v>7331</v>
      </c>
      <c r="J18" s="38">
        <f>IF(Table3[[#This Row],[Seat availibility]]&gt;0,Table3[[#This Row],[Seat availibility]]*Table3[[#This Row],[Tickets]],)</f>
        <v>336492.89999999997</v>
      </c>
      <c r="K18" s="38">
        <f>Table3[[#This Row],[Revenue]]-Table3[[#This Row],[Payments]]</f>
        <v>5928900</v>
      </c>
      <c r="L18" s="37">
        <f>$L$10*'Data Entry'!$D$17</f>
        <v>45.9</v>
      </c>
      <c r="M18" s="38">
        <f>Table3[[#This Row],[Sales Tickets]]*Table3[[#This Row],[Ticket NS]]</f>
        <v>872100</v>
      </c>
      <c r="N18" s="38">
        <f>'Data Entry'!$D$7</f>
        <v>29000</v>
      </c>
      <c r="O18" s="38">
        <f>Table3[[#This Row],[Sales Forecast]]-Table3[[#This Row],[Capacity NS]]</f>
        <v>-2669</v>
      </c>
      <c r="P18" s="38">
        <f>IF(Table3[[#This Row],[Seat Availibility NS]]&gt;0,Table3[[#This Row],[Seat Availibility NS]]*Table3[[#This Row],[Ticket NS]],)</f>
        <v>0</v>
      </c>
      <c r="Q18" s="38">
        <f>Table3[[#This Row],[Revenue NS]]</f>
        <v>872100</v>
      </c>
      <c r="R18" s="38"/>
      <c r="S18" s="38"/>
      <c r="T18" s="42">
        <f>'Data Entry'!$E$13</f>
        <v>1920000</v>
      </c>
      <c r="U18" s="57"/>
      <c r="V18" s="6"/>
    </row>
    <row r="19" spans="2:22" x14ac:dyDescent="0.25">
      <c r="B19" s="7">
        <v>45170</v>
      </c>
      <c r="C19" s="37">
        <f>'Data Entry'!$E$21</f>
        <v>19000</v>
      </c>
      <c r="D19" s="38">
        <f>$D$10*'Data Entry'!$D$17</f>
        <v>45.9</v>
      </c>
      <c r="E19" s="39">
        <f>Table3[[#This Row],[Sales Tickets]]*Table3[[#This Row],[Tickets]]*'Data Entry'!$D$19</f>
        <v>7848900</v>
      </c>
      <c r="F19" s="34">
        <f>'Data Entry'!$D$22</f>
        <v>26331</v>
      </c>
      <c r="G19" s="38">
        <f>Table3[[#This Row],[Sales Forecast]]*Table3[[#This Row],[Tickets]]*'Data Entry'!$D$19</f>
        <v>10877336.1</v>
      </c>
      <c r="H19" s="38">
        <f>'Data Entry'!$D$8</f>
        <v>19000</v>
      </c>
      <c r="I19" s="38">
        <f>Table3[[#This Row],[Sales Forecast]]-Table3[[#This Row],[Capacity]]</f>
        <v>7331</v>
      </c>
      <c r="J19" s="38">
        <f>IF(Table3[[#This Row],[Seat availibility]]&gt;0,Table3[[#This Row],[Seat availibility]]*Table3[[#This Row],[Tickets]],)</f>
        <v>336492.89999999997</v>
      </c>
      <c r="K19" s="38">
        <f>Table3[[#This Row],[Revenue]]-Table3[[#This Row],[Payments]]</f>
        <v>5928900</v>
      </c>
      <c r="L19" s="37">
        <f>$L$10*'Data Entry'!$D$17</f>
        <v>45.9</v>
      </c>
      <c r="M19" s="38">
        <f>Table3[[#This Row],[Sales Tickets]]*Table3[[#This Row],[Ticket NS]]</f>
        <v>872100</v>
      </c>
      <c r="N19" s="38">
        <f>'Data Entry'!$D$7</f>
        <v>29000</v>
      </c>
      <c r="O19" s="38">
        <f>Table3[[#This Row],[Sales Forecast]]-Table3[[#This Row],[Capacity NS]]</f>
        <v>-2669</v>
      </c>
      <c r="P19" s="38">
        <f>IF(Table3[[#This Row],[Seat Availibility NS]]&gt;0,Table3[[#This Row],[Seat Availibility NS]]*Table3[[#This Row],[Ticket NS]],)</f>
        <v>0</v>
      </c>
      <c r="Q19" s="38">
        <f>Table3[[#This Row],[Revenue NS]]</f>
        <v>872100</v>
      </c>
      <c r="R19" s="38"/>
      <c r="S19" s="38"/>
      <c r="T19" s="42">
        <f>'Data Entry'!$E$13</f>
        <v>1920000</v>
      </c>
      <c r="U19" s="57"/>
      <c r="V19" s="6"/>
    </row>
    <row r="20" spans="2:22" x14ac:dyDescent="0.25">
      <c r="B20" s="7">
        <v>45200</v>
      </c>
      <c r="C20" s="37">
        <f>'Data Entry'!$E$21</f>
        <v>19000</v>
      </c>
      <c r="D20" s="38">
        <f>$D$10*'Data Entry'!$D$17</f>
        <v>45.9</v>
      </c>
      <c r="E20" s="39">
        <f>Table3[[#This Row],[Sales Tickets]]*Table3[[#This Row],[Tickets]]*'Data Entry'!$D$19</f>
        <v>7848900</v>
      </c>
      <c r="F20" s="34">
        <f>'Data Entry'!$D$22</f>
        <v>26331</v>
      </c>
      <c r="G20" s="38">
        <f>Table3[[#This Row],[Sales Forecast]]*Table3[[#This Row],[Tickets]]*'Data Entry'!$D$19</f>
        <v>10877336.1</v>
      </c>
      <c r="H20" s="38">
        <f>'Data Entry'!$D$8</f>
        <v>19000</v>
      </c>
      <c r="I20" s="38">
        <f>Table3[[#This Row],[Sales Forecast]]-Table3[[#This Row],[Capacity]]</f>
        <v>7331</v>
      </c>
      <c r="J20" s="38">
        <f>IF(Table3[[#This Row],[Seat availibility]]&gt;0,Table3[[#This Row],[Seat availibility]]*Table3[[#This Row],[Tickets]],)</f>
        <v>336492.89999999997</v>
      </c>
      <c r="K20" s="38">
        <f>Table3[[#This Row],[Revenue]]-Table3[[#This Row],[Payments]]</f>
        <v>5928900</v>
      </c>
      <c r="L20" s="37">
        <f>$L$10*'Data Entry'!$D$17</f>
        <v>45.9</v>
      </c>
      <c r="M20" s="38">
        <f>Table3[[#This Row],[Sales Tickets]]*Table3[[#This Row],[Ticket NS]]</f>
        <v>872100</v>
      </c>
      <c r="N20" s="38">
        <f>'Data Entry'!$D$7</f>
        <v>29000</v>
      </c>
      <c r="O20" s="38">
        <f>Table3[[#This Row],[Sales Forecast]]-Table3[[#This Row],[Capacity NS]]</f>
        <v>-2669</v>
      </c>
      <c r="P20" s="38">
        <f>IF(Table3[[#This Row],[Seat Availibility NS]]&gt;0,Table3[[#This Row],[Seat Availibility NS]]*Table3[[#This Row],[Ticket NS]],)</f>
        <v>0</v>
      </c>
      <c r="Q20" s="38">
        <f>Table3[[#This Row],[Revenue NS]]</f>
        <v>872100</v>
      </c>
      <c r="R20" s="38"/>
      <c r="S20" s="38"/>
      <c r="T20" s="42">
        <f>'Data Entry'!$E$13</f>
        <v>1920000</v>
      </c>
      <c r="U20" s="57"/>
      <c r="V20" s="6"/>
    </row>
    <row r="21" spans="2:22" x14ac:dyDescent="0.25">
      <c r="B21" s="7">
        <v>45231</v>
      </c>
      <c r="C21" s="37">
        <f>'Data Entry'!$E$21</f>
        <v>19000</v>
      </c>
      <c r="D21" s="38">
        <f>$D$10*'Data Entry'!$D$17</f>
        <v>45.9</v>
      </c>
      <c r="E21" s="39">
        <f>Table3[[#This Row],[Sales Tickets]]*Table3[[#This Row],[Tickets]]*'Data Entry'!$D$19</f>
        <v>7848900</v>
      </c>
      <c r="F21" s="34">
        <f>'Data Entry'!$D$22</f>
        <v>26331</v>
      </c>
      <c r="G21" s="38">
        <f>Table3[[#This Row],[Sales Forecast]]*Table3[[#This Row],[Tickets]]*'Data Entry'!$D$19</f>
        <v>10877336.1</v>
      </c>
      <c r="H21" s="38">
        <f>'Data Entry'!$D$8</f>
        <v>19000</v>
      </c>
      <c r="I21" s="38">
        <f>Table3[[#This Row],[Sales Forecast]]-Table3[[#This Row],[Capacity]]</f>
        <v>7331</v>
      </c>
      <c r="J21" s="38">
        <f>IF(Table3[[#This Row],[Seat availibility]]&gt;0,Table3[[#This Row],[Seat availibility]]*Table3[[#This Row],[Tickets]],)</f>
        <v>336492.89999999997</v>
      </c>
      <c r="K21" s="38">
        <f>Table3[[#This Row],[Revenue]]-Table3[[#This Row],[Payments]]</f>
        <v>5928900</v>
      </c>
      <c r="L21" s="37">
        <f>$L$10*'Data Entry'!$D$17</f>
        <v>45.9</v>
      </c>
      <c r="M21" s="38">
        <f>Table3[[#This Row],[Sales Tickets]]*Table3[[#This Row],[Ticket NS]]</f>
        <v>872100</v>
      </c>
      <c r="N21" s="38">
        <f>'Data Entry'!$D$7</f>
        <v>29000</v>
      </c>
      <c r="O21" s="38">
        <f>Table3[[#This Row],[Sales Forecast]]-Table3[[#This Row],[Capacity NS]]</f>
        <v>-2669</v>
      </c>
      <c r="P21" s="38">
        <f>IF(Table3[[#This Row],[Seat Availibility NS]]&gt;0,Table3[[#This Row],[Seat Availibility NS]]*Table3[[#This Row],[Ticket NS]],)</f>
        <v>0</v>
      </c>
      <c r="Q21" s="38">
        <f>Table3[[#This Row],[Revenue NS]]</f>
        <v>872100</v>
      </c>
      <c r="R21" s="38"/>
      <c r="S21" s="38"/>
      <c r="T21" s="42">
        <f>'Data Entry'!$E$13</f>
        <v>1920000</v>
      </c>
      <c r="U21" s="57"/>
      <c r="V21" s="6"/>
    </row>
    <row r="22" spans="2:22" x14ac:dyDescent="0.25">
      <c r="B22" s="7">
        <v>45261</v>
      </c>
      <c r="C22" s="37">
        <v>0</v>
      </c>
      <c r="D22" s="38">
        <f>$D$10*'Data Entry'!$D$17</f>
        <v>45.9</v>
      </c>
      <c r="E22" s="39">
        <v>0</v>
      </c>
      <c r="F22" s="38">
        <v>0</v>
      </c>
      <c r="G22" s="38">
        <f>Table3[[#This Row],[Sales Forecast]]*Table3[[#This Row],[Tickets]]</f>
        <v>0</v>
      </c>
      <c r="H22" s="38">
        <f>'Data Entry'!$D$8</f>
        <v>19000</v>
      </c>
      <c r="I22" s="38">
        <f>Table3[[#This Row],[Sales Forecast]]*Table3[[#This Row],[Tickets]]</f>
        <v>0</v>
      </c>
      <c r="J22" s="38">
        <f>IF(Table3[[#This Row],[Seat availibility]]&gt;0,Table3[[#This Row],[Seat availibility]]*Table3[[#This Row],[Tickets]],)</f>
        <v>0</v>
      </c>
      <c r="K22" s="38">
        <f>Table3[[#This Row],[Revenue]]-Table3[[#This Row],[Payments]]</f>
        <v>-1920000</v>
      </c>
      <c r="L22" s="37">
        <f>$L$10*'Data Entry'!$D$17</f>
        <v>45.9</v>
      </c>
      <c r="M22" s="38">
        <f>Table3[[#This Row],[Sales Tickets]]*Table3[[#This Row],[Ticket NS]]</f>
        <v>0</v>
      </c>
      <c r="N22" s="38">
        <f>'Data Entry'!$D$7</f>
        <v>29000</v>
      </c>
      <c r="O22" s="38">
        <f>Table3[[#This Row],[Sales Forecast]]-Table3[[#This Row],[Capacity NS]]</f>
        <v>-29000</v>
      </c>
      <c r="P22" s="38">
        <f>IF(Table3[[#This Row],[Seat Availibility NS]]&gt;0,Table3[[#This Row],[Seat Availibility NS]]*Table3[[#This Row],[Ticket NS]],)</f>
        <v>0</v>
      </c>
      <c r="Q22" s="38">
        <f>Table3[[#This Row],[Revenue NS]]</f>
        <v>0</v>
      </c>
      <c r="R22" s="38">
        <f>NPV('Data Entry'!$D$42/12,K12:K22)+K11</f>
        <v>36405619.538537733</v>
      </c>
      <c r="S22" s="38">
        <f>NPV('Data Entry'!D42/12,Q12:Q22)+Q11</f>
        <v>6438200.2222792907</v>
      </c>
      <c r="T22" s="42">
        <f>'Data Entry'!$E$13</f>
        <v>1920000</v>
      </c>
      <c r="U22" s="57"/>
      <c r="V22" s="6"/>
    </row>
    <row r="23" spans="2:22" x14ac:dyDescent="0.25">
      <c r="B23" s="7">
        <v>45292</v>
      </c>
      <c r="C23" s="43">
        <v>0</v>
      </c>
      <c r="D23" s="38">
        <f>$D$22*'Data Entry'!$D$17</f>
        <v>46.817999999999998</v>
      </c>
      <c r="E23" s="35">
        <v>0</v>
      </c>
      <c r="F23" s="34">
        <v>0</v>
      </c>
      <c r="G23" s="38">
        <f>Table3[[#This Row],[Sales Forecast]]*Table3[[#This Row],[Tickets]]</f>
        <v>0</v>
      </c>
      <c r="H23" s="38">
        <f>'Data Entry'!$D$8</f>
        <v>19000</v>
      </c>
      <c r="I23" s="38">
        <f>Table3[[#This Row],[Sales Forecast]]*Table3[[#This Row],[Tickets]]</f>
        <v>0</v>
      </c>
      <c r="J23" s="38">
        <f>IF(Table3[[#This Row],[Seat availibility]]&gt;0,Table3[[#This Row],[Seat availibility]]*Table3[[#This Row],[Tickets]],)</f>
        <v>0</v>
      </c>
      <c r="K23" s="38">
        <f>Table3[[#This Row],[Revenue]]-Table3[[#This Row],[Payments]]</f>
        <v>-1920000</v>
      </c>
      <c r="L23" s="37">
        <f>$L$22*'Data Entry'!$D$17</f>
        <v>46.817999999999998</v>
      </c>
      <c r="M23" s="38">
        <f>Table3[[#This Row],[Sales Tickets]]*Table3[[#This Row],[Ticket NS]]</f>
        <v>0</v>
      </c>
      <c r="N23" s="38">
        <f>'Data Entry'!$D$7</f>
        <v>29000</v>
      </c>
      <c r="O23" s="38">
        <f>Table3[[#This Row],[Sales Forecast]]-Table3[[#This Row],[Capacity NS]]</f>
        <v>-29000</v>
      </c>
      <c r="P23" s="38">
        <f>IF(Table3[[#This Row],[Seat Availibility NS]]&gt;0,Table3[[#This Row],[Seat Availibility NS]]*Table3[[#This Row],[Ticket NS]],)</f>
        <v>0</v>
      </c>
      <c r="Q23" s="38">
        <f>Table3[[#This Row],[Revenue NS]]</f>
        <v>0</v>
      </c>
      <c r="R23" s="38"/>
      <c r="S23" s="38"/>
      <c r="T23" s="42">
        <f>'Data Entry'!$E$13</f>
        <v>1920000</v>
      </c>
      <c r="U23" s="57"/>
      <c r="V23" s="6"/>
    </row>
    <row r="24" spans="2:22" x14ac:dyDescent="0.25">
      <c r="B24" s="7">
        <v>45323</v>
      </c>
      <c r="C24" s="43">
        <v>0</v>
      </c>
      <c r="D24" s="38">
        <f>$D$22*'Data Entry'!$D$17</f>
        <v>46.817999999999998</v>
      </c>
      <c r="E24" s="35">
        <v>0</v>
      </c>
      <c r="F24" s="34">
        <v>0</v>
      </c>
      <c r="G24" s="38">
        <f>Table3[[#This Row],[Sales Forecast]]*Table3[[#This Row],[Tickets]]</f>
        <v>0</v>
      </c>
      <c r="H24" s="38">
        <f>'Data Entry'!$D$8</f>
        <v>19000</v>
      </c>
      <c r="I24" s="38">
        <f>Table3[[#This Row],[Sales Forecast]]*Table3[[#This Row],[Tickets]]</f>
        <v>0</v>
      </c>
      <c r="J24" s="38">
        <f>IF(Table3[[#This Row],[Seat availibility]]&gt;0,Table3[[#This Row],[Seat availibility]]*Table3[[#This Row],[Tickets]],)</f>
        <v>0</v>
      </c>
      <c r="K24" s="38">
        <f>Table3[[#This Row],[Revenue]]-Table3[[#This Row],[Payments]]</f>
        <v>-1920000</v>
      </c>
      <c r="L24" s="37">
        <f>$L$22*'Data Entry'!$D$17</f>
        <v>46.817999999999998</v>
      </c>
      <c r="M24" s="38">
        <f>Table3[[#This Row],[Sales Tickets]]*Table3[[#This Row],[Ticket NS]]</f>
        <v>0</v>
      </c>
      <c r="N24" s="38">
        <f>'Data Entry'!$D$7</f>
        <v>29000</v>
      </c>
      <c r="O24" s="38">
        <f>Table3[[#This Row],[Sales Forecast]]-Table3[[#This Row],[Capacity NS]]</f>
        <v>-29000</v>
      </c>
      <c r="P24" s="38">
        <f>IF(Table3[[#This Row],[Seat Availibility NS]]&gt;0,Table3[[#This Row],[Seat Availibility NS]]*Table3[[#This Row],[Ticket NS]],)</f>
        <v>0</v>
      </c>
      <c r="Q24" s="38">
        <f>Table3[[#This Row],[Revenue NS]]</f>
        <v>0</v>
      </c>
      <c r="R24" s="38"/>
      <c r="S24" s="38"/>
      <c r="T24" s="42">
        <f>'Data Entry'!$E$13</f>
        <v>1920000</v>
      </c>
      <c r="U24" s="57"/>
      <c r="V24" s="6"/>
    </row>
    <row r="25" spans="2:22" x14ac:dyDescent="0.25">
      <c r="B25" s="7">
        <v>45352</v>
      </c>
      <c r="C25" s="43">
        <v>0</v>
      </c>
      <c r="D25" s="38">
        <f>$D$22*'Data Entry'!$D$17</f>
        <v>46.817999999999998</v>
      </c>
      <c r="E25" s="35">
        <v>0</v>
      </c>
      <c r="F25" s="34">
        <v>0</v>
      </c>
      <c r="G25" s="38">
        <f>Table3[[#This Row],[Sales Forecast]]*Table3[[#This Row],[Tickets]]</f>
        <v>0</v>
      </c>
      <c r="H25" s="38">
        <f>'Data Entry'!$D$8</f>
        <v>19000</v>
      </c>
      <c r="I25" s="38">
        <f>Table3[[#This Row],[Sales Forecast]]*Table3[[#This Row],[Tickets]]</f>
        <v>0</v>
      </c>
      <c r="J25" s="38">
        <f>IF(Table3[[#This Row],[Seat availibility]]&gt;0,Table3[[#This Row],[Seat availibility]]*Table3[[#This Row],[Tickets]],)</f>
        <v>0</v>
      </c>
      <c r="K25" s="38">
        <f>Table3[[#This Row],[Revenue]]-Table3[[#This Row],[Payments]]</f>
        <v>-1920000</v>
      </c>
      <c r="L25" s="37">
        <f>$L$22*'Data Entry'!$D$17</f>
        <v>46.817999999999998</v>
      </c>
      <c r="M25" s="38">
        <f>Table3[[#This Row],[Sales Tickets]]*Table3[[#This Row],[Ticket NS]]</f>
        <v>0</v>
      </c>
      <c r="N25" s="38">
        <f>'Data Entry'!$D$7</f>
        <v>29000</v>
      </c>
      <c r="O25" s="38">
        <f>Table3[[#This Row],[Sales Forecast]]-Table3[[#This Row],[Capacity NS]]</f>
        <v>-29000</v>
      </c>
      <c r="P25" s="38">
        <f>IF(Table3[[#This Row],[Seat Availibility NS]]&gt;0,Table3[[#This Row],[Seat Availibility NS]]*Table3[[#This Row],[Ticket NS]],)</f>
        <v>0</v>
      </c>
      <c r="Q25" s="38">
        <f>Table3[[#This Row],[Revenue NS]]</f>
        <v>0</v>
      </c>
      <c r="R25" s="38"/>
      <c r="S25" s="38"/>
      <c r="T25" s="42">
        <f>'Data Entry'!$E$13</f>
        <v>1920000</v>
      </c>
      <c r="U25" s="57"/>
      <c r="V25" s="6"/>
    </row>
    <row r="26" spans="2:22" x14ac:dyDescent="0.25">
      <c r="B26" s="7">
        <v>45383</v>
      </c>
      <c r="C26" s="37">
        <f>'Data Entry'!$E$23</f>
        <v>27121</v>
      </c>
      <c r="D26" s="38">
        <f>$D$25*'Data Entry'!$D$18</f>
        <v>58.522499999999994</v>
      </c>
      <c r="E26" s="39">
        <f>Table3[[#This Row],[Sales Tickets]]*Table3[[#This Row],[Tickets]]*'Data Entry'!$D$19</f>
        <v>14284698.502499999</v>
      </c>
      <c r="F26" s="34">
        <f>'Data Entry'!$D$23</f>
        <v>27121</v>
      </c>
      <c r="G26" s="38">
        <f>Table3[[#This Row],[Sales Forecast]]*Table3[[#This Row],[Tickets]]*'Data Entry'!$D$19</f>
        <v>14284698.502499999</v>
      </c>
      <c r="H26" s="38">
        <f>'Data Entry'!$D$9</f>
        <v>32000</v>
      </c>
      <c r="I26" s="38">
        <f>Table3[[#This Row],[Sales Forecast]]-Table3[[#This Row],[Capacity]]</f>
        <v>-4879</v>
      </c>
      <c r="J26" s="38">
        <f>IF(Table3[[#This Row],[Seat availibility]]&gt;0,Table3[[#This Row],[Seat availibility]]*Table3[[#This Row],[Tickets]],)</f>
        <v>0</v>
      </c>
      <c r="K26" s="38">
        <f>Table3[[#This Row],[Revenue]]-Table3[[#This Row],[Payments]]</f>
        <v>7884698.5024999995</v>
      </c>
      <c r="L26" s="37">
        <f>$L$22*'Data Entry'!$D$17</f>
        <v>46.817999999999998</v>
      </c>
      <c r="M26" s="38">
        <f>Table3[[#This Row],[Sales Tickets]]*Table3[[#This Row],[Ticket NS]]</f>
        <v>1269750.9779999999</v>
      </c>
      <c r="N26" s="38">
        <f>'Data Entry'!$D$7</f>
        <v>29000</v>
      </c>
      <c r="O26" s="38">
        <f>Table3[[#This Row],[Sales Forecast]]-Table3[[#This Row],[Capacity NS]]</f>
        <v>-1879</v>
      </c>
      <c r="P26" s="38">
        <f>IF(Table3[[#This Row],[Seat Availibility NS]]&gt;0,Table3[[#This Row],[Seat Availibility NS]]*Table3[[#This Row],[Ticket NS]],)</f>
        <v>0</v>
      </c>
      <c r="Q26" s="38">
        <f>Table3[[#This Row],[Revenue NS]]</f>
        <v>1269750.9779999999</v>
      </c>
      <c r="R26" s="38"/>
      <c r="S26" s="38"/>
      <c r="T26" s="42">
        <f>'Data Entry'!E12</f>
        <v>6400000</v>
      </c>
      <c r="U26" s="57"/>
      <c r="V26" s="6"/>
    </row>
    <row r="27" spans="2:22" x14ac:dyDescent="0.25">
      <c r="B27" s="7">
        <v>45413</v>
      </c>
      <c r="C27" s="37">
        <f>'Data Entry'!$E$23</f>
        <v>27121</v>
      </c>
      <c r="D27" s="38">
        <f>$D$25*'Data Entry'!$D$18</f>
        <v>58.522499999999994</v>
      </c>
      <c r="E27" s="39">
        <f>Table3[[#This Row],[Sales Tickets]]*Table3[[#This Row],[Tickets]]*'Data Entry'!$D$19</f>
        <v>14284698.502499999</v>
      </c>
      <c r="F27" s="34">
        <f>'Data Entry'!$D$23</f>
        <v>27121</v>
      </c>
      <c r="G27" s="38">
        <f>Table3[[#This Row],[Sales Forecast]]*Table3[[#This Row],[Tickets]]*'Data Entry'!$D$19</f>
        <v>14284698.502499999</v>
      </c>
      <c r="H27" s="38">
        <f>'Data Entry'!$D$9</f>
        <v>32000</v>
      </c>
      <c r="I27" s="38">
        <f>Table3[[#This Row],[Sales Forecast]]-Table3[[#This Row],[Capacity]]</f>
        <v>-4879</v>
      </c>
      <c r="J27" s="38">
        <f>IF(Table3[[#This Row],[Seat availibility]]&gt;0,Table3[[#This Row],[Seat availibility]]*Table3[[#This Row],[Tickets]],)</f>
        <v>0</v>
      </c>
      <c r="K27" s="38">
        <f>Table3[[#This Row],[Revenue]]-Table3[[#This Row],[Payments]]</f>
        <v>14284698.502499999</v>
      </c>
      <c r="L27" s="37">
        <f>$L$22*'Data Entry'!$D$17</f>
        <v>46.817999999999998</v>
      </c>
      <c r="M27" s="38">
        <f>Table3[[#This Row],[Sales Tickets]]*Table3[[#This Row],[Ticket NS]]</f>
        <v>1269750.9779999999</v>
      </c>
      <c r="N27" s="38">
        <f>'Data Entry'!$D$7</f>
        <v>29000</v>
      </c>
      <c r="O27" s="38">
        <f>Table3[[#This Row],[Sales Forecast]]-Table3[[#This Row],[Capacity NS]]</f>
        <v>-1879</v>
      </c>
      <c r="P27" s="38">
        <f>IF(Table3[[#This Row],[Seat Availibility NS]]&gt;0,Table3[[#This Row],[Seat Availibility NS]]*Table3[[#This Row],[Ticket NS]],)</f>
        <v>0</v>
      </c>
      <c r="Q27" s="38">
        <f>Table3[[#This Row],[Revenue NS]]</f>
        <v>1269750.9779999999</v>
      </c>
      <c r="R27" s="38"/>
      <c r="S27" s="38"/>
      <c r="T27" s="42"/>
      <c r="U27" s="57"/>
      <c r="V27" s="6"/>
    </row>
    <row r="28" spans="2:22" x14ac:dyDescent="0.25">
      <c r="B28" s="7">
        <v>45444</v>
      </c>
      <c r="C28" s="37">
        <f>'Data Entry'!$E$23</f>
        <v>27121</v>
      </c>
      <c r="D28" s="38">
        <f>$D$25*'Data Entry'!$D$18</f>
        <v>58.522499999999994</v>
      </c>
      <c r="E28" s="39">
        <f>Table3[[#This Row],[Sales Tickets]]*Table3[[#This Row],[Tickets]]*'Data Entry'!$D$19</f>
        <v>14284698.502499999</v>
      </c>
      <c r="F28" s="34">
        <f>'Data Entry'!$D$23</f>
        <v>27121</v>
      </c>
      <c r="G28" s="38">
        <f>Table3[[#This Row],[Sales Forecast]]*Table3[[#This Row],[Tickets]]*'Data Entry'!$D$19</f>
        <v>14284698.502499999</v>
      </c>
      <c r="H28" s="38">
        <f>'Data Entry'!$D$9</f>
        <v>32000</v>
      </c>
      <c r="I28" s="38">
        <f>Table3[[#This Row],[Sales Forecast]]-Table3[[#This Row],[Capacity]]</f>
        <v>-4879</v>
      </c>
      <c r="J28" s="38">
        <f>IF(Table3[[#This Row],[Seat availibility]]&gt;0,Table3[[#This Row],[Seat availibility]]*Table3[[#This Row],[Tickets]],)</f>
        <v>0</v>
      </c>
      <c r="K28" s="38">
        <f>Table3[[#This Row],[Revenue]]-Table3[[#This Row],[Payments]]</f>
        <v>14284698.502499999</v>
      </c>
      <c r="L28" s="37">
        <f>$L$22*'Data Entry'!$D$17</f>
        <v>46.817999999999998</v>
      </c>
      <c r="M28" s="38">
        <f>Table3[[#This Row],[Sales Tickets]]*Table3[[#This Row],[Ticket NS]]</f>
        <v>1269750.9779999999</v>
      </c>
      <c r="N28" s="38">
        <f>'Data Entry'!$D$7</f>
        <v>29000</v>
      </c>
      <c r="O28" s="38">
        <f>Table3[[#This Row],[Sales Forecast]]-Table3[[#This Row],[Capacity NS]]</f>
        <v>-1879</v>
      </c>
      <c r="P28" s="38">
        <f>IF(Table3[[#This Row],[Seat Availibility NS]]&gt;0,Table3[[#This Row],[Seat Availibility NS]]*Table3[[#This Row],[Ticket NS]],)</f>
        <v>0</v>
      </c>
      <c r="Q28" s="38">
        <f>Table3[[#This Row],[Revenue NS]]</f>
        <v>1269750.9779999999</v>
      </c>
      <c r="R28" s="38"/>
      <c r="S28" s="38"/>
      <c r="T28" s="42"/>
      <c r="U28" s="57"/>
      <c r="V28" s="6"/>
    </row>
    <row r="29" spans="2:22" x14ac:dyDescent="0.25">
      <c r="B29" s="7">
        <v>45474</v>
      </c>
      <c r="C29" s="37">
        <f>'Data Entry'!$E$23</f>
        <v>27121</v>
      </c>
      <c r="D29" s="38">
        <f>$D$25*'Data Entry'!$D$18</f>
        <v>58.522499999999994</v>
      </c>
      <c r="E29" s="39">
        <f>Table3[[#This Row],[Sales Tickets]]*Table3[[#This Row],[Tickets]]*'Data Entry'!$D$19</f>
        <v>14284698.502499999</v>
      </c>
      <c r="F29" s="34">
        <f>'Data Entry'!$D$23</f>
        <v>27121</v>
      </c>
      <c r="G29" s="38">
        <f>Table3[[#This Row],[Sales Forecast]]*Table3[[#This Row],[Tickets]]*'Data Entry'!$D$19</f>
        <v>14284698.502499999</v>
      </c>
      <c r="H29" s="38">
        <f>'Data Entry'!$D$9</f>
        <v>32000</v>
      </c>
      <c r="I29" s="38">
        <f>Table3[[#This Row],[Sales Forecast]]-Table3[[#This Row],[Capacity]]</f>
        <v>-4879</v>
      </c>
      <c r="J29" s="38">
        <f>IF(Table3[[#This Row],[Seat availibility]]&gt;0,Table3[[#This Row],[Seat availibility]]*Table3[[#This Row],[Tickets]],)</f>
        <v>0</v>
      </c>
      <c r="K29" s="38">
        <f>Table3[[#This Row],[Revenue]]-Table3[[#This Row],[Payments]]</f>
        <v>14284698.502499999</v>
      </c>
      <c r="L29" s="37">
        <f>$L$22*'Data Entry'!$D$17</f>
        <v>46.817999999999998</v>
      </c>
      <c r="M29" s="38">
        <f>Table3[[#This Row],[Sales Tickets]]*Table3[[#This Row],[Ticket NS]]</f>
        <v>1269750.9779999999</v>
      </c>
      <c r="N29" s="38">
        <f>'Data Entry'!$D$7</f>
        <v>29000</v>
      </c>
      <c r="O29" s="38">
        <f>Table3[[#This Row],[Sales Forecast]]-Table3[[#This Row],[Capacity NS]]</f>
        <v>-1879</v>
      </c>
      <c r="P29" s="38">
        <f>IF(Table3[[#This Row],[Seat Availibility NS]]&gt;0,Table3[[#This Row],[Seat Availibility NS]]*Table3[[#This Row],[Ticket NS]],)</f>
        <v>0</v>
      </c>
      <c r="Q29" s="38">
        <f>Table3[[#This Row],[Revenue NS]]</f>
        <v>1269750.9779999999</v>
      </c>
      <c r="R29" s="38"/>
      <c r="S29" s="38"/>
      <c r="T29" s="42"/>
      <c r="U29" s="57"/>
      <c r="V29" s="6"/>
    </row>
    <row r="30" spans="2:22" x14ac:dyDescent="0.25">
      <c r="B30" s="7">
        <v>45505</v>
      </c>
      <c r="C30" s="37">
        <f>'Data Entry'!$E$23</f>
        <v>27121</v>
      </c>
      <c r="D30" s="38">
        <f>$D$25*'Data Entry'!$D$18</f>
        <v>58.522499999999994</v>
      </c>
      <c r="E30" s="39">
        <f>Table3[[#This Row],[Sales Tickets]]*Table3[[#This Row],[Tickets]]*'Data Entry'!$D$19</f>
        <v>14284698.502499999</v>
      </c>
      <c r="F30" s="34">
        <f>'Data Entry'!$D$23</f>
        <v>27121</v>
      </c>
      <c r="G30" s="38">
        <f>Table3[[#This Row],[Sales Forecast]]*Table3[[#This Row],[Tickets]]*'Data Entry'!$D$19</f>
        <v>14284698.502499999</v>
      </c>
      <c r="H30" s="38">
        <f>'Data Entry'!$D$9</f>
        <v>32000</v>
      </c>
      <c r="I30" s="38">
        <f>Table3[[#This Row],[Sales Forecast]]-Table3[[#This Row],[Capacity]]</f>
        <v>-4879</v>
      </c>
      <c r="J30" s="38">
        <f>IF(Table3[[#This Row],[Seat availibility]]&gt;0,Table3[[#This Row],[Seat availibility]]*Table3[[#This Row],[Tickets]],)</f>
        <v>0</v>
      </c>
      <c r="K30" s="38">
        <f>Table3[[#This Row],[Revenue]]-Table3[[#This Row],[Payments]]</f>
        <v>14284698.502499999</v>
      </c>
      <c r="L30" s="37">
        <f>$L$22*'Data Entry'!$D$17</f>
        <v>46.817999999999998</v>
      </c>
      <c r="M30" s="38">
        <f>Table3[[#This Row],[Sales Tickets]]*Table3[[#This Row],[Ticket NS]]</f>
        <v>1269750.9779999999</v>
      </c>
      <c r="N30" s="38">
        <f>'Data Entry'!$D$7</f>
        <v>29000</v>
      </c>
      <c r="O30" s="38">
        <f>Table3[[#This Row],[Sales Forecast]]-Table3[[#This Row],[Capacity NS]]</f>
        <v>-1879</v>
      </c>
      <c r="P30" s="38">
        <f>IF(Table3[[#This Row],[Seat Availibility NS]]&gt;0,Table3[[#This Row],[Seat Availibility NS]]*Table3[[#This Row],[Ticket NS]],)</f>
        <v>0</v>
      </c>
      <c r="Q30" s="38">
        <f>Table3[[#This Row],[Revenue NS]]</f>
        <v>1269750.9779999999</v>
      </c>
      <c r="R30" s="38"/>
      <c r="S30" s="38"/>
      <c r="T30" s="42"/>
      <c r="U30" s="57"/>
      <c r="V30" s="6"/>
    </row>
    <row r="31" spans="2:22" x14ac:dyDescent="0.25">
      <c r="B31" s="7">
        <v>45536</v>
      </c>
      <c r="C31" s="37">
        <f>'Data Entry'!$E$23</f>
        <v>27121</v>
      </c>
      <c r="D31" s="38">
        <f>$D$25*'Data Entry'!$D$18</f>
        <v>58.522499999999994</v>
      </c>
      <c r="E31" s="39">
        <f>Table3[[#This Row],[Sales Tickets]]*Table3[[#This Row],[Tickets]]*'Data Entry'!$D$19</f>
        <v>14284698.502499999</v>
      </c>
      <c r="F31" s="34">
        <f>'Data Entry'!$D$23</f>
        <v>27121</v>
      </c>
      <c r="G31" s="38">
        <f>Table3[[#This Row],[Sales Forecast]]*Table3[[#This Row],[Tickets]]*'Data Entry'!$D$19</f>
        <v>14284698.502499999</v>
      </c>
      <c r="H31" s="38">
        <f>'Data Entry'!$D$9</f>
        <v>32000</v>
      </c>
      <c r="I31" s="38">
        <f>Table3[[#This Row],[Sales Forecast]]-Table3[[#This Row],[Capacity]]</f>
        <v>-4879</v>
      </c>
      <c r="J31" s="38">
        <f>IF(Table3[[#This Row],[Seat availibility]]&gt;0,Table3[[#This Row],[Seat availibility]]*Table3[[#This Row],[Tickets]],)</f>
        <v>0</v>
      </c>
      <c r="K31" s="38">
        <f>Table3[[#This Row],[Revenue]]-Table3[[#This Row],[Payments]]</f>
        <v>14284698.502499999</v>
      </c>
      <c r="L31" s="37">
        <f>$L$22*'Data Entry'!$D$17</f>
        <v>46.817999999999998</v>
      </c>
      <c r="M31" s="38">
        <f>Table3[[#This Row],[Sales Tickets]]*Table3[[#This Row],[Ticket NS]]</f>
        <v>1269750.9779999999</v>
      </c>
      <c r="N31" s="38">
        <f>'Data Entry'!$D$7</f>
        <v>29000</v>
      </c>
      <c r="O31" s="38">
        <f>Table3[[#This Row],[Sales Forecast]]-Table3[[#This Row],[Capacity NS]]</f>
        <v>-1879</v>
      </c>
      <c r="P31" s="38">
        <f>IF(Table3[[#This Row],[Seat Availibility NS]]&gt;0,Table3[[#This Row],[Seat Availibility NS]]*Table3[[#This Row],[Ticket NS]],)</f>
        <v>0</v>
      </c>
      <c r="Q31" s="38">
        <f>Table3[[#This Row],[Revenue NS]]</f>
        <v>1269750.9779999999</v>
      </c>
      <c r="R31" s="38"/>
      <c r="S31" s="38"/>
      <c r="T31" s="42"/>
      <c r="U31" s="57"/>
      <c r="V31" s="6"/>
    </row>
    <row r="32" spans="2:22" x14ac:dyDescent="0.25">
      <c r="B32" s="7">
        <v>45566</v>
      </c>
      <c r="C32" s="37">
        <f>'Data Entry'!$E$23</f>
        <v>27121</v>
      </c>
      <c r="D32" s="38">
        <f>$D$25*'Data Entry'!$D$18</f>
        <v>58.522499999999994</v>
      </c>
      <c r="E32" s="39">
        <f>Table3[[#This Row],[Sales Tickets]]*Table3[[#This Row],[Tickets]]*'Data Entry'!$D$19</f>
        <v>14284698.502499999</v>
      </c>
      <c r="F32" s="34">
        <f>'Data Entry'!$D$23</f>
        <v>27121</v>
      </c>
      <c r="G32" s="38">
        <f>Table3[[#This Row],[Sales Forecast]]*Table3[[#This Row],[Tickets]]*'Data Entry'!$D$19</f>
        <v>14284698.502499999</v>
      </c>
      <c r="H32" s="38">
        <f>'Data Entry'!$D$9</f>
        <v>32000</v>
      </c>
      <c r="I32" s="38">
        <f>Table3[[#This Row],[Sales Forecast]]-Table3[[#This Row],[Capacity]]</f>
        <v>-4879</v>
      </c>
      <c r="J32" s="38">
        <f>IF(Table3[[#This Row],[Seat availibility]]&gt;0,Table3[[#This Row],[Seat availibility]]*Table3[[#This Row],[Tickets]],)</f>
        <v>0</v>
      </c>
      <c r="K32" s="38">
        <f>Table3[[#This Row],[Revenue]]-Table3[[#This Row],[Payments]]</f>
        <v>14284698.502499999</v>
      </c>
      <c r="L32" s="37">
        <f>$L$22*'Data Entry'!$D$17</f>
        <v>46.817999999999998</v>
      </c>
      <c r="M32" s="38">
        <f>Table3[[#This Row],[Sales Tickets]]*Table3[[#This Row],[Ticket NS]]</f>
        <v>1269750.9779999999</v>
      </c>
      <c r="N32" s="38">
        <f>'Data Entry'!$D$7</f>
        <v>29000</v>
      </c>
      <c r="O32" s="38">
        <f>Table3[[#This Row],[Sales Forecast]]-Table3[[#This Row],[Capacity NS]]</f>
        <v>-1879</v>
      </c>
      <c r="P32" s="38">
        <f>IF(Table3[[#This Row],[Seat Availibility NS]]&gt;0,Table3[[#This Row],[Seat Availibility NS]]*Table3[[#This Row],[Ticket NS]],)</f>
        <v>0</v>
      </c>
      <c r="Q32" s="38">
        <f>Table3[[#This Row],[Revenue NS]]</f>
        <v>1269750.9779999999</v>
      </c>
      <c r="R32" s="38"/>
      <c r="S32" s="38"/>
      <c r="T32" s="42"/>
      <c r="U32" s="57"/>
      <c r="V32" s="6"/>
    </row>
    <row r="33" spans="2:26" x14ac:dyDescent="0.25">
      <c r="B33" s="7">
        <v>45597</v>
      </c>
      <c r="C33" s="37">
        <f>'Data Entry'!$E$23</f>
        <v>27121</v>
      </c>
      <c r="D33" s="38">
        <f>$D$25*'Data Entry'!$D$18</f>
        <v>58.522499999999994</v>
      </c>
      <c r="E33" s="39">
        <f>Table3[[#This Row],[Sales Tickets]]*Table3[[#This Row],[Tickets]]*'Data Entry'!$D$19</f>
        <v>14284698.502499999</v>
      </c>
      <c r="F33" s="34">
        <f>'Data Entry'!$D$23</f>
        <v>27121</v>
      </c>
      <c r="G33" s="38">
        <f>Table3[[#This Row],[Sales Forecast]]*Table3[[#This Row],[Tickets]]*'Data Entry'!$D$19</f>
        <v>14284698.502499999</v>
      </c>
      <c r="H33" s="38">
        <f>'Data Entry'!$D$9</f>
        <v>32000</v>
      </c>
      <c r="I33" s="38">
        <f>Table3[[#This Row],[Sales Forecast]]-Table3[[#This Row],[Capacity]]</f>
        <v>-4879</v>
      </c>
      <c r="J33" s="38">
        <f>IF(Table3[[#This Row],[Seat availibility]]&gt;0,Table3[[#This Row],[Seat availibility]]*Table3[[#This Row],[Tickets]],)</f>
        <v>0</v>
      </c>
      <c r="K33" s="38">
        <f>Table3[[#This Row],[Revenue]]-Table3[[#This Row],[Payments]]</f>
        <v>14284698.502499999</v>
      </c>
      <c r="L33" s="37">
        <f>$L$22*'Data Entry'!$D$17</f>
        <v>46.817999999999998</v>
      </c>
      <c r="M33" s="38">
        <f>Table3[[#This Row],[Sales Tickets]]*Table3[[#This Row],[Ticket NS]]</f>
        <v>1269750.9779999999</v>
      </c>
      <c r="N33" s="38">
        <f>'Data Entry'!$D$7</f>
        <v>29000</v>
      </c>
      <c r="O33" s="38">
        <f>Table3[[#This Row],[Sales Forecast]]-Table3[[#This Row],[Capacity NS]]</f>
        <v>-1879</v>
      </c>
      <c r="P33" s="38">
        <f>IF(Table3[[#This Row],[Seat Availibility NS]]&gt;0,Table3[[#This Row],[Seat Availibility NS]]*Table3[[#This Row],[Ticket NS]],)</f>
        <v>0</v>
      </c>
      <c r="Q33" s="38">
        <f>Table3[[#This Row],[Revenue NS]]</f>
        <v>1269750.9779999999</v>
      </c>
      <c r="R33" s="38"/>
      <c r="S33" s="38"/>
      <c r="T33" s="42"/>
      <c r="U33" s="57"/>
      <c r="V33" s="6"/>
    </row>
    <row r="34" spans="2:26" x14ac:dyDescent="0.25">
      <c r="B34" s="7">
        <v>45627</v>
      </c>
      <c r="C34" s="37">
        <v>0</v>
      </c>
      <c r="D34" s="38">
        <f>$D$25*'Data Entry'!$D$18</f>
        <v>58.522499999999994</v>
      </c>
      <c r="E34" s="39">
        <v>0</v>
      </c>
      <c r="F34" s="38">
        <v>0</v>
      </c>
      <c r="G34" s="38">
        <f>Table3[[#This Row],[Sales Forecast]]*Table3[[#This Row],[Tickets]]</f>
        <v>0</v>
      </c>
      <c r="H34" s="38">
        <f>'Data Entry'!$D$9</f>
        <v>32000</v>
      </c>
      <c r="I34" s="38">
        <f>Table3[[#This Row],[Sales Forecast]]*Table3[[#This Row],[Tickets]]</f>
        <v>0</v>
      </c>
      <c r="J34" s="38">
        <f>IF(Table3[[#This Row],[Seat availibility]]&gt;0,Table3[[#This Row],[Seat availibility]]*Table3[[#This Row],[Tickets]],)</f>
        <v>0</v>
      </c>
      <c r="K34" s="38">
        <f>Table3[[#This Row],[Revenue]]-Table3[[#This Row],[Payments]]</f>
        <v>0</v>
      </c>
      <c r="L34" s="37">
        <f>$L$22*'Data Entry'!$D$17</f>
        <v>46.817999999999998</v>
      </c>
      <c r="M34" s="38">
        <f>Table3[[#This Row],[Sales Tickets]]*Table3[[#This Row],[Ticket NS]]</f>
        <v>0</v>
      </c>
      <c r="N34" s="38">
        <f>'Data Entry'!$D$7</f>
        <v>29000</v>
      </c>
      <c r="O34" s="38">
        <f>Table3[[#This Row],[Sales Forecast]]-Table3[[#This Row],[Capacity NS]]</f>
        <v>-29000</v>
      </c>
      <c r="P34" s="38">
        <f>IF(Table3[[#This Row],[Seat Availibility NS]]&gt;0,Table3[[#This Row],[Seat Availibility NS]]*Table3[[#This Row],[Ticket NS]],)</f>
        <v>0</v>
      </c>
      <c r="Q34" s="38">
        <f>Table3[[#This Row],[Revenue NS]]</f>
        <v>0</v>
      </c>
      <c r="R34" s="38">
        <f>NPV('Data Entry'!$D$42/12,K24:K34)+K23</f>
        <v>93600449.796824038</v>
      </c>
      <c r="S34" s="38">
        <f>NPV('Data Entry'!D54/12,Q24:Q34)+Q23</f>
        <v>10158007.823999999</v>
      </c>
      <c r="T34" s="42"/>
      <c r="U34" s="57"/>
      <c r="V34" s="6"/>
    </row>
    <row r="35" spans="2:26" x14ac:dyDescent="0.25">
      <c r="B35" s="7">
        <v>45658</v>
      </c>
      <c r="C35" s="43">
        <v>0</v>
      </c>
      <c r="D35" s="38">
        <f>$D$34*'Data Entry'!$D$17</f>
        <v>59.692949999999996</v>
      </c>
      <c r="E35" s="35">
        <v>0</v>
      </c>
      <c r="F35" s="34">
        <v>0</v>
      </c>
      <c r="G35" s="38">
        <f>Table3[[#This Row],[Sales Forecast]]*Table3[[#This Row],[Tickets]]</f>
        <v>0</v>
      </c>
      <c r="H35" s="38">
        <f>'Data Entry'!$D$9</f>
        <v>32000</v>
      </c>
      <c r="I35" s="38">
        <f>Table3[[#This Row],[Sales Forecast]]*Table3[[#This Row],[Tickets]]</f>
        <v>0</v>
      </c>
      <c r="J35" s="38">
        <f>IF(Table3[[#This Row],[Seat availibility]]&gt;0,Table3[[#This Row],[Seat availibility]]*Table3[[#This Row],[Tickets]],)</f>
        <v>0</v>
      </c>
      <c r="K35" s="38">
        <f>Table3[[#This Row],[Revenue]]-Table3[[#This Row],[Payments]]</f>
        <v>0</v>
      </c>
      <c r="L35" s="37">
        <f>$L$34*'Data Entry'!$D$17</f>
        <v>47.754359999999998</v>
      </c>
      <c r="M35" s="38">
        <f>Table3[[#This Row],[Sales Tickets]]*Table3[[#This Row],[Ticket NS]]</f>
        <v>0</v>
      </c>
      <c r="N35" s="38">
        <f>'Data Entry'!$D$7</f>
        <v>29000</v>
      </c>
      <c r="O35" s="38">
        <f>Table3[[#This Row],[Sales Forecast]]-Table3[[#This Row],[Capacity NS]]</f>
        <v>-29000</v>
      </c>
      <c r="P35" s="38">
        <f>IF(Table3[[#This Row],[Seat Availibility NS]]&gt;0,Table3[[#This Row],[Seat Availibility NS]]*Table3[[#This Row],[Ticket NS]],)</f>
        <v>0</v>
      </c>
      <c r="Q35" s="38">
        <f>Table3[[#This Row],[Revenue NS]]</f>
        <v>0</v>
      </c>
      <c r="R35" s="38"/>
      <c r="S35" s="38"/>
      <c r="T35" s="44"/>
      <c r="U35" s="56"/>
      <c r="V35" s="6"/>
    </row>
    <row r="36" spans="2:26" x14ac:dyDescent="0.25">
      <c r="B36" s="7">
        <v>45689</v>
      </c>
      <c r="C36" s="43">
        <v>0</v>
      </c>
      <c r="D36" s="38">
        <f>$D$34*'Data Entry'!$D$17</f>
        <v>59.692949999999996</v>
      </c>
      <c r="E36" s="35">
        <v>0</v>
      </c>
      <c r="F36" s="34">
        <v>0</v>
      </c>
      <c r="G36" s="38">
        <f>Table3[[#This Row],[Sales Forecast]]*Table3[[#This Row],[Tickets]]</f>
        <v>0</v>
      </c>
      <c r="H36" s="38">
        <f>'Data Entry'!$D$9</f>
        <v>32000</v>
      </c>
      <c r="I36" s="38">
        <f>Table3[[#This Row],[Sales Forecast]]*Table3[[#This Row],[Tickets]]</f>
        <v>0</v>
      </c>
      <c r="J36" s="38">
        <f>IF(Table3[[#This Row],[Seat availibility]]&gt;0,Table3[[#This Row],[Seat availibility]]*Table3[[#This Row],[Tickets]],)</f>
        <v>0</v>
      </c>
      <c r="K36" s="38">
        <f>Table3[[#This Row],[Revenue]]-Table3[[#This Row],[Payments]]</f>
        <v>0</v>
      </c>
      <c r="L36" s="37">
        <f>$L$34*'Data Entry'!$D$17</f>
        <v>47.754359999999998</v>
      </c>
      <c r="M36" s="38">
        <f>Table3[[#This Row],[Sales Tickets]]*Table3[[#This Row],[Ticket NS]]</f>
        <v>0</v>
      </c>
      <c r="N36" s="38">
        <f>'Data Entry'!$D$7</f>
        <v>29000</v>
      </c>
      <c r="O36" s="38">
        <f>Table3[[#This Row],[Sales Forecast]]-Table3[[#This Row],[Capacity NS]]</f>
        <v>-29000</v>
      </c>
      <c r="P36" s="38">
        <f>IF(Table3[[#This Row],[Seat Availibility NS]]&gt;0,Table3[[#This Row],[Seat Availibility NS]]*Table3[[#This Row],[Ticket NS]],)</f>
        <v>0</v>
      </c>
      <c r="Q36" s="38">
        <f>Table3[[#This Row],[Revenue NS]]</f>
        <v>0</v>
      </c>
      <c r="R36" s="38"/>
      <c r="S36" s="38"/>
      <c r="T36" s="44"/>
      <c r="U36" s="56"/>
      <c r="V36" s="6"/>
    </row>
    <row r="37" spans="2:26" x14ac:dyDescent="0.25">
      <c r="B37" s="7">
        <v>45717</v>
      </c>
      <c r="C37" s="43">
        <v>0</v>
      </c>
      <c r="D37" s="38">
        <f>$D$34*'Data Entry'!$D$17</f>
        <v>59.692949999999996</v>
      </c>
      <c r="E37" s="35">
        <v>0</v>
      </c>
      <c r="F37" s="34">
        <v>0</v>
      </c>
      <c r="G37" s="38">
        <f>Table3[[#This Row],[Sales Forecast]]*Table3[[#This Row],[Tickets]]</f>
        <v>0</v>
      </c>
      <c r="H37" s="38">
        <f>'Data Entry'!$D$9</f>
        <v>32000</v>
      </c>
      <c r="I37" s="38">
        <f>Table3[[#This Row],[Sales Forecast]]*Table3[[#This Row],[Tickets]]</f>
        <v>0</v>
      </c>
      <c r="J37" s="38">
        <f>IF(Table3[[#This Row],[Seat availibility]]&gt;0,Table3[[#This Row],[Seat availibility]]*Table3[[#This Row],[Tickets]],)</f>
        <v>0</v>
      </c>
      <c r="K37" s="38">
        <f>Table3[[#This Row],[Revenue]]-Table3[[#This Row],[Payments]]</f>
        <v>0</v>
      </c>
      <c r="L37" s="37">
        <f>$L$34*'Data Entry'!$D$17</f>
        <v>47.754359999999998</v>
      </c>
      <c r="M37" s="38">
        <f>Table3[[#This Row],[Sales Tickets]]*Table3[[#This Row],[Ticket NS]]</f>
        <v>0</v>
      </c>
      <c r="N37" s="38">
        <f>'Data Entry'!$D$7</f>
        <v>29000</v>
      </c>
      <c r="O37" s="38">
        <f>Table3[[#This Row],[Sales Forecast]]-Table3[[#This Row],[Capacity NS]]</f>
        <v>-29000</v>
      </c>
      <c r="P37" s="38">
        <f>IF(Table3[[#This Row],[Seat Availibility NS]]&gt;0,Table3[[#This Row],[Seat Availibility NS]]*Table3[[#This Row],[Ticket NS]],)</f>
        <v>0</v>
      </c>
      <c r="Q37" s="38">
        <f>Table3[[#This Row],[Revenue NS]]</f>
        <v>0</v>
      </c>
      <c r="R37" s="38"/>
      <c r="S37" s="38"/>
      <c r="T37" s="44"/>
      <c r="U37" s="56"/>
      <c r="V37" s="6"/>
      <c r="X37"/>
      <c r="Z37"/>
    </row>
    <row r="38" spans="2:26" x14ac:dyDescent="0.25">
      <c r="B38" s="7">
        <v>45748</v>
      </c>
      <c r="C38" s="37">
        <f>'Data Entry'!$E$24</f>
        <v>27934</v>
      </c>
      <c r="D38" s="38">
        <f>$D$34*'Data Entry'!$D$17</f>
        <v>59.692949999999996</v>
      </c>
      <c r="E38" s="39">
        <f>Table3[[#This Row],[Sales Tickets]]*Table3[[#This Row],[Tickets]]*'Data Entry'!$D$19</f>
        <v>15007165.787699999</v>
      </c>
      <c r="F38" s="34">
        <f>'Data Entry'!$D$24</f>
        <v>27934</v>
      </c>
      <c r="G38" s="38">
        <f>Table3[[#This Row],[Sales Forecast]]*Table3[[#This Row],[Tickets]]*'Data Entry'!$D$19</f>
        <v>15007165.787699999</v>
      </c>
      <c r="H38" s="38">
        <f>'Data Entry'!$D$9</f>
        <v>32000</v>
      </c>
      <c r="I38" s="38">
        <f>Table3[[#This Row],[Sales Forecast]]-Table3[[#This Row],[Capacity]]</f>
        <v>-4066</v>
      </c>
      <c r="J38" s="38">
        <f>IF(Table3[[#This Row],[Seat availibility]]&gt;0,Table3[[#This Row],[Seat availibility]]*Table3[[#This Row],[Tickets]],)</f>
        <v>0</v>
      </c>
      <c r="K38" s="38">
        <f>Table3[[#This Row],[Revenue]]-Table3[[#This Row],[Payments]]</f>
        <v>15007165.787699999</v>
      </c>
      <c r="L38" s="37">
        <f>$L$34*'Data Entry'!$D$17</f>
        <v>47.754359999999998</v>
      </c>
      <c r="M38" s="38">
        <f>Table3[[#This Row],[Sales Tickets]]*Table3[[#This Row],[Ticket NS]]</f>
        <v>1333970.2922399999</v>
      </c>
      <c r="N38" s="38">
        <f>'Data Entry'!$D$7</f>
        <v>29000</v>
      </c>
      <c r="O38" s="38">
        <f>Table3[[#This Row],[Sales Forecast]]-Table3[[#This Row],[Capacity NS]]</f>
        <v>-1066</v>
      </c>
      <c r="P38" s="38">
        <f>IF(Table3[[#This Row],[Seat Availibility NS]]&gt;0,Table3[[#This Row],[Seat Availibility NS]]*Table3[[#This Row],[Ticket NS]],)</f>
        <v>0</v>
      </c>
      <c r="Q38" s="38">
        <f>Table3[[#This Row],[Revenue NS]]</f>
        <v>1333970.2922399999</v>
      </c>
      <c r="R38" s="38"/>
      <c r="S38" s="38"/>
      <c r="T38" s="42"/>
      <c r="U38" s="57"/>
      <c r="V38" s="6"/>
      <c r="X38"/>
      <c r="Z38"/>
    </row>
    <row r="39" spans="2:26" x14ac:dyDescent="0.25">
      <c r="B39" s="7">
        <v>45778</v>
      </c>
      <c r="C39" s="37">
        <f>'Data Entry'!$E$24</f>
        <v>27934</v>
      </c>
      <c r="D39" s="38">
        <f>$D$34*'Data Entry'!$D$17</f>
        <v>59.692949999999996</v>
      </c>
      <c r="E39" s="39">
        <f>Table3[[#This Row],[Sales Tickets]]*Table3[[#This Row],[Tickets]]*'Data Entry'!$D$19</f>
        <v>15007165.787699999</v>
      </c>
      <c r="F39" s="34">
        <f>'Data Entry'!$D$24</f>
        <v>27934</v>
      </c>
      <c r="G39" s="38">
        <f>Table3[[#This Row],[Sales Forecast]]*Table3[[#This Row],[Tickets]]*'Data Entry'!$D$19</f>
        <v>15007165.787699999</v>
      </c>
      <c r="H39" s="38">
        <f>'Data Entry'!$D$9</f>
        <v>32000</v>
      </c>
      <c r="I39" s="38">
        <f>Table3[[#This Row],[Sales Forecast]]-Table3[[#This Row],[Capacity]]</f>
        <v>-4066</v>
      </c>
      <c r="J39" s="38">
        <f>IF(Table3[[#This Row],[Seat availibility]]&gt;0,Table3[[#This Row],[Seat availibility]]*Table3[[#This Row],[Tickets]],)</f>
        <v>0</v>
      </c>
      <c r="K39" s="38">
        <f>Table3[[#This Row],[Revenue]]-Table3[[#This Row],[Payments]]</f>
        <v>15007165.787699999</v>
      </c>
      <c r="L39" s="37">
        <f>$L$34*'Data Entry'!$D$17</f>
        <v>47.754359999999998</v>
      </c>
      <c r="M39" s="38">
        <f>Table3[[#This Row],[Sales Tickets]]*Table3[[#This Row],[Ticket NS]]</f>
        <v>1333970.2922399999</v>
      </c>
      <c r="N39" s="38">
        <f>'Data Entry'!$D$7</f>
        <v>29000</v>
      </c>
      <c r="O39" s="38">
        <f>Table3[[#This Row],[Sales Forecast]]-Table3[[#This Row],[Capacity NS]]</f>
        <v>-1066</v>
      </c>
      <c r="P39" s="38">
        <f>IF(Table3[[#This Row],[Seat Availibility NS]]&gt;0,Table3[[#This Row],[Seat Availibility NS]]*Table3[[#This Row],[Ticket NS]],)</f>
        <v>0</v>
      </c>
      <c r="Q39" s="38">
        <f>Table3[[#This Row],[Revenue NS]]</f>
        <v>1333970.2922399999</v>
      </c>
      <c r="R39" s="38"/>
      <c r="S39" s="38"/>
      <c r="T39" s="42"/>
      <c r="U39" s="57"/>
      <c r="V39" s="6"/>
      <c r="X39"/>
      <c r="Z39"/>
    </row>
    <row r="40" spans="2:26" x14ac:dyDescent="0.25">
      <c r="B40" s="7">
        <v>45809</v>
      </c>
      <c r="C40" s="37">
        <f>'Data Entry'!$E$24</f>
        <v>27934</v>
      </c>
      <c r="D40" s="38">
        <f>$D$34*'Data Entry'!$D$17</f>
        <v>59.692949999999996</v>
      </c>
      <c r="E40" s="39">
        <f>Table3[[#This Row],[Sales Tickets]]*Table3[[#This Row],[Tickets]]*'Data Entry'!$D$19</f>
        <v>15007165.787699999</v>
      </c>
      <c r="F40" s="34">
        <f>'Data Entry'!$D$24</f>
        <v>27934</v>
      </c>
      <c r="G40" s="38">
        <f>Table3[[#This Row],[Sales Forecast]]*Table3[[#This Row],[Tickets]]*'Data Entry'!$D$19</f>
        <v>15007165.787699999</v>
      </c>
      <c r="H40" s="38">
        <f>'Data Entry'!$D$9</f>
        <v>32000</v>
      </c>
      <c r="I40" s="38">
        <f>Table3[[#This Row],[Sales Forecast]]-Table3[[#This Row],[Capacity]]</f>
        <v>-4066</v>
      </c>
      <c r="J40" s="38">
        <f>IF(Table3[[#This Row],[Seat availibility]]&gt;0,Table3[[#This Row],[Seat availibility]]*Table3[[#This Row],[Tickets]],)</f>
        <v>0</v>
      </c>
      <c r="K40" s="38">
        <f>Table3[[#This Row],[Revenue]]-Table3[[#This Row],[Payments]]</f>
        <v>15007165.787699999</v>
      </c>
      <c r="L40" s="37">
        <f>$L$34*'Data Entry'!$D$17</f>
        <v>47.754359999999998</v>
      </c>
      <c r="M40" s="38">
        <f>Table3[[#This Row],[Sales Tickets]]*Table3[[#This Row],[Ticket NS]]</f>
        <v>1333970.2922399999</v>
      </c>
      <c r="N40" s="38">
        <f>'Data Entry'!$D$7</f>
        <v>29000</v>
      </c>
      <c r="O40" s="38">
        <f>Table3[[#This Row],[Sales Forecast]]-Table3[[#This Row],[Capacity NS]]</f>
        <v>-1066</v>
      </c>
      <c r="P40" s="38">
        <f>IF(Table3[[#This Row],[Seat Availibility NS]]&gt;0,Table3[[#This Row],[Seat Availibility NS]]*Table3[[#This Row],[Ticket NS]],)</f>
        <v>0</v>
      </c>
      <c r="Q40" s="38">
        <f>Table3[[#This Row],[Revenue NS]]</f>
        <v>1333970.2922399999</v>
      </c>
      <c r="R40" s="38"/>
      <c r="S40" s="38"/>
      <c r="T40" s="42"/>
      <c r="U40" s="57"/>
      <c r="V40" s="6"/>
      <c r="X40"/>
      <c r="Z40"/>
    </row>
    <row r="41" spans="2:26" x14ac:dyDescent="0.25">
      <c r="B41" s="7">
        <v>45839</v>
      </c>
      <c r="C41" s="37">
        <f>'Data Entry'!$E$24</f>
        <v>27934</v>
      </c>
      <c r="D41" s="38">
        <f>$D$34*'Data Entry'!$D$17</f>
        <v>59.692949999999996</v>
      </c>
      <c r="E41" s="39">
        <f>Table3[[#This Row],[Sales Tickets]]*Table3[[#This Row],[Tickets]]*'Data Entry'!$D$19</f>
        <v>15007165.787699999</v>
      </c>
      <c r="F41" s="34">
        <f>'Data Entry'!$D$24</f>
        <v>27934</v>
      </c>
      <c r="G41" s="38">
        <f>Table3[[#This Row],[Sales Forecast]]*Table3[[#This Row],[Tickets]]*'Data Entry'!$D$19</f>
        <v>15007165.787699999</v>
      </c>
      <c r="H41" s="38">
        <f>'Data Entry'!$D$9</f>
        <v>32000</v>
      </c>
      <c r="I41" s="38">
        <f>Table3[[#This Row],[Sales Forecast]]-Table3[[#This Row],[Capacity]]</f>
        <v>-4066</v>
      </c>
      <c r="J41" s="38">
        <f>IF(Table3[[#This Row],[Seat availibility]]&gt;0,Table3[[#This Row],[Seat availibility]]*Table3[[#This Row],[Tickets]],)</f>
        <v>0</v>
      </c>
      <c r="K41" s="38">
        <f>Table3[[#This Row],[Revenue]]-Table3[[#This Row],[Payments]]</f>
        <v>15007165.787699999</v>
      </c>
      <c r="L41" s="37">
        <f>$L$34*'Data Entry'!$D$17</f>
        <v>47.754359999999998</v>
      </c>
      <c r="M41" s="38">
        <f>Table3[[#This Row],[Sales Tickets]]*Table3[[#This Row],[Ticket NS]]</f>
        <v>1333970.2922399999</v>
      </c>
      <c r="N41" s="38">
        <f>'Data Entry'!$D$7</f>
        <v>29000</v>
      </c>
      <c r="O41" s="38">
        <f>Table3[[#This Row],[Sales Forecast]]-Table3[[#This Row],[Capacity NS]]</f>
        <v>-1066</v>
      </c>
      <c r="P41" s="38">
        <f>IF(Table3[[#This Row],[Seat Availibility NS]]&gt;0,Table3[[#This Row],[Seat Availibility NS]]*Table3[[#This Row],[Ticket NS]],)</f>
        <v>0</v>
      </c>
      <c r="Q41" s="38">
        <f>Table3[[#This Row],[Revenue NS]]</f>
        <v>1333970.2922399999</v>
      </c>
      <c r="R41" s="38"/>
      <c r="S41" s="38"/>
      <c r="T41" s="42"/>
      <c r="U41" s="57"/>
      <c r="V41" s="6"/>
      <c r="X41"/>
      <c r="Z41"/>
    </row>
    <row r="42" spans="2:26" x14ac:dyDescent="0.25">
      <c r="B42" s="7">
        <v>45870</v>
      </c>
      <c r="C42" s="37">
        <f>'Data Entry'!$E$24</f>
        <v>27934</v>
      </c>
      <c r="D42" s="38">
        <f>$D$34*'Data Entry'!$D$17</f>
        <v>59.692949999999996</v>
      </c>
      <c r="E42" s="39">
        <f>Table3[[#This Row],[Sales Tickets]]*Table3[[#This Row],[Tickets]]*'Data Entry'!$D$19</f>
        <v>15007165.787699999</v>
      </c>
      <c r="F42" s="34">
        <f>'Data Entry'!$D$24</f>
        <v>27934</v>
      </c>
      <c r="G42" s="38">
        <f>Table3[[#This Row],[Sales Forecast]]*Table3[[#This Row],[Tickets]]*'Data Entry'!$D$19</f>
        <v>15007165.787699999</v>
      </c>
      <c r="H42" s="38">
        <f>'Data Entry'!$D$9</f>
        <v>32000</v>
      </c>
      <c r="I42" s="38">
        <f>Table3[[#This Row],[Sales Forecast]]-Table3[[#This Row],[Capacity]]</f>
        <v>-4066</v>
      </c>
      <c r="J42" s="38">
        <f>IF(Table3[[#This Row],[Seat availibility]]&gt;0,Table3[[#This Row],[Seat availibility]]*Table3[[#This Row],[Tickets]],)</f>
        <v>0</v>
      </c>
      <c r="K42" s="38">
        <f>Table3[[#This Row],[Revenue]]-Table3[[#This Row],[Payments]]</f>
        <v>15007165.787699999</v>
      </c>
      <c r="L42" s="37">
        <f>$L$34*'Data Entry'!$D$17</f>
        <v>47.754359999999998</v>
      </c>
      <c r="M42" s="38">
        <f>Table3[[#This Row],[Sales Tickets]]*Table3[[#This Row],[Ticket NS]]</f>
        <v>1333970.2922399999</v>
      </c>
      <c r="N42" s="38">
        <f>'Data Entry'!$D$7</f>
        <v>29000</v>
      </c>
      <c r="O42" s="38">
        <f>Table3[[#This Row],[Sales Forecast]]-Table3[[#This Row],[Capacity NS]]</f>
        <v>-1066</v>
      </c>
      <c r="P42" s="38">
        <f>IF(Table3[[#This Row],[Seat Availibility NS]]&gt;0,Table3[[#This Row],[Seat Availibility NS]]*Table3[[#This Row],[Ticket NS]],)</f>
        <v>0</v>
      </c>
      <c r="Q42" s="38">
        <f>Table3[[#This Row],[Revenue NS]]</f>
        <v>1333970.2922399999</v>
      </c>
      <c r="R42" s="38"/>
      <c r="S42" s="38"/>
      <c r="T42" s="42"/>
      <c r="U42" s="57"/>
      <c r="V42" s="6"/>
      <c r="X42"/>
      <c r="Z42"/>
    </row>
    <row r="43" spans="2:26" x14ac:dyDescent="0.25">
      <c r="B43" s="7">
        <v>45901</v>
      </c>
      <c r="C43" s="37">
        <f>'Data Entry'!$E$24</f>
        <v>27934</v>
      </c>
      <c r="D43" s="38">
        <f>$D$34*'Data Entry'!$D$17</f>
        <v>59.692949999999996</v>
      </c>
      <c r="E43" s="39">
        <f>Table3[[#This Row],[Sales Tickets]]*Table3[[#This Row],[Tickets]]*'Data Entry'!$D$19</f>
        <v>15007165.787699999</v>
      </c>
      <c r="F43" s="34">
        <f>'Data Entry'!$D$24</f>
        <v>27934</v>
      </c>
      <c r="G43" s="38">
        <f>Table3[[#This Row],[Sales Forecast]]*Table3[[#This Row],[Tickets]]*'Data Entry'!$D$19</f>
        <v>15007165.787699999</v>
      </c>
      <c r="H43" s="38">
        <f>'Data Entry'!$D$9</f>
        <v>32000</v>
      </c>
      <c r="I43" s="38">
        <f>Table3[[#This Row],[Sales Forecast]]-Table3[[#This Row],[Capacity]]</f>
        <v>-4066</v>
      </c>
      <c r="J43" s="38">
        <f>IF(Table3[[#This Row],[Seat availibility]]&gt;0,Table3[[#This Row],[Seat availibility]]*Table3[[#This Row],[Tickets]],)</f>
        <v>0</v>
      </c>
      <c r="K43" s="38">
        <f>Table3[[#This Row],[Revenue]]-Table3[[#This Row],[Payments]]</f>
        <v>15007165.787699999</v>
      </c>
      <c r="L43" s="37">
        <f>$L$34*'Data Entry'!$D$17</f>
        <v>47.754359999999998</v>
      </c>
      <c r="M43" s="38">
        <f>Table3[[#This Row],[Sales Tickets]]*Table3[[#This Row],[Ticket NS]]</f>
        <v>1333970.2922399999</v>
      </c>
      <c r="N43" s="38">
        <f>'Data Entry'!$D$7</f>
        <v>29000</v>
      </c>
      <c r="O43" s="38">
        <f>Table3[[#This Row],[Sales Forecast]]-Table3[[#This Row],[Capacity NS]]</f>
        <v>-1066</v>
      </c>
      <c r="P43" s="38">
        <f>IF(Table3[[#This Row],[Seat Availibility NS]]&gt;0,Table3[[#This Row],[Seat Availibility NS]]*Table3[[#This Row],[Ticket NS]],)</f>
        <v>0</v>
      </c>
      <c r="Q43" s="38">
        <f>Table3[[#This Row],[Revenue NS]]</f>
        <v>1333970.2922399999</v>
      </c>
      <c r="R43" s="38"/>
      <c r="S43" s="38"/>
      <c r="T43" s="42"/>
      <c r="U43" s="57"/>
      <c r="V43" s="6"/>
      <c r="X43"/>
      <c r="Z43"/>
    </row>
    <row r="44" spans="2:26" x14ac:dyDescent="0.25">
      <c r="B44" s="7">
        <v>45931</v>
      </c>
      <c r="C44" s="37">
        <f>'Data Entry'!$E$24</f>
        <v>27934</v>
      </c>
      <c r="D44" s="38">
        <f>$D$34*'Data Entry'!$D$17</f>
        <v>59.692949999999996</v>
      </c>
      <c r="E44" s="39">
        <f>Table3[[#This Row],[Sales Tickets]]*Table3[[#This Row],[Tickets]]*'Data Entry'!$D$19</f>
        <v>15007165.787699999</v>
      </c>
      <c r="F44" s="34">
        <f>'Data Entry'!$D$24</f>
        <v>27934</v>
      </c>
      <c r="G44" s="38">
        <f>Table3[[#This Row],[Sales Forecast]]*Table3[[#This Row],[Tickets]]*'Data Entry'!$D$19</f>
        <v>15007165.787699999</v>
      </c>
      <c r="H44" s="38">
        <f>'Data Entry'!$D$9</f>
        <v>32000</v>
      </c>
      <c r="I44" s="38">
        <f>Table3[[#This Row],[Sales Forecast]]-Table3[[#This Row],[Capacity]]</f>
        <v>-4066</v>
      </c>
      <c r="J44" s="38">
        <f>IF(Table3[[#This Row],[Seat availibility]]&gt;0,Table3[[#This Row],[Seat availibility]]*Table3[[#This Row],[Tickets]],)</f>
        <v>0</v>
      </c>
      <c r="K44" s="38">
        <f>Table3[[#This Row],[Revenue]]-Table3[[#This Row],[Payments]]</f>
        <v>15007165.787699999</v>
      </c>
      <c r="L44" s="37">
        <f>$L$34*'Data Entry'!$D$17</f>
        <v>47.754359999999998</v>
      </c>
      <c r="M44" s="38">
        <f>Table3[[#This Row],[Sales Tickets]]*Table3[[#This Row],[Ticket NS]]</f>
        <v>1333970.2922399999</v>
      </c>
      <c r="N44" s="38">
        <f>'Data Entry'!$D$7</f>
        <v>29000</v>
      </c>
      <c r="O44" s="38">
        <f>Table3[[#This Row],[Sales Forecast]]-Table3[[#This Row],[Capacity NS]]</f>
        <v>-1066</v>
      </c>
      <c r="P44" s="38">
        <f>IF(Table3[[#This Row],[Seat Availibility NS]]&gt;0,Table3[[#This Row],[Seat Availibility NS]]*Table3[[#This Row],[Ticket NS]],)</f>
        <v>0</v>
      </c>
      <c r="Q44" s="38">
        <f>Table3[[#This Row],[Revenue NS]]</f>
        <v>1333970.2922399999</v>
      </c>
      <c r="R44" s="38"/>
      <c r="S44" s="38"/>
      <c r="T44" s="42"/>
      <c r="U44" s="57"/>
      <c r="V44" s="6"/>
      <c r="X44"/>
      <c r="Z44"/>
    </row>
    <row r="45" spans="2:26" x14ac:dyDescent="0.25">
      <c r="B45" s="7">
        <v>45962</v>
      </c>
      <c r="C45" s="37">
        <f>'Data Entry'!$E$24</f>
        <v>27934</v>
      </c>
      <c r="D45" s="38">
        <f>$D$34*'Data Entry'!$D$17</f>
        <v>59.692949999999996</v>
      </c>
      <c r="E45" s="39">
        <f>Table3[[#This Row],[Sales Tickets]]*Table3[[#This Row],[Tickets]]*'Data Entry'!$D$19</f>
        <v>15007165.787699999</v>
      </c>
      <c r="F45" s="34">
        <f>'Data Entry'!$D$24</f>
        <v>27934</v>
      </c>
      <c r="G45" s="38">
        <f>Table3[[#This Row],[Sales Forecast]]*Table3[[#This Row],[Tickets]]*'Data Entry'!$D$19</f>
        <v>15007165.787699999</v>
      </c>
      <c r="H45" s="38">
        <f>'Data Entry'!$D$9</f>
        <v>32000</v>
      </c>
      <c r="I45" s="38">
        <f>Table3[[#This Row],[Sales Forecast]]-Table3[[#This Row],[Capacity]]</f>
        <v>-4066</v>
      </c>
      <c r="J45" s="38">
        <f>IF(Table3[[#This Row],[Seat availibility]]&gt;0,Table3[[#This Row],[Seat availibility]]*Table3[[#This Row],[Tickets]],)</f>
        <v>0</v>
      </c>
      <c r="K45" s="38">
        <f>Table3[[#This Row],[Revenue]]-Table3[[#This Row],[Payments]]</f>
        <v>15007165.787699999</v>
      </c>
      <c r="L45" s="37">
        <f>$L$34*'Data Entry'!$D$17</f>
        <v>47.754359999999998</v>
      </c>
      <c r="M45" s="38">
        <f>Table3[[#This Row],[Sales Tickets]]*Table3[[#This Row],[Ticket NS]]</f>
        <v>1333970.2922399999</v>
      </c>
      <c r="N45" s="38">
        <f>'Data Entry'!$D$7</f>
        <v>29000</v>
      </c>
      <c r="O45" s="38">
        <f>Table3[[#This Row],[Sales Forecast]]-Table3[[#This Row],[Capacity NS]]</f>
        <v>-1066</v>
      </c>
      <c r="P45" s="38">
        <f>IF(Table3[[#This Row],[Seat Availibility NS]]&gt;0,Table3[[#This Row],[Seat Availibility NS]]*Table3[[#This Row],[Ticket NS]],)</f>
        <v>0</v>
      </c>
      <c r="Q45" s="38">
        <f>Table3[[#This Row],[Revenue NS]]</f>
        <v>1333970.2922399999</v>
      </c>
      <c r="R45" s="38"/>
      <c r="S45" s="38"/>
      <c r="T45" s="42"/>
      <c r="U45" s="57"/>
      <c r="V45" s="6"/>
      <c r="X45"/>
      <c r="Z45"/>
    </row>
    <row r="46" spans="2:26" x14ac:dyDescent="0.25">
      <c r="B46" s="7">
        <v>45992</v>
      </c>
      <c r="C46" s="37">
        <v>0</v>
      </c>
      <c r="D46" s="38">
        <f>$D$34*'Data Entry'!$D$17</f>
        <v>59.692949999999996</v>
      </c>
      <c r="E46" s="39">
        <v>0</v>
      </c>
      <c r="F46" s="38">
        <v>0</v>
      </c>
      <c r="G46" s="38">
        <f>Table3[[#This Row],[Sales Forecast]]*Table3[[#This Row],[Tickets]]</f>
        <v>0</v>
      </c>
      <c r="H46" s="38">
        <f>'Data Entry'!$D$9</f>
        <v>32000</v>
      </c>
      <c r="I46" s="38">
        <f>Table3[[#This Row],[Sales Forecast]]*Table3[[#This Row],[Tickets]]</f>
        <v>0</v>
      </c>
      <c r="J46" s="38">
        <f>IF(Table3[[#This Row],[Seat availibility]]&gt;0,Table3[[#This Row],[Seat availibility]]*Table3[[#This Row],[Tickets]],)</f>
        <v>0</v>
      </c>
      <c r="K46" s="38">
        <f>Table3[[#This Row],[Revenue]]-Table3[[#This Row],[Payments]]</f>
        <v>0</v>
      </c>
      <c r="L46" s="37">
        <f>$L$34*'Data Entry'!$D$17</f>
        <v>47.754359999999998</v>
      </c>
      <c r="M46" s="38">
        <f>Table3[[#This Row],[Sales Tickets]]*Table3[[#This Row],[Ticket NS]]</f>
        <v>0</v>
      </c>
      <c r="N46" s="38">
        <f>'Data Entry'!$D$7</f>
        <v>29000</v>
      </c>
      <c r="O46" s="38">
        <f>Table3[[#This Row],[Sales Forecast]]-Table3[[#This Row],[Capacity NS]]</f>
        <v>-29000</v>
      </c>
      <c r="P46" s="38">
        <f>IF(Table3[[#This Row],[Seat Availibility NS]]&gt;0,Table3[[#This Row],[Seat Availibility NS]]*Table3[[#This Row],[Ticket NS]],)</f>
        <v>0</v>
      </c>
      <c r="Q46" s="38">
        <f>Table3[[#This Row],[Revenue NS]]</f>
        <v>0</v>
      </c>
      <c r="R46" s="38">
        <f>NPV('Data Entry'!$D$42/12,K36:K46)+K35</f>
        <v>110789058.72050488</v>
      </c>
      <c r="S46" s="38">
        <f>NPV('Data Entry'!D66/12,Q36:Q46)+Q35</f>
        <v>10671762.337919997</v>
      </c>
      <c r="T46" s="42"/>
      <c r="U46" s="57"/>
      <c r="V46" s="6"/>
      <c r="X46"/>
      <c r="Z46"/>
    </row>
    <row r="47" spans="2:26" x14ac:dyDescent="0.25">
      <c r="B47" s="7">
        <v>46023</v>
      </c>
      <c r="C47" s="43">
        <v>0</v>
      </c>
      <c r="D47" s="38">
        <f>$D$46*'Data Entry'!$D$17</f>
        <v>60.886809</v>
      </c>
      <c r="E47" s="35">
        <v>0</v>
      </c>
      <c r="F47" s="34">
        <v>0</v>
      </c>
      <c r="G47" s="38">
        <f>Table3[[#This Row],[Sales Forecast]]*Table3[[#This Row],[Tickets]]</f>
        <v>0</v>
      </c>
      <c r="H47" s="38">
        <f>'Data Entry'!$D$9</f>
        <v>32000</v>
      </c>
      <c r="I47" s="38">
        <f>Table3[[#This Row],[Sales Forecast]]*Table3[[#This Row],[Tickets]]</f>
        <v>0</v>
      </c>
      <c r="J47" s="38">
        <f>IF(Table3[[#This Row],[Seat availibility]]&gt;0,Table3[[#This Row],[Seat availibility]]*Table3[[#This Row],[Tickets]],)</f>
        <v>0</v>
      </c>
      <c r="K47" s="38">
        <f>Table3[[#This Row],[Revenue]]-Table3[[#This Row],[Payments]]</f>
        <v>0</v>
      </c>
      <c r="L47" s="37">
        <f>$L$46*'Data Entry'!$D$17</f>
        <v>48.7094472</v>
      </c>
      <c r="M47" s="38">
        <f>Table3[[#This Row],[Sales Tickets]]*Table3[[#This Row],[Ticket NS]]</f>
        <v>0</v>
      </c>
      <c r="N47" s="38">
        <f>'Data Entry'!$D$7</f>
        <v>29000</v>
      </c>
      <c r="O47" s="38">
        <f>Table3[[#This Row],[Sales Forecast]]-Table3[[#This Row],[Capacity NS]]</f>
        <v>-29000</v>
      </c>
      <c r="P47" s="38">
        <f>IF(Table3[[#This Row],[Seat Availibility NS]]&gt;0,Table3[[#This Row],[Seat Availibility NS]]*Table3[[#This Row],[Ticket NS]],)</f>
        <v>0</v>
      </c>
      <c r="Q47" s="38">
        <f>Table3[[#This Row],[Revenue NS]]</f>
        <v>0</v>
      </c>
      <c r="R47" s="38"/>
      <c r="S47" s="38"/>
      <c r="T47" s="44"/>
      <c r="U47" s="56"/>
      <c r="V47" s="6"/>
      <c r="X47"/>
      <c r="Z47"/>
    </row>
    <row r="48" spans="2:26" x14ac:dyDescent="0.25">
      <c r="B48" s="7">
        <v>46054</v>
      </c>
      <c r="C48" s="43">
        <v>0</v>
      </c>
      <c r="D48" s="38">
        <f>$D$46*'Data Entry'!$D$17</f>
        <v>60.886809</v>
      </c>
      <c r="E48" s="35">
        <v>0</v>
      </c>
      <c r="F48" s="34">
        <v>0</v>
      </c>
      <c r="G48" s="38">
        <f>Table3[[#This Row],[Sales Forecast]]*Table3[[#This Row],[Tickets]]</f>
        <v>0</v>
      </c>
      <c r="H48" s="38">
        <f>'Data Entry'!$D$9</f>
        <v>32000</v>
      </c>
      <c r="I48" s="38">
        <f>Table3[[#This Row],[Sales Forecast]]*Table3[[#This Row],[Tickets]]</f>
        <v>0</v>
      </c>
      <c r="J48" s="38">
        <f>IF(Table3[[#This Row],[Seat availibility]]&gt;0,Table3[[#This Row],[Seat availibility]]*Table3[[#This Row],[Tickets]],)</f>
        <v>0</v>
      </c>
      <c r="K48" s="38">
        <f>Table3[[#This Row],[Revenue]]-Table3[[#This Row],[Payments]]</f>
        <v>0</v>
      </c>
      <c r="L48" s="37">
        <f>$L$46*'Data Entry'!$D$17</f>
        <v>48.7094472</v>
      </c>
      <c r="M48" s="38">
        <f>Table3[[#This Row],[Sales Tickets]]*Table3[[#This Row],[Ticket NS]]</f>
        <v>0</v>
      </c>
      <c r="N48" s="38">
        <f>'Data Entry'!$D$7</f>
        <v>29000</v>
      </c>
      <c r="O48" s="38">
        <f>Table3[[#This Row],[Sales Forecast]]-Table3[[#This Row],[Capacity NS]]</f>
        <v>-29000</v>
      </c>
      <c r="P48" s="38">
        <f>IF(Table3[[#This Row],[Seat Availibility NS]]&gt;0,Table3[[#This Row],[Seat Availibility NS]]*Table3[[#This Row],[Ticket NS]],)</f>
        <v>0</v>
      </c>
      <c r="Q48" s="38">
        <f>Table3[[#This Row],[Revenue NS]]</f>
        <v>0</v>
      </c>
      <c r="R48" s="38"/>
      <c r="S48" s="38"/>
      <c r="T48" s="44"/>
      <c r="U48" s="56"/>
      <c r="V48" s="6"/>
      <c r="X48"/>
      <c r="Z48"/>
    </row>
    <row r="49" spans="2:26" x14ac:dyDescent="0.25">
      <c r="B49" s="7">
        <v>46082</v>
      </c>
      <c r="C49" s="43">
        <v>0</v>
      </c>
      <c r="D49" s="38">
        <f>$D$46*'Data Entry'!$D$17</f>
        <v>60.886809</v>
      </c>
      <c r="E49" s="35">
        <v>0</v>
      </c>
      <c r="F49" s="34">
        <v>0</v>
      </c>
      <c r="G49" s="38">
        <f>Table3[[#This Row],[Sales Forecast]]*Table3[[#This Row],[Tickets]]</f>
        <v>0</v>
      </c>
      <c r="H49" s="38">
        <f>'Data Entry'!$D$9</f>
        <v>32000</v>
      </c>
      <c r="I49" s="38">
        <f>Table3[[#This Row],[Sales Forecast]]*Table3[[#This Row],[Tickets]]</f>
        <v>0</v>
      </c>
      <c r="J49" s="38">
        <f>IF(Table3[[#This Row],[Seat availibility]]&gt;0,Table3[[#This Row],[Seat availibility]]*Table3[[#This Row],[Tickets]],)</f>
        <v>0</v>
      </c>
      <c r="K49" s="38">
        <f>Table3[[#This Row],[Revenue]]-Table3[[#This Row],[Payments]]</f>
        <v>0</v>
      </c>
      <c r="L49" s="37">
        <f>$L$46*'Data Entry'!$D$17</f>
        <v>48.7094472</v>
      </c>
      <c r="M49" s="38">
        <f>Table3[[#This Row],[Sales Tickets]]*Table3[[#This Row],[Ticket NS]]</f>
        <v>0</v>
      </c>
      <c r="N49" s="38">
        <f>'Data Entry'!$D$7</f>
        <v>29000</v>
      </c>
      <c r="O49" s="38">
        <f>Table3[[#This Row],[Sales Forecast]]-Table3[[#This Row],[Capacity NS]]</f>
        <v>-29000</v>
      </c>
      <c r="P49" s="38">
        <f>IF(Table3[[#This Row],[Seat Availibility NS]]&gt;0,Table3[[#This Row],[Seat Availibility NS]]*Table3[[#This Row],[Ticket NS]],)</f>
        <v>0</v>
      </c>
      <c r="Q49" s="38">
        <f>Table3[[#This Row],[Revenue NS]]</f>
        <v>0</v>
      </c>
      <c r="R49" s="38"/>
      <c r="S49" s="38"/>
      <c r="T49" s="44"/>
      <c r="U49" s="56"/>
      <c r="V49" s="6"/>
      <c r="X49"/>
      <c r="Z49"/>
    </row>
    <row r="50" spans="2:26" x14ac:dyDescent="0.25">
      <c r="B50" s="7">
        <v>46113</v>
      </c>
      <c r="C50" s="37">
        <f>'Data Entry'!$E$25</f>
        <v>28773</v>
      </c>
      <c r="D50" s="38">
        <f>$D$46*'Data Entry'!$D$17</f>
        <v>60.886809</v>
      </c>
      <c r="E50" s="39">
        <f>Table3[[#This Row],[Sales Tickets]]*Table3[[#This Row],[Tickets]]*'Data Entry'!$D$19</f>
        <v>15767065.398212999</v>
      </c>
      <c r="F50" s="34">
        <f>'Data Entry'!$D$25</f>
        <v>28773</v>
      </c>
      <c r="G50" s="38">
        <f>Table3[[#This Row],[Sales Forecast]]*Table3[[#This Row],[Tickets]]*'Data Entry'!$D$19</f>
        <v>15767065.398212999</v>
      </c>
      <c r="H50" s="38">
        <f>'Data Entry'!$D$9</f>
        <v>32000</v>
      </c>
      <c r="I50" s="38">
        <f>Table3[[#This Row],[Sales Forecast]]-Table3[[#This Row],[Capacity]]</f>
        <v>-3227</v>
      </c>
      <c r="J50" s="38">
        <f>IF(Table3[[#This Row],[Seat availibility]]&gt;0,Table3[[#This Row],[Seat availibility]]*Table3[[#This Row],[Tickets]],)</f>
        <v>0</v>
      </c>
      <c r="K50" s="38">
        <f>Table3[[#This Row],[Revenue]]-Table3[[#This Row],[Payments]]</f>
        <v>15767065.398212999</v>
      </c>
      <c r="L50" s="37">
        <f>$L$46*'Data Entry'!$D$17</f>
        <v>48.7094472</v>
      </c>
      <c r="M50" s="38">
        <f>Table3[[#This Row],[Sales Tickets]]*Table3[[#This Row],[Ticket NS]]</f>
        <v>1401516.9242856</v>
      </c>
      <c r="N50" s="38">
        <f>'Data Entry'!$D$7</f>
        <v>29000</v>
      </c>
      <c r="O50" s="38">
        <f>Table3[[#This Row],[Sales Forecast]]-Table3[[#This Row],[Capacity NS]]</f>
        <v>-227</v>
      </c>
      <c r="P50" s="38">
        <f>IF(Table3[[#This Row],[Seat Availibility NS]]&gt;0,Table3[[#This Row],[Seat Availibility NS]]*Table3[[#This Row],[Ticket NS]],)</f>
        <v>0</v>
      </c>
      <c r="Q50" s="38">
        <f>Table3[[#This Row],[Revenue NS]]</f>
        <v>1401516.9242856</v>
      </c>
      <c r="R50" s="38"/>
      <c r="S50" s="38"/>
      <c r="T50" s="42"/>
      <c r="U50" s="57"/>
      <c r="V50" s="6"/>
      <c r="X50"/>
      <c r="Z50"/>
    </row>
    <row r="51" spans="2:26" x14ac:dyDescent="0.25">
      <c r="B51" s="7">
        <v>46143</v>
      </c>
      <c r="C51" s="37">
        <f>'Data Entry'!$E$25</f>
        <v>28773</v>
      </c>
      <c r="D51" s="38">
        <f>$D$46*'Data Entry'!$D$17</f>
        <v>60.886809</v>
      </c>
      <c r="E51" s="39">
        <f>Table3[[#This Row],[Sales Tickets]]*Table3[[#This Row],[Tickets]]*'Data Entry'!$D$19</f>
        <v>15767065.398212999</v>
      </c>
      <c r="F51" s="34">
        <f>'Data Entry'!$D$25</f>
        <v>28773</v>
      </c>
      <c r="G51" s="38">
        <f>Table3[[#This Row],[Sales Forecast]]*Table3[[#This Row],[Tickets]]*'Data Entry'!$D$19</f>
        <v>15767065.398212999</v>
      </c>
      <c r="H51" s="38">
        <f>'Data Entry'!$D$9</f>
        <v>32000</v>
      </c>
      <c r="I51" s="38">
        <f>Table3[[#This Row],[Sales Forecast]]-Table3[[#This Row],[Capacity]]</f>
        <v>-3227</v>
      </c>
      <c r="J51" s="38">
        <f>IF(Table3[[#This Row],[Seat availibility]]&gt;0,Table3[[#This Row],[Seat availibility]]*Table3[[#This Row],[Tickets]],)</f>
        <v>0</v>
      </c>
      <c r="K51" s="38">
        <f>Table3[[#This Row],[Revenue]]-Table3[[#This Row],[Payments]]</f>
        <v>15767065.398212999</v>
      </c>
      <c r="L51" s="37">
        <f>$L$46*'Data Entry'!$D$17</f>
        <v>48.7094472</v>
      </c>
      <c r="M51" s="38">
        <f>Table3[[#This Row],[Sales Tickets]]*Table3[[#This Row],[Ticket NS]]</f>
        <v>1401516.9242856</v>
      </c>
      <c r="N51" s="38">
        <f>'Data Entry'!$D$7</f>
        <v>29000</v>
      </c>
      <c r="O51" s="38">
        <f>Table3[[#This Row],[Sales Forecast]]-Table3[[#This Row],[Capacity NS]]</f>
        <v>-227</v>
      </c>
      <c r="P51" s="38">
        <f>IF(Table3[[#This Row],[Seat Availibility NS]]&gt;0,Table3[[#This Row],[Seat Availibility NS]]*Table3[[#This Row],[Ticket NS]],)</f>
        <v>0</v>
      </c>
      <c r="Q51" s="38">
        <f>Table3[[#This Row],[Revenue NS]]</f>
        <v>1401516.9242856</v>
      </c>
      <c r="R51" s="38"/>
      <c r="S51" s="38"/>
      <c r="T51" s="42"/>
      <c r="U51" s="57"/>
      <c r="V51" s="6"/>
      <c r="X51"/>
      <c r="Z51"/>
    </row>
    <row r="52" spans="2:26" x14ac:dyDescent="0.25">
      <c r="B52" s="7">
        <v>46174</v>
      </c>
      <c r="C52" s="37">
        <f>'Data Entry'!$E$25</f>
        <v>28773</v>
      </c>
      <c r="D52" s="38">
        <f>$D$46*'Data Entry'!$D$17</f>
        <v>60.886809</v>
      </c>
      <c r="E52" s="39">
        <f>Table3[[#This Row],[Sales Tickets]]*Table3[[#This Row],[Tickets]]*'Data Entry'!$D$19</f>
        <v>15767065.398212999</v>
      </c>
      <c r="F52" s="34">
        <f>'Data Entry'!$D$25</f>
        <v>28773</v>
      </c>
      <c r="G52" s="38">
        <f>Table3[[#This Row],[Sales Forecast]]*Table3[[#This Row],[Tickets]]*'Data Entry'!$D$19</f>
        <v>15767065.398212999</v>
      </c>
      <c r="H52" s="38">
        <f>'Data Entry'!$D$9</f>
        <v>32000</v>
      </c>
      <c r="I52" s="38">
        <f>Table3[[#This Row],[Sales Forecast]]-Table3[[#This Row],[Capacity]]</f>
        <v>-3227</v>
      </c>
      <c r="J52" s="38">
        <f>IF(Table3[[#This Row],[Seat availibility]]&gt;0,Table3[[#This Row],[Seat availibility]]*Table3[[#This Row],[Tickets]],)</f>
        <v>0</v>
      </c>
      <c r="K52" s="38">
        <f>Table3[[#This Row],[Revenue]]-Table3[[#This Row],[Payments]]</f>
        <v>15767065.398212999</v>
      </c>
      <c r="L52" s="37">
        <f>$L$46*'Data Entry'!$D$17</f>
        <v>48.7094472</v>
      </c>
      <c r="M52" s="38">
        <f>Table3[[#This Row],[Sales Tickets]]*Table3[[#This Row],[Ticket NS]]</f>
        <v>1401516.9242856</v>
      </c>
      <c r="N52" s="38">
        <f>'Data Entry'!$D$7</f>
        <v>29000</v>
      </c>
      <c r="O52" s="38">
        <f>Table3[[#This Row],[Sales Forecast]]-Table3[[#This Row],[Capacity NS]]</f>
        <v>-227</v>
      </c>
      <c r="P52" s="38">
        <f>IF(Table3[[#This Row],[Seat Availibility NS]]&gt;0,Table3[[#This Row],[Seat Availibility NS]]*Table3[[#This Row],[Ticket NS]],)</f>
        <v>0</v>
      </c>
      <c r="Q52" s="38">
        <f>Table3[[#This Row],[Revenue NS]]</f>
        <v>1401516.9242856</v>
      </c>
      <c r="R52" s="38"/>
      <c r="S52" s="38"/>
      <c r="T52" s="42"/>
      <c r="U52" s="57"/>
      <c r="V52" s="6"/>
      <c r="X52"/>
      <c r="Z52"/>
    </row>
    <row r="53" spans="2:26" x14ac:dyDescent="0.25">
      <c r="B53" s="7">
        <v>46204</v>
      </c>
      <c r="C53" s="37">
        <f>'Data Entry'!$E$25</f>
        <v>28773</v>
      </c>
      <c r="D53" s="38">
        <f>$D$46*'Data Entry'!$D$17</f>
        <v>60.886809</v>
      </c>
      <c r="E53" s="39">
        <f>Table3[[#This Row],[Sales Tickets]]*Table3[[#This Row],[Tickets]]*'Data Entry'!$D$19</f>
        <v>15767065.398212999</v>
      </c>
      <c r="F53" s="34">
        <f>'Data Entry'!$D$25</f>
        <v>28773</v>
      </c>
      <c r="G53" s="38">
        <f>Table3[[#This Row],[Sales Forecast]]*Table3[[#This Row],[Tickets]]*'Data Entry'!$D$19</f>
        <v>15767065.398212999</v>
      </c>
      <c r="H53" s="38">
        <f>'Data Entry'!$D$9</f>
        <v>32000</v>
      </c>
      <c r="I53" s="38">
        <f>Table3[[#This Row],[Sales Forecast]]-Table3[[#This Row],[Capacity]]</f>
        <v>-3227</v>
      </c>
      <c r="J53" s="38">
        <f>IF(Table3[[#This Row],[Seat availibility]]&gt;0,Table3[[#This Row],[Seat availibility]]*Table3[[#This Row],[Tickets]],)</f>
        <v>0</v>
      </c>
      <c r="K53" s="38">
        <f>Table3[[#This Row],[Revenue]]-Table3[[#This Row],[Payments]]</f>
        <v>15767065.398212999</v>
      </c>
      <c r="L53" s="37">
        <f>$L$46*'Data Entry'!$D$17</f>
        <v>48.7094472</v>
      </c>
      <c r="M53" s="38">
        <f>Table3[[#This Row],[Sales Tickets]]*Table3[[#This Row],[Ticket NS]]</f>
        <v>1401516.9242856</v>
      </c>
      <c r="N53" s="38">
        <f>'Data Entry'!$D$7</f>
        <v>29000</v>
      </c>
      <c r="O53" s="38">
        <f>Table3[[#This Row],[Sales Forecast]]-Table3[[#This Row],[Capacity NS]]</f>
        <v>-227</v>
      </c>
      <c r="P53" s="38">
        <f>IF(Table3[[#This Row],[Seat Availibility NS]]&gt;0,Table3[[#This Row],[Seat Availibility NS]]*Table3[[#This Row],[Ticket NS]],)</f>
        <v>0</v>
      </c>
      <c r="Q53" s="38">
        <f>Table3[[#This Row],[Revenue NS]]</f>
        <v>1401516.9242856</v>
      </c>
      <c r="R53" s="38"/>
      <c r="S53" s="38"/>
      <c r="T53" s="42"/>
      <c r="U53" s="57"/>
      <c r="V53" s="6"/>
      <c r="X53"/>
      <c r="Z53"/>
    </row>
    <row r="54" spans="2:26" x14ac:dyDescent="0.25">
      <c r="B54" s="7">
        <v>46235</v>
      </c>
      <c r="C54" s="37">
        <f>'Data Entry'!$E$25</f>
        <v>28773</v>
      </c>
      <c r="D54" s="38">
        <f>$D$46*'Data Entry'!$D$17</f>
        <v>60.886809</v>
      </c>
      <c r="E54" s="39">
        <f>Table3[[#This Row],[Sales Tickets]]*Table3[[#This Row],[Tickets]]*'Data Entry'!$D$19</f>
        <v>15767065.398212999</v>
      </c>
      <c r="F54" s="34">
        <f>'Data Entry'!$D$25</f>
        <v>28773</v>
      </c>
      <c r="G54" s="38">
        <f>Table3[[#This Row],[Sales Forecast]]*Table3[[#This Row],[Tickets]]*'Data Entry'!$D$19</f>
        <v>15767065.398212999</v>
      </c>
      <c r="H54" s="38">
        <f>'Data Entry'!$D$9</f>
        <v>32000</v>
      </c>
      <c r="I54" s="38">
        <f>Table3[[#This Row],[Sales Forecast]]-Table3[[#This Row],[Capacity]]</f>
        <v>-3227</v>
      </c>
      <c r="J54" s="38">
        <f>IF(Table3[[#This Row],[Seat availibility]]&gt;0,Table3[[#This Row],[Seat availibility]]*Table3[[#This Row],[Tickets]],)</f>
        <v>0</v>
      </c>
      <c r="K54" s="38">
        <f>Table3[[#This Row],[Revenue]]-Table3[[#This Row],[Payments]]</f>
        <v>15767065.398212999</v>
      </c>
      <c r="L54" s="37">
        <f>$L$46*'Data Entry'!$D$17</f>
        <v>48.7094472</v>
      </c>
      <c r="M54" s="38">
        <f>Table3[[#This Row],[Sales Tickets]]*Table3[[#This Row],[Ticket NS]]</f>
        <v>1401516.9242856</v>
      </c>
      <c r="N54" s="38">
        <f>'Data Entry'!$D$7</f>
        <v>29000</v>
      </c>
      <c r="O54" s="38">
        <f>Table3[[#This Row],[Sales Forecast]]-Table3[[#This Row],[Capacity NS]]</f>
        <v>-227</v>
      </c>
      <c r="P54" s="38">
        <f>IF(Table3[[#This Row],[Seat Availibility NS]]&gt;0,Table3[[#This Row],[Seat Availibility NS]]*Table3[[#This Row],[Ticket NS]],)</f>
        <v>0</v>
      </c>
      <c r="Q54" s="38">
        <f>Table3[[#This Row],[Revenue NS]]</f>
        <v>1401516.9242856</v>
      </c>
      <c r="R54" s="38"/>
      <c r="S54" s="38"/>
      <c r="T54" s="42"/>
      <c r="U54" s="57"/>
      <c r="V54" s="6"/>
      <c r="X54"/>
      <c r="Z54"/>
    </row>
    <row r="55" spans="2:26" x14ac:dyDescent="0.25">
      <c r="B55" s="7">
        <v>46266</v>
      </c>
      <c r="C55" s="37">
        <f>'Data Entry'!$E$25</f>
        <v>28773</v>
      </c>
      <c r="D55" s="38">
        <f>$D$46*'Data Entry'!$D$17</f>
        <v>60.886809</v>
      </c>
      <c r="E55" s="39">
        <f>Table3[[#This Row],[Sales Tickets]]*Table3[[#This Row],[Tickets]]*'Data Entry'!$D$19</f>
        <v>15767065.398212999</v>
      </c>
      <c r="F55" s="34">
        <f>'Data Entry'!$D$25</f>
        <v>28773</v>
      </c>
      <c r="G55" s="38">
        <f>Table3[[#This Row],[Sales Forecast]]*Table3[[#This Row],[Tickets]]*'Data Entry'!$D$19</f>
        <v>15767065.398212999</v>
      </c>
      <c r="H55" s="38">
        <f>'Data Entry'!$D$9</f>
        <v>32000</v>
      </c>
      <c r="I55" s="38">
        <f>Table3[[#This Row],[Sales Forecast]]-Table3[[#This Row],[Capacity]]</f>
        <v>-3227</v>
      </c>
      <c r="J55" s="38">
        <f>IF(Table3[[#This Row],[Seat availibility]]&gt;0,Table3[[#This Row],[Seat availibility]]*Table3[[#This Row],[Tickets]],)</f>
        <v>0</v>
      </c>
      <c r="K55" s="38">
        <f>Table3[[#This Row],[Revenue]]-Table3[[#This Row],[Payments]]</f>
        <v>15767065.398212999</v>
      </c>
      <c r="L55" s="37">
        <f>$L$46*'Data Entry'!$D$17</f>
        <v>48.7094472</v>
      </c>
      <c r="M55" s="38">
        <f>Table3[[#This Row],[Sales Tickets]]*Table3[[#This Row],[Ticket NS]]</f>
        <v>1401516.9242856</v>
      </c>
      <c r="N55" s="38">
        <f>'Data Entry'!$D$7</f>
        <v>29000</v>
      </c>
      <c r="O55" s="38">
        <f>Table3[[#This Row],[Sales Forecast]]-Table3[[#This Row],[Capacity NS]]</f>
        <v>-227</v>
      </c>
      <c r="P55" s="38">
        <f>IF(Table3[[#This Row],[Seat Availibility NS]]&gt;0,Table3[[#This Row],[Seat Availibility NS]]*Table3[[#This Row],[Ticket NS]],)</f>
        <v>0</v>
      </c>
      <c r="Q55" s="38">
        <f>Table3[[#This Row],[Revenue NS]]</f>
        <v>1401516.9242856</v>
      </c>
      <c r="R55" s="38"/>
      <c r="S55" s="38"/>
      <c r="T55" s="42"/>
      <c r="U55" s="57"/>
      <c r="V55" s="6"/>
      <c r="X55"/>
      <c r="Z55"/>
    </row>
    <row r="56" spans="2:26" x14ac:dyDescent="0.25">
      <c r="B56" s="7">
        <v>46296</v>
      </c>
      <c r="C56" s="37">
        <f>'Data Entry'!$E$25</f>
        <v>28773</v>
      </c>
      <c r="D56" s="38">
        <f>$D$46*'Data Entry'!$D$17</f>
        <v>60.886809</v>
      </c>
      <c r="E56" s="39">
        <f>Table3[[#This Row],[Sales Tickets]]*Table3[[#This Row],[Tickets]]*'Data Entry'!$D$19</f>
        <v>15767065.398212999</v>
      </c>
      <c r="F56" s="34">
        <f>'Data Entry'!$D$25</f>
        <v>28773</v>
      </c>
      <c r="G56" s="38">
        <f>Table3[[#This Row],[Sales Forecast]]*Table3[[#This Row],[Tickets]]*'Data Entry'!$D$19</f>
        <v>15767065.398212999</v>
      </c>
      <c r="H56" s="38">
        <f>'Data Entry'!$D$9</f>
        <v>32000</v>
      </c>
      <c r="I56" s="38">
        <f>Table3[[#This Row],[Sales Forecast]]-Table3[[#This Row],[Capacity]]</f>
        <v>-3227</v>
      </c>
      <c r="J56" s="38">
        <f>IF(Table3[[#This Row],[Seat availibility]]&gt;0,Table3[[#This Row],[Seat availibility]]*Table3[[#This Row],[Tickets]],)</f>
        <v>0</v>
      </c>
      <c r="K56" s="38">
        <f>Table3[[#This Row],[Revenue]]-Table3[[#This Row],[Payments]]</f>
        <v>15767065.398212999</v>
      </c>
      <c r="L56" s="37">
        <f>$L$46*'Data Entry'!$D$17</f>
        <v>48.7094472</v>
      </c>
      <c r="M56" s="38">
        <f>Table3[[#This Row],[Sales Tickets]]*Table3[[#This Row],[Ticket NS]]</f>
        <v>1401516.9242856</v>
      </c>
      <c r="N56" s="38">
        <f>'Data Entry'!$D$7</f>
        <v>29000</v>
      </c>
      <c r="O56" s="38">
        <f>Table3[[#This Row],[Sales Forecast]]-Table3[[#This Row],[Capacity NS]]</f>
        <v>-227</v>
      </c>
      <c r="P56" s="38">
        <f>IF(Table3[[#This Row],[Seat Availibility NS]]&gt;0,Table3[[#This Row],[Seat Availibility NS]]*Table3[[#This Row],[Ticket NS]],)</f>
        <v>0</v>
      </c>
      <c r="Q56" s="38">
        <f>Table3[[#This Row],[Revenue NS]]</f>
        <v>1401516.9242856</v>
      </c>
      <c r="R56" s="38"/>
      <c r="S56" s="38"/>
      <c r="T56" s="42"/>
      <c r="U56" s="57"/>
      <c r="V56" s="6"/>
      <c r="X56"/>
      <c r="Z56"/>
    </row>
    <row r="57" spans="2:26" x14ac:dyDescent="0.25">
      <c r="B57" s="7">
        <v>46327</v>
      </c>
      <c r="C57" s="37">
        <f>'Data Entry'!$E$25</f>
        <v>28773</v>
      </c>
      <c r="D57" s="38">
        <f>$D$46*'Data Entry'!$D$17</f>
        <v>60.886809</v>
      </c>
      <c r="E57" s="39">
        <f>Table3[[#This Row],[Sales Tickets]]*Table3[[#This Row],[Tickets]]*'Data Entry'!$D$19</f>
        <v>15767065.398212999</v>
      </c>
      <c r="F57" s="34">
        <f>'Data Entry'!$D$25</f>
        <v>28773</v>
      </c>
      <c r="G57" s="38">
        <f>Table3[[#This Row],[Sales Forecast]]*Table3[[#This Row],[Tickets]]*'Data Entry'!$D$19</f>
        <v>15767065.398212999</v>
      </c>
      <c r="H57" s="38">
        <f>'Data Entry'!$D$9</f>
        <v>32000</v>
      </c>
      <c r="I57" s="38">
        <f>Table3[[#This Row],[Sales Forecast]]-Table3[[#This Row],[Capacity]]</f>
        <v>-3227</v>
      </c>
      <c r="J57" s="38">
        <f>IF(Table3[[#This Row],[Seat availibility]]&gt;0,Table3[[#This Row],[Seat availibility]]*Table3[[#This Row],[Tickets]],)</f>
        <v>0</v>
      </c>
      <c r="K57" s="38">
        <f>Table3[[#This Row],[Revenue]]-Table3[[#This Row],[Payments]]</f>
        <v>15767065.398212999</v>
      </c>
      <c r="L57" s="37">
        <f>$L$46*'Data Entry'!$D$17</f>
        <v>48.7094472</v>
      </c>
      <c r="M57" s="38">
        <f>Table3[[#This Row],[Sales Tickets]]*Table3[[#This Row],[Ticket NS]]</f>
        <v>1401516.9242856</v>
      </c>
      <c r="N57" s="38">
        <f>'Data Entry'!$D$7</f>
        <v>29000</v>
      </c>
      <c r="O57" s="38">
        <f>Table3[[#This Row],[Sales Forecast]]-Table3[[#This Row],[Capacity NS]]</f>
        <v>-227</v>
      </c>
      <c r="P57" s="38">
        <f>IF(Table3[[#This Row],[Seat Availibility NS]]&gt;0,Table3[[#This Row],[Seat Availibility NS]]*Table3[[#This Row],[Ticket NS]],)</f>
        <v>0</v>
      </c>
      <c r="Q57" s="38">
        <f>Table3[[#This Row],[Revenue NS]]</f>
        <v>1401516.9242856</v>
      </c>
      <c r="R57" s="38"/>
      <c r="S57" s="38"/>
      <c r="T57" s="42"/>
      <c r="U57" s="57"/>
      <c r="V57" s="6"/>
      <c r="X57"/>
      <c r="Z57"/>
    </row>
    <row r="58" spans="2:26" x14ac:dyDescent="0.25">
      <c r="B58" s="7">
        <v>46357</v>
      </c>
      <c r="C58" s="37">
        <v>0</v>
      </c>
      <c r="D58" s="38">
        <f>$D$46*'Data Entry'!$D$17</f>
        <v>60.886809</v>
      </c>
      <c r="E58" s="39">
        <v>0</v>
      </c>
      <c r="F58" s="38">
        <v>0</v>
      </c>
      <c r="G58" s="38">
        <f>Table3[[#This Row],[Sales Forecast]]*Table3[[#This Row],[Tickets]]</f>
        <v>0</v>
      </c>
      <c r="H58" s="38">
        <f>'Data Entry'!$D$9</f>
        <v>32000</v>
      </c>
      <c r="I58" s="38">
        <f>Table3[[#This Row],[Sales Forecast]]*Table3[[#This Row],[Tickets]]</f>
        <v>0</v>
      </c>
      <c r="J58" s="38">
        <f>IF(Table3[[#This Row],[Seat availibility]]&gt;0,Table3[[#This Row],[Seat availibility]]*Table3[[#This Row],[Tickets]],)</f>
        <v>0</v>
      </c>
      <c r="K58" s="38">
        <f>Table3[[#This Row],[Revenue]]-Table3[[#This Row],[Payments]]</f>
        <v>0</v>
      </c>
      <c r="L58" s="37">
        <f>$L$46*'Data Entry'!$D$17</f>
        <v>48.7094472</v>
      </c>
      <c r="M58" s="38">
        <f>Table3[[#This Row],[Sales Tickets]]*Table3[[#This Row],[Ticket NS]]</f>
        <v>0</v>
      </c>
      <c r="N58" s="38">
        <f>'Data Entry'!$D$7</f>
        <v>29000</v>
      </c>
      <c r="O58" s="38">
        <f>Table3[[#This Row],[Sales Forecast]]-Table3[[#This Row],[Capacity NS]]</f>
        <v>-29000</v>
      </c>
      <c r="P58" s="38">
        <f>IF(Table3[[#This Row],[Seat Availibility NS]]&gt;0,Table3[[#This Row],[Seat Availibility NS]]*Table3[[#This Row],[Ticket NS]],)</f>
        <v>0</v>
      </c>
      <c r="Q58" s="38">
        <f>Table3[[#This Row],[Revenue NS]]</f>
        <v>0</v>
      </c>
      <c r="R58" s="38">
        <f>NPV('Data Entry'!$D$42/12,K48:K58)+K47</f>
        <v>116398949.60608536</v>
      </c>
      <c r="S58" s="38">
        <f>NPV('Data Entry'!D78/12,Q48:Q58)+Q47</f>
        <v>11212135.3942848</v>
      </c>
      <c r="T58" s="42"/>
      <c r="U58" s="57"/>
      <c r="V58" s="6"/>
      <c r="X58"/>
      <c r="Z58"/>
    </row>
    <row r="59" spans="2:26" x14ac:dyDescent="0.25">
      <c r="B59" s="7">
        <v>46388</v>
      </c>
      <c r="C59" s="43">
        <v>0</v>
      </c>
      <c r="D59" s="38">
        <f>$D$58*'Data Entry'!$D$17</f>
        <v>62.104545180000002</v>
      </c>
      <c r="E59" s="35">
        <v>0</v>
      </c>
      <c r="F59" s="34">
        <v>0</v>
      </c>
      <c r="G59" s="38">
        <f>Table3[[#This Row],[Sales Forecast]]*Table3[[#This Row],[Tickets]]</f>
        <v>0</v>
      </c>
      <c r="H59" s="38">
        <f>'Data Entry'!$D$9</f>
        <v>32000</v>
      </c>
      <c r="I59" s="38">
        <f>Table3[[#This Row],[Sales Forecast]]*Table3[[#This Row],[Tickets]]</f>
        <v>0</v>
      </c>
      <c r="J59" s="38">
        <f>IF(Table3[[#This Row],[Seat availibility]]&gt;0,Table3[[#This Row],[Seat availibility]]*Table3[[#This Row],[Tickets]],)</f>
        <v>0</v>
      </c>
      <c r="K59" s="38">
        <f>Table3[[#This Row],[Revenue]]-Table3[[#This Row],[Payments]]</f>
        <v>0</v>
      </c>
      <c r="L59" s="37">
        <f>$L$58*'Data Entry'!$D$17</f>
        <v>49.683636143999998</v>
      </c>
      <c r="M59" s="38">
        <f>Table3[[#This Row],[Sales Tickets]]*Table3[[#This Row],[Ticket NS]]</f>
        <v>0</v>
      </c>
      <c r="N59" s="38">
        <f>'Data Entry'!$D$7</f>
        <v>29000</v>
      </c>
      <c r="O59" s="38">
        <f>Table3[[#This Row],[Sales Forecast]]-Table3[[#This Row],[Capacity NS]]</f>
        <v>-29000</v>
      </c>
      <c r="P59" s="38">
        <f>IF(Table3[[#This Row],[Seat Availibility NS]]&gt;0,Table3[[#This Row],[Seat Availibility NS]]*Table3[[#This Row],[Ticket NS]],)</f>
        <v>0</v>
      </c>
      <c r="Q59" s="38">
        <f>Table3[[#This Row],[Revenue NS]]</f>
        <v>0</v>
      </c>
      <c r="R59" s="38"/>
      <c r="S59" s="38"/>
      <c r="T59" s="44"/>
      <c r="U59" s="56"/>
      <c r="V59" s="6"/>
      <c r="X59"/>
      <c r="Z59"/>
    </row>
    <row r="60" spans="2:26" x14ac:dyDescent="0.25">
      <c r="B60" s="7">
        <v>46419</v>
      </c>
      <c r="C60" s="43">
        <v>0</v>
      </c>
      <c r="D60" s="38">
        <f>$D$58*'Data Entry'!$D$17</f>
        <v>62.104545180000002</v>
      </c>
      <c r="E60" s="35">
        <v>0</v>
      </c>
      <c r="F60" s="34">
        <v>0</v>
      </c>
      <c r="G60" s="38">
        <f>Table3[[#This Row],[Sales Forecast]]*Table3[[#This Row],[Tickets]]</f>
        <v>0</v>
      </c>
      <c r="H60" s="38">
        <f>'Data Entry'!$D$9</f>
        <v>32000</v>
      </c>
      <c r="I60" s="38">
        <f>Table3[[#This Row],[Sales Forecast]]*Table3[[#This Row],[Tickets]]</f>
        <v>0</v>
      </c>
      <c r="J60" s="38">
        <f>IF(Table3[[#This Row],[Seat availibility]]&gt;0,Table3[[#This Row],[Seat availibility]]*Table3[[#This Row],[Tickets]],)</f>
        <v>0</v>
      </c>
      <c r="K60" s="38">
        <f>Table3[[#This Row],[Revenue]]-Table3[[#This Row],[Payments]]</f>
        <v>0</v>
      </c>
      <c r="L60" s="37">
        <f>$L$58*'Data Entry'!$D$17</f>
        <v>49.683636143999998</v>
      </c>
      <c r="M60" s="38">
        <f>Table3[[#This Row],[Sales Tickets]]*Table3[[#This Row],[Ticket NS]]</f>
        <v>0</v>
      </c>
      <c r="N60" s="38">
        <f>'Data Entry'!$D$7</f>
        <v>29000</v>
      </c>
      <c r="O60" s="38">
        <f>Table3[[#This Row],[Sales Forecast]]-Table3[[#This Row],[Capacity NS]]</f>
        <v>-29000</v>
      </c>
      <c r="P60" s="38">
        <f>IF(Table3[[#This Row],[Seat Availibility NS]]&gt;0,Table3[[#This Row],[Seat Availibility NS]]*Table3[[#This Row],[Ticket NS]],)</f>
        <v>0</v>
      </c>
      <c r="Q60" s="38">
        <f>Table3[[#This Row],[Revenue NS]]</f>
        <v>0</v>
      </c>
      <c r="R60" s="38"/>
      <c r="S60" s="38"/>
      <c r="T60" s="44"/>
      <c r="U60" s="56"/>
      <c r="V60" s="6"/>
      <c r="X60"/>
      <c r="Z60"/>
    </row>
    <row r="61" spans="2:26" x14ac:dyDescent="0.25">
      <c r="B61" s="7">
        <v>46447</v>
      </c>
      <c r="C61" s="43">
        <v>0</v>
      </c>
      <c r="D61" s="38">
        <f>$D$58*'Data Entry'!$D$17</f>
        <v>62.104545180000002</v>
      </c>
      <c r="E61" s="35">
        <v>0</v>
      </c>
      <c r="F61" s="34">
        <v>0</v>
      </c>
      <c r="G61" s="38">
        <f>Table3[[#This Row],[Sales Forecast]]*Table3[[#This Row],[Tickets]]</f>
        <v>0</v>
      </c>
      <c r="H61" s="38">
        <f>'Data Entry'!$D$9</f>
        <v>32000</v>
      </c>
      <c r="I61" s="38">
        <f>Table3[[#This Row],[Sales Forecast]]*Table3[[#This Row],[Tickets]]</f>
        <v>0</v>
      </c>
      <c r="J61" s="38">
        <f>IF(Table3[[#This Row],[Seat availibility]]&gt;0,Table3[[#This Row],[Seat availibility]]*Table3[[#This Row],[Tickets]],)</f>
        <v>0</v>
      </c>
      <c r="K61" s="38">
        <f>Table3[[#This Row],[Revenue]]-Table3[[#This Row],[Payments]]</f>
        <v>0</v>
      </c>
      <c r="L61" s="37">
        <f>$L$58*'Data Entry'!$D$17</f>
        <v>49.683636143999998</v>
      </c>
      <c r="M61" s="38">
        <f>Table3[[#This Row],[Sales Tickets]]*Table3[[#This Row],[Ticket NS]]</f>
        <v>0</v>
      </c>
      <c r="N61" s="38">
        <f>'Data Entry'!$D$7</f>
        <v>29000</v>
      </c>
      <c r="O61" s="38">
        <f>Table3[[#This Row],[Sales Forecast]]-Table3[[#This Row],[Capacity NS]]</f>
        <v>-29000</v>
      </c>
      <c r="P61" s="38">
        <f>IF(Table3[[#This Row],[Seat Availibility NS]]&gt;0,Table3[[#This Row],[Seat Availibility NS]]*Table3[[#This Row],[Ticket NS]],)</f>
        <v>0</v>
      </c>
      <c r="Q61" s="38">
        <f>Table3[[#This Row],[Revenue NS]]</f>
        <v>0</v>
      </c>
      <c r="R61" s="38"/>
      <c r="S61" s="38"/>
      <c r="T61" s="44"/>
      <c r="U61" s="56"/>
      <c r="V61" s="6"/>
      <c r="X61"/>
      <c r="Z61"/>
    </row>
    <row r="62" spans="2:26" x14ac:dyDescent="0.25">
      <c r="B62" s="7">
        <v>46478</v>
      </c>
      <c r="C62" s="37">
        <f>'Data Entry'!$E$26</f>
        <v>26636</v>
      </c>
      <c r="D62" s="38">
        <f>$D$58*'Data Entry'!$D$17</f>
        <v>62.104545180000002</v>
      </c>
      <c r="E62" s="39">
        <f>Table3[[#This Row],[Sales Tickets]]*Table3[[#This Row],[Tickets]]*'Data Entry'!$D$19</f>
        <v>14887949.988730321</v>
      </c>
      <c r="F62" s="34">
        <f>'Data Entry'!$D$26</f>
        <v>29636</v>
      </c>
      <c r="G62" s="38">
        <f>Table3[[#This Row],[Sales Forecast]]*Table3[[#This Row],[Tickets]]*'Data Entry'!$D$19</f>
        <v>16564772.708590319</v>
      </c>
      <c r="H62" s="38">
        <f>'Data Entry'!$D$9</f>
        <v>32000</v>
      </c>
      <c r="I62" s="38">
        <f>Table3[[#This Row],[Sales Forecast]]-Table3[[#This Row],[Capacity]]</f>
        <v>-2364</v>
      </c>
      <c r="J62" s="38">
        <f>IF(Table3[[#This Row],[Seat availibility]]&gt;0,Table3[[#This Row],[Seat availibility]]*Table3[[#This Row],[Tickets]],)</f>
        <v>0</v>
      </c>
      <c r="K62" s="38">
        <f>Table3[[#This Row],[Revenue]]-Table3[[#This Row],[Payments]]</f>
        <v>14887949.988730321</v>
      </c>
      <c r="L62" s="37">
        <f>$L$58*'Data Entry'!$D$17</f>
        <v>49.683636143999998</v>
      </c>
      <c r="M62" s="38">
        <f>Table3[[#This Row],[Sales Tickets]]*Table3[[#This Row],[Ticket NS]]</f>
        <v>1323373.3323315838</v>
      </c>
      <c r="N62" s="38">
        <f>'Data Entry'!$D$7</f>
        <v>29000</v>
      </c>
      <c r="O62" s="38">
        <f>Table3[[#This Row],[Sales Forecast]]-Table3[[#This Row],[Capacity NS]]</f>
        <v>636</v>
      </c>
      <c r="P62" s="38">
        <f>IF(Table3[[#This Row],[Seat Availibility NS]]&gt;0,Table3[[#This Row],[Seat Availibility NS]]*Table3[[#This Row],[Ticket NS]],)</f>
        <v>31598.792587583997</v>
      </c>
      <c r="Q62" s="38">
        <f>Table3[[#This Row],[Revenue NS]]</f>
        <v>1323373.3323315838</v>
      </c>
      <c r="R62" s="38"/>
      <c r="S62" s="38"/>
      <c r="T62" s="42"/>
      <c r="U62" s="57"/>
      <c r="V62" s="6"/>
      <c r="X62"/>
      <c r="Z62"/>
    </row>
    <row r="63" spans="2:26" x14ac:dyDescent="0.25">
      <c r="B63" s="7">
        <v>46508</v>
      </c>
      <c r="C63" s="37">
        <f>'Data Entry'!$E$26</f>
        <v>26636</v>
      </c>
      <c r="D63" s="38">
        <f>$D$58*'Data Entry'!$D$17</f>
        <v>62.104545180000002</v>
      </c>
      <c r="E63" s="39">
        <f>Table3[[#This Row],[Sales Tickets]]*Table3[[#This Row],[Tickets]]*'Data Entry'!$D$19</f>
        <v>14887949.988730321</v>
      </c>
      <c r="F63" s="34">
        <f>'Data Entry'!$D$26</f>
        <v>29636</v>
      </c>
      <c r="G63" s="38">
        <f>Table3[[#This Row],[Sales Forecast]]*Table3[[#This Row],[Tickets]]*'Data Entry'!$D$19</f>
        <v>16564772.708590319</v>
      </c>
      <c r="H63" s="38">
        <f>'Data Entry'!$D$9</f>
        <v>32000</v>
      </c>
      <c r="I63" s="38">
        <f>Table3[[#This Row],[Sales Forecast]]-Table3[[#This Row],[Capacity]]</f>
        <v>-2364</v>
      </c>
      <c r="J63" s="38">
        <f>IF(Table3[[#This Row],[Seat availibility]]&gt;0,Table3[[#This Row],[Seat availibility]]*Table3[[#This Row],[Tickets]],)</f>
        <v>0</v>
      </c>
      <c r="K63" s="38">
        <f>Table3[[#This Row],[Revenue]]-Table3[[#This Row],[Payments]]</f>
        <v>14887949.988730321</v>
      </c>
      <c r="L63" s="37">
        <f>$L$58*'Data Entry'!$D$17</f>
        <v>49.683636143999998</v>
      </c>
      <c r="M63" s="38">
        <f>Table3[[#This Row],[Sales Tickets]]*Table3[[#This Row],[Ticket NS]]</f>
        <v>1323373.3323315838</v>
      </c>
      <c r="N63" s="38">
        <f>'Data Entry'!$D$7</f>
        <v>29000</v>
      </c>
      <c r="O63" s="38">
        <f>Table3[[#This Row],[Sales Forecast]]-Table3[[#This Row],[Capacity NS]]</f>
        <v>636</v>
      </c>
      <c r="P63" s="38">
        <f>IF(Table3[[#This Row],[Seat Availibility NS]]&gt;0,Table3[[#This Row],[Seat Availibility NS]]*Table3[[#This Row],[Ticket NS]],)</f>
        <v>31598.792587583997</v>
      </c>
      <c r="Q63" s="38">
        <f>Table3[[#This Row],[Revenue NS]]</f>
        <v>1323373.3323315838</v>
      </c>
      <c r="R63" s="38"/>
      <c r="S63" s="38"/>
      <c r="T63" s="42"/>
      <c r="U63" s="57"/>
      <c r="V63" s="6"/>
      <c r="X63"/>
      <c r="Z63"/>
    </row>
    <row r="64" spans="2:26" x14ac:dyDescent="0.25">
      <c r="B64" s="7">
        <v>46539</v>
      </c>
      <c r="C64" s="37">
        <f>'Data Entry'!$E$26</f>
        <v>26636</v>
      </c>
      <c r="D64" s="38">
        <f>$D$58*'Data Entry'!$D$17</f>
        <v>62.104545180000002</v>
      </c>
      <c r="E64" s="39">
        <f>Table3[[#This Row],[Sales Tickets]]*Table3[[#This Row],[Tickets]]*'Data Entry'!$D$19</f>
        <v>14887949.988730321</v>
      </c>
      <c r="F64" s="34">
        <f>'Data Entry'!$D$26</f>
        <v>29636</v>
      </c>
      <c r="G64" s="38">
        <f>Table3[[#This Row],[Sales Forecast]]*Table3[[#This Row],[Tickets]]*'Data Entry'!$D$19</f>
        <v>16564772.708590319</v>
      </c>
      <c r="H64" s="38">
        <f>'Data Entry'!$D$9</f>
        <v>32000</v>
      </c>
      <c r="I64" s="38">
        <f>Table3[[#This Row],[Sales Forecast]]-Table3[[#This Row],[Capacity]]</f>
        <v>-2364</v>
      </c>
      <c r="J64" s="38">
        <f>IF(Table3[[#This Row],[Seat availibility]]&gt;0,Table3[[#This Row],[Seat availibility]]*Table3[[#This Row],[Tickets]],)</f>
        <v>0</v>
      </c>
      <c r="K64" s="38">
        <f>Table3[[#This Row],[Revenue]]-Table3[[#This Row],[Payments]]</f>
        <v>14887949.988730321</v>
      </c>
      <c r="L64" s="37">
        <f>$L$58*'Data Entry'!$D$17</f>
        <v>49.683636143999998</v>
      </c>
      <c r="M64" s="38">
        <f>Table3[[#This Row],[Sales Tickets]]*Table3[[#This Row],[Ticket NS]]</f>
        <v>1323373.3323315838</v>
      </c>
      <c r="N64" s="38">
        <f>'Data Entry'!$D$7</f>
        <v>29000</v>
      </c>
      <c r="O64" s="38">
        <f>Table3[[#This Row],[Sales Forecast]]-Table3[[#This Row],[Capacity NS]]</f>
        <v>636</v>
      </c>
      <c r="P64" s="38">
        <f>IF(Table3[[#This Row],[Seat Availibility NS]]&gt;0,Table3[[#This Row],[Seat Availibility NS]]*Table3[[#This Row],[Ticket NS]],)</f>
        <v>31598.792587583997</v>
      </c>
      <c r="Q64" s="38">
        <f>Table3[[#This Row],[Revenue NS]]</f>
        <v>1323373.3323315838</v>
      </c>
      <c r="R64" s="38"/>
      <c r="S64" s="38"/>
      <c r="T64" s="42"/>
      <c r="U64" s="57"/>
      <c r="V64" s="6"/>
      <c r="X64"/>
      <c r="Z64"/>
    </row>
    <row r="65" spans="2:26" x14ac:dyDescent="0.25">
      <c r="B65" s="7">
        <v>46569</v>
      </c>
      <c r="C65" s="37">
        <f>'Data Entry'!$E$26</f>
        <v>26636</v>
      </c>
      <c r="D65" s="38">
        <f>$D$58*'Data Entry'!$D$17</f>
        <v>62.104545180000002</v>
      </c>
      <c r="E65" s="39">
        <f>Table3[[#This Row],[Sales Tickets]]*Table3[[#This Row],[Tickets]]*'Data Entry'!$D$19</f>
        <v>14887949.988730321</v>
      </c>
      <c r="F65" s="34">
        <f>'Data Entry'!$D$26</f>
        <v>29636</v>
      </c>
      <c r="G65" s="38">
        <f>Table3[[#This Row],[Sales Forecast]]*Table3[[#This Row],[Tickets]]*'Data Entry'!$D$19</f>
        <v>16564772.708590319</v>
      </c>
      <c r="H65" s="38">
        <f>'Data Entry'!$D$9</f>
        <v>32000</v>
      </c>
      <c r="I65" s="38">
        <f>Table3[[#This Row],[Sales Forecast]]-Table3[[#This Row],[Capacity]]</f>
        <v>-2364</v>
      </c>
      <c r="J65" s="38">
        <f>IF(Table3[[#This Row],[Seat availibility]]&gt;0,Table3[[#This Row],[Seat availibility]]*Table3[[#This Row],[Tickets]],)</f>
        <v>0</v>
      </c>
      <c r="K65" s="38">
        <f>Table3[[#This Row],[Revenue]]-Table3[[#This Row],[Payments]]</f>
        <v>14887949.988730321</v>
      </c>
      <c r="L65" s="37">
        <f>$L$58*'Data Entry'!$D$17</f>
        <v>49.683636143999998</v>
      </c>
      <c r="M65" s="38">
        <f>Table3[[#This Row],[Sales Tickets]]*Table3[[#This Row],[Ticket NS]]</f>
        <v>1323373.3323315838</v>
      </c>
      <c r="N65" s="38">
        <f>'Data Entry'!$D$7</f>
        <v>29000</v>
      </c>
      <c r="O65" s="38">
        <f>Table3[[#This Row],[Sales Forecast]]-Table3[[#This Row],[Capacity NS]]</f>
        <v>636</v>
      </c>
      <c r="P65" s="38">
        <f>IF(Table3[[#This Row],[Seat Availibility NS]]&gt;0,Table3[[#This Row],[Seat Availibility NS]]*Table3[[#This Row],[Ticket NS]],)</f>
        <v>31598.792587583997</v>
      </c>
      <c r="Q65" s="38">
        <f>Table3[[#This Row],[Revenue NS]]</f>
        <v>1323373.3323315838</v>
      </c>
      <c r="R65" s="38"/>
      <c r="S65" s="38"/>
      <c r="T65" s="42"/>
      <c r="U65" s="57"/>
      <c r="V65" s="6"/>
      <c r="X65"/>
      <c r="Z65"/>
    </row>
    <row r="66" spans="2:26" x14ac:dyDescent="0.25">
      <c r="B66" s="7">
        <v>46600</v>
      </c>
      <c r="C66" s="37">
        <f>'Data Entry'!$E$26</f>
        <v>26636</v>
      </c>
      <c r="D66" s="38">
        <f>$D$58*'Data Entry'!$D$17</f>
        <v>62.104545180000002</v>
      </c>
      <c r="E66" s="39">
        <f>Table3[[#This Row],[Sales Tickets]]*Table3[[#This Row],[Tickets]]*'Data Entry'!$D$19</f>
        <v>14887949.988730321</v>
      </c>
      <c r="F66" s="34">
        <f>'Data Entry'!$D$26</f>
        <v>29636</v>
      </c>
      <c r="G66" s="38">
        <f>Table3[[#This Row],[Sales Forecast]]*Table3[[#This Row],[Tickets]]*'Data Entry'!$D$19</f>
        <v>16564772.708590319</v>
      </c>
      <c r="H66" s="38">
        <f>'Data Entry'!$D$9</f>
        <v>32000</v>
      </c>
      <c r="I66" s="38">
        <f>Table3[[#This Row],[Sales Forecast]]-Table3[[#This Row],[Capacity]]</f>
        <v>-2364</v>
      </c>
      <c r="J66" s="38">
        <f>IF(Table3[[#This Row],[Seat availibility]]&gt;0,Table3[[#This Row],[Seat availibility]]*Table3[[#This Row],[Tickets]],)</f>
        <v>0</v>
      </c>
      <c r="K66" s="38">
        <f>Table3[[#This Row],[Revenue]]-Table3[[#This Row],[Payments]]</f>
        <v>14887949.988730321</v>
      </c>
      <c r="L66" s="37">
        <f>$L$58*'Data Entry'!$D$17</f>
        <v>49.683636143999998</v>
      </c>
      <c r="M66" s="38">
        <f>Table3[[#This Row],[Sales Tickets]]*Table3[[#This Row],[Ticket NS]]</f>
        <v>1323373.3323315838</v>
      </c>
      <c r="N66" s="38">
        <f>'Data Entry'!$D$7</f>
        <v>29000</v>
      </c>
      <c r="O66" s="38">
        <f>Table3[[#This Row],[Sales Forecast]]-Table3[[#This Row],[Capacity NS]]</f>
        <v>636</v>
      </c>
      <c r="P66" s="38">
        <f>IF(Table3[[#This Row],[Seat Availibility NS]]&gt;0,Table3[[#This Row],[Seat Availibility NS]]*Table3[[#This Row],[Ticket NS]],)</f>
        <v>31598.792587583997</v>
      </c>
      <c r="Q66" s="38">
        <f>Table3[[#This Row],[Revenue NS]]</f>
        <v>1323373.3323315838</v>
      </c>
      <c r="R66" s="38"/>
      <c r="S66" s="38"/>
      <c r="T66" s="42"/>
      <c r="U66" s="57"/>
      <c r="V66" s="6"/>
      <c r="X66"/>
      <c r="Z66"/>
    </row>
    <row r="67" spans="2:26" x14ac:dyDescent="0.25">
      <c r="B67" s="7">
        <v>46631</v>
      </c>
      <c r="C67" s="37">
        <f>'Data Entry'!$E$26</f>
        <v>26636</v>
      </c>
      <c r="D67" s="38">
        <f>$D$58*'Data Entry'!$D$17</f>
        <v>62.104545180000002</v>
      </c>
      <c r="E67" s="39">
        <f>Table3[[#This Row],[Sales Tickets]]*Table3[[#This Row],[Tickets]]*'Data Entry'!$D$19</f>
        <v>14887949.988730321</v>
      </c>
      <c r="F67" s="34">
        <f>'Data Entry'!$D$26</f>
        <v>29636</v>
      </c>
      <c r="G67" s="38">
        <f>Table3[[#This Row],[Sales Forecast]]*Table3[[#This Row],[Tickets]]*'Data Entry'!$D$19</f>
        <v>16564772.708590319</v>
      </c>
      <c r="H67" s="38">
        <f>'Data Entry'!$D$9</f>
        <v>32000</v>
      </c>
      <c r="I67" s="38">
        <f>Table3[[#This Row],[Sales Forecast]]-Table3[[#This Row],[Capacity]]</f>
        <v>-2364</v>
      </c>
      <c r="J67" s="38">
        <f>IF(Table3[[#This Row],[Seat availibility]]&gt;0,Table3[[#This Row],[Seat availibility]]*Table3[[#This Row],[Tickets]],)</f>
        <v>0</v>
      </c>
      <c r="K67" s="38">
        <f>Table3[[#This Row],[Revenue]]-Table3[[#This Row],[Payments]]</f>
        <v>14887949.988730321</v>
      </c>
      <c r="L67" s="37">
        <f>$L$58*'Data Entry'!$D$17</f>
        <v>49.683636143999998</v>
      </c>
      <c r="M67" s="38">
        <f>Table3[[#This Row],[Sales Tickets]]*Table3[[#This Row],[Ticket NS]]</f>
        <v>1323373.3323315838</v>
      </c>
      <c r="N67" s="38">
        <f>'Data Entry'!$D$7</f>
        <v>29000</v>
      </c>
      <c r="O67" s="38">
        <f>Table3[[#This Row],[Sales Forecast]]-Table3[[#This Row],[Capacity NS]]</f>
        <v>636</v>
      </c>
      <c r="P67" s="38">
        <f>IF(Table3[[#This Row],[Seat Availibility NS]]&gt;0,Table3[[#This Row],[Seat Availibility NS]]*Table3[[#This Row],[Ticket NS]],)</f>
        <v>31598.792587583997</v>
      </c>
      <c r="Q67" s="38">
        <f>Table3[[#This Row],[Revenue NS]]</f>
        <v>1323373.3323315838</v>
      </c>
      <c r="R67" s="38"/>
      <c r="S67" s="38"/>
      <c r="T67" s="42"/>
      <c r="U67" s="57"/>
      <c r="V67" s="6"/>
      <c r="X67"/>
      <c r="Z67"/>
    </row>
    <row r="68" spans="2:26" x14ac:dyDescent="0.25">
      <c r="B68" s="7">
        <v>46661</v>
      </c>
      <c r="C68" s="37">
        <f>'Data Entry'!$E$26</f>
        <v>26636</v>
      </c>
      <c r="D68" s="38">
        <f>$D$58*'Data Entry'!$D$17</f>
        <v>62.104545180000002</v>
      </c>
      <c r="E68" s="39">
        <f>Table3[[#This Row],[Sales Tickets]]*Table3[[#This Row],[Tickets]]*'Data Entry'!$D$19</f>
        <v>14887949.988730321</v>
      </c>
      <c r="F68" s="34">
        <f>'Data Entry'!$D$26</f>
        <v>29636</v>
      </c>
      <c r="G68" s="38">
        <f>Table3[[#This Row],[Sales Forecast]]*Table3[[#This Row],[Tickets]]*'Data Entry'!$D$19</f>
        <v>16564772.708590319</v>
      </c>
      <c r="H68" s="38">
        <f>'Data Entry'!$D$9</f>
        <v>32000</v>
      </c>
      <c r="I68" s="38">
        <f>Table3[[#This Row],[Sales Forecast]]-Table3[[#This Row],[Capacity]]</f>
        <v>-2364</v>
      </c>
      <c r="J68" s="38">
        <f>IF(Table3[[#This Row],[Seat availibility]]&gt;0,Table3[[#This Row],[Seat availibility]]*Table3[[#This Row],[Tickets]],)</f>
        <v>0</v>
      </c>
      <c r="K68" s="38">
        <f>Table3[[#This Row],[Revenue]]-Table3[[#This Row],[Payments]]</f>
        <v>14887949.988730321</v>
      </c>
      <c r="L68" s="37">
        <f>$L$58*'Data Entry'!$D$17</f>
        <v>49.683636143999998</v>
      </c>
      <c r="M68" s="38">
        <f>Table3[[#This Row],[Sales Tickets]]*Table3[[#This Row],[Ticket NS]]</f>
        <v>1323373.3323315838</v>
      </c>
      <c r="N68" s="38">
        <f>'Data Entry'!$D$7</f>
        <v>29000</v>
      </c>
      <c r="O68" s="38">
        <f>Table3[[#This Row],[Sales Forecast]]-Table3[[#This Row],[Capacity NS]]</f>
        <v>636</v>
      </c>
      <c r="P68" s="38">
        <f>IF(Table3[[#This Row],[Seat Availibility NS]]&gt;0,Table3[[#This Row],[Seat Availibility NS]]*Table3[[#This Row],[Ticket NS]],)</f>
        <v>31598.792587583997</v>
      </c>
      <c r="Q68" s="38">
        <f>Table3[[#This Row],[Revenue NS]]</f>
        <v>1323373.3323315838</v>
      </c>
      <c r="R68" s="38"/>
      <c r="S68" s="38"/>
      <c r="T68" s="42"/>
      <c r="U68" s="57"/>
      <c r="V68" s="6"/>
      <c r="X68"/>
      <c r="Z68"/>
    </row>
    <row r="69" spans="2:26" x14ac:dyDescent="0.25">
      <c r="B69" s="7">
        <v>46692</v>
      </c>
      <c r="C69" s="37">
        <f>'Data Entry'!$E$26</f>
        <v>26636</v>
      </c>
      <c r="D69" s="38">
        <f>$D$58*'Data Entry'!$D$17</f>
        <v>62.104545180000002</v>
      </c>
      <c r="E69" s="39">
        <f>Table3[[#This Row],[Sales Tickets]]*Table3[[#This Row],[Tickets]]*'Data Entry'!$D$19</f>
        <v>14887949.988730321</v>
      </c>
      <c r="F69" s="34">
        <f>'Data Entry'!$D$26</f>
        <v>29636</v>
      </c>
      <c r="G69" s="38">
        <f>Table3[[#This Row],[Sales Forecast]]*Table3[[#This Row],[Tickets]]*'Data Entry'!$D$19</f>
        <v>16564772.708590319</v>
      </c>
      <c r="H69" s="38">
        <f>'Data Entry'!$D$9</f>
        <v>32000</v>
      </c>
      <c r="I69" s="38">
        <f>Table3[[#This Row],[Sales Forecast]]-Table3[[#This Row],[Capacity]]</f>
        <v>-2364</v>
      </c>
      <c r="J69" s="38">
        <f>IF(Table3[[#This Row],[Seat availibility]]&gt;0,Table3[[#This Row],[Seat availibility]]*Table3[[#This Row],[Tickets]],)</f>
        <v>0</v>
      </c>
      <c r="K69" s="38">
        <f>Table3[[#This Row],[Revenue]]-Table3[[#This Row],[Payments]]</f>
        <v>14887949.988730321</v>
      </c>
      <c r="L69" s="37">
        <f>$L$58*'Data Entry'!$D$17</f>
        <v>49.683636143999998</v>
      </c>
      <c r="M69" s="38">
        <f>Table3[[#This Row],[Sales Tickets]]*Table3[[#This Row],[Ticket NS]]</f>
        <v>1323373.3323315838</v>
      </c>
      <c r="N69" s="38">
        <f>'Data Entry'!$D$7</f>
        <v>29000</v>
      </c>
      <c r="O69" s="38">
        <f>Table3[[#This Row],[Sales Forecast]]-Table3[[#This Row],[Capacity NS]]</f>
        <v>636</v>
      </c>
      <c r="P69" s="38">
        <f>IF(Table3[[#This Row],[Seat Availibility NS]]&gt;0,Table3[[#This Row],[Seat Availibility NS]]*Table3[[#This Row],[Ticket NS]],)</f>
        <v>31598.792587583997</v>
      </c>
      <c r="Q69" s="38">
        <f>Table3[[#This Row],[Revenue NS]]</f>
        <v>1323373.3323315838</v>
      </c>
      <c r="R69" s="38"/>
      <c r="S69" s="38"/>
      <c r="T69" s="42"/>
      <c r="U69" s="57"/>
      <c r="V69" s="6"/>
      <c r="X69"/>
      <c r="Z69"/>
    </row>
    <row r="70" spans="2:26" x14ac:dyDescent="0.25">
      <c r="B70" s="7">
        <v>46722</v>
      </c>
      <c r="C70" s="37">
        <v>0</v>
      </c>
      <c r="D70" s="38">
        <f>$D$58*'Data Entry'!$D$17</f>
        <v>62.104545180000002</v>
      </c>
      <c r="E70" s="39">
        <v>0</v>
      </c>
      <c r="F70" s="38">
        <v>0</v>
      </c>
      <c r="G70" s="38">
        <f>Table3[[#This Row],[Sales Forecast]]*Table3[[#This Row],[Tickets]]</f>
        <v>0</v>
      </c>
      <c r="H70" s="38">
        <f>'Data Entry'!$D$9</f>
        <v>32000</v>
      </c>
      <c r="I70" s="38">
        <f>Table3[[#This Row],[Sales Forecast]]*Table3[[#This Row],[Tickets]]</f>
        <v>0</v>
      </c>
      <c r="J70" s="38">
        <f>IF(Table3[[#This Row],[Seat availibility]]&gt;0,Table3[[#This Row],[Seat availibility]]*Table3[[#This Row],[Tickets]],)</f>
        <v>0</v>
      </c>
      <c r="K70" s="38">
        <f>Table3[[#This Row],[Revenue]]-Table3[[#This Row],[Payments]]</f>
        <v>0</v>
      </c>
      <c r="L70" s="37">
        <f>$L$58*'Data Entry'!$D$17</f>
        <v>49.683636143999998</v>
      </c>
      <c r="M70" s="38">
        <f>Table3[[#This Row],[Sales Tickets]]*Table3[[#This Row],[Ticket NS]]</f>
        <v>0</v>
      </c>
      <c r="N70" s="38">
        <f>'Data Entry'!$D$7</f>
        <v>29000</v>
      </c>
      <c r="O70" s="38">
        <f>Table3[[#This Row],[Sales Forecast]]-Table3[[#This Row],[Capacity NS]]</f>
        <v>-29000</v>
      </c>
      <c r="P70" s="38">
        <f>IF(Table3[[#This Row],[Seat Availibility NS]]&gt;0,Table3[[#This Row],[Seat Availibility NS]]*Table3[[#This Row],[Ticket NS]],)</f>
        <v>0</v>
      </c>
      <c r="Q70" s="38">
        <f>Table3[[#This Row],[Revenue NS]]</f>
        <v>0</v>
      </c>
      <c r="R70" s="38">
        <f>NPV('Data Entry'!$D$42/12,K60:K70)+K59</f>
        <v>109908958.7509764</v>
      </c>
      <c r="S70" s="38">
        <f>NPV('Data Entry'!D90/12,Q60:Q70)+Q59</f>
        <v>10586986.658652671</v>
      </c>
      <c r="T70" s="42"/>
      <c r="U70" s="57"/>
      <c r="V70" s="6"/>
      <c r="X70"/>
      <c r="Z70"/>
    </row>
    <row r="71" spans="2:26" x14ac:dyDescent="0.25">
      <c r="B71" s="7">
        <v>46753</v>
      </c>
      <c r="C71" s="43">
        <v>0</v>
      </c>
      <c r="D71" s="38">
        <f>$D$70*'Data Entry'!$D$17</f>
        <v>63.346636083600004</v>
      </c>
      <c r="E71" s="35">
        <v>0</v>
      </c>
      <c r="F71" s="34">
        <v>0</v>
      </c>
      <c r="G71" s="38">
        <f>Table3[[#This Row],[Sales Forecast]]*Table3[[#This Row],[Tickets]]</f>
        <v>0</v>
      </c>
      <c r="H71" s="38">
        <f>'Data Entry'!$D$9</f>
        <v>32000</v>
      </c>
      <c r="I71" s="38">
        <f>Table3[[#This Row],[Sales Forecast]]*Table3[[#This Row],[Tickets]]</f>
        <v>0</v>
      </c>
      <c r="J71" s="38">
        <f>IF(Table3[[#This Row],[Seat availibility]]&gt;0,Table3[[#This Row],[Seat availibility]]*Table3[[#This Row],[Tickets]],)</f>
        <v>0</v>
      </c>
      <c r="K71" s="38">
        <f>Table3[[#This Row],[Revenue]]-Table3[[#This Row],[Payments]]</f>
        <v>0</v>
      </c>
      <c r="L71" s="37">
        <f>$L$70*'Data Entry'!$D$17</f>
        <v>50.677308866879997</v>
      </c>
      <c r="M71" s="38">
        <f>Table3[[#This Row],[Sales Tickets]]*Table3[[#This Row],[Ticket NS]]</f>
        <v>0</v>
      </c>
      <c r="N71" s="38">
        <f>'Data Entry'!$D$7</f>
        <v>29000</v>
      </c>
      <c r="O71" s="38">
        <f>Table3[[#This Row],[Sales Forecast]]-Table3[[#This Row],[Capacity NS]]</f>
        <v>-29000</v>
      </c>
      <c r="P71" s="38">
        <f>IF(Table3[[#This Row],[Seat Availibility NS]]&gt;0,Table3[[#This Row],[Seat Availibility NS]]*Table3[[#This Row],[Ticket NS]],)</f>
        <v>0</v>
      </c>
      <c r="Q71" s="38">
        <f>Table3[[#This Row],[Revenue NS]]</f>
        <v>0</v>
      </c>
      <c r="R71" s="38"/>
      <c r="S71" s="38"/>
      <c r="T71" s="44"/>
      <c r="U71" s="56"/>
      <c r="V71" s="6"/>
      <c r="X71"/>
      <c r="Z71"/>
    </row>
    <row r="72" spans="2:26" x14ac:dyDescent="0.25">
      <c r="B72" s="7">
        <v>46784</v>
      </c>
      <c r="C72" s="43">
        <v>0</v>
      </c>
      <c r="D72" s="38">
        <f>$D$70*'Data Entry'!$D$17</f>
        <v>63.346636083600004</v>
      </c>
      <c r="E72" s="35">
        <v>0</v>
      </c>
      <c r="F72" s="34">
        <v>0</v>
      </c>
      <c r="G72" s="38">
        <f>Table3[[#This Row],[Sales Forecast]]*Table3[[#This Row],[Tickets]]</f>
        <v>0</v>
      </c>
      <c r="H72" s="38">
        <f>'Data Entry'!$D$9</f>
        <v>32000</v>
      </c>
      <c r="I72" s="38">
        <f>Table3[[#This Row],[Sales Forecast]]*Table3[[#This Row],[Tickets]]</f>
        <v>0</v>
      </c>
      <c r="J72" s="38">
        <f>IF(Table3[[#This Row],[Seat availibility]]&gt;0,Table3[[#This Row],[Seat availibility]]*Table3[[#This Row],[Tickets]],)</f>
        <v>0</v>
      </c>
      <c r="K72" s="38">
        <f>Table3[[#This Row],[Revenue]]-Table3[[#This Row],[Payments]]</f>
        <v>0</v>
      </c>
      <c r="L72" s="37">
        <f>$L$70*'Data Entry'!$D$17</f>
        <v>50.677308866879997</v>
      </c>
      <c r="M72" s="38">
        <f>Table3[[#This Row],[Sales Tickets]]*Table3[[#This Row],[Ticket NS]]</f>
        <v>0</v>
      </c>
      <c r="N72" s="38">
        <f>'Data Entry'!$D$7</f>
        <v>29000</v>
      </c>
      <c r="O72" s="38">
        <f>Table3[[#This Row],[Sales Forecast]]-Table3[[#This Row],[Capacity NS]]</f>
        <v>-29000</v>
      </c>
      <c r="P72" s="38">
        <f>IF(Table3[[#This Row],[Seat Availibility NS]]&gt;0,Table3[[#This Row],[Seat Availibility NS]]*Table3[[#This Row],[Ticket NS]],)</f>
        <v>0</v>
      </c>
      <c r="Q72" s="38">
        <f>Table3[[#This Row],[Revenue NS]]</f>
        <v>0</v>
      </c>
      <c r="R72" s="38"/>
      <c r="S72" s="38"/>
      <c r="T72" s="44"/>
      <c r="U72" s="56"/>
      <c r="V72" s="6"/>
      <c r="X72"/>
      <c r="Z72"/>
    </row>
    <row r="73" spans="2:26" x14ac:dyDescent="0.25">
      <c r="B73" s="7">
        <v>46813</v>
      </c>
      <c r="C73" s="43">
        <v>0</v>
      </c>
      <c r="D73" s="38">
        <f>$D$70*'Data Entry'!$D$17</f>
        <v>63.346636083600004</v>
      </c>
      <c r="E73" s="35">
        <v>0</v>
      </c>
      <c r="F73" s="34">
        <v>0</v>
      </c>
      <c r="G73" s="38">
        <f>Table3[[#This Row],[Sales Forecast]]*Table3[[#This Row],[Tickets]]</f>
        <v>0</v>
      </c>
      <c r="H73" s="38">
        <f>'Data Entry'!$D$9</f>
        <v>32000</v>
      </c>
      <c r="I73" s="38">
        <f>Table3[[#This Row],[Sales Forecast]]*Table3[[#This Row],[Tickets]]</f>
        <v>0</v>
      </c>
      <c r="J73" s="38">
        <f>IF(Table3[[#This Row],[Seat availibility]]&gt;0,Table3[[#This Row],[Seat availibility]]*Table3[[#This Row],[Tickets]],)</f>
        <v>0</v>
      </c>
      <c r="K73" s="38">
        <f>Table3[[#This Row],[Revenue]]-Table3[[#This Row],[Payments]]</f>
        <v>0</v>
      </c>
      <c r="L73" s="37">
        <f>$L$70*'Data Entry'!$D$17</f>
        <v>50.677308866879997</v>
      </c>
      <c r="M73" s="38">
        <f>Table3[[#This Row],[Sales Tickets]]*Table3[[#This Row],[Ticket NS]]</f>
        <v>0</v>
      </c>
      <c r="N73" s="38">
        <f>'Data Entry'!$D$7</f>
        <v>29000</v>
      </c>
      <c r="O73" s="38">
        <f>Table3[[#This Row],[Sales Forecast]]-Table3[[#This Row],[Capacity NS]]</f>
        <v>-29000</v>
      </c>
      <c r="P73" s="38">
        <f>IF(Table3[[#This Row],[Seat Availibility NS]]&gt;0,Table3[[#This Row],[Seat Availibility NS]]*Table3[[#This Row],[Ticket NS]],)</f>
        <v>0</v>
      </c>
      <c r="Q73" s="38">
        <f>Table3[[#This Row],[Revenue NS]]</f>
        <v>0</v>
      </c>
      <c r="R73" s="38"/>
      <c r="S73" s="38"/>
      <c r="T73" s="44"/>
      <c r="U73" s="56"/>
      <c r="V73" s="6"/>
      <c r="X73"/>
      <c r="Z73"/>
    </row>
    <row r="74" spans="2:26" x14ac:dyDescent="0.25">
      <c r="B74" s="7">
        <v>46844</v>
      </c>
      <c r="C74" s="37">
        <f>'Data Entry'!$E$27</f>
        <v>30000</v>
      </c>
      <c r="D74" s="38">
        <f>$D$70*'Data Entry'!$D$17</f>
        <v>63.346636083600004</v>
      </c>
      <c r="E74" s="39">
        <f>Table3[[#This Row],[Sales Tickets]]*Table3[[#This Row],[Tickets]]*'Data Entry'!$D$19</f>
        <v>17103591.742572002</v>
      </c>
      <c r="F74" s="34">
        <f>'Data Entry'!$D$27</f>
        <v>30525</v>
      </c>
      <c r="G74" s="38">
        <f>Table3[[#This Row],[Sales Forecast]]*Table3[[#This Row],[Tickets]]*'Data Entry'!$D$19</f>
        <v>17402904.598067012</v>
      </c>
      <c r="H74" s="38">
        <f>'Data Entry'!$D$9</f>
        <v>32000</v>
      </c>
      <c r="I74" s="38">
        <f>Table3[[#This Row],[Sales Forecast]]-Table3[[#This Row],[Capacity]]</f>
        <v>-1475</v>
      </c>
      <c r="J74" s="38">
        <f>IF(Table3[[#This Row],[Seat availibility]]&gt;0,Table3[[#This Row],[Seat availibility]]*Table3[[#This Row],[Tickets]],)</f>
        <v>0</v>
      </c>
      <c r="K74" s="38">
        <f>Table3[[#This Row],[Revenue]]-Table3[[#This Row],[Payments]]</f>
        <v>17103591.742572002</v>
      </c>
      <c r="L74" s="37">
        <f>$L$70*'Data Entry'!$D$17</f>
        <v>50.677308866879997</v>
      </c>
      <c r="M74" s="38">
        <f>Table3[[#This Row],[Sales Tickets]]*Table3[[#This Row],[Ticket NS]]</f>
        <v>1520319.2660063999</v>
      </c>
      <c r="N74" s="38">
        <f>'Data Entry'!$D$7</f>
        <v>29000</v>
      </c>
      <c r="O74" s="38">
        <f>Table3[[#This Row],[Sales Forecast]]-Table3[[#This Row],[Capacity NS]]</f>
        <v>1525</v>
      </c>
      <c r="P74" s="38">
        <f>IF(Table3[[#This Row],[Seat Availibility NS]]&gt;0,Table3[[#This Row],[Seat Availibility NS]]*Table3[[#This Row],[Ticket NS]],)</f>
        <v>77282.896021991997</v>
      </c>
      <c r="Q74" s="38">
        <f>Table3[[#This Row],[Revenue NS]]</f>
        <v>1520319.2660063999</v>
      </c>
      <c r="R74" s="38"/>
      <c r="S74" s="38"/>
      <c r="T74" s="42"/>
      <c r="U74" s="57"/>
      <c r="V74" s="6"/>
      <c r="X74"/>
      <c r="Z74"/>
    </row>
    <row r="75" spans="2:26" x14ac:dyDescent="0.25">
      <c r="B75" s="7">
        <v>46874</v>
      </c>
      <c r="C75" s="37">
        <f>'Data Entry'!$E$27</f>
        <v>30000</v>
      </c>
      <c r="D75" s="38">
        <f>$D$70*'Data Entry'!$D$17</f>
        <v>63.346636083600004</v>
      </c>
      <c r="E75" s="39">
        <f>Table3[[#This Row],[Sales Tickets]]*Table3[[#This Row],[Tickets]]*'Data Entry'!$D$19</f>
        <v>17103591.742572002</v>
      </c>
      <c r="F75" s="34">
        <f>'Data Entry'!$D$27</f>
        <v>30525</v>
      </c>
      <c r="G75" s="38">
        <f>Table3[[#This Row],[Sales Forecast]]*Table3[[#This Row],[Tickets]]*'Data Entry'!$D$19</f>
        <v>17402904.598067012</v>
      </c>
      <c r="H75" s="38">
        <f>'Data Entry'!$D$9</f>
        <v>32000</v>
      </c>
      <c r="I75" s="38">
        <f>Table3[[#This Row],[Sales Forecast]]-Table3[[#This Row],[Capacity]]</f>
        <v>-1475</v>
      </c>
      <c r="J75" s="38">
        <f>IF(Table3[[#This Row],[Seat availibility]]&gt;0,Table3[[#This Row],[Seat availibility]]*Table3[[#This Row],[Tickets]],)</f>
        <v>0</v>
      </c>
      <c r="K75" s="38">
        <f>Table3[[#This Row],[Revenue]]-Table3[[#This Row],[Payments]]</f>
        <v>17103591.742572002</v>
      </c>
      <c r="L75" s="37">
        <f>$L$70*'Data Entry'!$D$17</f>
        <v>50.677308866879997</v>
      </c>
      <c r="M75" s="38">
        <f>Table3[[#This Row],[Sales Tickets]]*Table3[[#This Row],[Ticket NS]]</f>
        <v>1520319.2660063999</v>
      </c>
      <c r="N75" s="38">
        <f>'Data Entry'!$D$7</f>
        <v>29000</v>
      </c>
      <c r="O75" s="38">
        <f>Table3[[#This Row],[Sales Forecast]]-Table3[[#This Row],[Capacity NS]]</f>
        <v>1525</v>
      </c>
      <c r="P75" s="38">
        <f>IF(Table3[[#This Row],[Seat Availibility NS]]&gt;0,Table3[[#This Row],[Seat Availibility NS]]*Table3[[#This Row],[Ticket NS]],)</f>
        <v>77282.896021991997</v>
      </c>
      <c r="Q75" s="38">
        <f>Table3[[#This Row],[Revenue NS]]</f>
        <v>1520319.2660063999</v>
      </c>
      <c r="R75" s="38"/>
      <c r="S75" s="38"/>
      <c r="T75" s="42"/>
      <c r="U75" s="57"/>
      <c r="V75" s="6"/>
      <c r="X75"/>
      <c r="Z75"/>
    </row>
    <row r="76" spans="2:26" x14ac:dyDescent="0.25">
      <c r="B76" s="7">
        <v>46905</v>
      </c>
      <c r="C76" s="37">
        <f>'Data Entry'!$E$27</f>
        <v>30000</v>
      </c>
      <c r="D76" s="38">
        <f>$D$70*'Data Entry'!$D$17</f>
        <v>63.346636083600004</v>
      </c>
      <c r="E76" s="39">
        <f>Table3[[#This Row],[Sales Tickets]]*Table3[[#This Row],[Tickets]]*'Data Entry'!$D$19</f>
        <v>17103591.742572002</v>
      </c>
      <c r="F76" s="34">
        <f>'Data Entry'!$D$27</f>
        <v>30525</v>
      </c>
      <c r="G76" s="38">
        <f>Table3[[#This Row],[Sales Forecast]]*Table3[[#This Row],[Tickets]]*'Data Entry'!$D$19</f>
        <v>17402904.598067012</v>
      </c>
      <c r="H76" s="38">
        <f>'Data Entry'!$D$9</f>
        <v>32000</v>
      </c>
      <c r="I76" s="38">
        <f>Table3[[#This Row],[Sales Forecast]]-Table3[[#This Row],[Capacity]]</f>
        <v>-1475</v>
      </c>
      <c r="J76" s="38">
        <f>IF(Table3[[#This Row],[Seat availibility]]&gt;0,Table3[[#This Row],[Seat availibility]]*Table3[[#This Row],[Tickets]],)</f>
        <v>0</v>
      </c>
      <c r="K76" s="38">
        <f>Table3[[#This Row],[Revenue]]-Table3[[#This Row],[Payments]]</f>
        <v>17103591.742572002</v>
      </c>
      <c r="L76" s="37">
        <f>$L$70*'Data Entry'!$D$17</f>
        <v>50.677308866879997</v>
      </c>
      <c r="M76" s="38">
        <f>Table3[[#This Row],[Sales Tickets]]*Table3[[#This Row],[Ticket NS]]</f>
        <v>1520319.2660063999</v>
      </c>
      <c r="N76" s="38">
        <f>'Data Entry'!$D$7</f>
        <v>29000</v>
      </c>
      <c r="O76" s="38">
        <f>Table3[[#This Row],[Sales Forecast]]-Table3[[#This Row],[Capacity NS]]</f>
        <v>1525</v>
      </c>
      <c r="P76" s="38">
        <f>IF(Table3[[#This Row],[Seat Availibility NS]]&gt;0,Table3[[#This Row],[Seat Availibility NS]]*Table3[[#This Row],[Ticket NS]],)</f>
        <v>77282.896021991997</v>
      </c>
      <c r="Q76" s="38">
        <f>Table3[[#This Row],[Revenue NS]]</f>
        <v>1520319.2660063999</v>
      </c>
      <c r="R76" s="38"/>
      <c r="S76" s="38"/>
      <c r="T76" s="42"/>
      <c r="U76" s="57"/>
      <c r="V76" s="6"/>
      <c r="X76"/>
      <c r="Z76"/>
    </row>
    <row r="77" spans="2:26" x14ac:dyDescent="0.25">
      <c r="B77" s="7">
        <v>46935</v>
      </c>
      <c r="C77" s="37">
        <f>'Data Entry'!$E$27</f>
        <v>30000</v>
      </c>
      <c r="D77" s="38">
        <f>$D$70*'Data Entry'!$D$17</f>
        <v>63.346636083600004</v>
      </c>
      <c r="E77" s="39">
        <f>Table3[[#This Row],[Sales Tickets]]*Table3[[#This Row],[Tickets]]*'Data Entry'!$D$19</f>
        <v>17103591.742572002</v>
      </c>
      <c r="F77" s="34">
        <f>'Data Entry'!$D$27</f>
        <v>30525</v>
      </c>
      <c r="G77" s="38">
        <f>Table3[[#This Row],[Sales Forecast]]*Table3[[#This Row],[Tickets]]*'Data Entry'!$D$19</f>
        <v>17402904.598067012</v>
      </c>
      <c r="H77" s="38">
        <f>'Data Entry'!$D$9</f>
        <v>32000</v>
      </c>
      <c r="I77" s="38">
        <f>Table3[[#This Row],[Sales Forecast]]-Table3[[#This Row],[Capacity]]</f>
        <v>-1475</v>
      </c>
      <c r="J77" s="38">
        <f>IF(Table3[[#This Row],[Seat availibility]]&gt;0,Table3[[#This Row],[Seat availibility]]*Table3[[#This Row],[Tickets]],)</f>
        <v>0</v>
      </c>
      <c r="K77" s="38">
        <f>Table3[[#This Row],[Revenue]]-Table3[[#This Row],[Payments]]</f>
        <v>17103591.742572002</v>
      </c>
      <c r="L77" s="37">
        <f>$L$70*'Data Entry'!$D$17</f>
        <v>50.677308866879997</v>
      </c>
      <c r="M77" s="38">
        <f>Table3[[#This Row],[Sales Tickets]]*Table3[[#This Row],[Ticket NS]]</f>
        <v>1520319.2660063999</v>
      </c>
      <c r="N77" s="38">
        <f>'Data Entry'!$D$7</f>
        <v>29000</v>
      </c>
      <c r="O77" s="38">
        <f>Table3[[#This Row],[Sales Forecast]]-Table3[[#This Row],[Capacity NS]]</f>
        <v>1525</v>
      </c>
      <c r="P77" s="38">
        <f>IF(Table3[[#This Row],[Seat Availibility NS]]&gt;0,Table3[[#This Row],[Seat Availibility NS]]*Table3[[#This Row],[Ticket NS]],)</f>
        <v>77282.896021991997</v>
      </c>
      <c r="Q77" s="38">
        <f>Table3[[#This Row],[Revenue NS]]</f>
        <v>1520319.2660063999</v>
      </c>
      <c r="R77" s="38"/>
      <c r="S77" s="38"/>
      <c r="T77" s="42"/>
      <c r="U77" s="57"/>
      <c r="V77" s="6"/>
      <c r="X77"/>
      <c r="Z77"/>
    </row>
    <row r="78" spans="2:26" x14ac:dyDescent="0.25">
      <c r="B78" s="7">
        <v>46966</v>
      </c>
      <c r="C78" s="37">
        <f>'Data Entry'!$E$27</f>
        <v>30000</v>
      </c>
      <c r="D78" s="38">
        <f>$D$70*'Data Entry'!$D$17</f>
        <v>63.346636083600004</v>
      </c>
      <c r="E78" s="39">
        <f>Table3[[#This Row],[Sales Tickets]]*Table3[[#This Row],[Tickets]]*'Data Entry'!$D$19</f>
        <v>17103591.742572002</v>
      </c>
      <c r="F78" s="34">
        <f>'Data Entry'!$D$27</f>
        <v>30525</v>
      </c>
      <c r="G78" s="38">
        <f>Table3[[#This Row],[Sales Forecast]]*Table3[[#This Row],[Tickets]]*'Data Entry'!$D$19</f>
        <v>17402904.598067012</v>
      </c>
      <c r="H78" s="38">
        <f>'Data Entry'!$D$9</f>
        <v>32000</v>
      </c>
      <c r="I78" s="38">
        <f>Table3[[#This Row],[Sales Forecast]]-Table3[[#This Row],[Capacity]]</f>
        <v>-1475</v>
      </c>
      <c r="J78" s="38">
        <f>IF(Table3[[#This Row],[Seat availibility]]&gt;0,Table3[[#This Row],[Seat availibility]]*Table3[[#This Row],[Tickets]],)</f>
        <v>0</v>
      </c>
      <c r="K78" s="38">
        <f>Table3[[#This Row],[Revenue]]-Table3[[#This Row],[Payments]]</f>
        <v>17103591.742572002</v>
      </c>
      <c r="L78" s="37">
        <f>$L$70*'Data Entry'!$D$17</f>
        <v>50.677308866879997</v>
      </c>
      <c r="M78" s="38">
        <f>Table3[[#This Row],[Sales Tickets]]*Table3[[#This Row],[Ticket NS]]</f>
        <v>1520319.2660063999</v>
      </c>
      <c r="N78" s="38">
        <f>'Data Entry'!$D$7</f>
        <v>29000</v>
      </c>
      <c r="O78" s="38">
        <f>Table3[[#This Row],[Sales Forecast]]-Table3[[#This Row],[Capacity NS]]</f>
        <v>1525</v>
      </c>
      <c r="P78" s="38">
        <f>IF(Table3[[#This Row],[Seat Availibility NS]]&gt;0,Table3[[#This Row],[Seat Availibility NS]]*Table3[[#This Row],[Ticket NS]],)</f>
        <v>77282.896021991997</v>
      </c>
      <c r="Q78" s="38">
        <f>Table3[[#This Row],[Revenue NS]]</f>
        <v>1520319.2660063999</v>
      </c>
      <c r="R78" s="38"/>
      <c r="S78" s="38"/>
      <c r="T78" s="42"/>
      <c r="U78" s="57"/>
      <c r="V78" s="6"/>
      <c r="X78"/>
      <c r="Z78"/>
    </row>
    <row r="79" spans="2:26" x14ac:dyDescent="0.25">
      <c r="B79" s="7">
        <v>46997</v>
      </c>
      <c r="C79" s="37">
        <f>'Data Entry'!$E$27</f>
        <v>30000</v>
      </c>
      <c r="D79" s="38">
        <f>$D$70*'Data Entry'!$D$17</f>
        <v>63.346636083600004</v>
      </c>
      <c r="E79" s="39">
        <f>Table3[[#This Row],[Sales Tickets]]*Table3[[#This Row],[Tickets]]*'Data Entry'!$D$19</f>
        <v>17103591.742572002</v>
      </c>
      <c r="F79" s="34">
        <f>'Data Entry'!$D$27</f>
        <v>30525</v>
      </c>
      <c r="G79" s="38">
        <f>Table3[[#This Row],[Sales Forecast]]*Table3[[#This Row],[Tickets]]*'Data Entry'!$D$19</f>
        <v>17402904.598067012</v>
      </c>
      <c r="H79" s="38">
        <f>'Data Entry'!$D$9</f>
        <v>32000</v>
      </c>
      <c r="I79" s="38">
        <f>Table3[[#This Row],[Sales Forecast]]-Table3[[#This Row],[Capacity]]</f>
        <v>-1475</v>
      </c>
      <c r="J79" s="38">
        <f>IF(Table3[[#This Row],[Seat availibility]]&gt;0,Table3[[#This Row],[Seat availibility]]*Table3[[#This Row],[Tickets]],)</f>
        <v>0</v>
      </c>
      <c r="K79" s="38">
        <f>Table3[[#This Row],[Revenue]]-Table3[[#This Row],[Payments]]</f>
        <v>17103591.742572002</v>
      </c>
      <c r="L79" s="37">
        <f>$L$70*'Data Entry'!$D$17</f>
        <v>50.677308866879997</v>
      </c>
      <c r="M79" s="38">
        <f>Table3[[#This Row],[Sales Tickets]]*Table3[[#This Row],[Ticket NS]]</f>
        <v>1520319.2660063999</v>
      </c>
      <c r="N79" s="38">
        <f>'Data Entry'!$D$7</f>
        <v>29000</v>
      </c>
      <c r="O79" s="38">
        <f>Table3[[#This Row],[Sales Forecast]]-Table3[[#This Row],[Capacity NS]]</f>
        <v>1525</v>
      </c>
      <c r="P79" s="38">
        <f>IF(Table3[[#This Row],[Seat Availibility NS]]&gt;0,Table3[[#This Row],[Seat Availibility NS]]*Table3[[#This Row],[Ticket NS]],)</f>
        <v>77282.896021991997</v>
      </c>
      <c r="Q79" s="38">
        <f>Table3[[#This Row],[Revenue NS]]</f>
        <v>1520319.2660063999</v>
      </c>
      <c r="R79" s="38"/>
      <c r="S79" s="38"/>
      <c r="T79" s="42"/>
      <c r="U79" s="57"/>
      <c r="V79" s="6"/>
      <c r="X79"/>
      <c r="Z79"/>
    </row>
    <row r="80" spans="2:26" x14ac:dyDescent="0.25">
      <c r="B80" s="7">
        <v>47027</v>
      </c>
      <c r="C80" s="37">
        <f>'Data Entry'!$E$27</f>
        <v>30000</v>
      </c>
      <c r="D80" s="38">
        <f>$D$70*'Data Entry'!$D$17</f>
        <v>63.346636083600004</v>
      </c>
      <c r="E80" s="39">
        <f>Table3[[#This Row],[Sales Tickets]]*Table3[[#This Row],[Tickets]]*'Data Entry'!$D$19</f>
        <v>17103591.742572002</v>
      </c>
      <c r="F80" s="34">
        <f>'Data Entry'!$D$27</f>
        <v>30525</v>
      </c>
      <c r="G80" s="38">
        <f>Table3[[#This Row],[Sales Forecast]]*Table3[[#This Row],[Tickets]]*'Data Entry'!$D$19</f>
        <v>17402904.598067012</v>
      </c>
      <c r="H80" s="38">
        <f>'Data Entry'!$D$9</f>
        <v>32000</v>
      </c>
      <c r="I80" s="38">
        <f>Table3[[#This Row],[Sales Forecast]]-Table3[[#This Row],[Capacity]]</f>
        <v>-1475</v>
      </c>
      <c r="J80" s="38">
        <f>IF(Table3[[#This Row],[Seat availibility]]&gt;0,Table3[[#This Row],[Seat availibility]]*Table3[[#This Row],[Tickets]],)</f>
        <v>0</v>
      </c>
      <c r="K80" s="38">
        <f>Table3[[#This Row],[Revenue]]-Table3[[#This Row],[Payments]]</f>
        <v>17103591.742572002</v>
      </c>
      <c r="L80" s="37">
        <f>$L$70*'Data Entry'!$D$17</f>
        <v>50.677308866879997</v>
      </c>
      <c r="M80" s="38">
        <f>Table3[[#This Row],[Sales Tickets]]*Table3[[#This Row],[Ticket NS]]</f>
        <v>1520319.2660063999</v>
      </c>
      <c r="N80" s="38">
        <f>'Data Entry'!$D$7</f>
        <v>29000</v>
      </c>
      <c r="O80" s="38">
        <f>Table3[[#This Row],[Sales Forecast]]-Table3[[#This Row],[Capacity NS]]</f>
        <v>1525</v>
      </c>
      <c r="P80" s="38">
        <f>IF(Table3[[#This Row],[Seat Availibility NS]]&gt;0,Table3[[#This Row],[Seat Availibility NS]]*Table3[[#This Row],[Ticket NS]],)</f>
        <v>77282.896021991997</v>
      </c>
      <c r="Q80" s="38">
        <f>Table3[[#This Row],[Revenue NS]]</f>
        <v>1520319.2660063999</v>
      </c>
      <c r="R80" s="38"/>
      <c r="S80" s="38"/>
      <c r="T80" s="42"/>
      <c r="U80" s="57"/>
      <c r="V80" s="6"/>
      <c r="X80"/>
      <c r="Z80"/>
    </row>
    <row r="81" spans="2:26" x14ac:dyDescent="0.25">
      <c r="B81" s="7">
        <v>47058</v>
      </c>
      <c r="C81" s="37">
        <f>'Data Entry'!$E$27</f>
        <v>30000</v>
      </c>
      <c r="D81" s="38">
        <f>$D$70*'Data Entry'!$D$17</f>
        <v>63.346636083600004</v>
      </c>
      <c r="E81" s="39">
        <f>Table3[[#This Row],[Sales Tickets]]*Table3[[#This Row],[Tickets]]*'Data Entry'!$D$19</f>
        <v>17103591.742572002</v>
      </c>
      <c r="F81" s="34">
        <f>'Data Entry'!$D$27</f>
        <v>30525</v>
      </c>
      <c r="G81" s="38">
        <f>Table3[[#This Row],[Sales Forecast]]*Table3[[#This Row],[Tickets]]*'Data Entry'!$D$19</f>
        <v>17402904.598067012</v>
      </c>
      <c r="H81" s="38">
        <f>'Data Entry'!$D$9</f>
        <v>32000</v>
      </c>
      <c r="I81" s="38">
        <f>Table3[[#This Row],[Sales Forecast]]-Table3[[#This Row],[Capacity]]</f>
        <v>-1475</v>
      </c>
      <c r="J81" s="38">
        <f>IF(Table3[[#This Row],[Seat availibility]]&gt;0,Table3[[#This Row],[Seat availibility]]*Table3[[#This Row],[Tickets]],)</f>
        <v>0</v>
      </c>
      <c r="K81" s="38">
        <f>Table3[[#This Row],[Revenue]]-Table3[[#This Row],[Payments]]</f>
        <v>17103591.742572002</v>
      </c>
      <c r="L81" s="37">
        <f>$L$70*'Data Entry'!$D$17</f>
        <v>50.677308866879997</v>
      </c>
      <c r="M81" s="38">
        <f>Table3[[#This Row],[Sales Tickets]]*Table3[[#This Row],[Ticket NS]]</f>
        <v>1520319.2660063999</v>
      </c>
      <c r="N81" s="38">
        <f>'Data Entry'!$D$7</f>
        <v>29000</v>
      </c>
      <c r="O81" s="38">
        <f>Table3[[#This Row],[Sales Forecast]]-Table3[[#This Row],[Capacity NS]]</f>
        <v>1525</v>
      </c>
      <c r="P81" s="38">
        <f>IF(Table3[[#This Row],[Seat Availibility NS]]&gt;0,Table3[[#This Row],[Seat Availibility NS]]*Table3[[#This Row],[Ticket NS]],)</f>
        <v>77282.896021991997</v>
      </c>
      <c r="Q81" s="38">
        <f>Table3[[#This Row],[Revenue NS]]</f>
        <v>1520319.2660063999</v>
      </c>
      <c r="R81" s="38"/>
      <c r="S81" s="38"/>
      <c r="T81" s="42"/>
      <c r="U81" s="57"/>
      <c r="V81" s="6"/>
      <c r="X81"/>
      <c r="Z81"/>
    </row>
    <row r="82" spans="2:26" x14ac:dyDescent="0.25">
      <c r="B82" s="7">
        <v>47088</v>
      </c>
      <c r="C82" s="37">
        <v>0</v>
      </c>
      <c r="D82" s="38">
        <f>$D$70*'Data Entry'!$D$17</f>
        <v>63.346636083600004</v>
      </c>
      <c r="E82" s="39">
        <v>0</v>
      </c>
      <c r="F82" s="38">
        <v>0</v>
      </c>
      <c r="G82" s="38">
        <f>Table3[[#This Row],[Sales Forecast]]*Table3[[#This Row],[Tickets]]</f>
        <v>0</v>
      </c>
      <c r="H82" s="38">
        <f>'Data Entry'!$D$9</f>
        <v>32000</v>
      </c>
      <c r="I82" s="38">
        <f>Table3[[#This Row],[Sales Forecast]]*Table3[[#This Row],[Tickets]]</f>
        <v>0</v>
      </c>
      <c r="J82" s="38">
        <f>IF(Table3[[#This Row],[Seat availibility]]&gt;0,Table3[[#This Row],[Seat availibility]]*Table3[[#This Row],[Tickets]],)</f>
        <v>0</v>
      </c>
      <c r="K82" s="38">
        <f>Table3[[#This Row],[Revenue]]-Table3[[#This Row],[Payments]]</f>
        <v>0</v>
      </c>
      <c r="L82" s="37">
        <f>$L$70*'Data Entry'!$D$17</f>
        <v>50.677308866879997</v>
      </c>
      <c r="M82" s="38">
        <f>Table3[[#This Row],[Sales Tickets]]*Table3[[#This Row],[Ticket NS]]</f>
        <v>0</v>
      </c>
      <c r="N82" s="38">
        <f>'Data Entry'!$D$7</f>
        <v>29000</v>
      </c>
      <c r="O82" s="38">
        <f>Table3[[#This Row],[Sales Forecast]]-Table3[[#This Row],[Capacity NS]]</f>
        <v>-29000</v>
      </c>
      <c r="P82" s="38">
        <f>IF(Table3[[#This Row],[Seat Availibility NS]]&gt;0,Table3[[#This Row],[Seat Availibility NS]]*Table3[[#This Row],[Ticket NS]],)</f>
        <v>0</v>
      </c>
      <c r="Q82" s="38">
        <f>Table3[[#This Row],[Revenue NS]]</f>
        <v>0</v>
      </c>
      <c r="R82" s="38">
        <f>NPV('Data Entry'!$D$42/12,K72:K82)+K71</f>
        <v>126265735.76287274</v>
      </c>
      <c r="S82" s="38">
        <f>NPV('Data Entry'!D102/12,Q72:Q82)+Q71</f>
        <v>12162554.128051199</v>
      </c>
      <c r="T82" s="42"/>
      <c r="U82" s="57"/>
      <c r="V82" s="6"/>
      <c r="X82"/>
      <c r="Z82"/>
    </row>
    <row r="83" spans="2:26" x14ac:dyDescent="0.25">
      <c r="B83" s="7">
        <v>47119</v>
      </c>
      <c r="C83" s="43">
        <v>0</v>
      </c>
      <c r="D83" s="38">
        <f>$D$82*'Data Entry'!$D$17</f>
        <v>64.61356880527201</v>
      </c>
      <c r="E83" s="35">
        <v>0</v>
      </c>
      <c r="F83" s="34">
        <v>0</v>
      </c>
      <c r="G83" s="38">
        <f>Table3[[#This Row],[Sales Forecast]]*Table3[[#This Row],[Tickets]]</f>
        <v>0</v>
      </c>
      <c r="H83" s="38">
        <f>'Data Entry'!$D$9</f>
        <v>32000</v>
      </c>
      <c r="I83" s="38">
        <f>Table3[[#This Row],[Sales Forecast]]*Table3[[#This Row],[Tickets]]</f>
        <v>0</v>
      </c>
      <c r="J83" s="38">
        <f>IF(Table3[[#This Row],[Seat availibility]]&gt;0,Table3[[#This Row],[Seat availibility]]*Table3[[#This Row],[Tickets]],)</f>
        <v>0</v>
      </c>
      <c r="K83" s="38">
        <f>Table3[[#This Row],[Revenue]]-Table3[[#This Row],[Payments]]</f>
        <v>0</v>
      </c>
      <c r="L83" s="37">
        <f>$L$82*'Data Entry'!$D$17</f>
        <v>51.690855044217599</v>
      </c>
      <c r="M83" s="38">
        <f>Table3[[#This Row],[Sales Tickets]]*Table3[[#This Row],[Ticket NS]]</f>
        <v>0</v>
      </c>
      <c r="N83" s="38">
        <f>'Data Entry'!$D$7</f>
        <v>29000</v>
      </c>
      <c r="O83" s="38">
        <f>Table3[[#This Row],[Sales Forecast]]-Table3[[#This Row],[Capacity NS]]</f>
        <v>-29000</v>
      </c>
      <c r="P83" s="38">
        <f>IF(Table3[[#This Row],[Seat Availibility NS]]&gt;0,Table3[[#This Row],[Seat Availibility NS]]*Table3[[#This Row],[Ticket NS]],)</f>
        <v>0</v>
      </c>
      <c r="Q83" s="38">
        <f>Table3[[#This Row],[Revenue NS]]</f>
        <v>0</v>
      </c>
      <c r="R83" s="38"/>
      <c r="S83" s="38"/>
      <c r="T83" s="44"/>
      <c r="U83" s="56"/>
      <c r="V83" s="6"/>
      <c r="X83"/>
      <c r="Z83"/>
    </row>
    <row r="84" spans="2:26" x14ac:dyDescent="0.25">
      <c r="B84" s="7">
        <v>47150</v>
      </c>
      <c r="C84" s="43">
        <v>0</v>
      </c>
      <c r="D84" s="38">
        <f>$D$82*'Data Entry'!$D$17</f>
        <v>64.61356880527201</v>
      </c>
      <c r="E84" s="35">
        <v>0</v>
      </c>
      <c r="F84" s="34">
        <v>0</v>
      </c>
      <c r="G84" s="38">
        <f>Table3[[#This Row],[Sales Forecast]]*Table3[[#This Row],[Tickets]]</f>
        <v>0</v>
      </c>
      <c r="H84" s="38">
        <f>'Data Entry'!$D$9</f>
        <v>32000</v>
      </c>
      <c r="I84" s="38">
        <f>Table3[[#This Row],[Sales Forecast]]*Table3[[#This Row],[Tickets]]</f>
        <v>0</v>
      </c>
      <c r="J84" s="38">
        <f>IF(Table3[[#This Row],[Seat availibility]]&gt;0,Table3[[#This Row],[Seat availibility]]*Table3[[#This Row],[Tickets]],)</f>
        <v>0</v>
      </c>
      <c r="K84" s="38">
        <f>Table3[[#This Row],[Revenue]]-Table3[[#This Row],[Payments]]</f>
        <v>0</v>
      </c>
      <c r="L84" s="37">
        <f>$L$82*'Data Entry'!$D$17</f>
        <v>51.690855044217599</v>
      </c>
      <c r="M84" s="38">
        <f>Table3[[#This Row],[Sales Tickets]]*Table3[[#This Row],[Ticket NS]]</f>
        <v>0</v>
      </c>
      <c r="N84" s="38">
        <f>'Data Entry'!$D$7</f>
        <v>29000</v>
      </c>
      <c r="O84" s="38">
        <f>Table3[[#This Row],[Sales Forecast]]-Table3[[#This Row],[Capacity NS]]</f>
        <v>-29000</v>
      </c>
      <c r="P84" s="38">
        <f>IF(Table3[[#This Row],[Seat Availibility NS]]&gt;0,Table3[[#This Row],[Seat Availibility NS]]*Table3[[#This Row],[Ticket NS]],)</f>
        <v>0</v>
      </c>
      <c r="Q84" s="38">
        <f>Table3[[#This Row],[Revenue NS]]</f>
        <v>0</v>
      </c>
      <c r="R84" s="38"/>
      <c r="S84" s="38"/>
      <c r="T84" s="44"/>
      <c r="U84" s="56"/>
      <c r="V84" s="6"/>
      <c r="X84"/>
      <c r="Z84"/>
    </row>
    <row r="85" spans="2:26" x14ac:dyDescent="0.25">
      <c r="B85" s="7">
        <v>47178</v>
      </c>
      <c r="C85" s="43">
        <v>0</v>
      </c>
      <c r="D85" s="38">
        <f>$D$82*'Data Entry'!$D$17</f>
        <v>64.61356880527201</v>
      </c>
      <c r="E85" s="35">
        <v>0</v>
      </c>
      <c r="F85" s="34">
        <v>0</v>
      </c>
      <c r="G85" s="38">
        <f>Table3[[#This Row],[Sales Forecast]]*Table3[[#This Row],[Tickets]]</f>
        <v>0</v>
      </c>
      <c r="H85" s="38">
        <f>'Data Entry'!$D$9</f>
        <v>32000</v>
      </c>
      <c r="I85" s="38">
        <f>Table3[[#This Row],[Sales Forecast]]*Table3[[#This Row],[Tickets]]</f>
        <v>0</v>
      </c>
      <c r="J85" s="38">
        <f>IF(Table3[[#This Row],[Seat availibility]]&gt;0,Table3[[#This Row],[Seat availibility]]*Table3[[#This Row],[Tickets]],)</f>
        <v>0</v>
      </c>
      <c r="K85" s="38">
        <f>Table3[[#This Row],[Revenue]]-Table3[[#This Row],[Payments]]</f>
        <v>0</v>
      </c>
      <c r="L85" s="37">
        <f>$L$82*'Data Entry'!$D$17</f>
        <v>51.690855044217599</v>
      </c>
      <c r="M85" s="38">
        <f>Table3[[#This Row],[Sales Tickets]]*Table3[[#This Row],[Ticket NS]]</f>
        <v>0</v>
      </c>
      <c r="N85" s="38">
        <f>'Data Entry'!$D$7</f>
        <v>29000</v>
      </c>
      <c r="O85" s="38">
        <f>Table3[[#This Row],[Sales Forecast]]-Table3[[#This Row],[Capacity NS]]</f>
        <v>-29000</v>
      </c>
      <c r="P85" s="38">
        <f>IF(Table3[[#This Row],[Seat Availibility NS]]&gt;0,Table3[[#This Row],[Seat Availibility NS]]*Table3[[#This Row],[Ticket NS]],)</f>
        <v>0</v>
      </c>
      <c r="Q85" s="38">
        <f>Table3[[#This Row],[Revenue NS]]</f>
        <v>0</v>
      </c>
      <c r="R85" s="38"/>
      <c r="S85" s="38"/>
      <c r="T85" s="44"/>
      <c r="U85" s="56"/>
      <c r="V85" s="6"/>
      <c r="X85"/>
      <c r="Z85"/>
    </row>
    <row r="86" spans="2:26" x14ac:dyDescent="0.25">
      <c r="B86" s="7">
        <v>47209</v>
      </c>
      <c r="C86" s="37">
        <f>'Data Entry'!$E$28</f>
        <v>30000</v>
      </c>
      <c r="D86" s="38">
        <f>$D$82*'Data Entry'!$D$17</f>
        <v>64.61356880527201</v>
      </c>
      <c r="E86" s="39">
        <f>Table3[[#This Row],[Sales Tickets]]*Table3[[#This Row],[Tickets]]*'Data Entry'!$D$19</f>
        <v>17445663.577423442</v>
      </c>
      <c r="F86" s="34">
        <f>'Data Entry'!$D$28</f>
        <v>31440</v>
      </c>
      <c r="G86" s="38">
        <f>Table3[[#This Row],[Sales Forecast]]*Table3[[#This Row],[Tickets]]*'Data Entry'!$D$19</f>
        <v>18283055.429139771</v>
      </c>
      <c r="H86" s="38">
        <f>'Data Entry'!$D$9</f>
        <v>32000</v>
      </c>
      <c r="I86" s="38">
        <f>Table3[[#This Row],[Sales Forecast]]-Table3[[#This Row],[Capacity]]</f>
        <v>-560</v>
      </c>
      <c r="J86" s="38">
        <f>IF(Table3[[#This Row],[Seat availibility]]&gt;0,Table3[[#This Row],[Seat availibility]]*Table3[[#This Row],[Tickets]],)</f>
        <v>0</v>
      </c>
      <c r="K86" s="38">
        <f>Table3[[#This Row],[Revenue]]-Table3[[#This Row],[Payments]]</f>
        <v>17445663.577423442</v>
      </c>
      <c r="L86" s="37">
        <f>$L$82*'Data Entry'!$D$17</f>
        <v>51.690855044217599</v>
      </c>
      <c r="M86" s="38">
        <f>Table3[[#This Row],[Sales Tickets]]*Table3[[#This Row],[Ticket NS]]</f>
        <v>1550725.6513265281</v>
      </c>
      <c r="N86" s="38">
        <f>'Data Entry'!$D$7</f>
        <v>29000</v>
      </c>
      <c r="O86" s="38">
        <f>Table3[[#This Row],[Sales Forecast]]-Table3[[#This Row],[Capacity NS]]</f>
        <v>2440</v>
      </c>
      <c r="P86" s="38">
        <f>IF(Table3[[#This Row],[Seat Availibility NS]]&gt;0,Table3[[#This Row],[Seat Availibility NS]]*Table3[[#This Row],[Ticket NS]],)</f>
        <v>126125.68630789094</v>
      </c>
      <c r="Q86" s="38">
        <f>Table3[[#This Row],[Revenue NS]]</f>
        <v>1550725.6513265281</v>
      </c>
      <c r="R86" s="38"/>
      <c r="S86" s="38"/>
      <c r="T86" s="42"/>
      <c r="U86" s="57"/>
      <c r="V86" s="6"/>
      <c r="X86"/>
      <c r="Z86"/>
    </row>
    <row r="87" spans="2:26" x14ac:dyDescent="0.25">
      <c r="B87" s="7">
        <v>47239</v>
      </c>
      <c r="C87" s="37">
        <f>'Data Entry'!$E$28</f>
        <v>30000</v>
      </c>
      <c r="D87" s="38">
        <f>$D$82*'Data Entry'!$D$17</f>
        <v>64.61356880527201</v>
      </c>
      <c r="E87" s="39">
        <f>Table3[[#This Row],[Sales Tickets]]*Table3[[#This Row],[Tickets]]*'Data Entry'!$D$19</f>
        <v>17445663.577423442</v>
      </c>
      <c r="F87" s="34">
        <f>'Data Entry'!$D$28</f>
        <v>31440</v>
      </c>
      <c r="G87" s="38">
        <f>Table3[[#This Row],[Sales Forecast]]*Table3[[#This Row],[Tickets]]*'Data Entry'!$D$19</f>
        <v>18283055.429139771</v>
      </c>
      <c r="H87" s="38">
        <f>'Data Entry'!$D$9</f>
        <v>32000</v>
      </c>
      <c r="I87" s="38">
        <f>Table3[[#This Row],[Sales Forecast]]-Table3[[#This Row],[Capacity]]</f>
        <v>-560</v>
      </c>
      <c r="J87" s="38">
        <f>IF(Table3[[#This Row],[Seat availibility]]&gt;0,Table3[[#This Row],[Seat availibility]]*Table3[[#This Row],[Tickets]],)</f>
        <v>0</v>
      </c>
      <c r="K87" s="38">
        <f>Table3[[#This Row],[Revenue]]-Table3[[#This Row],[Payments]]</f>
        <v>17445663.577423442</v>
      </c>
      <c r="L87" s="37">
        <f>$L$82*'Data Entry'!$D$17</f>
        <v>51.690855044217599</v>
      </c>
      <c r="M87" s="38">
        <f>Table3[[#This Row],[Sales Tickets]]*Table3[[#This Row],[Ticket NS]]</f>
        <v>1550725.6513265281</v>
      </c>
      <c r="N87" s="38">
        <f>'Data Entry'!$D$7</f>
        <v>29000</v>
      </c>
      <c r="O87" s="38">
        <f>Table3[[#This Row],[Sales Forecast]]-Table3[[#This Row],[Capacity NS]]</f>
        <v>2440</v>
      </c>
      <c r="P87" s="38">
        <f>IF(Table3[[#This Row],[Seat Availibility NS]]&gt;0,Table3[[#This Row],[Seat Availibility NS]]*Table3[[#This Row],[Ticket NS]],)</f>
        <v>126125.68630789094</v>
      </c>
      <c r="Q87" s="38">
        <f>Table3[[#This Row],[Revenue NS]]</f>
        <v>1550725.6513265281</v>
      </c>
      <c r="R87" s="38"/>
      <c r="S87" s="38"/>
      <c r="T87" s="42"/>
      <c r="U87" s="57"/>
      <c r="V87" s="6"/>
      <c r="X87"/>
      <c r="Z87"/>
    </row>
    <row r="88" spans="2:26" x14ac:dyDescent="0.25">
      <c r="B88" s="7">
        <v>47270</v>
      </c>
      <c r="C88" s="37">
        <f>'Data Entry'!$E$28</f>
        <v>30000</v>
      </c>
      <c r="D88" s="38">
        <f>$D$82*'Data Entry'!$D$17</f>
        <v>64.61356880527201</v>
      </c>
      <c r="E88" s="39">
        <f>Table3[[#This Row],[Sales Tickets]]*Table3[[#This Row],[Tickets]]*'Data Entry'!$D$19</f>
        <v>17445663.577423442</v>
      </c>
      <c r="F88" s="34">
        <f>'Data Entry'!$D$28</f>
        <v>31440</v>
      </c>
      <c r="G88" s="38">
        <f>Table3[[#This Row],[Sales Forecast]]*Table3[[#This Row],[Tickets]]*'Data Entry'!$D$19</f>
        <v>18283055.429139771</v>
      </c>
      <c r="H88" s="38">
        <f>'Data Entry'!$D$9</f>
        <v>32000</v>
      </c>
      <c r="I88" s="38">
        <f>Table3[[#This Row],[Sales Forecast]]-Table3[[#This Row],[Capacity]]</f>
        <v>-560</v>
      </c>
      <c r="J88" s="38">
        <f>IF(Table3[[#This Row],[Seat availibility]]&gt;0,Table3[[#This Row],[Seat availibility]]*Table3[[#This Row],[Tickets]],)</f>
        <v>0</v>
      </c>
      <c r="K88" s="38">
        <f>Table3[[#This Row],[Revenue]]-Table3[[#This Row],[Payments]]</f>
        <v>17445663.577423442</v>
      </c>
      <c r="L88" s="37">
        <f>$L$82*'Data Entry'!$D$17</f>
        <v>51.690855044217599</v>
      </c>
      <c r="M88" s="38">
        <f>Table3[[#This Row],[Sales Tickets]]*Table3[[#This Row],[Ticket NS]]</f>
        <v>1550725.6513265281</v>
      </c>
      <c r="N88" s="38">
        <f>'Data Entry'!$D$7</f>
        <v>29000</v>
      </c>
      <c r="O88" s="38">
        <f>Table3[[#This Row],[Sales Forecast]]-Table3[[#This Row],[Capacity NS]]</f>
        <v>2440</v>
      </c>
      <c r="P88" s="38">
        <f>IF(Table3[[#This Row],[Seat Availibility NS]]&gt;0,Table3[[#This Row],[Seat Availibility NS]]*Table3[[#This Row],[Ticket NS]],)</f>
        <v>126125.68630789094</v>
      </c>
      <c r="Q88" s="38">
        <f>Table3[[#This Row],[Revenue NS]]</f>
        <v>1550725.6513265281</v>
      </c>
      <c r="R88" s="38"/>
      <c r="S88" s="38"/>
      <c r="T88" s="42"/>
      <c r="U88" s="57"/>
      <c r="V88" s="6"/>
      <c r="X88"/>
      <c r="Z88"/>
    </row>
    <row r="89" spans="2:26" x14ac:dyDescent="0.25">
      <c r="B89" s="7">
        <v>47300</v>
      </c>
      <c r="C89" s="37">
        <f>'Data Entry'!$E$28</f>
        <v>30000</v>
      </c>
      <c r="D89" s="38">
        <f>$D$82*'Data Entry'!$D$17</f>
        <v>64.61356880527201</v>
      </c>
      <c r="E89" s="39">
        <f>Table3[[#This Row],[Sales Tickets]]*Table3[[#This Row],[Tickets]]*'Data Entry'!$D$19</f>
        <v>17445663.577423442</v>
      </c>
      <c r="F89" s="34">
        <f>'Data Entry'!$D$28</f>
        <v>31440</v>
      </c>
      <c r="G89" s="38">
        <f>Table3[[#This Row],[Sales Forecast]]*Table3[[#This Row],[Tickets]]*'Data Entry'!$D$19</f>
        <v>18283055.429139771</v>
      </c>
      <c r="H89" s="38">
        <f>'Data Entry'!$D$9</f>
        <v>32000</v>
      </c>
      <c r="I89" s="38">
        <f>Table3[[#This Row],[Sales Forecast]]-Table3[[#This Row],[Capacity]]</f>
        <v>-560</v>
      </c>
      <c r="J89" s="38">
        <f>IF(Table3[[#This Row],[Seat availibility]]&gt;0,Table3[[#This Row],[Seat availibility]]*Table3[[#This Row],[Tickets]],)</f>
        <v>0</v>
      </c>
      <c r="K89" s="38">
        <f>Table3[[#This Row],[Revenue]]-Table3[[#This Row],[Payments]]</f>
        <v>17445663.577423442</v>
      </c>
      <c r="L89" s="37">
        <f>$L$82*'Data Entry'!$D$17</f>
        <v>51.690855044217599</v>
      </c>
      <c r="M89" s="38">
        <f>Table3[[#This Row],[Sales Tickets]]*Table3[[#This Row],[Ticket NS]]</f>
        <v>1550725.6513265281</v>
      </c>
      <c r="N89" s="38">
        <f>'Data Entry'!$D$7</f>
        <v>29000</v>
      </c>
      <c r="O89" s="38">
        <f>Table3[[#This Row],[Sales Forecast]]-Table3[[#This Row],[Capacity NS]]</f>
        <v>2440</v>
      </c>
      <c r="P89" s="38">
        <f>IF(Table3[[#This Row],[Seat Availibility NS]]&gt;0,Table3[[#This Row],[Seat Availibility NS]]*Table3[[#This Row],[Ticket NS]],)</f>
        <v>126125.68630789094</v>
      </c>
      <c r="Q89" s="38">
        <f>Table3[[#This Row],[Revenue NS]]</f>
        <v>1550725.6513265281</v>
      </c>
      <c r="R89" s="38"/>
      <c r="S89" s="38"/>
      <c r="T89" s="42"/>
      <c r="U89" s="57"/>
      <c r="V89" s="6"/>
      <c r="X89"/>
      <c r="Z89"/>
    </row>
    <row r="90" spans="2:26" x14ac:dyDescent="0.25">
      <c r="B90" s="7">
        <v>47331</v>
      </c>
      <c r="C90" s="37">
        <f>'Data Entry'!$E$28</f>
        <v>30000</v>
      </c>
      <c r="D90" s="38">
        <f>$D$82*'Data Entry'!$D$17</f>
        <v>64.61356880527201</v>
      </c>
      <c r="E90" s="39">
        <f>Table3[[#This Row],[Sales Tickets]]*Table3[[#This Row],[Tickets]]*'Data Entry'!$D$19</f>
        <v>17445663.577423442</v>
      </c>
      <c r="F90" s="34">
        <f>'Data Entry'!$D$28</f>
        <v>31440</v>
      </c>
      <c r="G90" s="38">
        <f>Table3[[#This Row],[Sales Forecast]]*Table3[[#This Row],[Tickets]]*'Data Entry'!$D$19</f>
        <v>18283055.429139771</v>
      </c>
      <c r="H90" s="38">
        <f>'Data Entry'!$D$9</f>
        <v>32000</v>
      </c>
      <c r="I90" s="38">
        <f>Table3[[#This Row],[Sales Forecast]]-Table3[[#This Row],[Capacity]]</f>
        <v>-560</v>
      </c>
      <c r="J90" s="38">
        <f>IF(Table3[[#This Row],[Seat availibility]]&gt;0,Table3[[#This Row],[Seat availibility]]*Table3[[#This Row],[Tickets]],)</f>
        <v>0</v>
      </c>
      <c r="K90" s="38">
        <f>Table3[[#This Row],[Revenue]]-Table3[[#This Row],[Payments]]</f>
        <v>17445663.577423442</v>
      </c>
      <c r="L90" s="37">
        <f>$L$82*'Data Entry'!$D$17</f>
        <v>51.690855044217599</v>
      </c>
      <c r="M90" s="38">
        <f>Table3[[#This Row],[Sales Tickets]]*Table3[[#This Row],[Ticket NS]]</f>
        <v>1550725.6513265281</v>
      </c>
      <c r="N90" s="38">
        <f>'Data Entry'!$D$7</f>
        <v>29000</v>
      </c>
      <c r="O90" s="38">
        <f>Table3[[#This Row],[Sales Forecast]]-Table3[[#This Row],[Capacity NS]]</f>
        <v>2440</v>
      </c>
      <c r="P90" s="38">
        <f>IF(Table3[[#This Row],[Seat Availibility NS]]&gt;0,Table3[[#This Row],[Seat Availibility NS]]*Table3[[#This Row],[Ticket NS]],)</f>
        <v>126125.68630789094</v>
      </c>
      <c r="Q90" s="38">
        <f>Table3[[#This Row],[Revenue NS]]</f>
        <v>1550725.6513265281</v>
      </c>
      <c r="R90" s="38"/>
      <c r="S90" s="38"/>
      <c r="T90" s="42"/>
      <c r="U90" s="57"/>
      <c r="V90" s="6"/>
      <c r="X90"/>
      <c r="Z90"/>
    </row>
    <row r="91" spans="2:26" x14ac:dyDescent="0.25">
      <c r="B91" s="7">
        <v>47362</v>
      </c>
      <c r="C91" s="37">
        <f>'Data Entry'!$E$28</f>
        <v>30000</v>
      </c>
      <c r="D91" s="38">
        <f>$D$82*'Data Entry'!$D$17</f>
        <v>64.61356880527201</v>
      </c>
      <c r="E91" s="39">
        <f>Table3[[#This Row],[Sales Tickets]]*Table3[[#This Row],[Tickets]]*'Data Entry'!$D$19</f>
        <v>17445663.577423442</v>
      </c>
      <c r="F91" s="34">
        <f>'Data Entry'!$D$28</f>
        <v>31440</v>
      </c>
      <c r="G91" s="38">
        <f>Table3[[#This Row],[Sales Forecast]]*Table3[[#This Row],[Tickets]]*'Data Entry'!$D$19</f>
        <v>18283055.429139771</v>
      </c>
      <c r="H91" s="38">
        <f>'Data Entry'!$D$9</f>
        <v>32000</v>
      </c>
      <c r="I91" s="38">
        <f>Table3[[#This Row],[Sales Forecast]]-Table3[[#This Row],[Capacity]]</f>
        <v>-560</v>
      </c>
      <c r="J91" s="38">
        <f>IF(Table3[[#This Row],[Seat availibility]]&gt;0,Table3[[#This Row],[Seat availibility]]*Table3[[#This Row],[Tickets]],)</f>
        <v>0</v>
      </c>
      <c r="K91" s="38">
        <f>Table3[[#This Row],[Revenue]]-Table3[[#This Row],[Payments]]</f>
        <v>17445663.577423442</v>
      </c>
      <c r="L91" s="37">
        <f>$L$82*'Data Entry'!$D$17</f>
        <v>51.690855044217599</v>
      </c>
      <c r="M91" s="38">
        <f>Table3[[#This Row],[Sales Tickets]]*Table3[[#This Row],[Ticket NS]]</f>
        <v>1550725.6513265281</v>
      </c>
      <c r="N91" s="38">
        <f>'Data Entry'!$D$7</f>
        <v>29000</v>
      </c>
      <c r="O91" s="38">
        <f>Table3[[#This Row],[Sales Forecast]]-Table3[[#This Row],[Capacity NS]]</f>
        <v>2440</v>
      </c>
      <c r="P91" s="38">
        <f>IF(Table3[[#This Row],[Seat Availibility NS]]&gt;0,Table3[[#This Row],[Seat Availibility NS]]*Table3[[#This Row],[Ticket NS]],)</f>
        <v>126125.68630789094</v>
      </c>
      <c r="Q91" s="38">
        <f>Table3[[#This Row],[Revenue NS]]</f>
        <v>1550725.6513265281</v>
      </c>
      <c r="R91" s="38"/>
      <c r="S91" s="38"/>
      <c r="T91" s="42"/>
      <c r="U91" s="57"/>
      <c r="V91" s="6"/>
      <c r="X91"/>
      <c r="Z91"/>
    </row>
    <row r="92" spans="2:26" x14ac:dyDescent="0.25">
      <c r="B92" s="7">
        <v>47392</v>
      </c>
      <c r="C92" s="37">
        <f>'Data Entry'!$E$28</f>
        <v>30000</v>
      </c>
      <c r="D92" s="38">
        <f>$D$82*'Data Entry'!$D$17</f>
        <v>64.61356880527201</v>
      </c>
      <c r="E92" s="39">
        <f>Table3[[#This Row],[Sales Tickets]]*Table3[[#This Row],[Tickets]]*'Data Entry'!$D$19</f>
        <v>17445663.577423442</v>
      </c>
      <c r="F92" s="34">
        <f>'Data Entry'!$D$28</f>
        <v>31440</v>
      </c>
      <c r="G92" s="38">
        <f>Table3[[#This Row],[Sales Forecast]]*Table3[[#This Row],[Tickets]]*'Data Entry'!$D$19</f>
        <v>18283055.429139771</v>
      </c>
      <c r="H92" s="38">
        <f>'Data Entry'!$D$9</f>
        <v>32000</v>
      </c>
      <c r="I92" s="38">
        <f>Table3[[#This Row],[Sales Forecast]]-Table3[[#This Row],[Capacity]]</f>
        <v>-560</v>
      </c>
      <c r="J92" s="38">
        <f>IF(Table3[[#This Row],[Seat availibility]]&gt;0,Table3[[#This Row],[Seat availibility]]*Table3[[#This Row],[Tickets]],)</f>
        <v>0</v>
      </c>
      <c r="K92" s="38">
        <f>Table3[[#This Row],[Revenue]]-Table3[[#This Row],[Payments]]</f>
        <v>17445663.577423442</v>
      </c>
      <c r="L92" s="37">
        <f>$L$82*'Data Entry'!$D$17</f>
        <v>51.690855044217599</v>
      </c>
      <c r="M92" s="38">
        <f>Table3[[#This Row],[Sales Tickets]]*Table3[[#This Row],[Ticket NS]]</f>
        <v>1550725.6513265281</v>
      </c>
      <c r="N92" s="38">
        <f>'Data Entry'!$D$7</f>
        <v>29000</v>
      </c>
      <c r="O92" s="38">
        <f>Table3[[#This Row],[Sales Forecast]]-Table3[[#This Row],[Capacity NS]]</f>
        <v>2440</v>
      </c>
      <c r="P92" s="38">
        <f>IF(Table3[[#This Row],[Seat Availibility NS]]&gt;0,Table3[[#This Row],[Seat Availibility NS]]*Table3[[#This Row],[Ticket NS]],)</f>
        <v>126125.68630789094</v>
      </c>
      <c r="Q92" s="38">
        <f>Table3[[#This Row],[Revenue NS]]</f>
        <v>1550725.6513265281</v>
      </c>
      <c r="R92" s="38"/>
      <c r="S92" s="38"/>
      <c r="T92" s="42"/>
      <c r="U92" s="57"/>
      <c r="V92" s="6"/>
      <c r="X92"/>
      <c r="Z92"/>
    </row>
    <row r="93" spans="2:26" x14ac:dyDescent="0.25">
      <c r="B93" s="7">
        <v>47423</v>
      </c>
      <c r="C93" s="37">
        <f>'Data Entry'!$E$28</f>
        <v>30000</v>
      </c>
      <c r="D93" s="38">
        <f>$D$82*'Data Entry'!$D$17</f>
        <v>64.61356880527201</v>
      </c>
      <c r="E93" s="39">
        <f>Table3[[#This Row],[Sales Tickets]]*Table3[[#This Row],[Tickets]]*'Data Entry'!$D$19</f>
        <v>17445663.577423442</v>
      </c>
      <c r="F93" s="34">
        <f>'Data Entry'!$D$28</f>
        <v>31440</v>
      </c>
      <c r="G93" s="38">
        <f>Table3[[#This Row],[Sales Forecast]]*Table3[[#This Row],[Tickets]]*'Data Entry'!$D$19</f>
        <v>18283055.429139771</v>
      </c>
      <c r="H93" s="38">
        <f>'Data Entry'!$D$9</f>
        <v>32000</v>
      </c>
      <c r="I93" s="38">
        <f>Table3[[#This Row],[Sales Forecast]]-Table3[[#This Row],[Capacity]]</f>
        <v>-560</v>
      </c>
      <c r="J93" s="38">
        <f>IF(Table3[[#This Row],[Seat availibility]]&gt;0,Table3[[#This Row],[Seat availibility]]*Table3[[#This Row],[Tickets]],)</f>
        <v>0</v>
      </c>
      <c r="K93" s="38">
        <f>Table3[[#This Row],[Revenue]]-Table3[[#This Row],[Payments]]</f>
        <v>17445663.577423442</v>
      </c>
      <c r="L93" s="37">
        <f>$L$82*'Data Entry'!$D$17</f>
        <v>51.690855044217599</v>
      </c>
      <c r="M93" s="38">
        <f>Table3[[#This Row],[Sales Tickets]]*Table3[[#This Row],[Ticket NS]]</f>
        <v>1550725.6513265281</v>
      </c>
      <c r="N93" s="38">
        <f>'Data Entry'!$D$7</f>
        <v>29000</v>
      </c>
      <c r="O93" s="38">
        <f>Table3[[#This Row],[Sales Forecast]]-Table3[[#This Row],[Capacity NS]]</f>
        <v>2440</v>
      </c>
      <c r="P93" s="38">
        <f>IF(Table3[[#This Row],[Seat Availibility NS]]&gt;0,Table3[[#This Row],[Seat Availibility NS]]*Table3[[#This Row],[Ticket NS]],)</f>
        <v>126125.68630789094</v>
      </c>
      <c r="Q93" s="38">
        <f>Table3[[#This Row],[Revenue NS]]</f>
        <v>1550725.6513265281</v>
      </c>
      <c r="R93" s="38"/>
      <c r="S93" s="38"/>
      <c r="T93" s="42"/>
      <c r="U93" s="57"/>
      <c r="V93" s="6"/>
      <c r="X93"/>
      <c r="Z93"/>
    </row>
    <row r="94" spans="2:26" x14ac:dyDescent="0.25">
      <c r="B94" s="7">
        <v>47453</v>
      </c>
      <c r="C94" s="37">
        <v>0</v>
      </c>
      <c r="D94" s="38">
        <f>$D$82*'Data Entry'!$D$17</f>
        <v>64.61356880527201</v>
      </c>
      <c r="E94" s="39">
        <v>0</v>
      </c>
      <c r="F94" s="38">
        <v>0</v>
      </c>
      <c r="G94" s="38">
        <f>Table3[[#This Row],[Sales Forecast]]*Table3[[#This Row],[Tickets]]</f>
        <v>0</v>
      </c>
      <c r="H94" s="38">
        <f>'Data Entry'!$D$9</f>
        <v>32000</v>
      </c>
      <c r="I94" s="38">
        <f>Table3[[#This Row],[Sales Forecast]]*Table3[[#This Row],[Tickets]]</f>
        <v>0</v>
      </c>
      <c r="J94" s="38">
        <f>IF(Table3[[#This Row],[Seat availibility]]&gt;0,Table3[[#This Row],[Seat availibility]]*Table3[[#This Row],[Tickets]],)</f>
        <v>0</v>
      </c>
      <c r="K94" s="38">
        <f>Table3[[#This Row],[Revenue]]-Table3[[#This Row],[Payments]]</f>
        <v>0</v>
      </c>
      <c r="L94" s="37">
        <f>$L$82*'Data Entry'!$D$17</f>
        <v>51.690855044217599</v>
      </c>
      <c r="M94" s="38">
        <f>Table3[[#This Row],[Sales Tickets]]*Table3[[#This Row],[Ticket NS]]</f>
        <v>0</v>
      </c>
      <c r="N94" s="38">
        <f>'Data Entry'!$D$7</f>
        <v>29000</v>
      </c>
      <c r="O94" s="38">
        <f>Table3[[#This Row],[Sales Forecast]]-Table3[[#This Row],[Capacity NS]]</f>
        <v>-29000</v>
      </c>
      <c r="P94" s="38">
        <f>IF(Table3[[#This Row],[Seat Availibility NS]]&gt;0,Table3[[#This Row],[Seat Availibility NS]]*Table3[[#This Row],[Ticket NS]],)</f>
        <v>0</v>
      </c>
      <c r="Q94" s="38">
        <f>Table3[[#This Row],[Revenue NS]]</f>
        <v>0</v>
      </c>
      <c r="R94" s="38">
        <f>NPV('Data Entry'!$D$42/12,K84:K94)+K83</f>
        <v>128791050.47813022</v>
      </c>
      <c r="S94" s="38">
        <f>NPV('Data Entry'!D114/12,Q84:Q94)+Q83</f>
        <v>12405805.210612224</v>
      </c>
      <c r="T94" s="42"/>
      <c r="U94" s="57"/>
      <c r="V94" s="6"/>
      <c r="X94"/>
      <c r="Z94"/>
    </row>
    <row r="95" spans="2:26" x14ac:dyDescent="0.25">
      <c r="B95" s="7">
        <v>47484</v>
      </c>
      <c r="C95" s="43">
        <v>0</v>
      </c>
      <c r="D95" s="38">
        <f>$D$94*'Data Entry'!$D$17</f>
        <v>65.905840181377457</v>
      </c>
      <c r="E95" s="35">
        <v>0</v>
      </c>
      <c r="F95" s="34">
        <v>0</v>
      </c>
      <c r="G95" s="38">
        <f>Table3[[#This Row],[Sales Forecast]]*Table3[[#This Row],[Tickets]]</f>
        <v>0</v>
      </c>
      <c r="H95" s="38">
        <f>'Data Entry'!$D$9</f>
        <v>32000</v>
      </c>
      <c r="I95" s="38">
        <f>Table3[[#This Row],[Sales Forecast]]*Table3[[#This Row],[Tickets]]</f>
        <v>0</v>
      </c>
      <c r="J95" s="38">
        <f>IF(Table3[[#This Row],[Seat availibility]]&gt;0,Table3[[#This Row],[Seat availibility]]*Table3[[#This Row],[Tickets]],)</f>
        <v>0</v>
      </c>
      <c r="K95" s="38">
        <f>Table3[[#This Row],[Revenue]]-Table3[[#This Row],[Payments]]</f>
        <v>0</v>
      </c>
      <c r="L95" s="37">
        <f>$L$94*'Data Entry'!$D$17</f>
        <v>52.724672145101955</v>
      </c>
      <c r="M95" s="38">
        <f>Table3[[#This Row],[Sales Tickets]]*Table3[[#This Row],[Ticket NS]]</f>
        <v>0</v>
      </c>
      <c r="N95" s="38">
        <f>'Data Entry'!$D$7</f>
        <v>29000</v>
      </c>
      <c r="O95" s="38">
        <f>Table3[[#This Row],[Sales Forecast]]-Table3[[#This Row],[Capacity NS]]</f>
        <v>-29000</v>
      </c>
      <c r="P95" s="38">
        <f>IF(Table3[[#This Row],[Seat Availibility NS]]&gt;0,Table3[[#This Row],[Seat Availibility NS]]*Table3[[#This Row],[Ticket NS]],)</f>
        <v>0</v>
      </c>
      <c r="Q95" s="38">
        <f>Table3[[#This Row],[Revenue NS]]</f>
        <v>0</v>
      </c>
      <c r="R95" s="38"/>
      <c r="S95" s="38"/>
      <c r="T95" s="44"/>
      <c r="U95" s="56"/>
      <c r="V95" s="6"/>
      <c r="X95"/>
      <c r="Z95"/>
    </row>
    <row r="96" spans="2:26" x14ac:dyDescent="0.25">
      <c r="B96" s="7">
        <v>47515</v>
      </c>
      <c r="C96" s="43">
        <v>0</v>
      </c>
      <c r="D96" s="38">
        <f>$D$94*'Data Entry'!$D$17</f>
        <v>65.905840181377457</v>
      </c>
      <c r="E96" s="35">
        <v>0</v>
      </c>
      <c r="F96" s="34">
        <v>0</v>
      </c>
      <c r="G96" s="38">
        <f>Table3[[#This Row],[Sales Forecast]]*Table3[[#This Row],[Tickets]]</f>
        <v>0</v>
      </c>
      <c r="H96" s="38">
        <f>'Data Entry'!$D$9</f>
        <v>32000</v>
      </c>
      <c r="I96" s="38">
        <f>Table3[[#This Row],[Sales Forecast]]*Table3[[#This Row],[Tickets]]</f>
        <v>0</v>
      </c>
      <c r="J96" s="38">
        <f>IF(Table3[[#This Row],[Seat availibility]]&gt;0,Table3[[#This Row],[Seat availibility]]*Table3[[#This Row],[Tickets]],)</f>
        <v>0</v>
      </c>
      <c r="K96" s="38">
        <f>Table3[[#This Row],[Revenue]]-Table3[[#This Row],[Payments]]</f>
        <v>0</v>
      </c>
      <c r="L96" s="37">
        <f>$L$94*'Data Entry'!$D$17</f>
        <v>52.724672145101955</v>
      </c>
      <c r="M96" s="38">
        <f>Table3[[#This Row],[Sales Tickets]]*Table3[[#This Row],[Ticket NS]]</f>
        <v>0</v>
      </c>
      <c r="N96" s="38">
        <f>'Data Entry'!$D$7</f>
        <v>29000</v>
      </c>
      <c r="O96" s="38">
        <f>Table3[[#This Row],[Sales Forecast]]-Table3[[#This Row],[Capacity NS]]</f>
        <v>-29000</v>
      </c>
      <c r="P96" s="38">
        <f>IF(Table3[[#This Row],[Seat Availibility NS]]&gt;0,Table3[[#This Row],[Seat Availibility NS]]*Table3[[#This Row],[Ticket NS]],)</f>
        <v>0</v>
      </c>
      <c r="Q96" s="38">
        <f>Table3[[#This Row],[Revenue NS]]</f>
        <v>0</v>
      </c>
      <c r="R96" s="38"/>
      <c r="S96" s="38"/>
      <c r="T96" s="44"/>
      <c r="U96" s="56"/>
      <c r="V96" s="6"/>
      <c r="X96"/>
      <c r="Z96"/>
    </row>
    <row r="97" spans="2:26" x14ac:dyDescent="0.25">
      <c r="B97" s="7">
        <v>47543</v>
      </c>
      <c r="C97" s="43">
        <v>0</v>
      </c>
      <c r="D97" s="38">
        <f>$D$94*'Data Entry'!$D$17</f>
        <v>65.905840181377457</v>
      </c>
      <c r="E97" s="35">
        <v>0</v>
      </c>
      <c r="F97" s="34">
        <v>0</v>
      </c>
      <c r="G97" s="38">
        <f>Table3[[#This Row],[Sales Forecast]]*Table3[[#This Row],[Tickets]]</f>
        <v>0</v>
      </c>
      <c r="H97" s="38">
        <f>'Data Entry'!$D$9</f>
        <v>32000</v>
      </c>
      <c r="I97" s="38">
        <f>Table3[[#This Row],[Sales Forecast]]*Table3[[#This Row],[Tickets]]</f>
        <v>0</v>
      </c>
      <c r="J97" s="38">
        <f>IF(Table3[[#This Row],[Seat availibility]]&gt;0,Table3[[#This Row],[Seat availibility]]*Table3[[#This Row],[Tickets]],)</f>
        <v>0</v>
      </c>
      <c r="K97" s="38">
        <f>Table3[[#This Row],[Revenue]]-Table3[[#This Row],[Payments]]</f>
        <v>0</v>
      </c>
      <c r="L97" s="37">
        <f>$L$94*'Data Entry'!$D$17</f>
        <v>52.724672145101955</v>
      </c>
      <c r="M97" s="38">
        <f>Table3[[#This Row],[Sales Tickets]]*Table3[[#This Row],[Ticket NS]]</f>
        <v>0</v>
      </c>
      <c r="N97" s="38">
        <f>'Data Entry'!$D$7</f>
        <v>29000</v>
      </c>
      <c r="O97" s="38">
        <f>Table3[[#This Row],[Sales Forecast]]-Table3[[#This Row],[Capacity NS]]</f>
        <v>-29000</v>
      </c>
      <c r="P97" s="38">
        <f>IF(Table3[[#This Row],[Seat Availibility NS]]&gt;0,Table3[[#This Row],[Seat Availibility NS]]*Table3[[#This Row],[Ticket NS]],)</f>
        <v>0</v>
      </c>
      <c r="Q97" s="38">
        <f>Table3[[#This Row],[Revenue NS]]</f>
        <v>0</v>
      </c>
      <c r="R97" s="38"/>
      <c r="S97" s="38"/>
      <c r="T97" s="44"/>
      <c r="U97" s="56"/>
      <c r="V97" s="6"/>
      <c r="X97"/>
      <c r="Z97"/>
    </row>
    <row r="98" spans="2:26" x14ac:dyDescent="0.25">
      <c r="B98" s="7">
        <v>47574</v>
      </c>
      <c r="C98" s="37">
        <f>'Data Entry'!$E$29</f>
        <v>30000</v>
      </c>
      <c r="D98" s="38">
        <f>$D$94*'Data Entry'!$D$17</f>
        <v>65.905840181377457</v>
      </c>
      <c r="E98" s="39">
        <f>Table3[[#This Row],[Sales Tickets]]*Table3[[#This Row],[Tickets]]*'Data Entry'!$D$19</f>
        <v>17794576.848971914</v>
      </c>
      <c r="F98" s="34">
        <f>'Data Entry'!$D$29</f>
        <v>32384</v>
      </c>
      <c r="G98" s="38">
        <f>Table3[[#This Row],[Sales Forecast]]*Table3[[#This Row],[Tickets]]*'Data Entry'!$D$19</f>
        <v>19208652.55590355</v>
      </c>
      <c r="H98" s="38">
        <f>'Data Entry'!$D$9</f>
        <v>32000</v>
      </c>
      <c r="I98" s="38">
        <f>Table3[[#This Row],[Sales Forecast]]-Table3[[#This Row],[Capacity]]</f>
        <v>384</v>
      </c>
      <c r="J98" s="38">
        <f>IF(Table3[[#This Row],[Seat availibility]]&gt;0,Table3[[#This Row],[Seat availibility]]*Table3[[#This Row],[Tickets]],)</f>
        <v>25307.842629648942</v>
      </c>
      <c r="K98" s="38">
        <f>Table3[[#This Row],[Revenue]]-Table3[[#This Row],[Payments]]</f>
        <v>17794576.848971914</v>
      </c>
      <c r="L98" s="37">
        <f>$L$94*'Data Entry'!$D$17</f>
        <v>52.724672145101955</v>
      </c>
      <c r="M98" s="38">
        <f>Table3[[#This Row],[Sales Tickets]]*Table3[[#This Row],[Ticket NS]]</f>
        <v>1581740.1643530587</v>
      </c>
      <c r="N98" s="38">
        <f>'Data Entry'!$D$7</f>
        <v>29000</v>
      </c>
      <c r="O98" s="38">
        <f>Table3[[#This Row],[Sales Forecast]]-Table3[[#This Row],[Capacity NS]]</f>
        <v>3384</v>
      </c>
      <c r="P98" s="38">
        <f>IF(Table3[[#This Row],[Seat Availibility NS]]&gt;0,Table3[[#This Row],[Seat Availibility NS]]*Table3[[#This Row],[Ticket NS]],)</f>
        <v>178420.29053902501</v>
      </c>
      <c r="Q98" s="38">
        <f>Table3[[#This Row],[Revenue NS]]</f>
        <v>1581740.1643530587</v>
      </c>
      <c r="R98" s="38"/>
      <c r="S98" s="38"/>
      <c r="T98" s="42"/>
      <c r="U98" s="57"/>
      <c r="V98" s="6"/>
      <c r="X98"/>
      <c r="Z98"/>
    </row>
    <row r="99" spans="2:26" x14ac:dyDescent="0.25">
      <c r="B99" s="7">
        <v>47604</v>
      </c>
      <c r="C99" s="37">
        <f>'Data Entry'!$E$29</f>
        <v>30000</v>
      </c>
      <c r="D99" s="38">
        <f>$D$94*'Data Entry'!$D$17</f>
        <v>65.905840181377457</v>
      </c>
      <c r="E99" s="39">
        <f>Table3[[#This Row],[Sales Tickets]]*Table3[[#This Row],[Tickets]]*'Data Entry'!$D$19</f>
        <v>17794576.848971914</v>
      </c>
      <c r="F99" s="34">
        <f>'Data Entry'!$D$29</f>
        <v>32384</v>
      </c>
      <c r="G99" s="38">
        <f>Table3[[#This Row],[Sales Forecast]]*Table3[[#This Row],[Tickets]]*'Data Entry'!$D$19</f>
        <v>19208652.55590355</v>
      </c>
      <c r="H99" s="38">
        <f>'Data Entry'!$D$9</f>
        <v>32000</v>
      </c>
      <c r="I99" s="38">
        <f>Table3[[#This Row],[Sales Forecast]]-Table3[[#This Row],[Capacity]]</f>
        <v>384</v>
      </c>
      <c r="J99" s="38">
        <f>IF(Table3[[#This Row],[Seat availibility]]&gt;0,Table3[[#This Row],[Seat availibility]]*Table3[[#This Row],[Tickets]],)</f>
        <v>25307.842629648942</v>
      </c>
      <c r="K99" s="38">
        <f>Table3[[#This Row],[Revenue]]-Table3[[#This Row],[Payments]]</f>
        <v>17794576.848971914</v>
      </c>
      <c r="L99" s="37">
        <f>$L$94*'Data Entry'!$D$17</f>
        <v>52.724672145101955</v>
      </c>
      <c r="M99" s="38">
        <f>Table3[[#This Row],[Sales Tickets]]*Table3[[#This Row],[Ticket NS]]</f>
        <v>1581740.1643530587</v>
      </c>
      <c r="N99" s="38">
        <f>'Data Entry'!$D$7</f>
        <v>29000</v>
      </c>
      <c r="O99" s="38">
        <f>Table3[[#This Row],[Sales Forecast]]-Table3[[#This Row],[Capacity NS]]</f>
        <v>3384</v>
      </c>
      <c r="P99" s="38">
        <f>IF(Table3[[#This Row],[Seat Availibility NS]]&gt;0,Table3[[#This Row],[Seat Availibility NS]]*Table3[[#This Row],[Ticket NS]],)</f>
        <v>178420.29053902501</v>
      </c>
      <c r="Q99" s="38">
        <f>Table3[[#This Row],[Revenue NS]]</f>
        <v>1581740.1643530587</v>
      </c>
      <c r="R99" s="38"/>
      <c r="S99" s="38"/>
      <c r="T99" s="42"/>
      <c r="U99" s="57"/>
      <c r="V99" s="6"/>
      <c r="X99"/>
      <c r="Z99"/>
    </row>
    <row r="100" spans="2:26" x14ac:dyDescent="0.25">
      <c r="B100" s="7">
        <v>47635</v>
      </c>
      <c r="C100" s="37">
        <f>'Data Entry'!$E$29</f>
        <v>30000</v>
      </c>
      <c r="D100" s="38">
        <f>$D$94*'Data Entry'!$D$17</f>
        <v>65.905840181377457</v>
      </c>
      <c r="E100" s="39">
        <f>Table3[[#This Row],[Sales Tickets]]*Table3[[#This Row],[Tickets]]*'Data Entry'!$D$19</f>
        <v>17794576.848971914</v>
      </c>
      <c r="F100" s="34">
        <f>'Data Entry'!$D$29</f>
        <v>32384</v>
      </c>
      <c r="G100" s="38">
        <f>Table3[[#This Row],[Sales Forecast]]*Table3[[#This Row],[Tickets]]*'Data Entry'!$D$19</f>
        <v>19208652.55590355</v>
      </c>
      <c r="H100" s="38">
        <f>'Data Entry'!$D$9</f>
        <v>32000</v>
      </c>
      <c r="I100" s="38">
        <f>Table3[[#This Row],[Sales Forecast]]-Table3[[#This Row],[Capacity]]</f>
        <v>384</v>
      </c>
      <c r="J100" s="38">
        <f>IF(Table3[[#This Row],[Seat availibility]]&gt;0,Table3[[#This Row],[Seat availibility]]*Table3[[#This Row],[Tickets]],)</f>
        <v>25307.842629648942</v>
      </c>
      <c r="K100" s="38">
        <f>Table3[[#This Row],[Revenue]]-Table3[[#This Row],[Payments]]</f>
        <v>17794576.848971914</v>
      </c>
      <c r="L100" s="37">
        <f>$L$94*'Data Entry'!$D$17</f>
        <v>52.724672145101955</v>
      </c>
      <c r="M100" s="38">
        <f>Table3[[#This Row],[Sales Tickets]]*Table3[[#This Row],[Ticket NS]]</f>
        <v>1581740.1643530587</v>
      </c>
      <c r="N100" s="38">
        <f>'Data Entry'!$D$7</f>
        <v>29000</v>
      </c>
      <c r="O100" s="38">
        <f>Table3[[#This Row],[Sales Forecast]]-Table3[[#This Row],[Capacity NS]]</f>
        <v>3384</v>
      </c>
      <c r="P100" s="38">
        <f>IF(Table3[[#This Row],[Seat Availibility NS]]&gt;0,Table3[[#This Row],[Seat Availibility NS]]*Table3[[#This Row],[Ticket NS]],)</f>
        <v>178420.29053902501</v>
      </c>
      <c r="Q100" s="38">
        <f>Table3[[#This Row],[Revenue NS]]</f>
        <v>1581740.1643530587</v>
      </c>
      <c r="R100" s="38"/>
      <c r="S100" s="38"/>
      <c r="T100" s="42"/>
      <c r="U100" s="57"/>
      <c r="V100" s="6"/>
      <c r="X100"/>
      <c r="Z100"/>
    </row>
    <row r="101" spans="2:26" x14ac:dyDescent="0.25">
      <c r="B101" s="7">
        <v>47665</v>
      </c>
      <c r="C101" s="37">
        <f>'Data Entry'!$E$29</f>
        <v>30000</v>
      </c>
      <c r="D101" s="38">
        <f>$D$94*'Data Entry'!$D$17</f>
        <v>65.905840181377457</v>
      </c>
      <c r="E101" s="39">
        <f>Table3[[#This Row],[Sales Tickets]]*Table3[[#This Row],[Tickets]]*'Data Entry'!$D$19</f>
        <v>17794576.848971914</v>
      </c>
      <c r="F101" s="34">
        <f>'Data Entry'!$D$29</f>
        <v>32384</v>
      </c>
      <c r="G101" s="38">
        <f>Table3[[#This Row],[Sales Forecast]]*Table3[[#This Row],[Tickets]]*'Data Entry'!$D$19</f>
        <v>19208652.55590355</v>
      </c>
      <c r="H101" s="38">
        <f>'Data Entry'!$D$9</f>
        <v>32000</v>
      </c>
      <c r="I101" s="38">
        <f>Table3[[#This Row],[Sales Forecast]]-Table3[[#This Row],[Capacity]]</f>
        <v>384</v>
      </c>
      <c r="J101" s="38">
        <f>IF(Table3[[#This Row],[Seat availibility]]&gt;0,Table3[[#This Row],[Seat availibility]]*Table3[[#This Row],[Tickets]],)</f>
        <v>25307.842629648942</v>
      </c>
      <c r="K101" s="38">
        <f>Table3[[#This Row],[Revenue]]-Table3[[#This Row],[Payments]]</f>
        <v>17794576.848971914</v>
      </c>
      <c r="L101" s="37">
        <f>$L$94*'Data Entry'!$D$17</f>
        <v>52.724672145101955</v>
      </c>
      <c r="M101" s="38">
        <f>Table3[[#This Row],[Sales Tickets]]*Table3[[#This Row],[Ticket NS]]</f>
        <v>1581740.1643530587</v>
      </c>
      <c r="N101" s="38">
        <f>'Data Entry'!$D$7</f>
        <v>29000</v>
      </c>
      <c r="O101" s="38">
        <f>Table3[[#This Row],[Sales Forecast]]-Table3[[#This Row],[Capacity NS]]</f>
        <v>3384</v>
      </c>
      <c r="P101" s="38">
        <f>IF(Table3[[#This Row],[Seat Availibility NS]]&gt;0,Table3[[#This Row],[Seat Availibility NS]]*Table3[[#This Row],[Ticket NS]],)</f>
        <v>178420.29053902501</v>
      </c>
      <c r="Q101" s="38">
        <f>Table3[[#This Row],[Revenue NS]]</f>
        <v>1581740.1643530587</v>
      </c>
      <c r="R101" s="38"/>
      <c r="S101" s="38"/>
      <c r="T101" s="42"/>
      <c r="U101" s="57"/>
      <c r="V101" s="6"/>
      <c r="X101"/>
      <c r="Z101"/>
    </row>
    <row r="102" spans="2:26" x14ac:dyDescent="0.25">
      <c r="B102" s="7">
        <v>47696</v>
      </c>
      <c r="C102" s="37">
        <f>'Data Entry'!$E$29</f>
        <v>30000</v>
      </c>
      <c r="D102" s="38">
        <f>$D$94*'Data Entry'!$D$17</f>
        <v>65.905840181377457</v>
      </c>
      <c r="E102" s="39">
        <f>Table3[[#This Row],[Sales Tickets]]*Table3[[#This Row],[Tickets]]*'Data Entry'!$D$19</f>
        <v>17794576.848971914</v>
      </c>
      <c r="F102" s="34">
        <f>'Data Entry'!$D$29</f>
        <v>32384</v>
      </c>
      <c r="G102" s="38">
        <f>Table3[[#This Row],[Sales Forecast]]*Table3[[#This Row],[Tickets]]*'Data Entry'!$D$19</f>
        <v>19208652.55590355</v>
      </c>
      <c r="H102" s="38">
        <f>'Data Entry'!$D$9</f>
        <v>32000</v>
      </c>
      <c r="I102" s="38">
        <f>Table3[[#This Row],[Sales Forecast]]-Table3[[#This Row],[Capacity]]</f>
        <v>384</v>
      </c>
      <c r="J102" s="38">
        <f>IF(Table3[[#This Row],[Seat availibility]]&gt;0,Table3[[#This Row],[Seat availibility]]*Table3[[#This Row],[Tickets]],)</f>
        <v>25307.842629648942</v>
      </c>
      <c r="K102" s="38">
        <f>Table3[[#This Row],[Revenue]]-Table3[[#This Row],[Payments]]</f>
        <v>17794576.848971914</v>
      </c>
      <c r="L102" s="37">
        <f>$L$94*'Data Entry'!$D$17</f>
        <v>52.724672145101955</v>
      </c>
      <c r="M102" s="38">
        <f>Table3[[#This Row],[Sales Tickets]]*Table3[[#This Row],[Ticket NS]]</f>
        <v>1581740.1643530587</v>
      </c>
      <c r="N102" s="38">
        <f>'Data Entry'!$D$7</f>
        <v>29000</v>
      </c>
      <c r="O102" s="38">
        <f>Table3[[#This Row],[Sales Forecast]]-Table3[[#This Row],[Capacity NS]]</f>
        <v>3384</v>
      </c>
      <c r="P102" s="38">
        <f>IF(Table3[[#This Row],[Seat Availibility NS]]&gt;0,Table3[[#This Row],[Seat Availibility NS]]*Table3[[#This Row],[Ticket NS]],)</f>
        <v>178420.29053902501</v>
      </c>
      <c r="Q102" s="38">
        <f>Table3[[#This Row],[Revenue NS]]</f>
        <v>1581740.1643530587</v>
      </c>
      <c r="R102" s="38"/>
      <c r="S102" s="38"/>
      <c r="T102" s="42"/>
      <c r="U102" s="57"/>
      <c r="V102" s="6"/>
      <c r="X102"/>
      <c r="Z102"/>
    </row>
    <row r="103" spans="2:26" x14ac:dyDescent="0.25">
      <c r="B103" s="7">
        <v>47727</v>
      </c>
      <c r="C103" s="37">
        <f>'Data Entry'!$E$29</f>
        <v>30000</v>
      </c>
      <c r="D103" s="38">
        <f>$D$94*'Data Entry'!$D$17</f>
        <v>65.905840181377457</v>
      </c>
      <c r="E103" s="39">
        <f>Table3[[#This Row],[Sales Tickets]]*Table3[[#This Row],[Tickets]]*'Data Entry'!$D$19</f>
        <v>17794576.848971914</v>
      </c>
      <c r="F103" s="34">
        <f>'Data Entry'!$D$29</f>
        <v>32384</v>
      </c>
      <c r="G103" s="38">
        <f>Table3[[#This Row],[Sales Forecast]]*Table3[[#This Row],[Tickets]]*'Data Entry'!$D$19</f>
        <v>19208652.55590355</v>
      </c>
      <c r="H103" s="38">
        <f>'Data Entry'!$D$9</f>
        <v>32000</v>
      </c>
      <c r="I103" s="38">
        <f>Table3[[#This Row],[Sales Forecast]]-Table3[[#This Row],[Capacity]]</f>
        <v>384</v>
      </c>
      <c r="J103" s="38">
        <f>IF(Table3[[#This Row],[Seat availibility]]&gt;0,Table3[[#This Row],[Seat availibility]]*Table3[[#This Row],[Tickets]],)</f>
        <v>25307.842629648942</v>
      </c>
      <c r="K103" s="38">
        <f>Table3[[#This Row],[Revenue]]-Table3[[#This Row],[Payments]]</f>
        <v>17794576.848971914</v>
      </c>
      <c r="L103" s="37">
        <f>$L$94*'Data Entry'!$D$17</f>
        <v>52.724672145101955</v>
      </c>
      <c r="M103" s="38">
        <f>Table3[[#This Row],[Sales Tickets]]*Table3[[#This Row],[Ticket NS]]</f>
        <v>1581740.1643530587</v>
      </c>
      <c r="N103" s="38">
        <f>'Data Entry'!$D$7</f>
        <v>29000</v>
      </c>
      <c r="O103" s="38">
        <f>Table3[[#This Row],[Sales Forecast]]-Table3[[#This Row],[Capacity NS]]</f>
        <v>3384</v>
      </c>
      <c r="P103" s="38">
        <f>IF(Table3[[#This Row],[Seat Availibility NS]]&gt;0,Table3[[#This Row],[Seat Availibility NS]]*Table3[[#This Row],[Ticket NS]],)</f>
        <v>178420.29053902501</v>
      </c>
      <c r="Q103" s="38">
        <f>Table3[[#This Row],[Revenue NS]]</f>
        <v>1581740.1643530587</v>
      </c>
      <c r="R103" s="38"/>
      <c r="S103" s="38"/>
      <c r="T103" s="42"/>
      <c r="U103" s="57"/>
      <c r="V103" s="6"/>
      <c r="X103"/>
      <c r="Z103"/>
    </row>
    <row r="104" spans="2:26" x14ac:dyDescent="0.25">
      <c r="B104" s="7">
        <v>47757</v>
      </c>
      <c r="C104" s="37">
        <f>'Data Entry'!$E$29</f>
        <v>30000</v>
      </c>
      <c r="D104" s="38">
        <f>$D$94*'Data Entry'!$D$17</f>
        <v>65.905840181377457</v>
      </c>
      <c r="E104" s="39">
        <f>Table3[[#This Row],[Sales Tickets]]*Table3[[#This Row],[Tickets]]*'Data Entry'!$D$19</f>
        <v>17794576.848971914</v>
      </c>
      <c r="F104" s="34">
        <f>'Data Entry'!$D$29</f>
        <v>32384</v>
      </c>
      <c r="G104" s="38">
        <f>Table3[[#This Row],[Sales Forecast]]*Table3[[#This Row],[Tickets]]*'Data Entry'!$D$19</f>
        <v>19208652.55590355</v>
      </c>
      <c r="H104" s="38">
        <f>'Data Entry'!$D$9</f>
        <v>32000</v>
      </c>
      <c r="I104" s="38">
        <f>Table3[[#This Row],[Sales Forecast]]-Table3[[#This Row],[Capacity]]</f>
        <v>384</v>
      </c>
      <c r="J104" s="38">
        <f>IF(Table3[[#This Row],[Seat availibility]]&gt;0,Table3[[#This Row],[Seat availibility]]*Table3[[#This Row],[Tickets]],)</f>
        <v>25307.842629648942</v>
      </c>
      <c r="K104" s="38">
        <f>Table3[[#This Row],[Revenue]]-Table3[[#This Row],[Payments]]</f>
        <v>17794576.848971914</v>
      </c>
      <c r="L104" s="37">
        <f>$L$94*'Data Entry'!$D$17</f>
        <v>52.724672145101955</v>
      </c>
      <c r="M104" s="38">
        <f>Table3[[#This Row],[Sales Tickets]]*Table3[[#This Row],[Ticket NS]]</f>
        <v>1581740.1643530587</v>
      </c>
      <c r="N104" s="38">
        <f>'Data Entry'!$D$7</f>
        <v>29000</v>
      </c>
      <c r="O104" s="38">
        <f>Table3[[#This Row],[Sales Forecast]]-Table3[[#This Row],[Capacity NS]]</f>
        <v>3384</v>
      </c>
      <c r="P104" s="38">
        <f>IF(Table3[[#This Row],[Seat Availibility NS]]&gt;0,Table3[[#This Row],[Seat Availibility NS]]*Table3[[#This Row],[Ticket NS]],)</f>
        <v>178420.29053902501</v>
      </c>
      <c r="Q104" s="38">
        <f>Table3[[#This Row],[Revenue NS]]</f>
        <v>1581740.1643530587</v>
      </c>
      <c r="R104" s="38"/>
      <c r="S104" s="38"/>
      <c r="T104" s="42"/>
      <c r="U104" s="57"/>
      <c r="V104" s="6"/>
      <c r="X104"/>
      <c r="Z104"/>
    </row>
    <row r="105" spans="2:26" x14ac:dyDescent="0.25">
      <c r="B105" s="7">
        <v>47788</v>
      </c>
      <c r="C105" s="37">
        <f>'Data Entry'!$E$29</f>
        <v>30000</v>
      </c>
      <c r="D105" s="38">
        <f>$D$94*'Data Entry'!$D$17</f>
        <v>65.905840181377457</v>
      </c>
      <c r="E105" s="39">
        <f>Table3[[#This Row],[Sales Tickets]]*Table3[[#This Row],[Tickets]]*'Data Entry'!$D$19</f>
        <v>17794576.848971914</v>
      </c>
      <c r="F105" s="34">
        <f>'Data Entry'!$D$29</f>
        <v>32384</v>
      </c>
      <c r="G105" s="38">
        <f>Table3[[#This Row],[Sales Forecast]]*Table3[[#This Row],[Tickets]]*'Data Entry'!$D$19</f>
        <v>19208652.55590355</v>
      </c>
      <c r="H105" s="38">
        <f>'Data Entry'!$D$9</f>
        <v>32000</v>
      </c>
      <c r="I105" s="38">
        <f>Table3[[#This Row],[Sales Forecast]]-Table3[[#This Row],[Capacity]]</f>
        <v>384</v>
      </c>
      <c r="J105" s="38">
        <f>IF(Table3[[#This Row],[Seat availibility]]&gt;0,Table3[[#This Row],[Seat availibility]]*Table3[[#This Row],[Tickets]],)</f>
        <v>25307.842629648942</v>
      </c>
      <c r="K105" s="38">
        <f>Table3[[#This Row],[Revenue]]-Table3[[#This Row],[Payments]]</f>
        <v>17794576.848971914</v>
      </c>
      <c r="L105" s="37">
        <f>$L$94*'Data Entry'!$D$17</f>
        <v>52.724672145101955</v>
      </c>
      <c r="M105" s="38">
        <f>Table3[[#This Row],[Sales Tickets]]*Table3[[#This Row],[Ticket NS]]</f>
        <v>1581740.1643530587</v>
      </c>
      <c r="N105" s="38">
        <f>'Data Entry'!$D$7</f>
        <v>29000</v>
      </c>
      <c r="O105" s="38">
        <f>Table3[[#This Row],[Sales Forecast]]-Table3[[#This Row],[Capacity NS]]</f>
        <v>3384</v>
      </c>
      <c r="P105" s="38">
        <f>IF(Table3[[#This Row],[Seat Availibility NS]]&gt;0,Table3[[#This Row],[Seat Availibility NS]]*Table3[[#This Row],[Ticket NS]],)</f>
        <v>178420.29053902501</v>
      </c>
      <c r="Q105" s="38">
        <f>Table3[[#This Row],[Revenue NS]]</f>
        <v>1581740.1643530587</v>
      </c>
      <c r="R105" s="38"/>
      <c r="S105" s="38"/>
      <c r="T105" s="42"/>
      <c r="U105" s="57"/>
      <c r="V105" s="6"/>
      <c r="X105"/>
      <c r="Z105"/>
    </row>
    <row r="106" spans="2:26" x14ac:dyDescent="0.25">
      <c r="B106" s="7">
        <v>47818</v>
      </c>
      <c r="C106" s="37">
        <v>0</v>
      </c>
      <c r="D106" s="38">
        <f>$D$94*'Data Entry'!$D$17</f>
        <v>65.905840181377457</v>
      </c>
      <c r="E106" s="39">
        <v>0</v>
      </c>
      <c r="F106" s="38">
        <v>0</v>
      </c>
      <c r="G106" s="38">
        <f>Table3[[#This Row],[Sales Forecast]]*Table3[[#This Row],[Tickets]]</f>
        <v>0</v>
      </c>
      <c r="H106" s="38">
        <f>'Data Entry'!$D$9</f>
        <v>32000</v>
      </c>
      <c r="I106" s="38">
        <f>Table3[[#This Row],[Sales Forecast]]*Table3[[#This Row],[Tickets]]</f>
        <v>0</v>
      </c>
      <c r="J106" s="38">
        <f>IF(Table3[[#This Row],[Seat availibility]]&gt;0,Table3[[#This Row],[Seat availibility]]*Table3[[#This Row],[Tickets]],)</f>
        <v>0</v>
      </c>
      <c r="K106" s="38">
        <f>Table3[[#This Row],[Revenue]]-Table3[[#This Row],[Payments]]</f>
        <v>0</v>
      </c>
      <c r="L106" s="37">
        <f>$L$94*'Data Entry'!$D$17</f>
        <v>52.724672145101955</v>
      </c>
      <c r="M106" s="38">
        <f>Table3[[#This Row],[Sales Tickets]]*Table3[[#This Row],[Ticket NS]]</f>
        <v>0</v>
      </c>
      <c r="N106" s="38">
        <f>'Data Entry'!$D$7</f>
        <v>29000</v>
      </c>
      <c r="O106" s="38">
        <f>Table3[[#This Row],[Sales Forecast]]-Table3[[#This Row],[Capacity NS]]</f>
        <v>-29000</v>
      </c>
      <c r="P106" s="38">
        <f>IF(Table3[[#This Row],[Seat Availibility NS]]&gt;0,Table3[[#This Row],[Seat Availibility NS]]*Table3[[#This Row],[Ticket NS]],)</f>
        <v>0</v>
      </c>
      <c r="Q106" s="38">
        <f>Table3[[#This Row],[Revenue NS]]</f>
        <v>0</v>
      </c>
      <c r="R106" s="38">
        <f>NPV('Data Entry'!$D$42/12,K96:K106)+K95</f>
        <v>131366871.48769283</v>
      </c>
      <c r="S106" s="38">
        <f>NPV('Data Entry'!D126/12,Q96:Q106)+Q95</f>
        <v>12653921.314824469</v>
      </c>
      <c r="T106" s="42"/>
      <c r="U106" s="57"/>
      <c r="V106" s="6"/>
      <c r="X106"/>
      <c r="Z106"/>
    </row>
    <row r="107" spans="2:26" x14ac:dyDescent="0.25">
      <c r="B107" s="7">
        <v>47849</v>
      </c>
      <c r="C107" s="43">
        <v>0</v>
      </c>
      <c r="D107" s="38">
        <f>$D$106*'Data Entry'!$D$17</f>
        <v>67.223956985005003</v>
      </c>
      <c r="E107" s="35">
        <v>0</v>
      </c>
      <c r="F107" s="34">
        <v>0</v>
      </c>
      <c r="G107" s="38">
        <f>Table3[[#This Row],[Sales Forecast]]*Table3[[#This Row],[Tickets]]</f>
        <v>0</v>
      </c>
      <c r="H107" s="38">
        <f>'Data Entry'!$D$9</f>
        <v>32000</v>
      </c>
      <c r="I107" s="38">
        <f>Table3[[#This Row],[Sales Forecast]]*Table3[[#This Row],[Tickets]]</f>
        <v>0</v>
      </c>
      <c r="J107" s="38">
        <f>IF(Table3[[#This Row],[Seat availibility]]&gt;0,Table3[[#This Row],[Seat availibility]]*Table3[[#This Row],[Tickets]],)</f>
        <v>0</v>
      </c>
      <c r="K107" s="38">
        <f>Table3[[#This Row],[Revenue]]-Table3[[#This Row],[Payments]]</f>
        <v>0</v>
      </c>
      <c r="L107" s="37">
        <f>$L$106*'Data Entry'!$D$17</f>
        <v>53.779165588003998</v>
      </c>
      <c r="M107" s="38">
        <f>Table3[[#This Row],[Sales Tickets]]*Table3[[#This Row],[Ticket NS]]</f>
        <v>0</v>
      </c>
      <c r="N107" s="38">
        <f>'Data Entry'!$D$7</f>
        <v>29000</v>
      </c>
      <c r="O107" s="38">
        <f>Table3[[#This Row],[Sales Forecast]]-Table3[[#This Row],[Capacity NS]]</f>
        <v>-29000</v>
      </c>
      <c r="P107" s="38">
        <f>IF(Table3[[#This Row],[Seat Availibility NS]]&gt;0,Table3[[#This Row],[Seat Availibility NS]]*Table3[[#This Row],[Ticket NS]],)</f>
        <v>0</v>
      </c>
      <c r="Q107" s="38">
        <f>Table3[[#This Row],[Revenue NS]]</f>
        <v>0</v>
      </c>
      <c r="R107" s="38"/>
      <c r="S107" s="38"/>
      <c r="T107" s="44"/>
      <c r="U107" s="56"/>
      <c r="V107" s="6"/>
      <c r="X107"/>
      <c r="Z107"/>
    </row>
    <row r="108" spans="2:26" x14ac:dyDescent="0.25">
      <c r="B108" s="7">
        <v>47880</v>
      </c>
      <c r="C108" s="43">
        <v>0</v>
      </c>
      <c r="D108" s="38">
        <f>$D$106*'Data Entry'!$D$17</f>
        <v>67.223956985005003</v>
      </c>
      <c r="E108" s="35">
        <v>0</v>
      </c>
      <c r="F108" s="34">
        <v>0</v>
      </c>
      <c r="G108" s="38">
        <f>Table3[[#This Row],[Sales Forecast]]*Table3[[#This Row],[Tickets]]</f>
        <v>0</v>
      </c>
      <c r="H108" s="38">
        <f>'Data Entry'!$D$9</f>
        <v>32000</v>
      </c>
      <c r="I108" s="38">
        <f>Table3[[#This Row],[Sales Forecast]]*Table3[[#This Row],[Tickets]]</f>
        <v>0</v>
      </c>
      <c r="J108" s="38">
        <f>IF(Table3[[#This Row],[Seat availibility]]&gt;0,Table3[[#This Row],[Seat availibility]]*Table3[[#This Row],[Tickets]],)</f>
        <v>0</v>
      </c>
      <c r="K108" s="38">
        <f>Table3[[#This Row],[Revenue]]-Table3[[#This Row],[Payments]]</f>
        <v>0</v>
      </c>
      <c r="L108" s="37">
        <f>$L$106*'Data Entry'!$D$17</f>
        <v>53.779165588003998</v>
      </c>
      <c r="M108" s="38">
        <f>Table3[[#This Row],[Sales Tickets]]*Table3[[#This Row],[Ticket NS]]</f>
        <v>0</v>
      </c>
      <c r="N108" s="38">
        <f>'Data Entry'!$D$7</f>
        <v>29000</v>
      </c>
      <c r="O108" s="38">
        <f>Table3[[#This Row],[Sales Forecast]]-Table3[[#This Row],[Capacity NS]]</f>
        <v>-29000</v>
      </c>
      <c r="P108" s="38">
        <f>IF(Table3[[#This Row],[Seat Availibility NS]]&gt;0,Table3[[#This Row],[Seat Availibility NS]]*Table3[[#This Row],[Ticket NS]],)</f>
        <v>0</v>
      </c>
      <c r="Q108" s="38">
        <f>Table3[[#This Row],[Revenue NS]]</f>
        <v>0</v>
      </c>
      <c r="R108" s="38"/>
      <c r="S108" s="38"/>
      <c r="T108" s="44"/>
      <c r="U108" s="56"/>
      <c r="V108" s="6"/>
      <c r="X108"/>
      <c r="Z108"/>
    </row>
    <row r="109" spans="2:26" x14ac:dyDescent="0.25">
      <c r="B109" s="7">
        <v>47908</v>
      </c>
      <c r="C109" s="43">
        <v>0</v>
      </c>
      <c r="D109" s="38">
        <f>$D$106*'Data Entry'!$D$17</f>
        <v>67.223956985005003</v>
      </c>
      <c r="E109" s="35">
        <v>0</v>
      </c>
      <c r="F109" s="34">
        <v>0</v>
      </c>
      <c r="G109" s="38">
        <f>Table3[[#This Row],[Sales Forecast]]*Table3[[#This Row],[Tickets]]</f>
        <v>0</v>
      </c>
      <c r="H109" s="38">
        <f>'Data Entry'!$D$9</f>
        <v>32000</v>
      </c>
      <c r="I109" s="38">
        <f>Table3[[#This Row],[Sales Forecast]]*Table3[[#This Row],[Tickets]]</f>
        <v>0</v>
      </c>
      <c r="J109" s="38">
        <f>IF(Table3[[#This Row],[Seat availibility]]&gt;0,Table3[[#This Row],[Seat availibility]]*Table3[[#This Row],[Tickets]],)</f>
        <v>0</v>
      </c>
      <c r="K109" s="38">
        <f>Table3[[#This Row],[Revenue]]-Table3[[#This Row],[Payments]]</f>
        <v>0</v>
      </c>
      <c r="L109" s="37">
        <f>$L$106*'Data Entry'!$D$17</f>
        <v>53.779165588003998</v>
      </c>
      <c r="M109" s="38">
        <f>Table3[[#This Row],[Sales Tickets]]*Table3[[#This Row],[Ticket NS]]</f>
        <v>0</v>
      </c>
      <c r="N109" s="38">
        <f>'Data Entry'!$D$7</f>
        <v>29000</v>
      </c>
      <c r="O109" s="38">
        <f>Table3[[#This Row],[Sales Forecast]]-Table3[[#This Row],[Capacity NS]]</f>
        <v>-29000</v>
      </c>
      <c r="P109" s="38">
        <f>IF(Table3[[#This Row],[Seat Availibility NS]]&gt;0,Table3[[#This Row],[Seat Availibility NS]]*Table3[[#This Row],[Ticket NS]],)</f>
        <v>0</v>
      </c>
      <c r="Q109" s="38">
        <f>Table3[[#This Row],[Revenue NS]]</f>
        <v>0</v>
      </c>
      <c r="R109" s="38"/>
      <c r="S109" s="38"/>
      <c r="T109" s="44"/>
      <c r="U109" s="56"/>
      <c r="V109" s="6"/>
      <c r="X109"/>
      <c r="Z109"/>
    </row>
    <row r="110" spans="2:26" x14ac:dyDescent="0.25">
      <c r="B110" s="7">
        <v>47939</v>
      </c>
      <c r="C110" s="37">
        <f>'Data Entry'!$E$30</f>
        <v>30000</v>
      </c>
      <c r="D110" s="38">
        <f>$D$106*'Data Entry'!$D$17</f>
        <v>67.223956985005003</v>
      </c>
      <c r="E110" s="39">
        <f>Table3[[#This Row],[Sales Tickets]]*Table3[[#This Row],[Tickets]]*'Data Entry'!$D$19</f>
        <v>18150468.385951351</v>
      </c>
      <c r="F110" s="34">
        <f>'Data Entry'!$D$30</f>
        <v>33355</v>
      </c>
      <c r="G110" s="38">
        <f>Table3[[#This Row],[Sales Forecast]]*Table3[[#This Row],[Tickets]]*'Data Entry'!$D$19</f>
        <v>20180295.767113578</v>
      </c>
      <c r="H110" s="38">
        <f>'Data Entry'!$D$9</f>
        <v>32000</v>
      </c>
      <c r="I110" s="38">
        <f>Table3[[#This Row],[Sales Forecast]]-Table3[[#This Row],[Capacity]]</f>
        <v>1355</v>
      </c>
      <c r="J110" s="38">
        <f>IF(Table3[[#This Row],[Seat availibility]]&gt;0,Table3[[#This Row],[Seat availibility]]*Table3[[#This Row],[Tickets]],)</f>
        <v>91088.461714681776</v>
      </c>
      <c r="K110" s="38">
        <f>Table3[[#This Row],[Revenue]]-Table3[[#This Row],[Payments]]</f>
        <v>18150468.385951351</v>
      </c>
      <c r="L110" s="37">
        <f>$L$106*'Data Entry'!$D$17</f>
        <v>53.779165588003998</v>
      </c>
      <c r="M110" s="38">
        <f>Table3[[#This Row],[Sales Tickets]]*Table3[[#This Row],[Ticket NS]]</f>
        <v>1613374.9676401198</v>
      </c>
      <c r="N110" s="38">
        <f>'Data Entry'!$D$7</f>
        <v>29000</v>
      </c>
      <c r="O110" s="38">
        <f>Table3[[#This Row],[Sales Forecast]]-Table3[[#This Row],[Capacity NS]]</f>
        <v>4355</v>
      </c>
      <c r="P110" s="38">
        <f>IF(Table3[[#This Row],[Seat Availibility NS]]&gt;0,Table3[[#This Row],[Seat Availibility NS]]*Table3[[#This Row],[Ticket NS]],)</f>
        <v>234208.26613575741</v>
      </c>
      <c r="Q110" s="38">
        <f>Table3[[#This Row],[Revenue NS]]</f>
        <v>1613374.9676401198</v>
      </c>
      <c r="R110" s="38"/>
      <c r="S110" s="38"/>
      <c r="T110" s="42"/>
      <c r="U110" s="57"/>
      <c r="V110" s="6"/>
      <c r="X110"/>
      <c r="Z110"/>
    </row>
    <row r="111" spans="2:26" x14ac:dyDescent="0.25">
      <c r="B111" s="7">
        <v>47969</v>
      </c>
      <c r="C111" s="37">
        <f>'Data Entry'!$E$30</f>
        <v>30000</v>
      </c>
      <c r="D111" s="38">
        <f>$D$106*'Data Entry'!$D$17</f>
        <v>67.223956985005003</v>
      </c>
      <c r="E111" s="39">
        <f>Table3[[#This Row],[Sales Tickets]]*Table3[[#This Row],[Tickets]]*'Data Entry'!$D$19</f>
        <v>18150468.385951351</v>
      </c>
      <c r="F111" s="34">
        <f>'Data Entry'!$D$30</f>
        <v>33355</v>
      </c>
      <c r="G111" s="38">
        <f>Table3[[#This Row],[Sales Forecast]]*Table3[[#This Row],[Tickets]]*'Data Entry'!$D$19</f>
        <v>20180295.767113578</v>
      </c>
      <c r="H111" s="38">
        <f>'Data Entry'!$D$9</f>
        <v>32000</v>
      </c>
      <c r="I111" s="38">
        <f>Table3[[#This Row],[Sales Forecast]]-Table3[[#This Row],[Capacity]]</f>
        <v>1355</v>
      </c>
      <c r="J111" s="38">
        <f>IF(Table3[[#This Row],[Seat availibility]]&gt;0,Table3[[#This Row],[Seat availibility]]*Table3[[#This Row],[Tickets]],)</f>
        <v>91088.461714681776</v>
      </c>
      <c r="K111" s="38">
        <f>Table3[[#This Row],[Revenue]]-Table3[[#This Row],[Payments]]</f>
        <v>18150468.385951351</v>
      </c>
      <c r="L111" s="37">
        <f>$L$106*'Data Entry'!$D$17</f>
        <v>53.779165588003998</v>
      </c>
      <c r="M111" s="38">
        <f>Table3[[#This Row],[Sales Tickets]]*Table3[[#This Row],[Ticket NS]]</f>
        <v>1613374.9676401198</v>
      </c>
      <c r="N111" s="38">
        <f>'Data Entry'!$D$7</f>
        <v>29000</v>
      </c>
      <c r="O111" s="38">
        <f>Table3[[#This Row],[Sales Forecast]]-Table3[[#This Row],[Capacity NS]]</f>
        <v>4355</v>
      </c>
      <c r="P111" s="38">
        <f>IF(Table3[[#This Row],[Seat Availibility NS]]&gt;0,Table3[[#This Row],[Seat Availibility NS]]*Table3[[#This Row],[Ticket NS]],)</f>
        <v>234208.26613575741</v>
      </c>
      <c r="Q111" s="38">
        <f>Table3[[#This Row],[Revenue NS]]</f>
        <v>1613374.9676401198</v>
      </c>
      <c r="R111" s="38"/>
      <c r="S111" s="38"/>
      <c r="T111" s="42"/>
      <c r="U111" s="57"/>
      <c r="V111" s="6"/>
      <c r="X111"/>
      <c r="Z111"/>
    </row>
    <row r="112" spans="2:26" x14ac:dyDescent="0.25">
      <c r="B112" s="7">
        <v>48000</v>
      </c>
      <c r="C112" s="37">
        <f>'Data Entry'!$E$30</f>
        <v>30000</v>
      </c>
      <c r="D112" s="38">
        <f>$D$106*'Data Entry'!$D$17</f>
        <v>67.223956985005003</v>
      </c>
      <c r="E112" s="39">
        <f>Table3[[#This Row],[Sales Tickets]]*Table3[[#This Row],[Tickets]]*'Data Entry'!$D$19</f>
        <v>18150468.385951351</v>
      </c>
      <c r="F112" s="34">
        <f>'Data Entry'!$D$30</f>
        <v>33355</v>
      </c>
      <c r="G112" s="38">
        <f>Table3[[#This Row],[Sales Forecast]]*Table3[[#This Row],[Tickets]]*'Data Entry'!$D$19</f>
        <v>20180295.767113578</v>
      </c>
      <c r="H112" s="38">
        <f>'Data Entry'!$D$9</f>
        <v>32000</v>
      </c>
      <c r="I112" s="38">
        <f>Table3[[#This Row],[Sales Forecast]]-Table3[[#This Row],[Capacity]]</f>
        <v>1355</v>
      </c>
      <c r="J112" s="38">
        <f>IF(Table3[[#This Row],[Seat availibility]]&gt;0,Table3[[#This Row],[Seat availibility]]*Table3[[#This Row],[Tickets]],)</f>
        <v>91088.461714681776</v>
      </c>
      <c r="K112" s="38">
        <f>Table3[[#This Row],[Revenue]]-Table3[[#This Row],[Payments]]</f>
        <v>18150468.385951351</v>
      </c>
      <c r="L112" s="37">
        <f>$L$106*'Data Entry'!$D$17</f>
        <v>53.779165588003998</v>
      </c>
      <c r="M112" s="38">
        <f>Table3[[#This Row],[Sales Tickets]]*Table3[[#This Row],[Ticket NS]]</f>
        <v>1613374.9676401198</v>
      </c>
      <c r="N112" s="38">
        <f>'Data Entry'!$D$7</f>
        <v>29000</v>
      </c>
      <c r="O112" s="38">
        <f>Table3[[#This Row],[Sales Forecast]]-Table3[[#This Row],[Capacity NS]]</f>
        <v>4355</v>
      </c>
      <c r="P112" s="38">
        <f>IF(Table3[[#This Row],[Seat Availibility NS]]&gt;0,Table3[[#This Row],[Seat Availibility NS]]*Table3[[#This Row],[Ticket NS]],)</f>
        <v>234208.26613575741</v>
      </c>
      <c r="Q112" s="38">
        <f>Table3[[#This Row],[Revenue NS]]</f>
        <v>1613374.9676401198</v>
      </c>
      <c r="R112" s="38"/>
      <c r="S112" s="38"/>
      <c r="T112" s="42"/>
      <c r="U112" s="57"/>
      <c r="V112" s="6"/>
      <c r="X112"/>
      <c r="Z112"/>
    </row>
    <row r="113" spans="2:26" x14ac:dyDescent="0.25">
      <c r="B113" s="7">
        <v>48030</v>
      </c>
      <c r="C113" s="37">
        <f>'Data Entry'!$E$30</f>
        <v>30000</v>
      </c>
      <c r="D113" s="38">
        <f>$D$106*'Data Entry'!$D$17</f>
        <v>67.223956985005003</v>
      </c>
      <c r="E113" s="39">
        <f>Table3[[#This Row],[Sales Tickets]]*Table3[[#This Row],[Tickets]]*'Data Entry'!$D$19</f>
        <v>18150468.385951351</v>
      </c>
      <c r="F113" s="34">
        <f>'Data Entry'!$D$30</f>
        <v>33355</v>
      </c>
      <c r="G113" s="38">
        <f>Table3[[#This Row],[Sales Forecast]]*Table3[[#This Row],[Tickets]]*'Data Entry'!$D$19</f>
        <v>20180295.767113578</v>
      </c>
      <c r="H113" s="38">
        <f>'Data Entry'!$D$9</f>
        <v>32000</v>
      </c>
      <c r="I113" s="38">
        <f>Table3[[#This Row],[Sales Forecast]]-Table3[[#This Row],[Capacity]]</f>
        <v>1355</v>
      </c>
      <c r="J113" s="38">
        <f>IF(Table3[[#This Row],[Seat availibility]]&gt;0,Table3[[#This Row],[Seat availibility]]*Table3[[#This Row],[Tickets]],)</f>
        <v>91088.461714681776</v>
      </c>
      <c r="K113" s="38">
        <f>Table3[[#This Row],[Revenue]]-Table3[[#This Row],[Payments]]</f>
        <v>18150468.385951351</v>
      </c>
      <c r="L113" s="37">
        <f>$L$106*'Data Entry'!$D$17</f>
        <v>53.779165588003998</v>
      </c>
      <c r="M113" s="38">
        <f>Table3[[#This Row],[Sales Tickets]]*Table3[[#This Row],[Ticket NS]]</f>
        <v>1613374.9676401198</v>
      </c>
      <c r="N113" s="38">
        <f>'Data Entry'!$D$7</f>
        <v>29000</v>
      </c>
      <c r="O113" s="38">
        <f>Table3[[#This Row],[Sales Forecast]]-Table3[[#This Row],[Capacity NS]]</f>
        <v>4355</v>
      </c>
      <c r="P113" s="38">
        <f>IF(Table3[[#This Row],[Seat Availibility NS]]&gt;0,Table3[[#This Row],[Seat Availibility NS]]*Table3[[#This Row],[Ticket NS]],)</f>
        <v>234208.26613575741</v>
      </c>
      <c r="Q113" s="38">
        <f>Table3[[#This Row],[Revenue NS]]</f>
        <v>1613374.9676401198</v>
      </c>
      <c r="R113" s="38"/>
      <c r="S113" s="38"/>
      <c r="T113" s="42"/>
      <c r="U113" s="57"/>
      <c r="V113" s="6"/>
      <c r="X113"/>
      <c r="Z113"/>
    </row>
    <row r="114" spans="2:26" x14ac:dyDescent="0.25">
      <c r="B114" s="7">
        <v>48061</v>
      </c>
      <c r="C114" s="37">
        <f>'Data Entry'!$E$30</f>
        <v>30000</v>
      </c>
      <c r="D114" s="38">
        <f>$D$106*'Data Entry'!$D$17</f>
        <v>67.223956985005003</v>
      </c>
      <c r="E114" s="39">
        <f>Table3[[#This Row],[Sales Tickets]]*Table3[[#This Row],[Tickets]]*'Data Entry'!$D$19</f>
        <v>18150468.385951351</v>
      </c>
      <c r="F114" s="34">
        <f>'Data Entry'!$D$30</f>
        <v>33355</v>
      </c>
      <c r="G114" s="38">
        <f>Table3[[#This Row],[Sales Forecast]]*Table3[[#This Row],[Tickets]]*'Data Entry'!$D$19</f>
        <v>20180295.767113578</v>
      </c>
      <c r="H114" s="38">
        <f>'Data Entry'!$D$9</f>
        <v>32000</v>
      </c>
      <c r="I114" s="38">
        <f>Table3[[#This Row],[Sales Forecast]]-Table3[[#This Row],[Capacity]]</f>
        <v>1355</v>
      </c>
      <c r="J114" s="38">
        <f>IF(Table3[[#This Row],[Seat availibility]]&gt;0,Table3[[#This Row],[Seat availibility]]*Table3[[#This Row],[Tickets]],)</f>
        <v>91088.461714681776</v>
      </c>
      <c r="K114" s="38">
        <f>Table3[[#This Row],[Revenue]]-Table3[[#This Row],[Payments]]</f>
        <v>18150468.385951351</v>
      </c>
      <c r="L114" s="37">
        <f>$L$106*'Data Entry'!$D$17</f>
        <v>53.779165588003998</v>
      </c>
      <c r="M114" s="38">
        <f>Table3[[#This Row],[Sales Tickets]]*Table3[[#This Row],[Ticket NS]]</f>
        <v>1613374.9676401198</v>
      </c>
      <c r="N114" s="38">
        <f>'Data Entry'!$D$7</f>
        <v>29000</v>
      </c>
      <c r="O114" s="38">
        <f>Table3[[#This Row],[Sales Forecast]]-Table3[[#This Row],[Capacity NS]]</f>
        <v>4355</v>
      </c>
      <c r="P114" s="38">
        <f>IF(Table3[[#This Row],[Seat Availibility NS]]&gt;0,Table3[[#This Row],[Seat Availibility NS]]*Table3[[#This Row],[Ticket NS]],)</f>
        <v>234208.26613575741</v>
      </c>
      <c r="Q114" s="38">
        <f>Table3[[#This Row],[Revenue NS]]</f>
        <v>1613374.9676401198</v>
      </c>
      <c r="R114" s="38"/>
      <c r="S114" s="38"/>
      <c r="T114" s="42"/>
      <c r="U114" s="57"/>
      <c r="V114" s="6"/>
      <c r="X114"/>
      <c r="Z114"/>
    </row>
    <row r="115" spans="2:26" x14ac:dyDescent="0.25">
      <c r="B115" s="7">
        <v>48092</v>
      </c>
      <c r="C115" s="37">
        <f>'Data Entry'!$E$30</f>
        <v>30000</v>
      </c>
      <c r="D115" s="38">
        <f>$D$106*'Data Entry'!$D$17</f>
        <v>67.223956985005003</v>
      </c>
      <c r="E115" s="39">
        <f>Table3[[#This Row],[Sales Tickets]]*Table3[[#This Row],[Tickets]]*'Data Entry'!$D$19</f>
        <v>18150468.385951351</v>
      </c>
      <c r="F115" s="34">
        <f>'Data Entry'!$D$30</f>
        <v>33355</v>
      </c>
      <c r="G115" s="38">
        <f>Table3[[#This Row],[Sales Forecast]]*Table3[[#This Row],[Tickets]]*'Data Entry'!$D$19</f>
        <v>20180295.767113578</v>
      </c>
      <c r="H115" s="38">
        <f>'Data Entry'!$D$9</f>
        <v>32000</v>
      </c>
      <c r="I115" s="38">
        <f>Table3[[#This Row],[Sales Forecast]]-Table3[[#This Row],[Capacity]]</f>
        <v>1355</v>
      </c>
      <c r="J115" s="38">
        <f>IF(Table3[[#This Row],[Seat availibility]]&gt;0,Table3[[#This Row],[Seat availibility]]*Table3[[#This Row],[Tickets]],)</f>
        <v>91088.461714681776</v>
      </c>
      <c r="K115" s="38">
        <f>Table3[[#This Row],[Revenue]]-Table3[[#This Row],[Payments]]</f>
        <v>18150468.385951351</v>
      </c>
      <c r="L115" s="37">
        <f>$L$106*'Data Entry'!$D$17</f>
        <v>53.779165588003998</v>
      </c>
      <c r="M115" s="38">
        <f>Table3[[#This Row],[Sales Tickets]]*Table3[[#This Row],[Ticket NS]]</f>
        <v>1613374.9676401198</v>
      </c>
      <c r="N115" s="38">
        <f>'Data Entry'!$D$7</f>
        <v>29000</v>
      </c>
      <c r="O115" s="38">
        <f>Table3[[#This Row],[Sales Forecast]]-Table3[[#This Row],[Capacity NS]]</f>
        <v>4355</v>
      </c>
      <c r="P115" s="38">
        <f>IF(Table3[[#This Row],[Seat Availibility NS]]&gt;0,Table3[[#This Row],[Seat Availibility NS]]*Table3[[#This Row],[Ticket NS]],)</f>
        <v>234208.26613575741</v>
      </c>
      <c r="Q115" s="38">
        <f>Table3[[#This Row],[Revenue NS]]</f>
        <v>1613374.9676401198</v>
      </c>
      <c r="R115" s="38"/>
      <c r="S115" s="38"/>
      <c r="T115" s="42"/>
      <c r="U115" s="57"/>
      <c r="V115" s="6"/>
      <c r="X115"/>
      <c r="Z115"/>
    </row>
    <row r="116" spans="2:26" x14ac:dyDescent="0.25">
      <c r="B116" s="7">
        <v>48122</v>
      </c>
      <c r="C116" s="37">
        <f>'Data Entry'!$E$30</f>
        <v>30000</v>
      </c>
      <c r="D116" s="38">
        <f>$D$106*'Data Entry'!$D$17</f>
        <v>67.223956985005003</v>
      </c>
      <c r="E116" s="39">
        <f>Table3[[#This Row],[Sales Tickets]]*Table3[[#This Row],[Tickets]]*'Data Entry'!$D$19</f>
        <v>18150468.385951351</v>
      </c>
      <c r="F116" s="34">
        <f>'Data Entry'!$D$30</f>
        <v>33355</v>
      </c>
      <c r="G116" s="38">
        <f>Table3[[#This Row],[Sales Forecast]]*Table3[[#This Row],[Tickets]]*'Data Entry'!$D$19</f>
        <v>20180295.767113578</v>
      </c>
      <c r="H116" s="38">
        <f>'Data Entry'!$D$9</f>
        <v>32000</v>
      </c>
      <c r="I116" s="38">
        <f>Table3[[#This Row],[Sales Forecast]]-Table3[[#This Row],[Capacity]]</f>
        <v>1355</v>
      </c>
      <c r="J116" s="38">
        <f>IF(Table3[[#This Row],[Seat availibility]]&gt;0,Table3[[#This Row],[Seat availibility]]*Table3[[#This Row],[Tickets]],)</f>
        <v>91088.461714681776</v>
      </c>
      <c r="K116" s="38">
        <f>Table3[[#This Row],[Revenue]]-Table3[[#This Row],[Payments]]</f>
        <v>18150468.385951351</v>
      </c>
      <c r="L116" s="37">
        <f>$L$106*'Data Entry'!$D$17</f>
        <v>53.779165588003998</v>
      </c>
      <c r="M116" s="38">
        <f>Table3[[#This Row],[Sales Tickets]]*Table3[[#This Row],[Ticket NS]]</f>
        <v>1613374.9676401198</v>
      </c>
      <c r="N116" s="38">
        <f>'Data Entry'!$D$7</f>
        <v>29000</v>
      </c>
      <c r="O116" s="38">
        <f>Table3[[#This Row],[Sales Forecast]]-Table3[[#This Row],[Capacity NS]]</f>
        <v>4355</v>
      </c>
      <c r="P116" s="38">
        <f>IF(Table3[[#This Row],[Seat Availibility NS]]&gt;0,Table3[[#This Row],[Seat Availibility NS]]*Table3[[#This Row],[Ticket NS]],)</f>
        <v>234208.26613575741</v>
      </c>
      <c r="Q116" s="38">
        <f>Table3[[#This Row],[Revenue NS]]</f>
        <v>1613374.9676401198</v>
      </c>
      <c r="R116" s="38"/>
      <c r="S116" s="38"/>
      <c r="T116" s="42"/>
      <c r="U116" s="57"/>
      <c r="V116" s="6"/>
      <c r="X116"/>
      <c r="Z116"/>
    </row>
    <row r="117" spans="2:26" x14ac:dyDescent="0.25">
      <c r="B117" s="7">
        <v>48153</v>
      </c>
      <c r="C117" s="37">
        <f>'Data Entry'!$E$30</f>
        <v>30000</v>
      </c>
      <c r="D117" s="38">
        <f>$D$106*'Data Entry'!$D$17</f>
        <v>67.223956985005003</v>
      </c>
      <c r="E117" s="39">
        <f>Table3[[#This Row],[Sales Tickets]]*Table3[[#This Row],[Tickets]]*'Data Entry'!$D$19</f>
        <v>18150468.385951351</v>
      </c>
      <c r="F117" s="34">
        <f>'Data Entry'!$D$30</f>
        <v>33355</v>
      </c>
      <c r="G117" s="38">
        <f>Table3[[#This Row],[Sales Forecast]]*Table3[[#This Row],[Tickets]]*'Data Entry'!$D$19</f>
        <v>20180295.767113578</v>
      </c>
      <c r="H117" s="38">
        <f>'Data Entry'!$D$9</f>
        <v>32000</v>
      </c>
      <c r="I117" s="38">
        <f>Table3[[#This Row],[Sales Forecast]]-Table3[[#This Row],[Capacity]]</f>
        <v>1355</v>
      </c>
      <c r="J117" s="38">
        <f>IF(Table3[[#This Row],[Seat availibility]]&gt;0,Table3[[#This Row],[Seat availibility]]*Table3[[#This Row],[Tickets]],)</f>
        <v>91088.461714681776</v>
      </c>
      <c r="K117" s="38">
        <f>Table3[[#This Row],[Revenue]]-Table3[[#This Row],[Payments]]</f>
        <v>18150468.385951351</v>
      </c>
      <c r="L117" s="37">
        <f>$L$106*'Data Entry'!$D$17</f>
        <v>53.779165588003998</v>
      </c>
      <c r="M117" s="38">
        <f>Table3[[#This Row],[Sales Tickets]]*Table3[[#This Row],[Ticket NS]]</f>
        <v>1613374.9676401198</v>
      </c>
      <c r="N117" s="38">
        <f>'Data Entry'!$D$7</f>
        <v>29000</v>
      </c>
      <c r="O117" s="38">
        <f>Table3[[#This Row],[Sales Forecast]]-Table3[[#This Row],[Capacity NS]]</f>
        <v>4355</v>
      </c>
      <c r="P117" s="38">
        <f>IF(Table3[[#This Row],[Seat Availibility NS]]&gt;0,Table3[[#This Row],[Seat Availibility NS]]*Table3[[#This Row],[Ticket NS]],)</f>
        <v>234208.26613575741</v>
      </c>
      <c r="Q117" s="38">
        <f>Table3[[#This Row],[Revenue NS]]</f>
        <v>1613374.9676401198</v>
      </c>
      <c r="R117" s="38"/>
      <c r="S117" s="38"/>
      <c r="T117" s="42"/>
      <c r="U117" s="57"/>
      <c r="V117" s="6"/>
      <c r="X117"/>
      <c r="Z117"/>
    </row>
    <row r="118" spans="2:26" x14ac:dyDescent="0.25">
      <c r="B118" s="7">
        <v>48183</v>
      </c>
      <c r="C118" s="37">
        <v>0</v>
      </c>
      <c r="D118" s="38">
        <f>$D$106*'Data Entry'!$D$17</f>
        <v>67.223956985005003</v>
      </c>
      <c r="E118" s="39">
        <v>0</v>
      </c>
      <c r="F118" s="38">
        <v>0</v>
      </c>
      <c r="G118" s="38">
        <f>Table3[[#This Row],[Sales Forecast]]*Table3[[#This Row],[Tickets]]</f>
        <v>0</v>
      </c>
      <c r="H118" s="38">
        <f>'Data Entry'!$D$9</f>
        <v>32000</v>
      </c>
      <c r="I118" s="38">
        <f>Table3[[#This Row],[Sales Forecast]]*Table3[[#This Row],[Tickets]]</f>
        <v>0</v>
      </c>
      <c r="J118" s="38">
        <f>IF(Table3[[#This Row],[Seat availibility]]&gt;0,Table3[[#This Row],[Seat availibility]]*Table3[[#This Row],[Tickets]],)</f>
        <v>0</v>
      </c>
      <c r="K118" s="38">
        <f>Table3[[#This Row],[Revenue]]-Table3[[#This Row],[Payments]]</f>
        <v>0</v>
      </c>
      <c r="L118" s="37">
        <f>$L$106*'Data Entry'!$D$17</f>
        <v>53.779165588003998</v>
      </c>
      <c r="M118" s="38">
        <f>Table3[[#This Row],[Sales Tickets]]*Table3[[#This Row],[Ticket NS]]</f>
        <v>0</v>
      </c>
      <c r="N118" s="38">
        <f>'Data Entry'!$D$7</f>
        <v>29000</v>
      </c>
      <c r="O118" s="38">
        <f>Table3[[#This Row],[Sales Forecast]]-Table3[[#This Row],[Capacity NS]]</f>
        <v>-29000</v>
      </c>
      <c r="P118" s="38">
        <f>IF(Table3[[#This Row],[Seat Availibility NS]]&gt;0,Table3[[#This Row],[Seat Availibility NS]]*Table3[[#This Row],[Ticket NS]],)</f>
        <v>0</v>
      </c>
      <c r="Q118" s="38">
        <f>Table3[[#This Row],[Revenue NS]]</f>
        <v>0</v>
      </c>
      <c r="R118" s="38">
        <f>NPV('Data Entry'!$D$42/12,K108:K118)+K107</f>
        <v>133994208.91744667</v>
      </c>
      <c r="S118" s="38">
        <f>NPV('Data Entry'!D138/12,Q108:Q118)+Q107</f>
        <v>12906999.741120961</v>
      </c>
      <c r="T118" s="42"/>
      <c r="U118" s="57"/>
      <c r="V118" s="6"/>
      <c r="X118"/>
      <c r="Z118"/>
    </row>
    <row r="119" spans="2:26" x14ac:dyDescent="0.25">
      <c r="B119" s="7">
        <v>48214</v>
      </c>
      <c r="C119" s="43">
        <v>0</v>
      </c>
      <c r="D119" s="38">
        <f>$D$118*'Data Entry'!$D$17</f>
        <v>68.568436124705102</v>
      </c>
      <c r="E119" s="35">
        <v>0</v>
      </c>
      <c r="F119" s="34">
        <v>0</v>
      </c>
      <c r="G119" s="38">
        <f>Table3[[#This Row],[Sales Forecast]]*Table3[[#This Row],[Tickets]]</f>
        <v>0</v>
      </c>
      <c r="H119" s="38">
        <f>'Data Entry'!$D$9</f>
        <v>32000</v>
      </c>
      <c r="I119" s="38">
        <f>Table3[[#This Row],[Sales Forecast]]*Table3[[#This Row],[Tickets]]</f>
        <v>0</v>
      </c>
      <c r="J119" s="38">
        <f>IF(Table3[[#This Row],[Seat availibility]]&gt;0,Table3[[#This Row],[Seat availibility]]*Table3[[#This Row],[Tickets]],)</f>
        <v>0</v>
      </c>
      <c r="K119" s="38">
        <f>Table3[[#This Row],[Revenue]]-Table3[[#This Row],[Payments]]</f>
        <v>0</v>
      </c>
      <c r="L119" s="37">
        <f>$L$118*'Data Entry'!$D$17</f>
        <v>54.854748899764083</v>
      </c>
      <c r="M119" s="38">
        <f>Table3[[#This Row],[Sales Tickets]]*Table3[[#This Row],[Ticket NS]]</f>
        <v>0</v>
      </c>
      <c r="N119" s="38">
        <f>'Data Entry'!$D$7</f>
        <v>29000</v>
      </c>
      <c r="O119" s="38">
        <f>Table3[[#This Row],[Sales Forecast]]-Table3[[#This Row],[Capacity NS]]</f>
        <v>-29000</v>
      </c>
      <c r="P119" s="38">
        <f>IF(Table3[[#This Row],[Seat Availibility NS]]&gt;0,Table3[[#This Row],[Seat Availibility NS]]*Table3[[#This Row],[Ticket NS]],)</f>
        <v>0</v>
      </c>
      <c r="Q119" s="38">
        <f>Table3[[#This Row],[Revenue NS]]</f>
        <v>0</v>
      </c>
      <c r="R119" s="38"/>
      <c r="S119" s="38"/>
      <c r="T119" s="44"/>
      <c r="U119" s="56"/>
      <c r="V119" s="6"/>
      <c r="X119"/>
      <c r="Z119"/>
    </row>
    <row r="120" spans="2:26" x14ac:dyDescent="0.25">
      <c r="B120" s="7">
        <v>48245</v>
      </c>
      <c r="C120" s="43">
        <v>0</v>
      </c>
      <c r="D120" s="38">
        <f>$D$118*'Data Entry'!$D$17</f>
        <v>68.568436124705102</v>
      </c>
      <c r="E120" s="35">
        <v>0</v>
      </c>
      <c r="F120" s="34">
        <v>0</v>
      </c>
      <c r="G120" s="38">
        <f>Table3[[#This Row],[Sales Forecast]]*Table3[[#This Row],[Tickets]]</f>
        <v>0</v>
      </c>
      <c r="H120" s="38">
        <f>'Data Entry'!$D$9</f>
        <v>32000</v>
      </c>
      <c r="I120" s="38">
        <f>Table3[[#This Row],[Sales Forecast]]*Table3[[#This Row],[Tickets]]</f>
        <v>0</v>
      </c>
      <c r="J120" s="38">
        <f>IF(Table3[[#This Row],[Seat availibility]]&gt;0,Table3[[#This Row],[Seat availibility]]*Table3[[#This Row],[Tickets]],)</f>
        <v>0</v>
      </c>
      <c r="K120" s="38">
        <f>Table3[[#This Row],[Revenue]]-Table3[[#This Row],[Payments]]</f>
        <v>0</v>
      </c>
      <c r="L120" s="37">
        <f>$L$118*'Data Entry'!$D$17</f>
        <v>54.854748899764083</v>
      </c>
      <c r="M120" s="38">
        <f>Table3[[#This Row],[Sales Tickets]]*Table3[[#This Row],[Ticket NS]]</f>
        <v>0</v>
      </c>
      <c r="N120" s="38">
        <f>'Data Entry'!$D$7</f>
        <v>29000</v>
      </c>
      <c r="O120" s="38">
        <f>Table3[[#This Row],[Sales Forecast]]-Table3[[#This Row],[Capacity NS]]</f>
        <v>-29000</v>
      </c>
      <c r="P120" s="38">
        <f>IF(Table3[[#This Row],[Seat Availibility NS]]&gt;0,Table3[[#This Row],[Seat Availibility NS]]*Table3[[#This Row],[Ticket NS]],)</f>
        <v>0</v>
      </c>
      <c r="Q120" s="38">
        <f>Table3[[#This Row],[Revenue NS]]</f>
        <v>0</v>
      </c>
      <c r="R120" s="38"/>
      <c r="S120" s="38"/>
      <c r="T120" s="44"/>
      <c r="U120" s="56"/>
      <c r="V120" s="6"/>
      <c r="X120"/>
      <c r="Z120"/>
    </row>
    <row r="121" spans="2:26" x14ac:dyDescent="0.25">
      <c r="B121" s="7">
        <v>48274</v>
      </c>
      <c r="C121" s="43">
        <v>0</v>
      </c>
      <c r="D121" s="38">
        <f>$D$118*'Data Entry'!$D$17</f>
        <v>68.568436124705102</v>
      </c>
      <c r="E121" s="35">
        <v>0</v>
      </c>
      <c r="F121" s="34">
        <v>0</v>
      </c>
      <c r="G121" s="38">
        <f>Table3[[#This Row],[Sales Forecast]]*Table3[[#This Row],[Tickets]]</f>
        <v>0</v>
      </c>
      <c r="H121" s="38">
        <f>'Data Entry'!$D$9</f>
        <v>32000</v>
      </c>
      <c r="I121" s="38">
        <f>Table3[[#This Row],[Sales Forecast]]*Table3[[#This Row],[Tickets]]</f>
        <v>0</v>
      </c>
      <c r="J121" s="38">
        <f>IF(Table3[[#This Row],[Seat availibility]]&gt;0,Table3[[#This Row],[Seat availibility]]*Table3[[#This Row],[Tickets]],)</f>
        <v>0</v>
      </c>
      <c r="K121" s="38">
        <f>Table3[[#This Row],[Revenue]]-Table3[[#This Row],[Payments]]</f>
        <v>0</v>
      </c>
      <c r="L121" s="37">
        <f>$L$118*'Data Entry'!$D$17</f>
        <v>54.854748899764083</v>
      </c>
      <c r="M121" s="38">
        <f>Table3[[#This Row],[Sales Tickets]]*Table3[[#This Row],[Ticket NS]]</f>
        <v>0</v>
      </c>
      <c r="N121" s="38">
        <f>'Data Entry'!$D$7</f>
        <v>29000</v>
      </c>
      <c r="O121" s="38">
        <f>Table3[[#This Row],[Sales Forecast]]-Table3[[#This Row],[Capacity NS]]</f>
        <v>-29000</v>
      </c>
      <c r="P121" s="38">
        <f>IF(Table3[[#This Row],[Seat Availibility NS]]&gt;0,Table3[[#This Row],[Seat Availibility NS]]*Table3[[#This Row],[Ticket NS]],)</f>
        <v>0</v>
      </c>
      <c r="Q121" s="38">
        <f>Table3[[#This Row],[Revenue NS]]</f>
        <v>0</v>
      </c>
      <c r="R121" s="38"/>
      <c r="S121" s="38"/>
      <c r="T121" s="44"/>
      <c r="U121" s="56"/>
      <c r="V121" s="6"/>
      <c r="X121"/>
      <c r="Z121"/>
    </row>
    <row r="122" spans="2:26" x14ac:dyDescent="0.25">
      <c r="B122" s="7">
        <v>48305</v>
      </c>
      <c r="C122" s="37">
        <f>'Data Entry'!$E$31</f>
        <v>30000</v>
      </c>
      <c r="D122" s="38">
        <f>$D$118*'Data Entry'!$D$17</f>
        <v>68.568436124705102</v>
      </c>
      <c r="E122" s="39">
        <f>Table3[[#This Row],[Sales Tickets]]*Table3[[#This Row],[Tickets]]*'Data Entry'!$D$19</f>
        <v>18513477.75367038</v>
      </c>
      <c r="F122" s="34">
        <f>'Data Entry'!$D$31</f>
        <v>34356</v>
      </c>
      <c r="G122" s="38">
        <f>Table3[[#This Row],[Sales Forecast]]*Table3[[#This Row],[Tickets]]*'Data Entry'!$D$19</f>
        <v>21201634.723503318</v>
      </c>
      <c r="H122" s="38">
        <f>'Data Entry'!$D$9</f>
        <v>32000</v>
      </c>
      <c r="I122" s="38">
        <f>Table3[[#This Row],[Sales Forecast]]-Table3[[#This Row],[Capacity]]</f>
        <v>2356</v>
      </c>
      <c r="J122" s="38">
        <f>IF(Table3[[#This Row],[Seat availibility]]&gt;0,Table3[[#This Row],[Seat availibility]]*Table3[[#This Row],[Tickets]],)</f>
        <v>161547.23550980521</v>
      </c>
      <c r="K122" s="38">
        <f>Table3[[#This Row],[Revenue]]-Table3[[#This Row],[Payments]]</f>
        <v>18513477.75367038</v>
      </c>
      <c r="L122" s="37">
        <f>$L$118*'Data Entry'!$D$17</f>
        <v>54.854748899764083</v>
      </c>
      <c r="M122" s="38">
        <f>Table3[[#This Row],[Sales Tickets]]*Table3[[#This Row],[Ticket NS]]</f>
        <v>1645642.4669929226</v>
      </c>
      <c r="N122" s="38">
        <f>'Data Entry'!$D$7</f>
        <v>29000</v>
      </c>
      <c r="O122" s="38">
        <f>Table3[[#This Row],[Sales Forecast]]-Table3[[#This Row],[Capacity NS]]</f>
        <v>5356</v>
      </c>
      <c r="P122" s="38">
        <f>IF(Table3[[#This Row],[Seat Availibility NS]]&gt;0,Table3[[#This Row],[Seat Availibility NS]]*Table3[[#This Row],[Ticket NS]],)</f>
        <v>293802.03510713641</v>
      </c>
      <c r="Q122" s="38">
        <f>Table3[[#This Row],[Revenue NS]]</f>
        <v>1645642.4669929226</v>
      </c>
      <c r="R122" s="38"/>
      <c r="S122" s="38"/>
      <c r="T122" s="42"/>
      <c r="U122" s="57"/>
      <c r="V122" s="6"/>
      <c r="X122"/>
      <c r="Z122"/>
    </row>
    <row r="123" spans="2:26" x14ac:dyDescent="0.25">
      <c r="B123" s="7">
        <v>48335</v>
      </c>
      <c r="C123" s="37">
        <f>'Data Entry'!$E$31</f>
        <v>30000</v>
      </c>
      <c r="D123" s="38">
        <f>$D$118*'Data Entry'!$D$17</f>
        <v>68.568436124705102</v>
      </c>
      <c r="E123" s="39">
        <f>Table3[[#This Row],[Sales Tickets]]*Table3[[#This Row],[Tickets]]*'Data Entry'!$D$19</f>
        <v>18513477.75367038</v>
      </c>
      <c r="F123" s="34">
        <f>'Data Entry'!$D$31</f>
        <v>34356</v>
      </c>
      <c r="G123" s="38">
        <f>Table3[[#This Row],[Sales Forecast]]*Table3[[#This Row],[Tickets]]*'Data Entry'!$D$19</f>
        <v>21201634.723503318</v>
      </c>
      <c r="H123" s="38">
        <f>'Data Entry'!$D$9</f>
        <v>32000</v>
      </c>
      <c r="I123" s="38">
        <f>Table3[[#This Row],[Sales Forecast]]-Table3[[#This Row],[Capacity]]</f>
        <v>2356</v>
      </c>
      <c r="J123" s="38">
        <f>IF(Table3[[#This Row],[Seat availibility]]&gt;0,Table3[[#This Row],[Seat availibility]]*Table3[[#This Row],[Tickets]],)</f>
        <v>161547.23550980521</v>
      </c>
      <c r="K123" s="38">
        <f>Table3[[#This Row],[Revenue]]-Table3[[#This Row],[Payments]]</f>
        <v>18513477.75367038</v>
      </c>
      <c r="L123" s="37">
        <f>$L$118*'Data Entry'!$D$17</f>
        <v>54.854748899764083</v>
      </c>
      <c r="M123" s="38">
        <f>Table3[[#This Row],[Sales Tickets]]*Table3[[#This Row],[Ticket NS]]</f>
        <v>1645642.4669929226</v>
      </c>
      <c r="N123" s="38">
        <f>'Data Entry'!$D$7</f>
        <v>29000</v>
      </c>
      <c r="O123" s="38">
        <f>Table3[[#This Row],[Sales Forecast]]-Table3[[#This Row],[Capacity NS]]</f>
        <v>5356</v>
      </c>
      <c r="P123" s="38">
        <f>IF(Table3[[#This Row],[Seat Availibility NS]]&gt;0,Table3[[#This Row],[Seat Availibility NS]]*Table3[[#This Row],[Ticket NS]],)</f>
        <v>293802.03510713641</v>
      </c>
      <c r="Q123" s="38">
        <f>Table3[[#This Row],[Revenue NS]]</f>
        <v>1645642.4669929226</v>
      </c>
      <c r="R123" s="38"/>
      <c r="S123" s="38"/>
      <c r="T123" s="42"/>
      <c r="U123" s="57"/>
      <c r="V123" s="6"/>
      <c r="X123"/>
      <c r="Z123"/>
    </row>
    <row r="124" spans="2:26" x14ac:dyDescent="0.25">
      <c r="B124" s="7">
        <v>48366</v>
      </c>
      <c r="C124" s="37">
        <f>'Data Entry'!$E$31</f>
        <v>30000</v>
      </c>
      <c r="D124" s="38">
        <f>$D$118*'Data Entry'!$D$17</f>
        <v>68.568436124705102</v>
      </c>
      <c r="E124" s="39">
        <f>Table3[[#This Row],[Sales Tickets]]*Table3[[#This Row],[Tickets]]*'Data Entry'!$D$19</f>
        <v>18513477.75367038</v>
      </c>
      <c r="F124" s="34">
        <f>'Data Entry'!$D$31</f>
        <v>34356</v>
      </c>
      <c r="G124" s="38">
        <f>Table3[[#This Row],[Sales Forecast]]*Table3[[#This Row],[Tickets]]*'Data Entry'!$D$19</f>
        <v>21201634.723503318</v>
      </c>
      <c r="H124" s="38">
        <f>'Data Entry'!$D$9</f>
        <v>32000</v>
      </c>
      <c r="I124" s="38">
        <f>Table3[[#This Row],[Sales Forecast]]-Table3[[#This Row],[Capacity]]</f>
        <v>2356</v>
      </c>
      <c r="J124" s="38">
        <f>IF(Table3[[#This Row],[Seat availibility]]&gt;0,Table3[[#This Row],[Seat availibility]]*Table3[[#This Row],[Tickets]],)</f>
        <v>161547.23550980521</v>
      </c>
      <c r="K124" s="38">
        <f>Table3[[#This Row],[Revenue]]-Table3[[#This Row],[Payments]]</f>
        <v>18513477.75367038</v>
      </c>
      <c r="L124" s="37">
        <f>$L$118*'Data Entry'!$D$17</f>
        <v>54.854748899764083</v>
      </c>
      <c r="M124" s="38">
        <f>Table3[[#This Row],[Sales Tickets]]*Table3[[#This Row],[Ticket NS]]</f>
        <v>1645642.4669929226</v>
      </c>
      <c r="N124" s="38">
        <f>'Data Entry'!$D$7</f>
        <v>29000</v>
      </c>
      <c r="O124" s="38">
        <f>Table3[[#This Row],[Sales Forecast]]-Table3[[#This Row],[Capacity NS]]</f>
        <v>5356</v>
      </c>
      <c r="P124" s="38">
        <f>IF(Table3[[#This Row],[Seat Availibility NS]]&gt;0,Table3[[#This Row],[Seat Availibility NS]]*Table3[[#This Row],[Ticket NS]],)</f>
        <v>293802.03510713641</v>
      </c>
      <c r="Q124" s="38">
        <f>Table3[[#This Row],[Revenue NS]]</f>
        <v>1645642.4669929226</v>
      </c>
      <c r="R124" s="38"/>
      <c r="S124" s="38"/>
      <c r="T124" s="42"/>
      <c r="U124" s="57"/>
      <c r="V124" s="6"/>
      <c r="X124"/>
      <c r="Z124"/>
    </row>
    <row r="125" spans="2:26" x14ac:dyDescent="0.25">
      <c r="B125" s="7">
        <v>48396</v>
      </c>
      <c r="C125" s="37">
        <f>'Data Entry'!$E$31</f>
        <v>30000</v>
      </c>
      <c r="D125" s="38">
        <f>$D$118*'Data Entry'!$D$17</f>
        <v>68.568436124705102</v>
      </c>
      <c r="E125" s="39">
        <f>Table3[[#This Row],[Sales Tickets]]*Table3[[#This Row],[Tickets]]*'Data Entry'!$D$19</f>
        <v>18513477.75367038</v>
      </c>
      <c r="F125" s="34">
        <f>'Data Entry'!$D$31</f>
        <v>34356</v>
      </c>
      <c r="G125" s="38">
        <f>Table3[[#This Row],[Sales Forecast]]*Table3[[#This Row],[Tickets]]*'Data Entry'!$D$19</f>
        <v>21201634.723503318</v>
      </c>
      <c r="H125" s="38">
        <f>'Data Entry'!$D$9</f>
        <v>32000</v>
      </c>
      <c r="I125" s="38">
        <f>Table3[[#This Row],[Sales Forecast]]-Table3[[#This Row],[Capacity]]</f>
        <v>2356</v>
      </c>
      <c r="J125" s="38">
        <f>IF(Table3[[#This Row],[Seat availibility]]&gt;0,Table3[[#This Row],[Seat availibility]]*Table3[[#This Row],[Tickets]],)</f>
        <v>161547.23550980521</v>
      </c>
      <c r="K125" s="38">
        <f>Table3[[#This Row],[Revenue]]-Table3[[#This Row],[Payments]]</f>
        <v>18513477.75367038</v>
      </c>
      <c r="L125" s="37">
        <f>$L$118*'Data Entry'!$D$17</f>
        <v>54.854748899764083</v>
      </c>
      <c r="M125" s="38">
        <f>Table3[[#This Row],[Sales Tickets]]*Table3[[#This Row],[Ticket NS]]</f>
        <v>1645642.4669929226</v>
      </c>
      <c r="N125" s="38">
        <f>'Data Entry'!$D$7</f>
        <v>29000</v>
      </c>
      <c r="O125" s="38">
        <f>Table3[[#This Row],[Sales Forecast]]-Table3[[#This Row],[Capacity NS]]</f>
        <v>5356</v>
      </c>
      <c r="P125" s="38">
        <f>IF(Table3[[#This Row],[Seat Availibility NS]]&gt;0,Table3[[#This Row],[Seat Availibility NS]]*Table3[[#This Row],[Ticket NS]],)</f>
        <v>293802.03510713641</v>
      </c>
      <c r="Q125" s="38">
        <f>Table3[[#This Row],[Revenue NS]]</f>
        <v>1645642.4669929226</v>
      </c>
      <c r="R125" s="38"/>
      <c r="S125" s="38"/>
      <c r="T125" s="42"/>
      <c r="U125" s="57"/>
      <c r="V125" s="6"/>
      <c r="X125"/>
      <c r="Z125"/>
    </row>
    <row r="126" spans="2:26" x14ac:dyDescent="0.25">
      <c r="B126" s="7">
        <v>48427</v>
      </c>
      <c r="C126" s="37">
        <f>'Data Entry'!$E$31</f>
        <v>30000</v>
      </c>
      <c r="D126" s="38">
        <f>$D$118*'Data Entry'!$D$17</f>
        <v>68.568436124705102</v>
      </c>
      <c r="E126" s="39">
        <f>Table3[[#This Row],[Sales Tickets]]*Table3[[#This Row],[Tickets]]*'Data Entry'!$D$19</f>
        <v>18513477.75367038</v>
      </c>
      <c r="F126" s="34">
        <f>'Data Entry'!$D$31</f>
        <v>34356</v>
      </c>
      <c r="G126" s="38">
        <f>Table3[[#This Row],[Sales Forecast]]*Table3[[#This Row],[Tickets]]*'Data Entry'!$D$19</f>
        <v>21201634.723503318</v>
      </c>
      <c r="H126" s="38">
        <f>'Data Entry'!$D$9</f>
        <v>32000</v>
      </c>
      <c r="I126" s="38">
        <f>Table3[[#This Row],[Sales Forecast]]-Table3[[#This Row],[Capacity]]</f>
        <v>2356</v>
      </c>
      <c r="J126" s="38">
        <f>IF(Table3[[#This Row],[Seat availibility]]&gt;0,Table3[[#This Row],[Seat availibility]]*Table3[[#This Row],[Tickets]],)</f>
        <v>161547.23550980521</v>
      </c>
      <c r="K126" s="38">
        <f>Table3[[#This Row],[Revenue]]-Table3[[#This Row],[Payments]]</f>
        <v>18513477.75367038</v>
      </c>
      <c r="L126" s="37">
        <f>$L$118*'Data Entry'!$D$17</f>
        <v>54.854748899764083</v>
      </c>
      <c r="M126" s="38">
        <f>Table3[[#This Row],[Sales Tickets]]*Table3[[#This Row],[Ticket NS]]</f>
        <v>1645642.4669929226</v>
      </c>
      <c r="N126" s="38">
        <f>'Data Entry'!$D$7</f>
        <v>29000</v>
      </c>
      <c r="O126" s="38">
        <f>Table3[[#This Row],[Sales Forecast]]-Table3[[#This Row],[Capacity NS]]</f>
        <v>5356</v>
      </c>
      <c r="P126" s="38">
        <f>IF(Table3[[#This Row],[Seat Availibility NS]]&gt;0,Table3[[#This Row],[Seat Availibility NS]]*Table3[[#This Row],[Ticket NS]],)</f>
        <v>293802.03510713641</v>
      </c>
      <c r="Q126" s="38">
        <f>Table3[[#This Row],[Revenue NS]]</f>
        <v>1645642.4669929226</v>
      </c>
      <c r="R126" s="38"/>
      <c r="S126" s="38"/>
      <c r="T126" s="42"/>
      <c r="U126" s="57"/>
      <c r="V126" s="6"/>
      <c r="X126"/>
      <c r="Z126"/>
    </row>
    <row r="127" spans="2:26" x14ac:dyDescent="0.25">
      <c r="B127" s="7">
        <v>48458</v>
      </c>
      <c r="C127" s="37">
        <f>'Data Entry'!$E$31</f>
        <v>30000</v>
      </c>
      <c r="D127" s="38">
        <f>$D$118*'Data Entry'!$D$17</f>
        <v>68.568436124705102</v>
      </c>
      <c r="E127" s="39">
        <f>Table3[[#This Row],[Sales Tickets]]*Table3[[#This Row],[Tickets]]*'Data Entry'!$D$19</f>
        <v>18513477.75367038</v>
      </c>
      <c r="F127" s="34">
        <f>'Data Entry'!$D$31</f>
        <v>34356</v>
      </c>
      <c r="G127" s="38">
        <f>Table3[[#This Row],[Sales Forecast]]*Table3[[#This Row],[Tickets]]*'Data Entry'!$D$19</f>
        <v>21201634.723503318</v>
      </c>
      <c r="H127" s="38">
        <f>'Data Entry'!$D$9</f>
        <v>32000</v>
      </c>
      <c r="I127" s="38">
        <f>Table3[[#This Row],[Sales Forecast]]-Table3[[#This Row],[Capacity]]</f>
        <v>2356</v>
      </c>
      <c r="J127" s="38">
        <f>IF(Table3[[#This Row],[Seat availibility]]&gt;0,Table3[[#This Row],[Seat availibility]]*Table3[[#This Row],[Tickets]],)</f>
        <v>161547.23550980521</v>
      </c>
      <c r="K127" s="38">
        <f>Table3[[#This Row],[Revenue]]-Table3[[#This Row],[Payments]]</f>
        <v>18513477.75367038</v>
      </c>
      <c r="L127" s="37">
        <f>$L$118*'Data Entry'!$D$17</f>
        <v>54.854748899764083</v>
      </c>
      <c r="M127" s="38">
        <f>Table3[[#This Row],[Sales Tickets]]*Table3[[#This Row],[Ticket NS]]</f>
        <v>1645642.4669929226</v>
      </c>
      <c r="N127" s="38">
        <f>'Data Entry'!$D$7</f>
        <v>29000</v>
      </c>
      <c r="O127" s="38">
        <f>Table3[[#This Row],[Sales Forecast]]-Table3[[#This Row],[Capacity NS]]</f>
        <v>5356</v>
      </c>
      <c r="P127" s="38">
        <f>IF(Table3[[#This Row],[Seat Availibility NS]]&gt;0,Table3[[#This Row],[Seat Availibility NS]]*Table3[[#This Row],[Ticket NS]],)</f>
        <v>293802.03510713641</v>
      </c>
      <c r="Q127" s="38">
        <f>Table3[[#This Row],[Revenue NS]]</f>
        <v>1645642.4669929226</v>
      </c>
      <c r="R127" s="38"/>
      <c r="S127" s="38"/>
      <c r="T127" s="42"/>
      <c r="U127" s="57"/>
      <c r="V127" s="6"/>
      <c r="X127"/>
      <c r="Z127"/>
    </row>
    <row r="128" spans="2:26" x14ac:dyDescent="0.25">
      <c r="B128" s="7">
        <v>48488</v>
      </c>
      <c r="C128" s="37">
        <f>'Data Entry'!$E$31</f>
        <v>30000</v>
      </c>
      <c r="D128" s="38">
        <f>$D$118*'Data Entry'!$D$17</f>
        <v>68.568436124705102</v>
      </c>
      <c r="E128" s="39">
        <f>Table3[[#This Row],[Sales Tickets]]*Table3[[#This Row],[Tickets]]*'Data Entry'!$D$19</f>
        <v>18513477.75367038</v>
      </c>
      <c r="F128" s="34">
        <f>'Data Entry'!$D$31</f>
        <v>34356</v>
      </c>
      <c r="G128" s="38">
        <f>Table3[[#This Row],[Sales Forecast]]*Table3[[#This Row],[Tickets]]*'Data Entry'!$D$19</f>
        <v>21201634.723503318</v>
      </c>
      <c r="H128" s="38">
        <f>'Data Entry'!$D$9</f>
        <v>32000</v>
      </c>
      <c r="I128" s="38">
        <f>Table3[[#This Row],[Sales Forecast]]-Table3[[#This Row],[Capacity]]</f>
        <v>2356</v>
      </c>
      <c r="J128" s="38">
        <f>IF(Table3[[#This Row],[Seat availibility]]&gt;0,Table3[[#This Row],[Seat availibility]]*Table3[[#This Row],[Tickets]],)</f>
        <v>161547.23550980521</v>
      </c>
      <c r="K128" s="38">
        <f>Table3[[#This Row],[Revenue]]-Table3[[#This Row],[Payments]]</f>
        <v>18513477.75367038</v>
      </c>
      <c r="L128" s="37">
        <f>$L$118*'Data Entry'!$D$17</f>
        <v>54.854748899764083</v>
      </c>
      <c r="M128" s="38">
        <f>Table3[[#This Row],[Sales Tickets]]*Table3[[#This Row],[Ticket NS]]</f>
        <v>1645642.4669929226</v>
      </c>
      <c r="N128" s="38">
        <f>'Data Entry'!$D$7</f>
        <v>29000</v>
      </c>
      <c r="O128" s="38">
        <f>Table3[[#This Row],[Sales Forecast]]-Table3[[#This Row],[Capacity NS]]</f>
        <v>5356</v>
      </c>
      <c r="P128" s="38">
        <f>IF(Table3[[#This Row],[Seat Availibility NS]]&gt;0,Table3[[#This Row],[Seat Availibility NS]]*Table3[[#This Row],[Ticket NS]],)</f>
        <v>293802.03510713641</v>
      </c>
      <c r="Q128" s="38">
        <f>Table3[[#This Row],[Revenue NS]]</f>
        <v>1645642.4669929226</v>
      </c>
      <c r="R128" s="38"/>
      <c r="S128" s="38"/>
      <c r="T128" s="42"/>
      <c r="U128" s="57"/>
      <c r="V128" s="6"/>
      <c r="X128"/>
      <c r="Z128"/>
    </row>
    <row r="129" spans="2:26" x14ac:dyDescent="0.25">
      <c r="B129" s="7">
        <v>48519</v>
      </c>
      <c r="C129" s="37">
        <f>'Data Entry'!$E$31</f>
        <v>30000</v>
      </c>
      <c r="D129" s="38">
        <f>$D$118*'Data Entry'!$D$17</f>
        <v>68.568436124705102</v>
      </c>
      <c r="E129" s="39">
        <f>Table3[[#This Row],[Sales Tickets]]*Table3[[#This Row],[Tickets]]*'Data Entry'!$D$19</f>
        <v>18513477.75367038</v>
      </c>
      <c r="F129" s="34">
        <f>'Data Entry'!$D$31</f>
        <v>34356</v>
      </c>
      <c r="G129" s="38">
        <f>Table3[[#This Row],[Sales Forecast]]*Table3[[#This Row],[Tickets]]*'Data Entry'!$D$19</f>
        <v>21201634.723503318</v>
      </c>
      <c r="H129" s="38">
        <f>'Data Entry'!$D$9</f>
        <v>32000</v>
      </c>
      <c r="I129" s="38">
        <f>Table3[[#This Row],[Sales Forecast]]-Table3[[#This Row],[Capacity]]</f>
        <v>2356</v>
      </c>
      <c r="J129" s="38">
        <f>IF(Table3[[#This Row],[Seat availibility]]&gt;0,Table3[[#This Row],[Seat availibility]]*Table3[[#This Row],[Tickets]],)</f>
        <v>161547.23550980521</v>
      </c>
      <c r="K129" s="38">
        <f>Table3[[#This Row],[Revenue]]-Table3[[#This Row],[Payments]]</f>
        <v>18513477.75367038</v>
      </c>
      <c r="L129" s="37">
        <f>$L$118*'Data Entry'!$D$17</f>
        <v>54.854748899764083</v>
      </c>
      <c r="M129" s="38">
        <f>Table3[[#This Row],[Sales Tickets]]*Table3[[#This Row],[Ticket NS]]</f>
        <v>1645642.4669929226</v>
      </c>
      <c r="N129" s="38">
        <f>'Data Entry'!$D$7</f>
        <v>29000</v>
      </c>
      <c r="O129" s="38">
        <f>Table3[[#This Row],[Sales Forecast]]-Table3[[#This Row],[Capacity NS]]</f>
        <v>5356</v>
      </c>
      <c r="P129" s="38">
        <f>IF(Table3[[#This Row],[Seat Availibility NS]]&gt;0,Table3[[#This Row],[Seat Availibility NS]]*Table3[[#This Row],[Ticket NS]],)</f>
        <v>293802.03510713641</v>
      </c>
      <c r="Q129" s="38">
        <f>Table3[[#This Row],[Revenue NS]]</f>
        <v>1645642.4669929226</v>
      </c>
      <c r="R129" s="38"/>
      <c r="S129" s="38"/>
      <c r="T129" s="42"/>
      <c r="U129" s="57"/>
      <c r="V129" s="6"/>
      <c r="X129"/>
      <c r="Z129"/>
    </row>
    <row r="130" spans="2:26" x14ac:dyDescent="0.25">
      <c r="B130" s="7">
        <v>48549</v>
      </c>
      <c r="C130" s="37">
        <v>0</v>
      </c>
      <c r="D130" s="38">
        <f>$D$118*'Data Entry'!$D$17</f>
        <v>68.568436124705102</v>
      </c>
      <c r="E130" s="39">
        <v>0</v>
      </c>
      <c r="F130" s="38">
        <v>0</v>
      </c>
      <c r="G130" s="38">
        <f>Table3[[#This Row],[Sales Forecast]]*Table3[[#This Row],[Tickets]]</f>
        <v>0</v>
      </c>
      <c r="H130" s="38">
        <f>'Data Entry'!$D$9</f>
        <v>32000</v>
      </c>
      <c r="I130" s="38">
        <f>Table3[[#This Row],[Sales Forecast]]*Table3[[#This Row],[Tickets]]</f>
        <v>0</v>
      </c>
      <c r="J130" s="38">
        <f>IF(Table3[[#This Row],[Seat availibility]]&gt;0,Table3[[#This Row],[Seat availibility]]*Table3[[#This Row],[Tickets]],)</f>
        <v>0</v>
      </c>
      <c r="K130" s="38">
        <f>Table3[[#This Row],[Revenue]]-Table3[[#This Row],[Payments]]</f>
        <v>0</v>
      </c>
      <c r="L130" s="37">
        <f>$L$118*'Data Entry'!$D$17</f>
        <v>54.854748899764083</v>
      </c>
      <c r="M130" s="38">
        <f>Table3[[#This Row],[Sales Tickets]]*Table3[[#This Row],[Ticket NS]]</f>
        <v>0</v>
      </c>
      <c r="N130" s="38">
        <f>'Data Entry'!$D$7</f>
        <v>29000</v>
      </c>
      <c r="O130" s="38">
        <f>Table3[[#This Row],[Sales Forecast]]-Table3[[#This Row],[Capacity NS]]</f>
        <v>-29000</v>
      </c>
      <c r="P130" s="38">
        <f>IF(Table3[[#This Row],[Seat Availibility NS]]&gt;0,Table3[[#This Row],[Seat Availibility NS]]*Table3[[#This Row],[Ticket NS]],)</f>
        <v>0</v>
      </c>
      <c r="Q130" s="38">
        <f>Table3[[#This Row],[Revenue NS]]</f>
        <v>0</v>
      </c>
      <c r="R130" s="38">
        <f>NPV('Data Entry'!$D$42/12,K120:K130)+K119</f>
        <v>136674093.0957956</v>
      </c>
      <c r="S130" s="38">
        <f>NPV('Data Entry'!D150/12,Q120:Q130)+Q119</f>
        <v>13165139.735943379</v>
      </c>
      <c r="T130" s="42"/>
      <c r="U130" s="57"/>
      <c r="V130" s="6"/>
      <c r="X130"/>
      <c r="Z130"/>
    </row>
    <row r="131" spans="2:26" x14ac:dyDescent="0.25">
      <c r="B131" s="7">
        <v>48580</v>
      </c>
      <c r="C131" s="43">
        <v>0</v>
      </c>
      <c r="D131" s="38">
        <f>$D$130*'Data Entry'!$D$17</f>
        <v>69.939804847199198</v>
      </c>
      <c r="E131" s="35">
        <v>0</v>
      </c>
      <c r="F131" s="34">
        <v>0</v>
      </c>
      <c r="G131" s="38">
        <f>Table3[[#This Row],[Sales Forecast]]*Table3[[#This Row],[Tickets]]</f>
        <v>0</v>
      </c>
      <c r="H131" s="38">
        <f>'Data Entry'!$D$9</f>
        <v>32000</v>
      </c>
      <c r="I131" s="38">
        <f>Table3[[#This Row],[Sales Forecast]]*Table3[[#This Row],[Tickets]]</f>
        <v>0</v>
      </c>
      <c r="J131" s="38">
        <f>IF(Table3[[#This Row],[Seat availibility]]&gt;0,Table3[[#This Row],[Seat availibility]]*Table3[[#This Row],[Tickets]],)</f>
        <v>0</v>
      </c>
      <c r="K131" s="38">
        <f>Table3[[#This Row],[Revenue]]-Table3[[#This Row],[Payments]]</f>
        <v>0</v>
      </c>
      <c r="L131" s="37">
        <f>$L$130*'Data Entry'!$D$17</f>
        <v>55.951843877759366</v>
      </c>
      <c r="M131" s="38">
        <f>Table3[[#This Row],[Sales Tickets]]*Table3[[#This Row],[Ticket NS]]</f>
        <v>0</v>
      </c>
      <c r="N131" s="38">
        <f>'Data Entry'!$D$7</f>
        <v>29000</v>
      </c>
      <c r="O131" s="38">
        <f>Table3[[#This Row],[Sales Forecast]]-Table3[[#This Row],[Capacity NS]]</f>
        <v>-29000</v>
      </c>
      <c r="P131" s="38">
        <f>IF(Table3[[#This Row],[Seat Availibility NS]]&gt;0,Table3[[#This Row],[Seat Availibility NS]]*Table3[[#This Row],[Ticket NS]],)</f>
        <v>0</v>
      </c>
      <c r="Q131" s="38">
        <f>Table3[[#This Row],[Revenue NS]]</f>
        <v>0</v>
      </c>
      <c r="R131" s="38"/>
      <c r="S131" s="38"/>
      <c r="T131" s="44"/>
      <c r="U131" s="56"/>
      <c r="V131" s="6"/>
      <c r="X131"/>
      <c r="Z131"/>
    </row>
    <row r="132" spans="2:26" x14ac:dyDescent="0.25">
      <c r="B132" s="7">
        <v>48611</v>
      </c>
      <c r="C132" s="43">
        <v>0</v>
      </c>
      <c r="D132" s="38">
        <f>$D$130*'Data Entry'!$D$17</f>
        <v>69.939804847199198</v>
      </c>
      <c r="E132" s="35">
        <v>0</v>
      </c>
      <c r="F132" s="34">
        <v>0</v>
      </c>
      <c r="G132" s="38">
        <f>Table3[[#This Row],[Sales Forecast]]*Table3[[#This Row],[Tickets]]</f>
        <v>0</v>
      </c>
      <c r="H132" s="38">
        <f>'Data Entry'!$D$9</f>
        <v>32000</v>
      </c>
      <c r="I132" s="38">
        <f>Table3[[#This Row],[Sales Forecast]]*Table3[[#This Row],[Tickets]]</f>
        <v>0</v>
      </c>
      <c r="J132" s="38">
        <f>IF(Table3[[#This Row],[Seat availibility]]&gt;0,Table3[[#This Row],[Seat availibility]]*Table3[[#This Row],[Tickets]],)</f>
        <v>0</v>
      </c>
      <c r="K132" s="38">
        <f>Table3[[#This Row],[Revenue]]-Table3[[#This Row],[Payments]]</f>
        <v>0</v>
      </c>
      <c r="L132" s="37">
        <f>$L$131*'Data Entry'!$D$17</f>
        <v>57.070880755314555</v>
      </c>
      <c r="M132" s="38">
        <f>Table3[[#This Row],[Sales Tickets]]*Table3[[#This Row],[Ticket NS]]</f>
        <v>0</v>
      </c>
      <c r="N132" s="38">
        <f>'Data Entry'!$D$7</f>
        <v>29000</v>
      </c>
      <c r="O132" s="38">
        <f>Table3[[#This Row],[Sales Forecast]]-Table3[[#This Row],[Capacity NS]]</f>
        <v>-29000</v>
      </c>
      <c r="P132" s="38">
        <f>IF(Table3[[#This Row],[Seat Availibility NS]]&gt;0,Table3[[#This Row],[Seat Availibility NS]]*Table3[[#This Row],[Ticket NS]],)</f>
        <v>0</v>
      </c>
      <c r="Q132" s="38">
        <f>Table3[[#This Row],[Revenue NS]]</f>
        <v>0</v>
      </c>
      <c r="R132" s="38"/>
      <c r="S132" s="38"/>
      <c r="T132" s="44"/>
      <c r="U132" s="56"/>
      <c r="V132" s="6"/>
      <c r="X132"/>
      <c r="Z132"/>
    </row>
    <row r="133" spans="2:26" x14ac:dyDescent="0.25">
      <c r="B133" s="7">
        <v>48639</v>
      </c>
      <c r="C133" s="43">
        <v>0</v>
      </c>
      <c r="D133" s="38">
        <f>$D$130*'Data Entry'!$D$17</f>
        <v>69.939804847199198</v>
      </c>
      <c r="E133" s="35">
        <v>0</v>
      </c>
      <c r="F133" s="34">
        <v>0</v>
      </c>
      <c r="G133" s="38">
        <f>Table3[[#This Row],[Sales Forecast]]*Table3[[#This Row],[Tickets]]</f>
        <v>0</v>
      </c>
      <c r="H133" s="38">
        <f>'Data Entry'!$D$9</f>
        <v>32000</v>
      </c>
      <c r="I133" s="38">
        <f>Table3[[#This Row],[Sales Forecast]]*Table3[[#This Row],[Tickets]]</f>
        <v>0</v>
      </c>
      <c r="J133" s="38">
        <f>IF(Table3[[#This Row],[Seat availibility]]&gt;0,Table3[[#This Row],[Seat availibility]]*Table3[[#This Row],[Tickets]],)</f>
        <v>0</v>
      </c>
      <c r="K133" s="38">
        <f>Table3[[#This Row],[Revenue]]-Table3[[#This Row],[Payments]]</f>
        <v>0</v>
      </c>
      <c r="L133" s="37">
        <f>$L$131*'Data Entry'!$D$17</f>
        <v>57.070880755314555</v>
      </c>
      <c r="M133" s="38">
        <f>Table3[[#This Row],[Sales Tickets]]*Table3[[#This Row],[Ticket NS]]</f>
        <v>0</v>
      </c>
      <c r="N133" s="38">
        <f>'Data Entry'!$D$7</f>
        <v>29000</v>
      </c>
      <c r="O133" s="38">
        <f>Table3[[#This Row],[Sales Forecast]]-Table3[[#This Row],[Capacity NS]]</f>
        <v>-29000</v>
      </c>
      <c r="P133" s="38">
        <f>IF(Table3[[#This Row],[Seat Availibility NS]]&gt;0,Table3[[#This Row],[Seat Availibility NS]]*Table3[[#This Row],[Ticket NS]],)</f>
        <v>0</v>
      </c>
      <c r="Q133" s="38">
        <f>Table3[[#This Row],[Revenue NS]]</f>
        <v>0</v>
      </c>
      <c r="R133" s="38"/>
      <c r="S133" s="38"/>
      <c r="T133" s="44"/>
      <c r="U133" s="56"/>
      <c r="V133" s="6"/>
      <c r="X133"/>
      <c r="Z133"/>
    </row>
    <row r="134" spans="2:26" x14ac:dyDescent="0.25">
      <c r="B134" s="7">
        <v>48670</v>
      </c>
      <c r="C134" s="37">
        <f>'Data Entry'!$E$32</f>
        <v>30000</v>
      </c>
      <c r="D134" s="38">
        <f>$D$130*'Data Entry'!$D$17</f>
        <v>69.939804847199198</v>
      </c>
      <c r="E134" s="39">
        <f>Table3[[#This Row],[Sales Tickets]]*Table3[[#This Row],[Tickets]]*'Data Entry'!$D$19</f>
        <v>18883747.308743786</v>
      </c>
      <c r="F134" s="34">
        <f>'Data Entry'!$D$32</f>
        <v>35387</v>
      </c>
      <c r="G134" s="38">
        <f>Table3[[#This Row],[Sales Forecast]]*Table3[[#This Row],[Tickets]]*'Data Entry'!$D$19</f>
        <v>22274638.867150541</v>
      </c>
      <c r="H134" s="38">
        <f>'Data Entry'!$D$9</f>
        <v>32000</v>
      </c>
      <c r="I134" s="38">
        <f>Table3[[#This Row],[Sales Forecast]]-Table3[[#This Row],[Capacity]]</f>
        <v>3387</v>
      </c>
      <c r="J134" s="38">
        <f>IF(Table3[[#This Row],[Seat availibility]]&gt;0,Table3[[#This Row],[Seat availibility]]*Table3[[#This Row],[Tickets]],)</f>
        <v>236886.11901746367</v>
      </c>
      <c r="K134" s="38">
        <f>Table3[[#This Row],[Revenue]]-Table3[[#This Row],[Payments]]</f>
        <v>18883747.308743786</v>
      </c>
      <c r="L134" s="37">
        <f>$L$131*'Data Entry'!$D$17</f>
        <v>57.070880755314555</v>
      </c>
      <c r="M134" s="38">
        <f>Table3[[#This Row],[Sales Tickets]]*Table3[[#This Row],[Ticket NS]]</f>
        <v>1712126.4226594367</v>
      </c>
      <c r="N134" s="38">
        <f>'Data Entry'!$D$7</f>
        <v>29000</v>
      </c>
      <c r="O134" s="38">
        <f>Table3[[#This Row],[Sales Forecast]]-Table3[[#This Row],[Capacity NS]]</f>
        <v>6387</v>
      </c>
      <c r="P134" s="38">
        <f>IF(Table3[[#This Row],[Seat Availibility NS]]&gt;0,Table3[[#This Row],[Seat Availibility NS]]*Table3[[#This Row],[Ticket NS]],)</f>
        <v>364511.71538419405</v>
      </c>
      <c r="Q134" s="38">
        <f>Table3[[#This Row],[Revenue NS]]</f>
        <v>1712126.4226594367</v>
      </c>
      <c r="R134" s="38"/>
      <c r="S134" s="38"/>
      <c r="T134" s="42"/>
      <c r="U134" s="57"/>
      <c r="V134" s="6"/>
      <c r="X134"/>
      <c r="Z134"/>
    </row>
    <row r="135" spans="2:26" x14ac:dyDescent="0.25">
      <c r="B135" s="7">
        <v>48700</v>
      </c>
      <c r="C135" s="37">
        <f>'Data Entry'!$E$32</f>
        <v>30000</v>
      </c>
      <c r="D135" s="38">
        <f>$D$130*'Data Entry'!$D$17</f>
        <v>69.939804847199198</v>
      </c>
      <c r="E135" s="39">
        <f>Table3[[#This Row],[Sales Tickets]]*Table3[[#This Row],[Tickets]]*'Data Entry'!$D$19</f>
        <v>18883747.308743786</v>
      </c>
      <c r="F135" s="34">
        <f>'Data Entry'!$D$32</f>
        <v>35387</v>
      </c>
      <c r="G135" s="38">
        <f>Table3[[#This Row],[Sales Forecast]]*Table3[[#This Row],[Tickets]]*'Data Entry'!$D$19</f>
        <v>22274638.867150541</v>
      </c>
      <c r="H135" s="38">
        <f>'Data Entry'!$D$9</f>
        <v>32000</v>
      </c>
      <c r="I135" s="38">
        <f>Table3[[#This Row],[Sales Forecast]]-Table3[[#This Row],[Capacity]]</f>
        <v>3387</v>
      </c>
      <c r="J135" s="38">
        <f>IF(Table3[[#This Row],[Seat availibility]]&gt;0,Table3[[#This Row],[Seat availibility]]*Table3[[#This Row],[Tickets]],)</f>
        <v>236886.11901746367</v>
      </c>
      <c r="K135" s="38">
        <f>Table3[[#This Row],[Revenue]]-Table3[[#This Row],[Payments]]</f>
        <v>18883747.308743786</v>
      </c>
      <c r="L135" s="37">
        <f>$L$131*'Data Entry'!$D$17</f>
        <v>57.070880755314555</v>
      </c>
      <c r="M135" s="38">
        <f>Table3[[#This Row],[Sales Tickets]]*Table3[[#This Row],[Ticket NS]]</f>
        <v>1712126.4226594367</v>
      </c>
      <c r="N135" s="38">
        <f>'Data Entry'!$D$7</f>
        <v>29000</v>
      </c>
      <c r="O135" s="38">
        <f>Table3[[#This Row],[Sales Forecast]]-Table3[[#This Row],[Capacity NS]]</f>
        <v>6387</v>
      </c>
      <c r="P135" s="38">
        <f>IF(Table3[[#This Row],[Seat Availibility NS]]&gt;0,Table3[[#This Row],[Seat Availibility NS]]*Table3[[#This Row],[Ticket NS]],)</f>
        <v>364511.71538419405</v>
      </c>
      <c r="Q135" s="38">
        <f>Table3[[#This Row],[Revenue NS]]</f>
        <v>1712126.4226594367</v>
      </c>
      <c r="R135" s="38"/>
      <c r="S135" s="38"/>
      <c r="T135" s="42"/>
      <c r="U135" s="57"/>
      <c r="V135" s="6"/>
      <c r="X135"/>
      <c r="Z135"/>
    </row>
    <row r="136" spans="2:26" x14ac:dyDescent="0.25">
      <c r="B136" s="7">
        <v>48731</v>
      </c>
      <c r="C136" s="37">
        <f>'Data Entry'!$E$32</f>
        <v>30000</v>
      </c>
      <c r="D136" s="38">
        <f>$D$130*'Data Entry'!$D$17</f>
        <v>69.939804847199198</v>
      </c>
      <c r="E136" s="39">
        <f>Table3[[#This Row],[Sales Tickets]]*Table3[[#This Row],[Tickets]]*'Data Entry'!$D$19</f>
        <v>18883747.308743786</v>
      </c>
      <c r="F136" s="34">
        <f>'Data Entry'!$D$32</f>
        <v>35387</v>
      </c>
      <c r="G136" s="38">
        <f>Table3[[#This Row],[Sales Forecast]]*Table3[[#This Row],[Tickets]]*'Data Entry'!$D$19</f>
        <v>22274638.867150541</v>
      </c>
      <c r="H136" s="38">
        <f>'Data Entry'!$D$9</f>
        <v>32000</v>
      </c>
      <c r="I136" s="38">
        <f>Table3[[#This Row],[Sales Forecast]]-Table3[[#This Row],[Capacity]]</f>
        <v>3387</v>
      </c>
      <c r="J136" s="38">
        <f>IF(Table3[[#This Row],[Seat availibility]]&gt;0,Table3[[#This Row],[Seat availibility]]*Table3[[#This Row],[Tickets]],)</f>
        <v>236886.11901746367</v>
      </c>
      <c r="K136" s="38">
        <f>Table3[[#This Row],[Revenue]]-Table3[[#This Row],[Payments]]</f>
        <v>18883747.308743786</v>
      </c>
      <c r="L136" s="37">
        <f>$L$131*'Data Entry'!$D$17</f>
        <v>57.070880755314555</v>
      </c>
      <c r="M136" s="38">
        <f>Table3[[#This Row],[Sales Tickets]]*Table3[[#This Row],[Ticket NS]]</f>
        <v>1712126.4226594367</v>
      </c>
      <c r="N136" s="38">
        <f>'Data Entry'!$D$7</f>
        <v>29000</v>
      </c>
      <c r="O136" s="38">
        <f>Table3[[#This Row],[Sales Forecast]]-Table3[[#This Row],[Capacity NS]]</f>
        <v>6387</v>
      </c>
      <c r="P136" s="38">
        <f>IF(Table3[[#This Row],[Seat Availibility NS]]&gt;0,Table3[[#This Row],[Seat Availibility NS]]*Table3[[#This Row],[Ticket NS]],)</f>
        <v>364511.71538419405</v>
      </c>
      <c r="Q136" s="38">
        <f>Table3[[#This Row],[Revenue NS]]</f>
        <v>1712126.4226594367</v>
      </c>
      <c r="R136" s="38"/>
      <c r="S136" s="38"/>
      <c r="T136" s="42"/>
      <c r="U136" s="57"/>
      <c r="V136" s="6"/>
      <c r="X136"/>
      <c r="Z136"/>
    </row>
    <row r="137" spans="2:26" x14ac:dyDescent="0.25">
      <c r="B137" s="7">
        <v>48761</v>
      </c>
      <c r="C137" s="37">
        <f>'Data Entry'!$E$32</f>
        <v>30000</v>
      </c>
      <c r="D137" s="38">
        <f>$D$130*'Data Entry'!$D$17</f>
        <v>69.939804847199198</v>
      </c>
      <c r="E137" s="39">
        <f>Table3[[#This Row],[Sales Tickets]]*Table3[[#This Row],[Tickets]]*'Data Entry'!$D$19</f>
        <v>18883747.308743786</v>
      </c>
      <c r="F137" s="34">
        <f>'Data Entry'!$D$32</f>
        <v>35387</v>
      </c>
      <c r="G137" s="38">
        <f>Table3[[#This Row],[Sales Forecast]]*Table3[[#This Row],[Tickets]]*'Data Entry'!$D$19</f>
        <v>22274638.867150541</v>
      </c>
      <c r="H137" s="38">
        <f>'Data Entry'!$D$9</f>
        <v>32000</v>
      </c>
      <c r="I137" s="38">
        <f>Table3[[#This Row],[Sales Forecast]]-Table3[[#This Row],[Capacity]]</f>
        <v>3387</v>
      </c>
      <c r="J137" s="38">
        <f>IF(Table3[[#This Row],[Seat availibility]]&gt;0,Table3[[#This Row],[Seat availibility]]*Table3[[#This Row],[Tickets]],)</f>
        <v>236886.11901746367</v>
      </c>
      <c r="K137" s="38">
        <f>Table3[[#This Row],[Revenue]]-Table3[[#This Row],[Payments]]</f>
        <v>18883747.308743786</v>
      </c>
      <c r="L137" s="37">
        <f>$L$131*'Data Entry'!$D$17</f>
        <v>57.070880755314555</v>
      </c>
      <c r="M137" s="38">
        <f>Table3[[#This Row],[Sales Tickets]]*Table3[[#This Row],[Ticket NS]]</f>
        <v>1712126.4226594367</v>
      </c>
      <c r="N137" s="38">
        <f>'Data Entry'!$D$7</f>
        <v>29000</v>
      </c>
      <c r="O137" s="38">
        <f>Table3[[#This Row],[Sales Forecast]]-Table3[[#This Row],[Capacity NS]]</f>
        <v>6387</v>
      </c>
      <c r="P137" s="38">
        <f>IF(Table3[[#This Row],[Seat Availibility NS]]&gt;0,Table3[[#This Row],[Seat Availibility NS]]*Table3[[#This Row],[Ticket NS]],)</f>
        <v>364511.71538419405</v>
      </c>
      <c r="Q137" s="38">
        <f>Table3[[#This Row],[Revenue NS]]</f>
        <v>1712126.4226594367</v>
      </c>
      <c r="R137" s="38"/>
      <c r="S137" s="38"/>
      <c r="T137" s="42"/>
      <c r="U137" s="57"/>
      <c r="V137" s="6"/>
      <c r="X137"/>
      <c r="Z137"/>
    </row>
    <row r="138" spans="2:26" x14ac:dyDescent="0.25">
      <c r="B138" s="7">
        <v>48792</v>
      </c>
      <c r="C138" s="37">
        <f>'Data Entry'!$E$32</f>
        <v>30000</v>
      </c>
      <c r="D138" s="38">
        <f>$D$130*'Data Entry'!$D$17</f>
        <v>69.939804847199198</v>
      </c>
      <c r="E138" s="39">
        <f>Table3[[#This Row],[Sales Tickets]]*Table3[[#This Row],[Tickets]]*'Data Entry'!$D$19</f>
        <v>18883747.308743786</v>
      </c>
      <c r="F138" s="34">
        <f>'Data Entry'!$D$32</f>
        <v>35387</v>
      </c>
      <c r="G138" s="38">
        <f>Table3[[#This Row],[Sales Forecast]]*Table3[[#This Row],[Tickets]]*'Data Entry'!$D$19</f>
        <v>22274638.867150541</v>
      </c>
      <c r="H138" s="38">
        <f>'Data Entry'!$D$9</f>
        <v>32000</v>
      </c>
      <c r="I138" s="38">
        <f>Table3[[#This Row],[Sales Forecast]]-Table3[[#This Row],[Capacity]]</f>
        <v>3387</v>
      </c>
      <c r="J138" s="38">
        <f>IF(Table3[[#This Row],[Seat availibility]]&gt;0,Table3[[#This Row],[Seat availibility]]*Table3[[#This Row],[Tickets]],)</f>
        <v>236886.11901746367</v>
      </c>
      <c r="K138" s="38">
        <f>Table3[[#This Row],[Revenue]]-Table3[[#This Row],[Payments]]</f>
        <v>18883747.308743786</v>
      </c>
      <c r="L138" s="37">
        <f>$L$131*'Data Entry'!$D$17</f>
        <v>57.070880755314555</v>
      </c>
      <c r="M138" s="38">
        <f>Table3[[#This Row],[Sales Tickets]]*Table3[[#This Row],[Ticket NS]]</f>
        <v>1712126.4226594367</v>
      </c>
      <c r="N138" s="38">
        <f>'Data Entry'!$D$7</f>
        <v>29000</v>
      </c>
      <c r="O138" s="38">
        <f>Table3[[#This Row],[Sales Forecast]]-Table3[[#This Row],[Capacity NS]]</f>
        <v>6387</v>
      </c>
      <c r="P138" s="38">
        <f>IF(Table3[[#This Row],[Seat Availibility NS]]&gt;0,Table3[[#This Row],[Seat Availibility NS]]*Table3[[#This Row],[Ticket NS]],)</f>
        <v>364511.71538419405</v>
      </c>
      <c r="Q138" s="38">
        <f>Table3[[#This Row],[Revenue NS]]</f>
        <v>1712126.4226594367</v>
      </c>
      <c r="R138" s="38"/>
      <c r="S138" s="38"/>
      <c r="T138" s="42"/>
      <c r="U138" s="57"/>
      <c r="V138" s="6"/>
      <c r="X138"/>
      <c r="Z138"/>
    </row>
    <row r="139" spans="2:26" x14ac:dyDescent="0.25">
      <c r="B139" s="7">
        <v>48823</v>
      </c>
      <c r="C139" s="37">
        <f>'Data Entry'!$E$32</f>
        <v>30000</v>
      </c>
      <c r="D139" s="38">
        <f>$D$130*'Data Entry'!$D$17</f>
        <v>69.939804847199198</v>
      </c>
      <c r="E139" s="39">
        <f>Table3[[#This Row],[Sales Tickets]]*Table3[[#This Row],[Tickets]]*'Data Entry'!$D$19</f>
        <v>18883747.308743786</v>
      </c>
      <c r="F139" s="34">
        <f>'Data Entry'!$D$32</f>
        <v>35387</v>
      </c>
      <c r="G139" s="38">
        <f>Table3[[#This Row],[Sales Forecast]]*Table3[[#This Row],[Tickets]]*'Data Entry'!$D$19</f>
        <v>22274638.867150541</v>
      </c>
      <c r="H139" s="38">
        <f>'Data Entry'!$D$9</f>
        <v>32000</v>
      </c>
      <c r="I139" s="38">
        <f>Table3[[#This Row],[Sales Forecast]]-Table3[[#This Row],[Capacity]]</f>
        <v>3387</v>
      </c>
      <c r="J139" s="38">
        <f>IF(Table3[[#This Row],[Seat availibility]]&gt;0,Table3[[#This Row],[Seat availibility]]*Table3[[#This Row],[Tickets]],)</f>
        <v>236886.11901746367</v>
      </c>
      <c r="K139" s="38">
        <f>Table3[[#This Row],[Revenue]]-Table3[[#This Row],[Payments]]</f>
        <v>18883747.308743786</v>
      </c>
      <c r="L139" s="37">
        <f>$L$131*'Data Entry'!$D$17</f>
        <v>57.070880755314555</v>
      </c>
      <c r="M139" s="38">
        <f>Table3[[#This Row],[Sales Tickets]]*Table3[[#This Row],[Ticket NS]]</f>
        <v>1712126.4226594367</v>
      </c>
      <c r="N139" s="38">
        <f>'Data Entry'!$D$7</f>
        <v>29000</v>
      </c>
      <c r="O139" s="38">
        <f>Table3[[#This Row],[Sales Forecast]]-Table3[[#This Row],[Capacity NS]]</f>
        <v>6387</v>
      </c>
      <c r="P139" s="38">
        <f>IF(Table3[[#This Row],[Seat Availibility NS]]&gt;0,Table3[[#This Row],[Seat Availibility NS]]*Table3[[#This Row],[Ticket NS]],)</f>
        <v>364511.71538419405</v>
      </c>
      <c r="Q139" s="38">
        <f>Table3[[#This Row],[Revenue NS]]</f>
        <v>1712126.4226594367</v>
      </c>
      <c r="R139" s="38"/>
      <c r="S139" s="38"/>
      <c r="T139" s="42"/>
      <c r="U139" s="57"/>
      <c r="V139" s="6"/>
      <c r="X139"/>
      <c r="Z139"/>
    </row>
    <row r="140" spans="2:26" x14ac:dyDescent="0.25">
      <c r="B140" s="7">
        <v>48853</v>
      </c>
      <c r="C140" s="37">
        <f>'Data Entry'!$E$32</f>
        <v>30000</v>
      </c>
      <c r="D140" s="38">
        <f>$D$130*'Data Entry'!$D$17</f>
        <v>69.939804847199198</v>
      </c>
      <c r="E140" s="39">
        <f>Table3[[#This Row],[Sales Tickets]]*Table3[[#This Row],[Tickets]]*'Data Entry'!$D$19</f>
        <v>18883747.308743786</v>
      </c>
      <c r="F140" s="34">
        <f>'Data Entry'!$D$32</f>
        <v>35387</v>
      </c>
      <c r="G140" s="38">
        <f>Table3[[#This Row],[Sales Forecast]]*Table3[[#This Row],[Tickets]]*'Data Entry'!$D$19</f>
        <v>22274638.867150541</v>
      </c>
      <c r="H140" s="38">
        <f>'Data Entry'!$D$9</f>
        <v>32000</v>
      </c>
      <c r="I140" s="38">
        <f>Table3[[#This Row],[Sales Forecast]]-Table3[[#This Row],[Capacity]]</f>
        <v>3387</v>
      </c>
      <c r="J140" s="38">
        <f>IF(Table3[[#This Row],[Seat availibility]]&gt;0,Table3[[#This Row],[Seat availibility]]*Table3[[#This Row],[Tickets]],)</f>
        <v>236886.11901746367</v>
      </c>
      <c r="K140" s="38">
        <f>Table3[[#This Row],[Revenue]]-Table3[[#This Row],[Payments]]</f>
        <v>18883747.308743786</v>
      </c>
      <c r="L140" s="37">
        <f>$L$131*'Data Entry'!$D$17</f>
        <v>57.070880755314555</v>
      </c>
      <c r="M140" s="38">
        <f>Table3[[#This Row],[Sales Tickets]]*Table3[[#This Row],[Ticket NS]]</f>
        <v>1712126.4226594367</v>
      </c>
      <c r="N140" s="38">
        <f>'Data Entry'!$D$7</f>
        <v>29000</v>
      </c>
      <c r="O140" s="38">
        <f>Table3[[#This Row],[Sales Forecast]]-Table3[[#This Row],[Capacity NS]]</f>
        <v>6387</v>
      </c>
      <c r="P140" s="38">
        <f>IF(Table3[[#This Row],[Seat Availibility NS]]&gt;0,Table3[[#This Row],[Seat Availibility NS]]*Table3[[#This Row],[Ticket NS]],)</f>
        <v>364511.71538419405</v>
      </c>
      <c r="Q140" s="38">
        <f>Table3[[#This Row],[Revenue NS]]</f>
        <v>1712126.4226594367</v>
      </c>
      <c r="R140" s="38"/>
      <c r="S140" s="38"/>
      <c r="T140" s="42"/>
      <c r="U140" s="57"/>
      <c r="V140" s="6"/>
      <c r="X140"/>
      <c r="Z140"/>
    </row>
    <row r="141" spans="2:26" x14ac:dyDescent="0.25">
      <c r="B141" s="7">
        <v>48884</v>
      </c>
      <c r="C141" s="37">
        <f>'Data Entry'!$E$32</f>
        <v>30000</v>
      </c>
      <c r="D141" s="38">
        <f>$D$130*'Data Entry'!$D$17</f>
        <v>69.939804847199198</v>
      </c>
      <c r="E141" s="39">
        <f>Table3[[#This Row],[Sales Tickets]]*Table3[[#This Row],[Tickets]]*'Data Entry'!$D$19</f>
        <v>18883747.308743786</v>
      </c>
      <c r="F141" s="34">
        <f>'Data Entry'!$D$32</f>
        <v>35387</v>
      </c>
      <c r="G141" s="38">
        <f>Table3[[#This Row],[Sales Forecast]]*Table3[[#This Row],[Tickets]]*'Data Entry'!$D$19</f>
        <v>22274638.867150541</v>
      </c>
      <c r="H141" s="38">
        <f>'Data Entry'!$D$9</f>
        <v>32000</v>
      </c>
      <c r="I141" s="38">
        <f>Table3[[#This Row],[Sales Forecast]]-Table3[[#This Row],[Capacity]]</f>
        <v>3387</v>
      </c>
      <c r="J141" s="38">
        <f>IF(Table3[[#This Row],[Seat availibility]]&gt;0,Table3[[#This Row],[Seat availibility]]*Table3[[#This Row],[Tickets]],)</f>
        <v>236886.11901746367</v>
      </c>
      <c r="K141" s="38">
        <f>Table3[[#This Row],[Revenue]]-Table3[[#This Row],[Payments]]</f>
        <v>18883747.308743786</v>
      </c>
      <c r="L141" s="37">
        <f>$L$131*'Data Entry'!$D$17</f>
        <v>57.070880755314555</v>
      </c>
      <c r="M141" s="38">
        <f>Table3[[#This Row],[Sales Tickets]]*Table3[[#This Row],[Ticket NS]]</f>
        <v>1712126.4226594367</v>
      </c>
      <c r="N141" s="38">
        <f>'Data Entry'!$D$7</f>
        <v>29000</v>
      </c>
      <c r="O141" s="38">
        <f>Table3[[#This Row],[Sales Forecast]]-Table3[[#This Row],[Capacity NS]]</f>
        <v>6387</v>
      </c>
      <c r="P141" s="38">
        <f>IF(Table3[[#This Row],[Seat Availibility NS]]&gt;0,Table3[[#This Row],[Seat Availibility NS]]*Table3[[#This Row],[Ticket NS]],)</f>
        <v>364511.71538419405</v>
      </c>
      <c r="Q141" s="38">
        <f>Table3[[#This Row],[Revenue NS]]</f>
        <v>1712126.4226594367</v>
      </c>
      <c r="R141" s="38"/>
      <c r="S141" s="38"/>
      <c r="T141" s="42"/>
      <c r="U141" s="57"/>
      <c r="V141" s="6"/>
      <c r="X141"/>
      <c r="Z141"/>
    </row>
    <row r="142" spans="2:26" x14ac:dyDescent="0.25">
      <c r="B142" s="7">
        <v>48914</v>
      </c>
      <c r="C142" s="37">
        <v>0</v>
      </c>
      <c r="D142" s="38">
        <f>$D$130*'Data Entry'!$D$17</f>
        <v>69.939804847199198</v>
      </c>
      <c r="E142" s="39">
        <v>0</v>
      </c>
      <c r="F142" s="38">
        <v>0</v>
      </c>
      <c r="G142" s="38">
        <f>Table3[[#This Row],[Sales Forecast]]*Table3[[#This Row],[Tickets]]</f>
        <v>0</v>
      </c>
      <c r="H142" s="38">
        <f>'Data Entry'!$D$9</f>
        <v>32000</v>
      </c>
      <c r="I142" s="38">
        <f>Table3[[#This Row],[Sales Forecast]]*Table3[[#This Row],[Tickets]]</f>
        <v>0</v>
      </c>
      <c r="J142" s="38">
        <f>IF(Table3[[#This Row],[Seat availibility]]&gt;0,Table3[[#This Row],[Seat availibility]]*Table3[[#This Row],[Tickets]],)</f>
        <v>0</v>
      </c>
      <c r="K142" s="38">
        <f>Table3[[#This Row],[Revenue]]-Table3[[#This Row],[Payments]]</f>
        <v>0</v>
      </c>
      <c r="L142" s="37">
        <f>$L$131*'Data Entry'!$D$17</f>
        <v>57.070880755314555</v>
      </c>
      <c r="M142" s="38">
        <f>Table3[[#This Row],[Sales Tickets]]*Table3[[#This Row],[Ticket NS]]</f>
        <v>0</v>
      </c>
      <c r="N142" s="38">
        <f>'Data Entry'!$D$7</f>
        <v>29000</v>
      </c>
      <c r="O142" s="38">
        <f>Table3[[#This Row],[Sales Forecast]]-Table3[[#This Row],[Capacity NS]]</f>
        <v>-29000</v>
      </c>
      <c r="P142" s="38">
        <f>IF(Table3[[#This Row],[Seat Availibility NS]]&gt;0,Table3[[#This Row],[Seat Availibility NS]]*Table3[[#This Row],[Ticket NS]],)</f>
        <v>0</v>
      </c>
      <c r="Q142" s="38">
        <f>Table3[[#This Row],[Revenue NS]]</f>
        <v>0</v>
      </c>
      <c r="R142" s="38">
        <f>NPV('Data Entry'!$D$42/12,K132:K142)+K131</f>
        <v>139407574.95771152</v>
      </c>
      <c r="S142" s="38">
        <f>NPV('Data Entry'!D162/12,Q132:Q142)+Q131</f>
        <v>13697011.381275492</v>
      </c>
      <c r="T142" s="42"/>
      <c r="U142" s="57"/>
      <c r="V142" s="6"/>
      <c r="X142"/>
      <c r="Z142"/>
    </row>
    <row r="143" spans="2:26" x14ac:dyDescent="0.25">
      <c r="B143" s="7">
        <v>48945</v>
      </c>
      <c r="C143" s="43">
        <v>0</v>
      </c>
      <c r="D143" s="38">
        <f>$D$142*'Data Entry'!$D$17</f>
        <v>71.338600944143181</v>
      </c>
      <c r="E143" s="35">
        <v>0</v>
      </c>
      <c r="F143" s="34">
        <v>0</v>
      </c>
      <c r="G143" s="38">
        <f>Table3[[#This Row],[Sales Forecast]]*Table3[[#This Row],[Tickets]]</f>
        <v>0</v>
      </c>
      <c r="H143" s="38">
        <f>'Data Entry'!$D$9</f>
        <v>32000</v>
      </c>
      <c r="I143" s="38">
        <f>Table3[[#This Row],[Sales Forecast]]*Table3[[#This Row],[Tickets]]</f>
        <v>0</v>
      </c>
      <c r="J143" s="38">
        <f>IF(Table3[[#This Row],[Seat availibility]]&gt;0,Table3[[#This Row],[Seat availibility]]*Table3[[#This Row],[Tickets]],)</f>
        <v>0</v>
      </c>
      <c r="K143" s="38">
        <f>Table3[[#This Row],[Revenue]]-Table3[[#This Row],[Payments]]</f>
        <v>0</v>
      </c>
      <c r="L143" s="37">
        <f>$L$142*'Data Entry'!$D$17</f>
        <v>58.212298370420847</v>
      </c>
      <c r="M143" s="38">
        <f>Table3[[#This Row],[Sales Tickets]]*Table3[[#This Row],[Ticket NS]]</f>
        <v>0</v>
      </c>
      <c r="N143" s="38">
        <f>'Data Entry'!$D$7</f>
        <v>29000</v>
      </c>
      <c r="O143" s="38">
        <f>Table3[[#This Row],[Sales Forecast]]-Table3[[#This Row],[Capacity NS]]</f>
        <v>-29000</v>
      </c>
      <c r="P143" s="38">
        <f>IF(Table3[[#This Row],[Seat Availibility NS]]&gt;0,Table3[[#This Row],[Seat Availibility NS]]*Table3[[#This Row],[Ticket NS]],)</f>
        <v>0</v>
      </c>
      <c r="Q143" s="38">
        <f>Table3[[#This Row],[Revenue NS]]</f>
        <v>0</v>
      </c>
      <c r="R143" s="38"/>
      <c r="S143" s="38"/>
      <c r="T143" s="44"/>
      <c r="U143" s="56"/>
      <c r="V143" s="6"/>
      <c r="X143"/>
      <c r="Z143"/>
    </row>
    <row r="144" spans="2:26" x14ac:dyDescent="0.25">
      <c r="B144" s="7">
        <v>48976</v>
      </c>
      <c r="C144" s="43">
        <v>0</v>
      </c>
      <c r="D144" s="38">
        <f>$D$142*'Data Entry'!$D$17</f>
        <v>71.338600944143181</v>
      </c>
      <c r="E144" s="35">
        <v>0</v>
      </c>
      <c r="F144" s="34">
        <v>0</v>
      </c>
      <c r="G144" s="38">
        <f>Table3[[#This Row],[Sales Forecast]]*Table3[[#This Row],[Tickets]]</f>
        <v>0</v>
      </c>
      <c r="H144" s="38">
        <f>'Data Entry'!$D$9</f>
        <v>32000</v>
      </c>
      <c r="I144" s="38">
        <f>Table3[[#This Row],[Sales Forecast]]*Table3[[#This Row],[Tickets]]</f>
        <v>0</v>
      </c>
      <c r="J144" s="38">
        <f>IF(Table3[[#This Row],[Seat availibility]]&gt;0,Table3[[#This Row],[Seat availibility]]*Table3[[#This Row],[Tickets]],)</f>
        <v>0</v>
      </c>
      <c r="K144" s="38">
        <f>Table3[[#This Row],[Revenue]]-Table3[[#This Row],[Payments]]</f>
        <v>0</v>
      </c>
      <c r="L144" s="37">
        <f>$L$142*'Data Entry'!$D$17</f>
        <v>58.212298370420847</v>
      </c>
      <c r="M144" s="38">
        <f>Table3[[#This Row],[Sales Tickets]]*Table3[[#This Row],[Ticket NS]]</f>
        <v>0</v>
      </c>
      <c r="N144" s="38">
        <f>'Data Entry'!$D$7</f>
        <v>29000</v>
      </c>
      <c r="O144" s="38">
        <f>Table3[[#This Row],[Sales Forecast]]-Table3[[#This Row],[Capacity NS]]</f>
        <v>-29000</v>
      </c>
      <c r="P144" s="38">
        <f>IF(Table3[[#This Row],[Seat Availibility NS]]&gt;0,Table3[[#This Row],[Seat Availibility NS]]*Table3[[#This Row],[Ticket NS]],)</f>
        <v>0</v>
      </c>
      <c r="Q144" s="38">
        <f>Table3[[#This Row],[Revenue NS]]</f>
        <v>0</v>
      </c>
      <c r="R144" s="38"/>
      <c r="S144" s="38"/>
      <c r="T144" s="44"/>
      <c r="U144" s="56"/>
      <c r="V144" s="6"/>
      <c r="X144"/>
      <c r="Z144"/>
    </row>
    <row r="145" spans="2:26" x14ac:dyDescent="0.25">
      <c r="B145" s="7">
        <v>49004</v>
      </c>
      <c r="C145" s="43">
        <v>0</v>
      </c>
      <c r="D145" s="38">
        <f>$D$142*'Data Entry'!$D$17</f>
        <v>71.338600944143181</v>
      </c>
      <c r="E145" s="35">
        <v>0</v>
      </c>
      <c r="F145" s="34">
        <v>0</v>
      </c>
      <c r="G145" s="38">
        <f>Table3[[#This Row],[Sales Forecast]]*Table3[[#This Row],[Tickets]]</f>
        <v>0</v>
      </c>
      <c r="H145" s="38">
        <f>'Data Entry'!$D$9</f>
        <v>32000</v>
      </c>
      <c r="I145" s="38">
        <f>Table3[[#This Row],[Sales Forecast]]*Table3[[#This Row],[Tickets]]</f>
        <v>0</v>
      </c>
      <c r="J145" s="38">
        <f>IF(Table3[[#This Row],[Seat availibility]]&gt;0,Table3[[#This Row],[Seat availibility]]*Table3[[#This Row],[Tickets]],)</f>
        <v>0</v>
      </c>
      <c r="K145" s="38">
        <f>Table3[[#This Row],[Revenue]]-Table3[[#This Row],[Payments]]</f>
        <v>0</v>
      </c>
      <c r="L145" s="37">
        <f>$L$142*'Data Entry'!$D$17</f>
        <v>58.212298370420847</v>
      </c>
      <c r="M145" s="38">
        <f>Table3[[#This Row],[Sales Tickets]]*Table3[[#This Row],[Ticket NS]]</f>
        <v>0</v>
      </c>
      <c r="N145" s="38">
        <f>'Data Entry'!$D$7</f>
        <v>29000</v>
      </c>
      <c r="O145" s="38">
        <f>Table3[[#This Row],[Sales Forecast]]-Table3[[#This Row],[Capacity NS]]</f>
        <v>-29000</v>
      </c>
      <c r="P145" s="38">
        <f>IF(Table3[[#This Row],[Seat Availibility NS]]&gt;0,Table3[[#This Row],[Seat Availibility NS]]*Table3[[#This Row],[Ticket NS]],)</f>
        <v>0</v>
      </c>
      <c r="Q145" s="38">
        <f>Table3[[#This Row],[Revenue NS]]</f>
        <v>0</v>
      </c>
      <c r="R145" s="38"/>
      <c r="S145" s="38"/>
      <c r="T145" s="44"/>
      <c r="U145" s="56"/>
      <c r="V145" s="6"/>
      <c r="X145"/>
      <c r="Z145"/>
    </row>
    <row r="146" spans="2:26" x14ac:dyDescent="0.25">
      <c r="B146" s="7">
        <v>49035</v>
      </c>
      <c r="C146" s="37">
        <f>'Data Entry'!$E$33</f>
        <v>30000</v>
      </c>
      <c r="D146" s="38">
        <f>$D$142*'Data Entry'!$D$17</f>
        <v>71.338600944143181</v>
      </c>
      <c r="E146" s="39">
        <f>Table3[[#This Row],[Sales Tickets]]*Table3[[#This Row],[Tickets]]*'Data Entry'!$D$19</f>
        <v>19261422.254918657</v>
      </c>
      <c r="F146" s="34">
        <f>'Data Entry'!$D$33</f>
        <v>35740</v>
      </c>
      <c r="G146" s="38">
        <f>Table3[[#This Row],[Sales Forecast]]*Table3[[#This Row],[Tickets]]*'Data Entry'!$D$19</f>
        <v>22946774.379693098</v>
      </c>
      <c r="H146" s="38">
        <f>'Data Entry'!$D$9</f>
        <v>32000</v>
      </c>
      <c r="I146" s="38">
        <f>Table3[[#This Row],[Sales Forecast]]-Table3[[#This Row],[Capacity]]</f>
        <v>3740</v>
      </c>
      <c r="J146" s="38">
        <f>IF(Table3[[#This Row],[Seat availibility]]&gt;0,Table3[[#This Row],[Seat availibility]]*Table3[[#This Row],[Tickets]],)</f>
        <v>266806.36753109552</v>
      </c>
      <c r="K146" s="38">
        <f>Table3[[#This Row],[Revenue]]-Table3[[#This Row],[Payments]]</f>
        <v>19261422.254918657</v>
      </c>
      <c r="L146" s="37">
        <f>$L$142*'Data Entry'!$D$17</f>
        <v>58.212298370420847</v>
      </c>
      <c r="M146" s="38">
        <f>Table3[[#This Row],[Sales Tickets]]*Table3[[#This Row],[Ticket NS]]</f>
        <v>1746368.9511126254</v>
      </c>
      <c r="N146" s="38">
        <f>'Data Entry'!$D$7</f>
        <v>29000</v>
      </c>
      <c r="O146" s="38">
        <f>Table3[[#This Row],[Sales Forecast]]-Table3[[#This Row],[Capacity NS]]</f>
        <v>6740</v>
      </c>
      <c r="P146" s="38">
        <f>IF(Table3[[#This Row],[Seat Availibility NS]]&gt;0,Table3[[#This Row],[Seat Availibility NS]]*Table3[[#This Row],[Ticket NS]],)</f>
        <v>392350.89101663651</v>
      </c>
      <c r="Q146" s="38">
        <f>Table3[[#This Row],[Revenue NS]]</f>
        <v>1746368.9511126254</v>
      </c>
      <c r="R146" s="38"/>
      <c r="S146" s="38"/>
      <c r="T146" s="42"/>
      <c r="U146" s="57"/>
      <c r="V146" s="6"/>
      <c r="X146"/>
      <c r="Z146"/>
    </row>
    <row r="147" spans="2:26" x14ac:dyDescent="0.25">
      <c r="B147" s="7">
        <v>49065</v>
      </c>
      <c r="C147" s="37">
        <f>'Data Entry'!$E$33</f>
        <v>30000</v>
      </c>
      <c r="D147" s="38">
        <f>$D$142*'Data Entry'!$D$17</f>
        <v>71.338600944143181</v>
      </c>
      <c r="E147" s="39">
        <f>Table3[[#This Row],[Sales Tickets]]*Table3[[#This Row],[Tickets]]*'Data Entry'!$D$19</f>
        <v>19261422.254918657</v>
      </c>
      <c r="F147" s="34">
        <f>'Data Entry'!$D$33</f>
        <v>35740</v>
      </c>
      <c r="G147" s="38">
        <f>Table3[[#This Row],[Sales Forecast]]*Table3[[#This Row],[Tickets]]*'Data Entry'!$D$19</f>
        <v>22946774.379693098</v>
      </c>
      <c r="H147" s="38">
        <f>'Data Entry'!$D$9</f>
        <v>32000</v>
      </c>
      <c r="I147" s="38">
        <f>Table3[[#This Row],[Sales Forecast]]-Table3[[#This Row],[Capacity]]</f>
        <v>3740</v>
      </c>
      <c r="J147" s="38">
        <f>IF(Table3[[#This Row],[Seat availibility]]&gt;0,Table3[[#This Row],[Seat availibility]]*Table3[[#This Row],[Tickets]],)</f>
        <v>266806.36753109552</v>
      </c>
      <c r="K147" s="38">
        <f>Table3[[#This Row],[Revenue]]-Table3[[#This Row],[Payments]]</f>
        <v>19261422.254918657</v>
      </c>
      <c r="L147" s="37">
        <f>$L$142*'Data Entry'!$D$17</f>
        <v>58.212298370420847</v>
      </c>
      <c r="M147" s="38">
        <f>Table3[[#This Row],[Sales Tickets]]*Table3[[#This Row],[Ticket NS]]</f>
        <v>1746368.9511126254</v>
      </c>
      <c r="N147" s="38">
        <f>'Data Entry'!$D$7</f>
        <v>29000</v>
      </c>
      <c r="O147" s="38">
        <f>Table3[[#This Row],[Sales Forecast]]-Table3[[#This Row],[Capacity NS]]</f>
        <v>6740</v>
      </c>
      <c r="P147" s="38">
        <f>IF(Table3[[#This Row],[Seat Availibility NS]]&gt;0,Table3[[#This Row],[Seat Availibility NS]]*Table3[[#This Row],[Ticket NS]],)</f>
        <v>392350.89101663651</v>
      </c>
      <c r="Q147" s="38">
        <f>Table3[[#This Row],[Revenue NS]]</f>
        <v>1746368.9511126254</v>
      </c>
      <c r="R147" s="38"/>
      <c r="S147" s="38"/>
      <c r="T147" s="42"/>
      <c r="U147" s="57"/>
      <c r="V147" s="6"/>
      <c r="X147"/>
      <c r="Z147"/>
    </row>
    <row r="148" spans="2:26" x14ac:dyDescent="0.25">
      <c r="B148" s="7">
        <v>49096</v>
      </c>
      <c r="C148" s="37">
        <f>'Data Entry'!$E$33</f>
        <v>30000</v>
      </c>
      <c r="D148" s="38">
        <f>$D$142*'Data Entry'!$D$17</f>
        <v>71.338600944143181</v>
      </c>
      <c r="E148" s="39">
        <f>Table3[[#This Row],[Sales Tickets]]*Table3[[#This Row],[Tickets]]*'Data Entry'!$D$19</f>
        <v>19261422.254918657</v>
      </c>
      <c r="F148" s="34">
        <f>'Data Entry'!$D$33</f>
        <v>35740</v>
      </c>
      <c r="G148" s="38">
        <f>Table3[[#This Row],[Sales Forecast]]*Table3[[#This Row],[Tickets]]*'Data Entry'!$D$19</f>
        <v>22946774.379693098</v>
      </c>
      <c r="H148" s="38">
        <f>'Data Entry'!$D$9</f>
        <v>32000</v>
      </c>
      <c r="I148" s="38">
        <f>Table3[[#This Row],[Sales Forecast]]-Table3[[#This Row],[Capacity]]</f>
        <v>3740</v>
      </c>
      <c r="J148" s="38">
        <f>IF(Table3[[#This Row],[Seat availibility]]&gt;0,Table3[[#This Row],[Seat availibility]]*Table3[[#This Row],[Tickets]],)</f>
        <v>266806.36753109552</v>
      </c>
      <c r="K148" s="38">
        <f>Table3[[#This Row],[Revenue]]-Table3[[#This Row],[Payments]]</f>
        <v>19261422.254918657</v>
      </c>
      <c r="L148" s="37">
        <f>$L$142*'Data Entry'!$D$17</f>
        <v>58.212298370420847</v>
      </c>
      <c r="M148" s="38">
        <f>Table3[[#This Row],[Sales Tickets]]*Table3[[#This Row],[Ticket NS]]</f>
        <v>1746368.9511126254</v>
      </c>
      <c r="N148" s="38">
        <f>'Data Entry'!$D$7</f>
        <v>29000</v>
      </c>
      <c r="O148" s="38">
        <f>Table3[[#This Row],[Sales Forecast]]-Table3[[#This Row],[Capacity NS]]</f>
        <v>6740</v>
      </c>
      <c r="P148" s="38">
        <f>IF(Table3[[#This Row],[Seat Availibility NS]]&gt;0,Table3[[#This Row],[Seat Availibility NS]]*Table3[[#This Row],[Ticket NS]],)</f>
        <v>392350.89101663651</v>
      </c>
      <c r="Q148" s="38">
        <f>Table3[[#This Row],[Revenue NS]]</f>
        <v>1746368.9511126254</v>
      </c>
      <c r="R148" s="38"/>
      <c r="S148" s="38"/>
      <c r="T148" s="42"/>
      <c r="U148" s="57"/>
      <c r="V148" s="6"/>
      <c r="X148"/>
      <c r="Z148"/>
    </row>
    <row r="149" spans="2:26" x14ac:dyDescent="0.25">
      <c r="B149" s="7">
        <v>49126</v>
      </c>
      <c r="C149" s="37">
        <f>'Data Entry'!$E$33</f>
        <v>30000</v>
      </c>
      <c r="D149" s="38">
        <f>$D$142*'Data Entry'!$D$17</f>
        <v>71.338600944143181</v>
      </c>
      <c r="E149" s="39">
        <f>Table3[[#This Row],[Sales Tickets]]*Table3[[#This Row],[Tickets]]*'Data Entry'!$D$19</f>
        <v>19261422.254918657</v>
      </c>
      <c r="F149" s="34">
        <f>'Data Entry'!$D$33</f>
        <v>35740</v>
      </c>
      <c r="G149" s="38">
        <f>Table3[[#This Row],[Sales Forecast]]*Table3[[#This Row],[Tickets]]*'Data Entry'!$D$19</f>
        <v>22946774.379693098</v>
      </c>
      <c r="H149" s="38">
        <f>'Data Entry'!$D$9</f>
        <v>32000</v>
      </c>
      <c r="I149" s="38">
        <f>Table3[[#This Row],[Sales Forecast]]-Table3[[#This Row],[Capacity]]</f>
        <v>3740</v>
      </c>
      <c r="J149" s="38">
        <f>IF(Table3[[#This Row],[Seat availibility]]&gt;0,Table3[[#This Row],[Seat availibility]]*Table3[[#This Row],[Tickets]],)</f>
        <v>266806.36753109552</v>
      </c>
      <c r="K149" s="38">
        <f>Table3[[#This Row],[Revenue]]-Table3[[#This Row],[Payments]]</f>
        <v>19261422.254918657</v>
      </c>
      <c r="L149" s="37">
        <f>$L$142*'Data Entry'!$D$17</f>
        <v>58.212298370420847</v>
      </c>
      <c r="M149" s="38">
        <f>Table3[[#This Row],[Sales Tickets]]*Table3[[#This Row],[Ticket NS]]</f>
        <v>1746368.9511126254</v>
      </c>
      <c r="N149" s="38">
        <f>'Data Entry'!$D$7</f>
        <v>29000</v>
      </c>
      <c r="O149" s="38">
        <f>Table3[[#This Row],[Sales Forecast]]-Table3[[#This Row],[Capacity NS]]</f>
        <v>6740</v>
      </c>
      <c r="P149" s="38">
        <f>IF(Table3[[#This Row],[Seat Availibility NS]]&gt;0,Table3[[#This Row],[Seat Availibility NS]]*Table3[[#This Row],[Ticket NS]],)</f>
        <v>392350.89101663651</v>
      </c>
      <c r="Q149" s="38">
        <f>Table3[[#This Row],[Revenue NS]]</f>
        <v>1746368.9511126254</v>
      </c>
      <c r="R149" s="38"/>
      <c r="S149" s="38"/>
      <c r="T149" s="42"/>
      <c r="U149" s="57"/>
      <c r="V149" s="6"/>
      <c r="X149"/>
      <c r="Z149"/>
    </row>
    <row r="150" spans="2:26" x14ac:dyDescent="0.25">
      <c r="B150" s="7">
        <v>49157</v>
      </c>
      <c r="C150" s="37">
        <f>'Data Entry'!$E$33</f>
        <v>30000</v>
      </c>
      <c r="D150" s="38">
        <f>$D$142*'Data Entry'!$D$17</f>
        <v>71.338600944143181</v>
      </c>
      <c r="E150" s="39">
        <f>Table3[[#This Row],[Sales Tickets]]*Table3[[#This Row],[Tickets]]*'Data Entry'!$D$19</f>
        <v>19261422.254918657</v>
      </c>
      <c r="F150" s="34">
        <f>'Data Entry'!$D$33</f>
        <v>35740</v>
      </c>
      <c r="G150" s="38">
        <f>Table3[[#This Row],[Sales Forecast]]*Table3[[#This Row],[Tickets]]*'Data Entry'!$D$19</f>
        <v>22946774.379693098</v>
      </c>
      <c r="H150" s="38">
        <f>'Data Entry'!$D$9</f>
        <v>32000</v>
      </c>
      <c r="I150" s="38">
        <f>Table3[[#This Row],[Sales Forecast]]-Table3[[#This Row],[Capacity]]</f>
        <v>3740</v>
      </c>
      <c r="J150" s="38">
        <f>IF(Table3[[#This Row],[Seat availibility]]&gt;0,Table3[[#This Row],[Seat availibility]]*Table3[[#This Row],[Tickets]],)</f>
        <v>266806.36753109552</v>
      </c>
      <c r="K150" s="38">
        <f>Table3[[#This Row],[Revenue]]-Table3[[#This Row],[Payments]]</f>
        <v>19261422.254918657</v>
      </c>
      <c r="L150" s="37">
        <f>$L$142*'Data Entry'!$D$17</f>
        <v>58.212298370420847</v>
      </c>
      <c r="M150" s="38">
        <f>Table3[[#This Row],[Sales Tickets]]*Table3[[#This Row],[Ticket NS]]</f>
        <v>1746368.9511126254</v>
      </c>
      <c r="N150" s="38">
        <f>'Data Entry'!$D$7</f>
        <v>29000</v>
      </c>
      <c r="O150" s="38">
        <f>Table3[[#This Row],[Sales Forecast]]-Table3[[#This Row],[Capacity NS]]</f>
        <v>6740</v>
      </c>
      <c r="P150" s="38">
        <f>IF(Table3[[#This Row],[Seat Availibility NS]]&gt;0,Table3[[#This Row],[Seat Availibility NS]]*Table3[[#This Row],[Ticket NS]],)</f>
        <v>392350.89101663651</v>
      </c>
      <c r="Q150" s="38">
        <f>Table3[[#This Row],[Revenue NS]]</f>
        <v>1746368.9511126254</v>
      </c>
      <c r="R150" s="38"/>
      <c r="S150" s="38"/>
      <c r="T150" s="42"/>
      <c r="U150" s="57"/>
      <c r="V150" s="6"/>
      <c r="X150"/>
      <c r="Z150"/>
    </row>
    <row r="151" spans="2:26" x14ac:dyDescent="0.25">
      <c r="B151" s="7">
        <v>49188</v>
      </c>
      <c r="C151" s="37">
        <f>'Data Entry'!$E$33</f>
        <v>30000</v>
      </c>
      <c r="D151" s="38">
        <f>$D$142*'Data Entry'!$D$17</f>
        <v>71.338600944143181</v>
      </c>
      <c r="E151" s="39">
        <f>Table3[[#This Row],[Sales Tickets]]*Table3[[#This Row],[Tickets]]*'Data Entry'!$D$19</f>
        <v>19261422.254918657</v>
      </c>
      <c r="F151" s="34">
        <f>'Data Entry'!$D$33</f>
        <v>35740</v>
      </c>
      <c r="G151" s="38">
        <f>Table3[[#This Row],[Sales Forecast]]*Table3[[#This Row],[Tickets]]*'Data Entry'!$D$19</f>
        <v>22946774.379693098</v>
      </c>
      <c r="H151" s="38">
        <f>'Data Entry'!$D$9</f>
        <v>32000</v>
      </c>
      <c r="I151" s="38">
        <f>Table3[[#This Row],[Sales Forecast]]-Table3[[#This Row],[Capacity]]</f>
        <v>3740</v>
      </c>
      <c r="J151" s="38">
        <f>IF(Table3[[#This Row],[Seat availibility]]&gt;0,Table3[[#This Row],[Seat availibility]]*Table3[[#This Row],[Tickets]],)</f>
        <v>266806.36753109552</v>
      </c>
      <c r="K151" s="38">
        <f>Table3[[#This Row],[Revenue]]-Table3[[#This Row],[Payments]]</f>
        <v>19261422.254918657</v>
      </c>
      <c r="L151" s="37">
        <f>$L$142*'Data Entry'!$D$17</f>
        <v>58.212298370420847</v>
      </c>
      <c r="M151" s="38">
        <f>Table3[[#This Row],[Sales Tickets]]*Table3[[#This Row],[Ticket NS]]</f>
        <v>1746368.9511126254</v>
      </c>
      <c r="N151" s="38">
        <f>'Data Entry'!$D$7</f>
        <v>29000</v>
      </c>
      <c r="O151" s="38">
        <f>Table3[[#This Row],[Sales Forecast]]-Table3[[#This Row],[Capacity NS]]</f>
        <v>6740</v>
      </c>
      <c r="P151" s="38">
        <f>IF(Table3[[#This Row],[Seat Availibility NS]]&gt;0,Table3[[#This Row],[Seat Availibility NS]]*Table3[[#This Row],[Ticket NS]],)</f>
        <v>392350.89101663651</v>
      </c>
      <c r="Q151" s="38">
        <f>Table3[[#This Row],[Revenue NS]]</f>
        <v>1746368.9511126254</v>
      </c>
      <c r="R151" s="38"/>
      <c r="S151" s="38"/>
      <c r="T151" s="42"/>
      <c r="U151" s="57"/>
      <c r="V151" s="6"/>
      <c r="X151"/>
      <c r="Z151"/>
    </row>
    <row r="152" spans="2:26" x14ac:dyDescent="0.25">
      <c r="B152" s="7">
        <v>49218</v>
      </c>
      <c r="C152" s="37">
        <f>'Data Entry'!$E$33</f>
        <v>30000</v>
      </c>
      <c r="D152" s="38">
        <f>$D$142*'Data Entry'!$D$17</f>
        <v>71.338600944143181</v>
      </c>
      <c r="E152" s="39">
        <f>Table3[[#This Row],[Sales Tickets]]*Table3[[#This Row],[Tickets]]*'Data Entry'!$D$19</f>
        <v>19261422.254918657</v>
      </c>
      <c r="F152" s="34">
        <f>'Data Entry'!$D$33</f>
        <v>35740</v>
      </c>
      <c r="G152" s="38">
        <f>Table3[[#This Row],[Sales Forecast]]*Table3[[#This Row],[Tickets]]*'Data Entry'!$D$19</f>
        <v>22946774.379693098</v>
      </c>
      <c r="H152" s="38">
        <f>'Data Entry'!$D$9</f>
        <v>32000</v>
      </c>
      <c r="I152" s="38">
        <f>Table3[[#This Row],[Sales Forecast]]-Table3[[#This Row],[Capacity]]</f>
        <v>3740</v>
      </c>
      <c r="J152" s="38">
        <f>IF(Table3[[#This Row],[Seat availibility]]&gt;0,Table3[[#This Row],[Seat availibility]]*Table3[[#This Row],[Tickets]],)</f>
        <v>266806.36753109552</v>
      </c>
      <c r="K152" s="38">
        <f>Table3[[#This Row],[Revenue]]-Table3[[#This Row],[Payments]]</f>
        <v>19261422.254918657</v>
      </c>
      <c r="L152" s="37">
        <f>$L$142*'Data Entry'!$D$17</f>
        <v>58.212298370420847</v>
      </c>
      <c r="M152" s="38">
        <f>Table3[[#This Row],[Sales Tickets]]*Table3[[#This Row],[Ticket NS]]</f>
        <v>1746368.9511126254</v>
      </c>
      <c r="N152" s="38">
        <f>'Data Entry'!$D$7</f>
        <v>29000</v>
      </c>
      <c r="O152" s="38">
        <f>Table3[[#This Row],[Sales Forecast]]-Table3[[#This Row],[Capacity NS]]</f>
        <v>6740</v>
      </c>
      <c r="P152" s="38">
        <f>IF(Table3[[#This Row],[Seat Availibility NS]]&gt;0,Table3[[#This Row],[Seat Availibility NS]]*Table3[[#This Row],[Ticket NS]],)</f>
        <v>392350.89101663651</v>
      </c>
      <c r="Q152" s="38">
        <f>Table3[[#This Row],[Revenue NS]]</f>
        <v>1746368.9511126254</v>
      </c>
      <c r="R152" s="38"/>
      <c r="S152" s="38"/>
      <c r="T152" s="42"/>
      <c r="U152" s="57"/>
      <c r="V152" s="6"/>
      <c r="X152"/>
      <c r="Z152"/>
    </row>
    <row r="153" spans="2:26" x14ac:dyDescent="0.25">
      <c r="B153" s="7">
        <v>49249</v>
      </c>
      <c r="C153" s="37">
        <f>'Data Entry'!$E$33</f>
        <v>30000</v>
      </c>
      <c r="D153" s="38">
        <f>$D$142*'Data Entry'!$D$17</f>
        <v>71.338600944143181</v>
      </c>
      <c r="E153" s="39">
        <f>Table3[[#This Row],[Sales Tickets]]*Table3[[#This Row],[Tickets]]*'Data Entry'!$D$19</f>
        <v>19261422.254918657</v>
      </c>
      <c r="F153" s="34">
        <f>'Data Entry'!$D$33</f>
        <v>35740</v>
      </c>
      <c r="G153" s="38">
        <f>Table3[[#This Row],[Sales Forecast]]*Table3[[#This Row],[Tickets]]*'Data Entry'!$D$19</f>
        <v>22946774.379693098</v>
      </c>
      <c r="H153" s="38">
        <f>'Data Entry'!$D$9</f>
        <v>32000</v>
      </c>
      <c r="I153" s="38">
        <f>Table3[[#This Row],[Sales Forecast]]-Table3[[#This Row],[Capacity]]</f>
        <v>3740</v>
      </c>
      <c r="J153" s="38">
        <f>IF(Table3[[#This Row],[Seat availibility]]&gt;0,Table3[[#This Row],[Seat availibility]]*Table3[[#This Row],[Tickets]],)</f>
        <v>266806.36753109552</v>
      </c>
      <c r="K153" s="38">
        <f>Table3[[#This Row],[Revenue]]-Table3[[#This Row],[Payments]]</f>
        <v>19261422.254918657</v>
      </c>
      <c r="L153" s="37">
        <f>$L$142*'Data Entry'!$D$17</f>
        <v>58.212298370420847</v>
      </c>
      <c r="M153" s="38">
        <f>Table3[[#This Row],[Sales Tickets]]*Table3[[#This Row],[Ticket NS]]</f>
        <v>1746368.9511126254</v>
      </c>
      <c r="N153" s="38">
        <f>'Data Entry'!$D$7</f>
        <v>29000</v>
      </c>
      <c r="O153" s="38">
        <f>Table3[[#This Row],[Sales Forecast]]-Table3[[#This Row],[Capacity NS]]</f>
        <v>6740</v>
      </c>
      <c r="P153" s="38">
        <f>IF(Table3[[#This Row],[Seat Availibility NS]]&gt;0,Table3[[#This Row],[Seat Availibility NS]]*Table3[[#This Row],[Ticket NS]],)</f>
        <v>392350.89101663651</v>
      </c>
      <c r="Q153" s="38">
        <f>Table3[[#This Row],[Revenue NS]]</f>
        <v>1746368.9511126254</v>
      </c>
      <c r="R153" s="38"/>
      <c r="S153" s="38"/>
      <c r="T153" s="42"/>
      <c r="U153" s="57"/>
      <c r="V153" s="6"/>
      <c r="X153"/>
      <c r="Z153"/>
    </row>
    <row r="154" spans="2:26" x14ac:dyDescent="0.25">
      <c r="B154" s="7">
        <v>49279</v>
      </c>
      <c r="C154" s="37">
        <v>0</v>
      </c>
      <c r="D154" s="38">
        <f>$D$142*'Data Entry'!$D$17</f>
        <v>71.338600944143181</v>
      </c>
      <c r="E154" s="39">
        <f>Table3[[#This Row],[Sales Tickets]]*Table3[[#This Row],[Tickets]]</f>
        <v>0</v>
      </c>
      <c r="F154" s="38">
        <v>0</v>
      </c>
      <c r="G154" s="38">
        <f>Table3[[#This Row],[Sales Forecast]]*Table3[[#This Row],[Tickets]]</f>
        <v>0</v>
      </c>
      <c r="H154" s="38">
        <f>'Data Entry'!$D$9</f>
        <v>32000</v>
      </c>
      <c r="I154" s="38">
        <f>Table3[[#This Row],[Sales Forecast]]*Table3[[#This Row],[Tickets]]</f>
        <v>0</v>
      </c>
      <c r="J154" s="38">
        <f>IF(Table3[[#This Row],[Seat availibility]]&gt;0,Table3[[#This Row],[Seat availibility]]*Table3[[#This Row],[Tickets]],)</f>
        <v>0</v>
      </c>
      <c r="K154" s="38">
        <f>Table3[[#This Row],[Revenue]]-Table3[[#This Row],[Payments]]</f>
        <v>0</v>
      </c>
      <c r="L154" s="37">
        <f>$L$142*'Data Entry'!$D$17</f>
        <v>58.212298370420847</v>
      </c>
      <c r="M154" s="38">
        <f>Table3[[#This Row],[Sales Tickets]]*Table3[[#This Row],[Ticket NS]]</f>
        <v>0</v>
      </c>
      <c r="N154" s="38">
        <f>'Data Entry'!$D$7</f>
        <v>29000</v>
      </c>
      <c r="O154" s="38">
        <f>Table3[[#This Row],[Sales Forecast]]-Table3[[#This Row],[Capacity NS]]</f>
        <v>-29000</v>
      </c>
      <c r="P154" s="38">
        <f>IF(Table3[[#This Row],[Seat Availibility NS]]&gt;0,Table3[[#This Row],[Seat Availibility NS]]*Table3[[#This Row],[Ticket NS]],)</f>
        <v>0</v>
      </c>
      <c r="Q154" s="38">
        <f>Table3[[#This Row],[Revenue NS]]</f>
        <v>0</v>
      </c>
      <c r="R154" s="38">
        <f>NPV('Data Entry'!$D$42/12,K144:K154)+K143</f>
        <v>142195726.4568657</v>
      </c>
      <c r="S154" s="38">
        <f>NPV('Data Entry'!D174/12,Q144:Q154)+Q143</f>
        <v>13970951.608901005</v>
      </c>
      <c r="T154" s="42"/>
      <c r="U154" s="57"/>
      <c r="V154" s="6"/>
      <c r="X154"/>
      <c r="Z154"/>
    </row>
    <row r="155" spans="2:26" x14ac:dyDescent="0.25">
      <c r="B155" s="7">
        <v>49310</v>
      </c>
      <c r="C155" s="43">
        <v>0</v>
      </c>
      <c r="D155" s="38">
        <f>$D$154*'Data Entry'!$D$17</f>
        <v>72.765372963026053</v>
      </c>
      <c r="E155" s="39">
        <f>Table3[[#This Row],[Sales Tickets]]*Table3[[#This Row],[Tickets]]</f>
        <v>0</v>
      </c>
      <c r="F155" s="34">
        <v>0</v>
      </c>
      <c r="G155" s="38">
        <f>Table3[[#This Row],[Sales Forecast]]*Table3[[#This Row],[Tickets]]</f>
        <v>0</v>
      </c>
      <c r="H155" s="38">
        <f>'Data Entry'!$D$9</f>
        <v>32000</v>
      </c>
      <c r="I155" s="38">
        <f>Table3[[#This Row],[Sales Forecast]]*Table3[[#This Row],[Tickets]]</f>
        <v>0</v>
      </c>
      <c r="J155" s="38">
        <f>IF(Table3[[#This Row],[Seat availibility]]&gt;0,Table3[[#This Row],[Seat availibility]]*Table3[[#This Row],[Tickets]],)</f>
        <v>0</v>
      </c>
      <c r="K155" s="38">
        <f>Table3[[#This Row],[Revenue]]-Table3[[#This Row],[Payments]]</f>
        <v>0</v>
      </c>
      <c r="L155" s="37">
        <f>$L$154*'Data Entry'!$D$17</f>
        <v>59.376544337829266</v>
      </c>
      <c r="M155" s="38">
        <f>Table3[[#This Row],[Sales Tickets]]*Table3[[#This Row],[Ticket NS]]</f>
        <v>0</v>
      </c>
      <c r="N155" s="38">
        <f>'Data Entry'!$D$7</f>
        <v>29000</v>
      </c>
      <c r="O155" s="38">
        <f>Table3[[#This Row],[Sales Forecast]]-Table3[[#This Row],[Capacity NS]]</f>
        <v>-29000</v>
      </c>
      <c r="P155" s="38">
        <f>IF(Table3[[#This Row],[Seat Availibility NS]]&gt;0,Table3[[#This Row],[Seat Availibility NS]]*Table3[[#This Row],[Ticket NS]],)</f>
        <v>0</v>
      </c>
      <c r="Q155" s="38">
        <f>Table3[[#This Row],[Revenue NS]]</f>
        <v>0</v>
      </c>
      <c r="R155" s="38"/>
      <c r="S155" s="38"/>
      <c r="T155" s="42"/>
      <c r="U155" s="57"/>
      <c r="V155" s="6"/>
      <c r="X155"/>
      <c r="Z155"/>
    </row>
    <row r="156" spans="2:26" x14ac:dyDescent="0.25">
      <c r="B156" s="7">
        <v>49341</v>
      </c>
      <c r="C156" s="43">
        <v>0</v>
      </c>
      <c r="D156" s="38">
        <f>$D$154*'Data Entry'!$D$17</f>
        <v>72.765372963026053</v>
      </c>
      <c r="E156" s="39">
        <f>Table3[[#This Row],[Sales Tickets]]*Table3[[#This Row],[Tickets]]</f>
        <v>0</v>
      </c>
      <c r="F156" s="34">
        <v>0</v>
      </c>
      <c r="G156" s="38">
        <f>Table3[[#This Row],[Sales Forecast]]*Table3[[#This Row],[Tickets]]</f>
        <v>0</v>
      </c>
      <c r="H156" s="38">
        <f>'Data Entry'!$D$9</f>
        <v>32000</v>
      </c>
      <c r="I156" s="38">
        <f>Table3[[#This Row],[Sales Forecast]]*Table3[[#This Row],[Tickets]]</f>
        <v>0</v>
      </c>
      <c r="J156" s="38">
        <f>IF(Table3[[#This Row],[Seat availibility]]&gt;0,Table3[[#This Row],[Seat availibility]]*Table3[[#This Row],[Tickets]],)</f>
        <v>0</v>
      </c>
      <c r="K156" s="38">
        <f>Table3[[#This Row],[Revenue]]-Table3[[#This Row],[Payments]]</f>
        <v>0</v>
      </c>
      <c r="L156" s="37">
        <f>$L$154*'Data Entry'!$D$17</f>
        <v>59.376544337829266</v>
      </c>
      <c r="M156" s="38">
        <f>Table3[[#This Row],[Sales Tickets]]*Table3[[#This Row],[Ticket NS]]</f>
        <v>0</v>
      </c>
      <c r="N156" s="38">
        <f>'Data Entry'!$D$7</f>
        <v>29000</v>
      </c>
      <c r="O156" s="38">
        <f>Table3[[#This Row],[Sales Forecast]]-Table3[[#This Row],[Capacity NS]]</f>
        <v>-29000</v>
      </c>
      <c r="P156" s="38">
        <f>IF(Table3[[#This Row],[Seat Availibility NS]]&gt;0,Table3[[#This Row],[Seat Availibility NS]]*Table3[[#This Row],[Ticket NS]],)</f>
        <v>0</v>
      </c>
      <c r="Q156" s="38">
        <f>Table3[[#This Row],[Revenue NS]]</f>
        <v>0</v>
      </c>
      <c r="R156" s="38"/>
      <c r="S156" s="38"/>
      <c r="T156" s="42"/>
      <c r="U156" s="57"/>
      <c r="V156" s="6"/>
      <c r="X156"/>
      <c r="Z156"/>
    </row>
    <row r="157" spans="2:26" x14ac:dyDescent="0.25">
      <c r="B157" s="7">
        <v>49369</v>
      </c>
      <c r="C157" s="43">
        <v>0</v>
      </c>
      <c r="D157" s="38">
        <f>$D$154*'Data Entry'!$D$17</f>
        <v>72.765372963026053</v>
      </c>
      <c r="E157" s="39">
        <f>Table3[[#This Row],[Sales Tickets]]*Table3[[#This Row],[Tickets]]</f>
        <v>0</v>
      </c>
      <c r="F157" s="34">
        <v>0</v>
      </c>
      <c r="G157" s="38">
        <f>Table3[[#This Row],[Sales Forecast]]*Table3[[#This Row],[Tickets]]</f>
        <v>0</v>
      </c>
      <c r="H157" s="38">
        <f>'Data Entry'!$D$9</f>
        <v>32000</v>
      </c>
      <c r="I157" s="38">
        <f>Table3[[#This Row],[Sales Forecast]]*Table3[[#This Row],[Tickets]]</f>
        <v>0</v>
      </c>
      <c r="J157" s="38">
        <f>IF(Table3[[#This Row],[Seat availibility]]&gt;0,Table3[[#This Row],[Seat availibility]]*Table3[[#This Row],[Tickets]],)</f>
        <v>0</v>
      </c>
      <c r="K157" s="38">
        <f>Table3[[#This Row],[Revenue]]-Table3[[#This Row],[Payments]]</f>
        <v>0</v>
      </c>
      <c r="L157" s="37">
        <f>$L$154*'Data Entry'!$D$17</f>
        <v>59.376544337829266</v>
      </c>
      <c r="M157" s="38">
        <f>Table3[[#This Row],[Sales Tickets]]*Table3[[#This Row],[Ticket NS]]</f>
        <v>0</v>
      </c>
      <c r="N157" s="38">
        <f>'Data Entry'!$D$7</f>
        <v>29000</v>
      </c>
      <c r="O157" s="38">
        <f>Table3[[#This Row],[Sales Forecast]]-Table3[[#This Row],[Capacity NS]]</f>
        <v>-29000</v>
      </c>
      <c r="P157" s="38">
        <f>IF(Table3[[#This Row],[Seat Availibility NS]]&gt;0,Table3[[#This Row],[Seat Availibility NS]]*Table3[[#This Row],[Ticket NS]],)</f>
        <v>0</v>
      </c>
      <c r="Q157" s="38">
        <f>Table3[[#This Row],[Revenue NS]]</f>
        <v>0</v>
      </c>
      <c r="R157" s="38"/>
      <c r="S157" s="38"/>
      <c r="T157" s="42"/>
      <c r="U157" s="57"/>
      <c r="V157" s="6"/>
      <c r="X157"/>
      <c r="Z157"/>
    </row>
    <row r="158" spans="2:26" x14ac:dyDescent="0.25">
      <c r="B158" s="7">
        <v>49400</v>
      </c>
      <c r="C158" s="37">
        <f>'Data Entry'!$E$34</f>
        <v>30000</v>
      </c>
      <c r="D158" s="38">
        <f>$D$154*'Data Entry'!$D$17</f>
        <v>72.765372963026053</v>
      </c>
      <c r="E158" s="39">
        <f>Table3[[#This Row],[Sales Tickets]]*Table3[[#This Row],[Tickets]]*'Data Entry'!$D$19</f>
        <v>19646650.700017035</v>
      </c>
      <c r="F158" s="34">
        <f>'Data Entry'!$D$34</f>
        <v>36098</v>
      </c>
      <c r="G158" s="38">
        <f>Table3[[#This Row],[Sales Forecast]]*Table3[[#This Row],[Tickets]]*'Data Entry'!$D$19</f>
        <v>23640159.89897383</v>
      </c>
      <c r="H158" s="38">
        <f>'Data Entry'!$D$9</f>
        <v>32000</v>
      </c>
      <c r="I158" s="38">
        <f>Table3[[#This Row],[Sales Forecast]]-Table3[[#This Row],[Capacity]]</f>
        <v>4098</v>
      </c>
      <c r="J158" s="38">
        <f>IF(Table3[[#This Row],[Seat availibility]]&gt;0,Table3[[#This Row],[Seat availibility]]*Table3[[#This Row],[Tickets]],)</f>
        <v>298192.49840248079</v>
      </c>
      <c r="K158" s="38">
        <f>Table3[[#This Row],[Revenue]]-Table3[[#This Row],[Payments]]</f>
        <v>19646650.700017035</v>
      </c>
      <c r="L158" s="37">
        <f>$L$154*'Data Entry'!$D$17</f>
        <v>59.376544337829266</v>
      </c>
      <c r="M158" s="38">
        <f>Table3[[#This Row],[Sales Tickets]]*Table3[[#This Row],[Ticket NS]]</f>
        <v>1781296.3301348779</v>
      </c>
      <c r="N158" s="38">
        <f>'Data Entry'!$D$7</f>
        <v>29000</v>
      </c>
      <c r="O158" s="38">
        <f>Table3[[#This Row],[Sales Forecast]]-Table3[[#This Row],[Capacity NS]]</f>
        <v>7098</v>
      </c>
      <c r="P158" s="38">
        <f>IF(Table3[[#This Row],[Seat Availibility NS]]&gt;0,Table3[[#This Row],[Seat Availibility NS]]*Table3[[#This Row],[Ticket NS]],)</f>
        <v>421454.71170991211</v>
      </c>
      <c r="Q158" s="38">
        <f>Table3[[#This Row],[Revenue NS]]</f>
        <v>1781296.3301348779</v>
      </c>
      <c r="R158" s="38"/>
      <c r="S158" s="38"/>
      <c r="T158" s="42"/>
      <c r="U158" s="57"/>
      <c r="V158" s="6"/>
      <c r="X158"/>
      <c r="Z158"/>
    </row>
    <row r="159" spans="2:26" x14ac:dyDescent="0.25">
      <c r="B159" s="7">
        <v>49430</v>
      </c>
      <c r="C159" s="37">
        <f>'Data Entry'!$E$34</f>
        <v>30000</v>
      </c>
      <c r="D159" s="38">
        <f>$D$154*'Data Entry'!$D$17</f>
        <v>72.765372963026053</v>
      </c>
      <c r="E159" s="39">
        <f>Table3[[#This Row],[Sales Tickets]]*Table3[[#This Row],[Tickets]]*'Data Entry'!$D$19</f>
        <v>19646650.700017035</v>
      </c>
      <c r="F159" s="34">
        <f>'Data Entry'!$D$34</f>
        <v>36098</v>
      </c>
      <c r="G159" s="38">
        <f>Table3[[#This Row],[Sales Forecast]]*Table3[[#This Row],[Tickets]]*'Data Entry'!$D$19</f>
        <v>23640159.89897383</v>
      </c>
      <c r="H159" s="38">
        <f>'Data Entry'!$D$9</f>
        <v>32000</v>
      </c>
      <c r="I159" s="38">
        <f>Table3[[#This Row],[Sales Forecast]]-Table3[[#This Row],[Capacity]]</f>
        <v>4098</v>
      </c>
      <c r="J159" s="38">
        <f>IF(Table3[[#This Row],[Seat availibility]]&gt;0,Table3[[#This Row],[Seat availibility]]*Table3[[#This Row],[Tickets]],)</f>
        <v>298192.49840248079</v>
      </c>
      <c r="K159" s="38">
        <f>Table3[[#This Row],[Revenue]]-Table3[[#This Row],[Payments]]</f>
        <v>19646650.700017035</v>
      </c>
      <c r="L159" s="37">
        <f>$L$154*'Data Entry'!$D$17</f>
        <v>59.376544337829266</v>
      </c>
      <c r="M159" s="38">
        <f>Table3[[#This Row],[Sales Tickets]]*Table3[[#This Row],[Ticket NS]]</f>
        <v>1781296.3301348779</v>
      </c>
      <c r="N159" s="38">
        <f>'Data Entry'!$D$7</f>
        <v>29000</v>
      </c>
      <c r="O159" s="38">
        <f>Table3[[#This Row],[Sales Forecast]]-Table3[[#This Row],[Capacity NS]]</f>
        <v>7098</v>
      </c>
      <c r="P159" s="38">
        <f>IF(Table3[[#This Row],[Seat Availibility NS]]&gt;0,Table3[[#This Row],[Seat Availibility NS]]*Table3[[#This Row],[Ticket NS]],)</f>
        <v>421454.71170991211</v>
      </c>
      <c r="Q159" s="38">
        <f>Table3[[#This Row],[Revenue NS]]</f>
        <v>1781296.3301348779</v>
      </c>
      <c r="R159" s="38"/>
      <c r="S159" s="38"/>
      <c r="T159" s="42"/>
      <c r="U159" s="57"/>
      <c r="V159" s="6"/>
      <c r="X159"/>
      <c r="Z159"/>
    </row>
    <row r="160" spans="2:26" x14ac:dyDescent="0.25">
      <c r="B160" s="7">
        <v>49461</v>
      </c>
      <c r="C160" s="37">
        <f>'Data Entry'!$E$34</f>
        <v>30000</v>
      </c>
      <c r="D160" s="38">
        <f>$D$154*'Data Entry'!$D$17</f>
        <v>72.765372963026053</v>
      </c>
      <c r="E160" s="39">
        <f>Table3[[#This Row],[Sales Tickets]]*Table3[[#This Row],[Tickets]]*'Data Entry'!$D$19</f>
        <v>19646650.700017035</v>
      </c>
      <c r="F160" s="34">
        <f>'Data Entry'!$D$34</f>
        <v>36098</v>
      </c>
      <c r="G160" s="38">
        <f>Table3[[#This Row],[Sales Forecast]]*Table3[[#This Row],[Tickets]]*'Data Entry'!$D$19</f>
        <v>23640159.89897383</v>
      </c>
      <c r="H160" s="38">
        <f>'Data Entry'!$D$9</f>
        <v>32000</v>
      </c>
      <c r="I160" s="38">
        <f>Table3[[#This Row],[Sales Forecast]]-Table3[[#This Row],[Capacity]]</f>
        <v>4098</v>
      </c>
      <c r="J160" s="38">
        <f>IF(Table3[[#This Row],[Seat availibility]]&gt;0,Table3[[#This Row],[Seat availibility]]*Table3[[#This Row],[Tickets]],)</f>
        <v>298192.49840248079</v>
      </c>
      <c r="K160" s="38">
        <f>Table3[[#This Row],[Revenue]]-Table3[[#This Row],[Payments]]</f>
        <v>19646650.700017035</v>
      </c>
      <c r="L160" s="37">
        <f>$L$154*'Data Entry'!$D$17</f>
        <v>59.376544337829266</v>
      </c>
      <c r="M160" s="38">
        <f>Table3[[#This Row],[Sales Tickets]]*Table3[[#This Row],[Ticket NS]]</f>
        <v>1781296.3301348779</v>
      </c>
      <c r="N160" s="38">
        <f>'Data Entry'!$D$7</f>
        <v>29000</v>
      </c>
      <c r="O160" s="38">
        <f>Table3[[#This Row],[Sales Forecast]]-Table3[[#This Row],[Capacity NS]]</f>
        <v>7098</v>
      </c>
      <c r="P160" s="38">
        <f>IF(Table3[[#This Row],[Seat Availibility NS]]&gt;0,Table3[[#This Row],[Seat Availibility NS]]*Table3[[#This Row],[Ticket NS]],)</f>
        <v>421454.71170991211</v>
      </c>
      <c r="Q160" s="38">
        <f>Table3[[#This Row],[Revenue NS]]</f>
        <v>1781296.3301348779</v>
      </c>
      <c r="R160" s="38"/>
      <c r="S160" s="38"/>
      <c r="T160" s="42"/>
      <c r="U160" s="57"/>
      <c r="V160" s="6"/>
      <c r="X160"/>
      <c r="Z160"/>
    </row>
    <row r="161" spans="2:26" x14ac:dyDescent="0.25">
      <c r="B161" s="7">
        <v>49491</v>
      </c>
      <c r="C161" s="37">
        <f>'Data Entry'!$E$34</f>
        <v>30000</v>
      </c>
      <c r="D161" s="38">
        <f>$D$154*'Data Entry'!$D$17</f>
        <v>72.765372963026053</v>
      </c>
      <c r="E161" s="39">
        <f>Table3[[#This Row],[Sales Tickets]]*Table3[[#This Row],[Tickets]]*'Data Entry'!$D$19</f>
        <v>19646650.700017035</v>
      </c>
      <c r="F161" s="34">
        <f>'Data Entry'!$D$34</f>
        <v>36098</v>
      </c>
      <c r="G161" s="38">
        <f>Table3[[#This Row],[Sales Forecast]]*Table3[[#This Row],[Tickets]]*'Data Entry'!$D$19</f>
        <v>23640159.89897383</v>
      </c>
      <c r="H161" s="38">
        <f>'Data Entry'!$D$9</f>
        <v>32000</v>
      </c>
      <c r="I161" s="38">
        <f>Table3[[#This Row],[Sales Forecast]]-Table3[[#This Row],[Capacity]]</f>
        <v>4098</v>
      </c>
      <c r="J161" s="38">
        <f>IF(Table3[[#This Row],[Seat availibility]]&gt;0,Table3[[#This Row],[Seat availibility]]*Table3[[#This Row],[Tickets]],)</f>
        <v>298192.49840248079</v>
      </c>
      <c r="K161" s="38">
        <f>Table3[[#This Row],[Revenue]]-Table3[[#This Row],[Payments]]</f>
        <v>19646650.700017035</v>
      </c>
      <c r="L161" s="37">
        <f>$L$154*'Data Entry'!$D$17</f>
        <v>59.376544337829266</v>
      </c>
      <c r="M161" s="38">
        <f>Table3[[#This Row],[Sales Tickets]]*Table3[[#This Row],[Ticket NS]]</f>
        <v>1781296.3301348779</v>
      </c>
      <c r="N161" s="38">
        <f>'Data Entry'!$D$7</f>
        <v>29000</v>
      </c>
      <c r="O161" s="38">
        <f>Table3[[#This Row],[Sales Forecast]]-Table3[[#This Row],[Capacity NS]]</f>
        <v>7098</v>
      </c>
      <c r="P161" s="38">
        <f>IF(Table3[[#This Row],[Seat Availibility NS]]&gt;0,Table3[[#This Row],[Seat Availibility NS]]*Table3[[#This Row],[Ticket NS]],)</f>
        <v>421454.71170991211</v>
      </c>
      <c r="Q161" s="38">
        <f>Table3[[#This Row],[Revenue NS]]</f>
        <v>1781296.3301348779</v>
      </c>
      <c r="R161" s="38"/>
      <c r="S161" s="38"/>
      <c r="T161" s="42"/>
      <c r="U161" s="57"/>
      <c r="V161" s="6"/>
      <c r="X161"/>
      <c r="Z161"/>
    </row>
    <row r="162" spans="2:26" x14ac:dyDescent="0.25">
      <c r="B162" s="7">
        <v>49522</v>
      </c>
      <c r="C162" s="37">
        <f>'Data Entry'!$E$34</f>
        <v>30000</v>
      </c>
      <c r="D162" s="38">
        <f>$D$154*'Data Entry'!$D$17</f>
        <v>72.765372963026053</v>
      </c>
      <c r="E162" s="39">
        <f>Table3[[#This Row],[Sales Tickets]]*Table3[[#This Row],[Tickets]]*'Data Entry'!$D$19</f>
        <v>19646650.700017035</v>
      </c>
      <c r="F162" s="34">
        <f>'Data Entry'!$D$34</f>
        <v>36098</v>
      </c>
      <c r="G162" s="38">
        <f>Table3[[#This Row],[Sales Forecast]]*Table3[[#This Row],[Tickets]]*'Data Entry'!$D$19</f>
        <v>23640159.89897383</v>
      </c>
      <c r="H162" s="38">
        <f>'Data Entry'!$D$9</f>
        <v>32000</v>
      </c>
      <c r="I162" s="38">
        <f>Table3[[#This Row],[Sales Forecast]]-Table3[[#This Row],[Capacity]]</f>
        <v>4098</v>
      </c>
      <c r="J162" s="38">
        <f>IF(Table3[[#This Row],[Seat availibility]]&gt;0,Table3[[#This Row],[Seat availibility]]*Table3[[#This Row],[Tickets]],)</f>
        <v>298192.49840248079</v>
      </c>
      <c r="K162" s="38">
        <f>Table3[[#This Row],[Revenue]]-Table3[[#This Row],[Payments]]</f>
        <v>19646650.700017035</v>
      </c>
      <c r="L162" s="37">
        <f>$L$154*'Data Entry'!$D$17</f>
        <v>59.376544337829266</v>
      </c>
      <c r="M162" s="38">
        <f>Table3[[#This Row],[Sales Tickets]]*Table3[[#This Row],[Ticket NS]]</f>
        <v>1781296.3301348779</v>
      </c>
      <c r="N162" s="38">
        <f>'Data Entry'!$D$7</f>
        <v>29000</v>
      </c>
      <c r="O162" s="38">
        <f>Table3[[#This Row],[Sales Forecast]]-Table3[[#This Row],[Capacity NS]]</f>
        <v>7098</v>
      </c>
      <c r="P162" s="38">
        <f>IF(Table3[[#This Row],[Seat Availibility NS]]&gt;0,Table3[[#This Row],[Seat Availibility NS]]*Table3[[#This Row],[Ticket NS]],)</f>
        <v>421454.71170991211</v>
      </c>
      <c r="Q162" s="38">
        <f>Table3[[#This Row],[Revenue NS]]</f>
        <v>1781296.3301348779</v>
      </c>
      <c r="R162" s="38"/>
      <c r="S162" s="38"/>
      <c r="T162" s="42"/>
      <c r="U162" s="57"/>
      <c r="V162" s="6"/>
      <c r="X162"/>
      <c r="Z162"/>
    </row>
    <row r="163" spans="2:26" x14ac:dyDescent="0.25">
      <c r="B163" s="7">
        <v>49553</v>
      </c>
      <c r="C163" s="37">
        <f>'Data Entry'!$E$34</f>
        <v>30000</v>
      </c>
      <c r="D163" s="38">
        <f>$D$154*'Data Entry'!$D$17</f>
        <v>72.765372963026053</v>
      </c>
      <c r="E163" s="39">
        <f>Table3[[#This Row],[Sales Tickets]]*Table3[[#This Row],[Tickets]]*'Data Entry'!$D$19</f>
        <v>19646650.700017035</v>
      </c>
      <c r="F163" s="34">
        <f>'Data Entry'!$D$34</f>
        <v>36098</v>
      </c>
      <c r="G163" s="38">
        <f>Table3[[#This Row],[Sales Forecast]]*Table3[[#This Row],[Tickets]]*'Data Entry'!$D$19</f>
        <v>23640159.89897383</v>
      </c>
      <c r="H163" s="38">
        <f>'Data Entry'!$D$9</f>
        <v>32000</v>
      </c>
      <c r="I163" s="38">
        <f>Table3[[#This Row],[Sales Forecast]]-Table3[[#This Row],[Capacity]]</f>
        <v>4098</v>
      </c>
      <c r="J163" s="38">
        <f>IF(Table3[[#This Row],[Seat availibility]]&gt;0,Table3[[#This Row],[Seat availibility]]*Table3[[#This Row],[Tickets]],)</f>
        <v>298192.49840248079</v>
      </c>
      <c r="K163" s="38">
        <f>Table3[[#This Row],[Revenue]]-Table3[[#This Row],[Payments]]</f>
        <v>19646650.700017035</v>
      </c>
      <c r="L163" s="37">
        <f>$L$154*'Data Entry'!$D$17</f>
        <v>59.376544337829266</v>
      </c>
      <c r="M163" s="38">
        <f>Table3[[#This Row],[Sales Tickets]]*Table3[[#This Row],[Ticket NS]]</f>
        <v>1781296.3301348779</v>
      </c>
      <c r="N163" s="38">
        <f>'Data Entry'!$D$7</f>
        <v>29000</v>
      </c>
      <c r="O163" s="38">
        <f>Table3[[#This Row],[Sales Forecast]]-Table3[[#This Row],[Capacity NS]]</f>
        <v>7098</v>
      </c>
      <c r="P163" s="38">
        <f>IF(Table3[[#This Row],[Seat Availibility NS]]&gt;0,Table3[[#This Row],[Seat Availibility NS]]*Table3[[#This Row],[Ticket NS]],)</f>
        <v>421454.71170991211</v>
      </c>
      <c r="Q163" s="38">
        <f>Table3[[#This Row],[Revenue NS]]</f>
        <v>1781296.3301348779</v>
      </c>
      <c r="R163" s="38"/>
      <c r="S163" s="38"/>
      <c r="T163" s="42"/>
      <c r="U163" s="57"/>
      <c r="V163" s="6"/>
      <c r="X163"/>
      <c r="Z163"/>
    </row>
    <row r="164" spans="2:26" x14ac:dyDescent="0.25">
      <c r="B164" s="7">
        <v>49583</v>
      </c>
      <c r="C164" s="37">
        <f>'Data Entry'!$E$34</f>
        <v>30000</v>
      </c>
      <c r="D164" s="38">
        <f>$D$154*'Data Entry'!$D$17</f>
        <v>72.765372963026053</v>
      </c>
      <c r="E164" s="39">
        <f>Table3[[#This Row],[Sales Tickets]]*Table3[[#This Row],[Tickets]]*'Data Entry'!$D$19</f>
        <v>19646650.700017035</v>
      </c>
      <c r="F164" s="34">
        <f>'Data Entry'!$D$34</f>
        <v>36098</v>
      </c>
      <c r="G164" s="38">
        <f>Table3[[#This Row],[Sales Forecast]]*Table3[[#This Row],[Tickets]]*'Data Entry'!$D$19</f>
        <v>23640159.89897383</v>
      </c>
      <c r="H164" s="38">
        <f>'Data Entry'!$D$9</f>
        <v>32000</v>
      </c>
      <c r="I164" s="38">
        <f>Table3[[#This Row],[Sales Forecast]]-Table3[[#This Row],[Capacity]]</f>
        <v>4098</v>
      </c>
      <c r="J164" s="38">
        <f>IF(Table3[[#This Row],[Seat availibility]]&gt;0,Table3[[#This Row],[Seat availibility]]*Table3[[#This Row],[Tickets]],)</f>
        <v>298192.49840248079</v>
      </c>
      <c r="K164" s="38">
        <f>Table3[[#This Row],[Revenue]]-Table3[[#This Row],[Payments]]</f>
        <v>19646650.700017035</v>
      </c>
      <c r="L164" s="37">
        <f>$L$154*'Data Entry'!$D$17</f>
        <v>59.376544337829266</v>
      </c>
      <c r="M164" s="38">
        <f>Table3[[#This Row],[Sales Tickets]]*Table3[[#This Row],[Ticket NS]]</f>
        <v>1781296.3301348779</v>
      </c>
      <c r="N164" s="38">
        <f>'Data Entry'!$D$7</f>
        <v>29000</v>
      </c>
      <c r="O164" s="38">
        <f>Table3[[#This Row],[Sales Forecast]]-Table3[[#This Row],[Capacity NS]]</f>
        <v>7098</v>
      </c>
      <c r="P164" s="38">
        <f>IF(Table3[[#This Row],[Seat Availibility NS]]&gt;0,Table3[[#This Row],[Seat Availibility NS]]*Table3[[#This Row],[Ticket NS]],)</f>
        <v>421454.71170991211</v>
      </c>
      <c r="Q164" s="38">
        <f>Table3[[#This Row],[Revenue NS]]</f>
        <v>1781296.3301348779</v>
      </c>
      <c r="R164" s="38"/>
      <c r="S164" s="38"/>
      <c r="T164" s="42"/>
      <c r="U164" s="57"/>
      <c r="V164" s="6"/>
      <c r="X164"/>
      <c r="Z164"/>
    </row>
    <row r="165" spans="2:26" x14ac:dyDescent="0.25">
      <c r="B165" s="7">
        <v>49614</v>
      </c>
      <c r="C165" s="37">
        <f>'Data Entry'!$E$34</f>
        <v>30000</v>
      </c>
      <c r="D165" s="38">
        <f>$D$154*'Data Entry'!$D$17</f>
        <v>72.765372963026053</v>
      </c>
      <c r="E165" s="39">
        <f>Table3[[#This Row],[Sales Tickets]]*Table3[[#This Row],[Tickets]]*'Data Entry'!$D$19</f>
        <v>19646650.700017035</v>
      </c>
      <c r="F165" s="34">
        <f>'Data Entry'!$D$34</f>
        <v>36098</v>
      </c>
      <c r="G165" s="38">
        <f>Table3[[#This Row],[Sales Forecast]]*Table3[[#This Row],[Tickets]]*'Data Entry'!$D$19</f>
        <v>23640159.89897383</v>
      </c>
      <c r="H165" s="38">
        <f>'Data Entry'!$D$9</f>
        <v>32000</v>
      </c>
      <c r="I165" s="38">
        <f>Table3[[#This Row],[Sales Forecast]]-Table3[[#This Row],[Capacity]]</f>
        <v>4098</v>
      </c>
      <c r="J165" s="38">
        <f>IF(Table3[[#This Row],[Seat availibility]]&gt;0,Table3[[#This Row],[Seat availibility]]*Table3[[#This Row],[Tickets]],)</f>
        <v>298192.49840248079</v>
      </c>
      <c r="K165" s="38">
        <f>Table3[[#This Row],[Revenue]]-Table3[[#This Row],[Payments]]</f>
        <v>19646650.700017035</v>
      </c>
      <c r="L165" s="37">
        <f>$L$154*'Data Entry'!$D$17</f>
        <v>59.376544337829266</v>
      </c>
      <c r="M165" s="38">
        <f>Table3[[#This Row],[Sales Tickets]]*Table3[[#This Row],[Ticket NS]]</f>
        <v>1781296.3301348779</v>
      </c>
      <c r="N165" s="38">
        <f>'Data Entry'!$D$7</f>
        <v>29000</v>
      </c>
      <c r="O165" s="38">
        <f>Table3[[#This Row],[Sales Forecast]]-Table3[[#This Row],[Capacity NS]]</f>
        <v>7098</v>
      </c>
      <c r="P165" s="38">
        <f>IF(Table3[[#This Row],[Seat Availibility NS]]&gt;0,Table3[[#This Row],[Seat Availibility NS]]*Table3[[#This Row],[Ticket NS]],)</f>
        <v>421454.71170991211</v>
      </c>
      <c r="Q165" s="38">
        <f>Table3[[#This Row],[Revenue NS]]</f>
        <v>1781296.3301348779</v>
      </c>
      <c r="R165" s="38"/>
      <c r="S165" s="38"/>
      <c r="T165" s="42"/>
      <c r="U165" s="57"/>
      <c r="V165" s="6"/>
      <c r="X165"/>
      <c r="Z165"/>
    </row>
    <row r="166" spans="2:26" x14ac:dyDescent="0.25">
      <c r="B166" s="7">
        <v>49644</v>
      </c>
      <c r="C166" s="37">
        <v>0</v>
      </c>
      <c r="D166" s="38">
        <f>$D$154*'Data Entry'!$D$17</f>
        <v>72.765372963026053</v>
      </c>
      <c r="E166" s="39">
        <f>Table3[[#This Row],[Sales Tickets]]*Table3[[#This Row],[Tickets]]</f>
        <v>0</v>
      </c>
      <c r="F166" s="38">
        <v>0</v>
      </c>
      <c r="G166" s="38">
        <f>Table3[[#This Row],[Sales Forecast]]*Table3[[#This Row],[Tickets]]</f>
        <v>0</v>
      </c>
      <c r="H166" s="38">
        <f>'Data Entry'!$D$9</f>
        <v>32000</v>
      </c>
      <c r="I166" s="38">
        <f>Table3[[#This Row],[Sales Forecast]]*Table3[[#This Row],[Tickets]]</f>
        <v>0</v>
      </c>
      <c r="J166" s="38">
        <f>IF(Table3[[#This Row],[Seat availibility]]&gt;0,Table3[[#This Row],[Seat availibility]]*Table3[[#This Row],[Tickets]],)</f>
        <v>0</v>
      </c>
      <c r="K166" s="38">
        <f>Table3[[#This Row],[Revenue]]-Table3[[#This Row],[Payments]]</f>
        <v>0</v>
      </c>
      <c r="L166" s="37">
        <f>$L$154*'Data Entry'!$D$17</f>
        <v>59.376544337829266</v>
      </c>
      <c r="M166" s="38">
        <f>Table3[[#This Row],[Sales Tickets]]*Table3[[#This Row],[Ticket NS]]</f>
        <v>0</v>
      </c>
      <c r="N166" s="38">
        <f>'Data Entry'!$D$7</f>
        <v>29000</v>
      </c>
      <c r="O166" s="38">
        <f>Table3[[#This Row],[Sales Forecast]]-Table3[[#This Row],[Capacity NS]]</f>
        <v>-29000</v>
      </c>
      <c r="P166" s="38">
        <f>IF(Table3[[#This Row],[Seat Availibility NS]]&gt;0,Table3[[#This Row],[Seat Availibility NS]]*Table3[[#This Row],[Ticket NS]],)</f>
        <v>0</v>
      </c>
      <c r="Q166" s="38">
        <f>Table3[[#This Row],[Revenue NS]]</f>
        <v>0</v>
      </c>
      <c r="R166" s="38">
        <f>NPV('Data Entry'!$D$42/12,K156:K166)+K155</f>
        <v>145039640.98600307</v>
      </c>
      <c r="S166" s="38">
        <f>NPV('Data Entry'!D186/12,Q156:Q166)+Q155</f>
        <v>14250370.641079023</v>
      </c>
      <c r="T166" s="42"/>
      <c r="U166" s="57"/>
      <c r="V166" s="6"/>
      <c r="X166"/>
      <c r="Z166"/>
    </row>
    <row r="167" spans="2:26" x14ac:dyDescent="0.25">
      <c r="B167" s="7">
        <v>49675</v>
      </c>
      <c r="C167" s="43">
        <v>0</v>
      </c>
      <c r="D167" s="38">
        <f>$D$166*'Data Entry'!$D$17</f>
        <v>74.220680422286577</v>
      </c>
      <c r="E167" s="39">
        <f>Table3[[#This Row],[Sales Tickets]]*Table3[[#This Row],[Tickets]]</f>
        <v>0</v>
      </c>
      <c r="F167" s="34">
        <v>0</v>
      </c>
      <c r="G167" s="38">
        <f>Table3[[#This Row],[Sales Forecast]]*Table3[[#This Row],[Tickets]]</f>
        <v>0</v>
      </c>
      <c r="H167" s="38">
        <f>'Data Entry'!$D$9</f>
        <v>32000</v>
      </c>
      <c r="I167" s="38">
        <f>Table3[[#This Row],[Sales Forecast]]*Table3[[#This Row],[Tickets]]</f>
        <v>0</v>
      </c>
      <c r="J167" s="38">
        <f>IF(Table3[[#This Row],[Seat availibility]]&gt;0,Table3[[#This Row],[Seat availibility]]*Table3[[#This Row],[Tickets]],)</f>
        <v>0</v>
      </c>
      <c r="K167" s="38">
        <f>Table3[[#This Row],[Revenue]]-Table3[[#This Row],[Payments]]</f>
        <v>0</v>
      </c>
      <c r="L167" s="37">
        <f>$L$166*'Data Entry'!$D$17</f>
        <v>60.564075224585849</v>
      </c>
      <c r="M167" s="38">
        <f>Table3[[#This Row],[Sales Tickets]]*Table3[[#This Row],[Ticket NS]]</f>
        <v>0</v>
      </c>
      <c r="N167" s="38">
        <f>'Data Entry'!$D$7</f>
        <v>29000</v>
      </c>
      <c r="O167" s="38">
        <f>Table3[[#This Row],[Sales Forecast]]-Table3[[#This Row],[Capacity NS]]</f>
        <v>-29000</v>
      </c>
      <c r="P167" s="38">
        <f>IF(Table3[[#This Row],[Seat Availibility NS]]&gt;0,Table3[[#This Row],[Seat Availibility NS]]*Table3[[#This Row],[Ticket NS]],)</f>
        <v>0</v>
      </c>
      <c r="Q167" s="38">
        <f>Table3[[#This Row],[Revenue NS]]</f>
        <v>0</v>
      </c>
      <c r="R167" s="38"/>
      <c r="S167" s="38"/>
      <c r="T167" s="42"/>
      <c r="U167" s="57"/>
      <c r="V167" s="6"/>
      <c r="X167"/>
      <c r="Z167"/>
    </row>
    <row r="168" spans="2:26" x14ac:dyDescent="0.25">
      <c r="B168" s="7">
        <v>49706</v>
      </c>
      <c r="C168" s="43">
        <v>0</v>
      </c>
      <c r="D168" s="38">
        <f>$D$166*'Data Entry'!$D$17</f>
        <v>74.220680422286577</v>
      </c>
      <c r="E168" s="39">
        <f>Table3[[#This Row],[Sales Tickets]]*Table3[[#This Row],[Tickets]]</f>
        <v>0</v>
      </c>
      <c r="F168" s="34">
        <v>0</v>
      </c>
      <c r="G168" s="38">
        <f>Table3[[#This Row],[Sales Forecast]]*Table3[[#This Row],[Tickets]]</f>
        <v>0</v>
      </c>
      <c r="H168" s="38">
        <f>'Data Entry'!$D$9</f>
        <v>32000</v>
      </c>
      <c r="I168" s="38">
        <f>Table3[[#This Row],[Sales Forecast]]*Table3[[#This Row],[Tickets]]</f>
        <v>0</v>
      </c>
      <c r="J168" s="38">
        <f>IF(Table3[[#This Row],[Seat availibility]]&gt;0,Table3[[#This Row],[Seat availibility]]*Table3[[#This Row],[Tickets]],)</f>
        <v>0</v>
      </c>
      <c r="K168" s="38">
        <f>Table3[[#This Row],[Revenue]]-Table3[[#This Row],[Payments]]</f>
        <v>0</v>
      </c>
      <c r="L168" s="37">
        <f>$L$166*'Data Entry'!$D$17</f>
        <v>60.564075224585849</v>
      </c>
      <c r="M168" s="38">
        <f>Table3[[#This Row],[Sales Tickets]]*Table3[[#This Row],[Ticket NS]]</f>
        <v>0</v>
      </c>
      <c r="N168" s="38">
        <f>'Data Entry'!$D$7</f>
        <v>29000</v>
      </c>
      <c r="O168" s="38">
        <f>Table3[[#This Row],[Sales Forecast]]-Table3[[#This Row],[Capacity NS]]</f>
        <v>-29000</v>
      </c>
      <c r="P168" s="38">
        <f>IF(Table3[[#This Row],[Seat Availibility NS]]&gt;0,Table3[[#This Row],[Seat Availibility NS]]*Table3[[#This Row],[Ticket NS]],)</f>
        <v>0</v>
      </c>
      <c r="Q168" s="38">
        <f>Table3[[#This Row],[Revenue NS]]</f>
        <v>0</v>
      </c>
      <c r="R168" s="38"/>
      <c r="S168" s="38"/>
      <c r="T168" s="42"/>
      <c r="U168" s="57"/>
      <c r="V168" s="6"/>
      <c r="X168"/>
      <c r="Z168"/>
    </row>
    <row r="169" spans="2:26" x14ac:dyDescent="0.25">
      <c r="B169" s="7">
        <v>49735</v>
      </c>
      <c r="C169" s="43">
        <v>0</v>
      </c>
      <c r="D169" s="38">
        <f>$D$166*'Data Entry'!$D$17</f>
        <v>74.220680422286577</v>
      </c>
      <c r="E169" s="39">
        <f>Table3[[#This Row],[Sales Tickets]]*Table3[[#This Row],[Tickets]]</f>
        <v>0</v>
      </c>
      <c r="F169" s="34">
        <v>0</v>
      </c>
      <c r="G169" s="38">
        <f>Table3[[#This Row],[Sales Forecast]]*Table3[[#This Row],[Tickets]]</f>
        <v>0</v>
      </c>
      <c r="H169" s="38">
        <f>'Data Entry'!$D$9</f>
        <v>32000</v>
      </c>
      <c r="I169" s="38">
        <f>Table3[[#This Row],[Sales Forecast]]*Table3[[#This Row],[Tickets]]</f>
        <v>0</v>
      </c>
      <c r="J169" s="38">
        <f>IF(Table3[[#This Row],[Seat availibility]]&gt;0,Table3[[#This Row],[Seat availibility]]*Table3[[#This Row],[Tickets]],)</f>
        <v>0</v>
      </c>
      <c r="K169" s="38">
        <f>Table3[[#This Row],[Revenue]]-Table3[[#This Row],[Payments]]</f>
        <v>0</v>
      </c>
      <c r="L169" s="37">
        <f>$L$166*'Data Entry'!$D$17</f>
        <v>60.564075224585849</v>
      </c>
      <c r="M169" s="38">
        <f>Table3[[#This Row],[Sales Tickets]]*Table3[[#This Row],[Ticket NS]]</f>
        <v>0</v>
      </c>
      <c r="N169" s="38">
        <f>'Data Entry'!$D$7</f>
        <v>29000</v>
      </c>
      <c r="O169" s="38">
        <f>Table3[[#This Row],[Sales Forecast]]-Table3[[#This Row],[Capacity NS]]</f>
        <v>-29000</v>
      </c>
      <c r="P169" s="38">
        <f>IF(Table3[[#This Row],[Seat Availibility NS]]&gt;0,Table3[[#This Row],[Seat Availibility NS]]*Table3[[#This Row],[Ticket NS]],)</f>
        <v>0</v>
      </c>
      <c r="Q169" s="38">
        <f>Table3[[#This Row],[Revenue NS]]</f>
        <v>0</v>
      </c>
      <c r="R169" s="38"/>
      <c r="S169" s="38"/>
      <c r="T169" s="42"/>
      <c r="U169" s="57"/>
      <c r="V169" s="6"/>
      <c r="X169"/>
      <c r="Z169"/>
    </row>
    <row r="170" spans="2:26" x14ac:dyDescent="0.25">
      <c r="B170" s="7">
        <v>49766</v>
      </c>
      <c r="C170" s="37">
        <f>'Data Entry'!$E$35</f>
        <v>30000</v>
      </c>
      <c r="D170" s="38">
        <f>$D$166*'Data Entry'!$D$17</f>
        <v>74.220680422286577</v>
      </c>
      <c r="E170" s="39">
        <f>Table3[[#This Row],[Sales Tickets]]*Table3[[#This Row],[Tickets]]*'Data Entry'!$D$19</f>
        <v>20039583.714017376</v>
      </c>
      <c r="F170" s="34">
        <f>'Data Entry'!$D$35</f>
        <v>36459</v>
      </c>
      <c r="G170" s="38">
        <f>Table3[[#This Row],[Sales Forecast]]*Table3[[#This Row],[Tickets]]*'Data Entry'!$D$19</f>
        <v>24354106.087645318</v>
      </c>
      <c r="H170" s="38">
        <f>'Data Entry'!$D$9</f>
        <v>32000</v>
      </c>
      <c r="I170" s="38">
        <f>Table3[[#This Row],[Sales Forecast]]-Table3[[#This Row],[Capacity]]</f>
        <v>4459</v>
      </c>
      <c r="J170" s="38">
        <f>IF(Table3[[#This Row],[Seat availibility]]&gt;0,Table3[[#This Row],[Seat availibility]]*Table3[[#This Row],[Tickets]],)</f>
        <v>330950.01400297583</v>
      </c>
      <c r="K170" s="38">
        <f>Table3[[#This Row],[Revenue]]-Table3[[#This Row],[Payments]]</f>
        <v>20039583.714017376</v>
      </c>
      <c r="L170" s="37">
        <f>$L$166*'Data Entry'!$D$17</f>
        <v>60.564075224585849</v>
      </c>
      <c r="M170" s="38">
        <f>Table3[[#This Row],[Sales Tickets]]*Table3[[#This Row],[Ticket NS]]</f>
        <v>1816922.2567375754</v>
      </c>
      <c r="N170" s="38">
        <f>'Data Entry'!$D$7</f>
        <v>29000</v>
      </c>
      <c r="O170" s="38">
        <f>Table3[[#This Row],[Sales Forecast]]-Table3[[#This Row],[Capacity NS]]</f>
        <v>7459</v>
      </c>
      <c r="P170" s="38">
        <f>IF(Table3[[#This Row],[Seat Availibility NS]]&gt;0,Table3[[#This Row],[Seat Availibility NS]]*Table3[[#This Row],[Ticket NS]],)</f>
        <v>451747.43710018584</v>
      </c>
      <c r="Q170" s="38">
        <f>Table3[[#This Row],[Revenue NS]]</f>
        <v>1816922.2567375754</v>
      </c>
      <c r="R170" s="38"/>
      <c r="S170" s="38"/>
      <c r="T170" s="42"/>
      <c r="U170" s="57"/>
      <c r="V170" s="6"/>
      <c r="X170"/>
      <c r="Z170"/>
    </row>
    <row r="171" spans="2:26" x14ac:dyDescent="0.25">
      <c r="B171" s="7">
        <v>49796</v>
      </c>
      <c r="C171" s="37">
        <f>'Data Entry'!$E$35</f>
        <v>30000</v>
      </c>
      <c r="D171" s="38">
        <f>$D$166*'Data Entry'!$D$17</f>
        <v>74.220680422286577</v>
      </c>
      <c r="E171" s="39">
        <f>Table3[[#This Row],[Sales Tickets]]*Table3[[#This Row],[Tickets]]*'Data Entry'!$D$19</f>
        <v>20039583.714017376</v>
      </c>
      <c r="F171" s="34">
        <f>'Data Entry'!$D$35</f>
        <v>36459</v>
      </c>
      <c r="G171" s="38">
        <f>Table3[[#This Row],[Sales Forecast]]*Table3[[#This Row],[Tickets]]*'Data Entry'!$D$19</f>
        <v>24354106.087645318</v>
      </c>
      <c r="H171" s="38">
        <f>'Data Entry'!$D$9</f>
        <v>32000</v>
      </c>
      <c r="I171" s="38">
        <f>Table3[[#This Row],[Sales Forecast]]-Table3[[#This Row],[Capacity]]</f>
        <v>4459</v>
      </c>
      <c r="J171" s="38">
        <f>IF(Table3[[#This Row],[Seat availibility]]&gt;0,Table3[[#This Row],[Seat availibility]]*Table3[[#This Row],[Tickets]],)</f>
        <v>330950.01400297583</v>
      </c>
      <c r="K171" s="38">
        <f>Table3[[#This Row],[Revenue]]-Table3[[#This Row],[Payments]]</f>
        <v>20039583.714017376</v>
      </c>
      <c r="L171" s="37">
        <f>$L$166*'Data Entry'!$D$17</f>
        <v>60.564075224585849</v>
      </c>
      <c r="M171" s="38">
        <f>Table3[[#This Row],[Sales Tickets]]*Table3[[#This Row],[Ticket NS]]</f>
        <v>1816922.2567375754</v>
      </c>
      <c r="N171" s="38">
        <f>'Data Entry'!$D$7</f>
        <v>29000</v>
      </c>
      <c r="O171" s="38">
        <f>Table3[[#This Row],[Sales Forecast]]-Table3[[#This Row],[Capacity NS]]</f>
        <v>7459</v>
      </c>
      <c r="P171" s="38">
        <f>IF(Table3[[#This Row],[Seat Availibility NS]]&gt;0,Table3[[#This Row],[Seat Availibility NS]]*Table3[[#This Row],[Ticket NS]],)</f>
        <v>451747.43710018584</v>
      </c>
      <c r="Q171" s="38">
        <f>Table3[[#This Row],[Revenue NS]]</f>
        <v>1816922.2567375754</v>
      </c>
      <c r="R171" s="38"/>
      <c r="S171" s="38"/>
      <c r="T171" s="42"/>
      <c r="U171" s="57"/>
      <c r="V171" s="6"/>
      <c r="X171"/>
      <c r="Z171"/>
    </row>
    <row r="172" spans="2:26" x14ac:dyDescent="0.25">
      <c r="B172" s="7">
        <v>49827</v>
      </c>
      <c r="C172" s="37">
        <f>'Data Entry'!$E$35</f>
        <v>30000</v>
      </c>
      <c r="D172" s="38">
        <f>$D$166*'Data Entry'!$D$17</f>
        <v>74.220680422286577</v>
      </c>
      <c r="E172" s="39">
        <f>Table3[[#This Row],[Sales Tickets]]*Table3[[#This Row],[Tickets]]*'Data Entry'!$D$19</f>
        <v>20039583.714017376</v>
      </c>
      <c r="F172" s="34">
        <f>'Data Entry'!$D$35</f>
        <v>36459</v>
      </c>
      <c r="G172" s="38">
        <f>Table3[[#This Row],[Sales Forecast]]*Table3[[#This Row],[Tickets]]*'Data Entry'!$D$19</f>
        <v>24354106.087645318</v>
      </c>
      <c r="H172" s="38">
        <f>'Data Entry'!$D$9</f>
        <v>32000</v>
      </c>
      <c r="I172" s="38">
        <f>Table3[[#This Row],[Sales Forecast]]-Table3[[#This Row],[Capacity]]</f>
        <v>4459</v>
      </c>
      <c r="J172" s="38">
        <f>IF(Table3[[#This Row],[Seat availibility]]&gt;0,Table3[[#This Row],[Seat availibility]]*Table3[[#This Row],[Tickets]],)</f>
        <v>330950.01400297583</v>
      </c>
      <c r="K172" s="38">
        <f>Table3[[#This Row],[Revenue]]-Table3[[#This Row],[Payments]]</f>
        <v>20039583.714017376</v>
      </c>
      <c r="L172" s="37">
        <f>$L$166*'Data Entry'!$D$17</f>
        <v>60.564075224585849</v>
      </c>
      <c r="M172" s="38">
        <f>Table3[[#This Row],[Sales Tickets]]*Table3[[#This Row],[Ticket NS]]</f>
        <v>1816922.2567375754</v>
      </c>
      <c r="N172" s="38">
        <f>'Data Entry'!$D$7</f>
        <v>29000</v>
      </c>
      <c r="O172" s="38">
        <f>Table3[[#This Row],[Sales Forecast]]-Table3[[#This Row],[Capacity NS]]</f>
        <v>7459</v>
      </c>
      <c r="P172" s="38">
        <f>IF(Table3[[#This Row],[Seat Availibility NS]]&gt;0,Table3[[#This Row],[Seat Availibility NS]]*Table3[[#This Row],[Ticket NS]],)</f>
        <v>451747.43710018584</v>
      </c>
      <c r="Q172" s="38">
        <f>Table3[[#This Row],[Revenue NS]]</f>
        <v>1816922.2567375754</v>
      </c>
      <c r="R172" s="38"/>
      <c r="S172" s="38"/>
      <c r="T172" s="42"/>
      <c r="U172" s="57"/>
      <c r="V172" s="6"/>
      <c r="X172"/>
      <c r="Z172"/>
    </row>
    <row r="173" spans="2:26" x14ac:dyDescent="0.25">
      <c r="B173" s="7">
        <v>49857</v>
      </c>
      <c r="C173" s="37">
        <f>'Data Entry'!$E$35</f>
        <v>30000</v>
      </c>
      <c r="D173" s="38">
        <f>$D$166*'Data Entry'!$D$17</f>
        <v>74.220680422286577</v>
      </c>
      <c r="E173" s="39">
        <f>Table3[[#This Row],[Sales Tickets]]*Table3[[#This Row],[Tickets]]*'Data Entry'!$D$19</f>
        <v>20039583.714017376</v>
      </c>
      <c r="F173" s="34">
        <f>'Data Entry'!$D$35</f>
        <v>36459</v>
      </c>
      <c r="G173" s="38">
        <f>Table3[[#This Row],[Sales Forecast]]*Table3[[#This Row],[Tickets]]*'Data Entry'!$D$19</f>
        <v>24354106.087645318</v>
      </c>
      <c r="H173" s="38">
        <f>'Data Entry'!$D$9</f>
        <v>32000</v>
      </c>
      <c r="I173" s="38">
        <f>Table3[[#This Row],[Sales Forecast]]-Table3[[#This Row],[Capacity]]</f>
        <v>4459</v>
      </c>
      <c r="J173" s="38">
        <f>IF(Table3[[#This Row],[Seat availibility]]&gt;0,Table3[[#This Row],[Seat availibility]]*Table3[[#This Row],[Tickets]],)</f>
        <v>330950.01400297583</v>
      </c>
      <c r="K173" s="38">
        <f>Table3[[#This Row],[Revenue]]-Table3[[#This Row],[Payments]]</f>
        <v>20039583.714017376</v>
      </c>
      <c r="L173" s="37">
        <f>$L$166*'Data Entry'!$D$17</f>
        <v>60.564075224585849</v>
      </c>
      <c r="M173" s="38">
        <f>Table3[[#This Row],[Sales Tickets]]*Table3[[#This Row],[Ticket NS]]</f>
        <v>1816922.2567375754</v>
      </c>
      <c r="N173" s="38">
        <f>'Data Entry'!$D$7</f>
        <v>29000</v>
      </c>
      <c r="O173" s="38">
        <f>Table3[[#This Row],[Sales Forecast]]-Table3[[#This Row],[Capacity NS]]</f>
        <v>7459</v>
      </c>
      <c r="P173" s="38">
        <f>IF(Table3[[#This Row],[Seat Availibility NS]]&gt;0,Table3[[#This Row],[Seat Availibility NS]]*Table3[[#This Row],[Ticket NS]],)</f>
        <v>451747.43710018584</v>
      </c>
      <c r="Q173" s="38">
        <f>Table3[[#This Row],[Revenue NS]]</f>
        <v>1816922.2567375754</v>
      </c>
      <c r="R173" s="38"/>
      <c r="S173" s="38"/>
      <c r="T173" s="42"/>
      <c r="U173" s="57"/>
      <c r="V173" s="6"/>
      <c r="X173"/>
      <c r="Z173"/>
    </row>
    <row r="174" spans="2:26" x14ac:dyDescent="0.25">
      <c r="B174" s="7">
        <v>49888</v>
      </c>
      <c r="C174" s="37">
        <f>'Data Entry'!$E$35</f>
        <v>30000</v>
      </c>
      <c r="D174" s="38">
        <f>$D$166*'Data Entry'!$D$17</f>
        <v>74.220680422286577</v>
      </c>
      <c r="E174" s="39">
        <f>Table3[[#This Row],[Sales Tickets]]*Table3[[#This Row],[Tickets]]*'Data Entry'!$D$19</f>
        <v>20039583.714017376</v>
      </c>
      <c r="F174" s="34">
        <f>'Data Entry'!$D$35</f>
        <v>36459</v>
      </c>
      <c r="G174" s="38">
        <f>Table3[[#This Row],[Sales Forecast]]*Table3[[#This Row],[Tickets]]*'Data Entry'!$D$19</f>
        <v>24354106.087645318</v>
      </c>
      <c r="H174" s="38">
        <f>'Data Entry'!$D$9</f>
        <v>32000</v>
      </c>
      <c r="I174" s="38">
        <f>Table3[[#This Row],[Sales Forecast]]-Table3[[#This Row],[Capacity]]</f>
        <v>4459</v>
      </c>
      <c r="J174" s="38">
        <f>IF(Table3[[#This Row],[Seat availibility]]&gt;0,Table3[[#This Row],[Seat availibility]]*Table3[[#This Row],[Tickets]],)</f>
        <v>330950.01400297583</v>
      </c>
      <c r="K174" s="38">
        <f>Table3[[#This Row],[Revenue]]-Table3[[#This Row],[Payments]]</f>
        <v>20039583.714017376</v>
      </c>
      <c r="L174" s="37">
        <f>$L$166*'Data Entry'!$D$17</f>
        <v>60.564075224585849</v>
      </c>
      <c r="M174" s="38">
        <f>Table3[[#This Row],[Sales Tickets]]*Table3[[#This Row],[Ticket NS]]</f>
        <v>1816922.2567375754</v>
      </c>
      <c r="N174" s="38">
        <f>'Data Entry'!$D$7</f>
        <v>29000</v>
      </c>
      <c r="O174" s="38">
        <f>Table3[[#This Row],[Sales Forecast]]-Table3[[#This Row],[Capacity NS]]</f>
        <v>7459</v>
      </c>
      <c r="P174" s="38">
        <f>IF(Table3[[#This Row],[Seat Availibility NS]]&gt;0,Table3[[#This Row],[Seat Availibility NS]]*Table3[[#This Row],[Ticket NS]],)</f>
        <v>451747.43710018584</v>
      </c>
      <c r="Q174" s="38">
        <f>Table3[[#This Row],[Revenue NS]]</f>
        <v>1816922.2567375754</v>
      </c>
      <c r="R174" s="38"/>
      <c r="S174" s="38"/>
      <c r="T174" s="42"/>
      <c r="U174" s="57"/>
      <c r="V174" s="6"/>
      <c r="X174"/>
      <c r="Z174"/>
    </row>
    <row r="175" spans="2:26" x14ac:dyDescent="0.25">
      <c r="B175" s="7">
        <v>49919</v>
      </c>
      <c r="C175" s="37">
        <f>'Data Entry'!$E$35</f>
        <v>30000</v>
      </c>
      <c r="D175" s="38">
        <f>$D$166*'Data Entry'!$D$17</f>
        <v>74.220680422286577</v>
      </c>
      <c r="E175" s="39">
        <f>Table3[[#This Row],[Sales Tickets]]*Table3[[#This Row],[Tickets]]*'Data Entry'!$D$19</f>
        <v>20039583.714017376</v>
      </c>
      <c r="F175" s="34">
        <f>'Data Entry'!$D$35</f>
        <v>36459</v>
      </c>
      <c r="G175" s="38">
        <f>Table3[[#This Row],[Sales Forecast]]*Table3[[#This Row],[Tickets]]*'Data Entry'!$D$19</f>
        <v>24354106.087645318</v>
      </c>
      <c r="H175" s="38">
        <f>'Data Entry'!$D$9</f>
        <v>32000</v>
      </c>
      <c r="I175" s="38">
        <f>Table3[[#This Row],[Sales Forecast]]-Table3[[#This Row],[Capacity]]</f>
        <v>4459</v>
      </c>
      <c r="J175" s="38">
        <f>IF(Table3[[#This Row],[Seat availibility]]&gt;0,Table3[[#This Row],[Seat availibility]]*Table3[[#This Row],[Tickets]],)</f>
        <v>330950.01400297583</v>
      </c>
      <c r="K175" s="38">
        <f>Table3[[#This Row],[Revenue]]-Table3[[#This Row],[Payments]]</f>
        <v>20039583.714017376</v>
      </c>
      <c r="L175" s="37">
        <f>$L$166*'Data Entry'!$D$17</f>
        <v>60.564075224585849</v>
      </c>
      <c r="M175" s="38">
        <f>Table3[[#This Row],[Sales Tickets]]*Table3[[#This Row],[Ticket NS]]</f>
        <v>1816922.2567375754</v>
      </c>
      <c r="N175" s="38">
        <f>'Data Entry'!$D$7</f>
        <v>29000</v>
      </c>
      <c r="O175" s="38">
        <f>Table3[[#This Row],[Sales Forecast]]-Table3[[#This Row],[Capacity NS]]</f>
        <v>7459</v>
      </c>
      <c r="P175" s="38">
        <f>IF(Table3[[#This Row],[Seat Availibility NS]]&gt;0,Table3[[#This Row],[Seat Availibility NS]]*Table3[[#This Row],[Ticket NS]],)</f>
        <v>451747.43710018584</v>
      </c>
      <c r="Q175" s="38">
        <f>Table3[[#This Row],[Revenue NS]]</f>
        <v>1816922.2567375754</v>
      </c>
      <c r="R175" s="38"/>
      <c r="S175" s="38"/>
      <c r="T175" s="42"/>
      <c r="U175" s="57"/>
      <c r="V175" s="6"/>
      <c r="X175"/>
      <c r="Z175"/>
    </row>
    <row r="176" spans="2:26" x14ac:dyDescent="0.25">
      <c r="B176" s="7">
        <v>49949</v>
      </c>
      <c r="C176" s="37">
        <f>'Data Entry'!$E$35</f>
        <v>30000</v>
      </c>
      <c r="D176" s="38">
        <f>$D$166*'Data Entry'!$D$17</f>
        <v>74.220680422286577</v>
      </c>
      <c r="E176" s="39">
        <f>Table3[[#This Row],[Sales Tickets]]*Table3[[#This Row],[Tickets]]*'Data Entry'!$D$19</f>
        <v>20039583.714017376</v>
      </c>
      <c r="F176" s="34">
        <f>'Data Entry'!$D$35</f>
        <v>36459</v>
      </c>
      <c r="G176" s="38">
        <f>Table3[[#This Row],[Sales Forecast]]*Table3[[#This Row],[Tickets]]*'Data Entry'!$D$19</f>
        <v>24354106.087645318</v>
      </c>
      <c r="H176" s="38">
        <f>'Data Entry'!$D$9</f>
        <v>32000</v>
      </c>
      <c r="I176" s="38">
        <f>Table3[[#This Row],[Sales Forecast]]-Table3[[#This Row],[Capacity]]</f>
        <v>4459</v>
      </c>
      <c r="J176" s="38">
        <f>IF(Table3[[#This Row],[Seat availibility]]&gt;0,Table3[[#This Row],[Seat availibility]]*Table3[[#This Row],[Tickets]],)</f>
        <v>330950.01400297583</v>
      </c>
      <c r="K176" s="38">
        <f>Table3[[#This Row],[Revenue]]-Table3[[#This Row],[Payments]]</f>
        <v>20039583.714017376</v>
      </c>
      <c r="L176" s="37">
        <f>$L$166*'Data Entry'!$D$17</f>
        <v>60.564075224585849</v>
      </c>
      <c r="M176" s="38">
        <f>Table3[[#This Row],[Sales Tickets]]*Table3[[#This Row],[Ticket NS]]</f>
        <v>1816922.2567375754</v>
      </c>
      <c r="N176" s="38">
        <f>'Data Entry'!$D$7</f>
        <v>29000</v>
      </c>
      <c r="O176" s="38">
        <f>Table3[[#This Row],[Sales Forecast]]-Table3[[#This Row],[Capacity NS]]</f>
        <v>7459</v>
      </c>
      <c r="P176" s="38">
        <f>IF(Table3[[#This Row],[Seat Availibility NS]]&gt;0,Table3[[#This Row],[Seat Availibility NS]]*Table3[[#This Row],[Ticket NS]],)</f>
        <v>451747.43710018584</v>
      </c>
      <c r="Q176" s="38">
        <f>Table3[[#This Row],[Revenue NS]]</f>
        <v>1816922.2567375754</v>
      </c>
      <c r="R176" s="38"/>
      <c r="S176" s="38"/>
      <c r="T176" s="42"/>
      <c r="U176" s="57"/>
      <c r="V176" s="6"/>
      <c r="X176"/>
      <c r="Z176"/>
    </row>
    <row r="177" spans="2:26" x14ac:dyDescent="0.25">
      <c r="B177" s="7">
        <v>49980</v>
      </c>
      <c r="C177" s="37">
        <f>'Data Entry'!$E$35</f>
        <v>30000</v>
      </c>
      <c r="D177" s="38">
        <f>$D$166*'Data Entry'!$D$17</f>
        <v>74.220680422286577</v>
      </c>
      <c r="E177" s="39">
        <f>Table3[[#This Row],[Sales Tickets]]*Table3[[#This Row],[Tickets]]*'Data Entry'!$D$19</f>
        <v>20039583.714017376</v>
      </c>
      <c r="F177" s="34">
        <f>'Data Entry'!$D$35</f>
        <v>36459</v>
      </c>
      <c r="G177" s="38">
        <f>Table3[[#This Row],[Sales Forecast]]*Table3[[#This Row],[Tickets]]*'Data Entry'!$D$19</f>
        <v>24354106.087645318</v>
      </c>
      <c r="H177" s="38">
        <f>'Data Entry'!$D$9</f>
        <v>32000</v>
      </c>
      <c r="I177" s="38">
        <f>Table3[[#This Row],[Sales Forecast]]-Table3[[#This Row],[Capacity]]</f>
        <v>4459</v>
      </c>
      <c r="J177" s="38">
        <f>IF(Table3[[#This Row],[Seat availibility]]&gt;0,Table3[[#This Row],[Seat availibility]]*Table3[[#This Row],[Tickets]],)</f>
        <v>330950.01400297583</v>
      </c>
      <c r="K177" s="38">
        <f>Table3[[#This Row],[Revenue]]-Table3[[#This Row],[Payments]]</f>
        <v>20039583.714017376</v>
      </c>
      <c r="L177" s="37">
        <f>$L$166*'Data Entry'!$D$17</f>
        <v>60.564075224585849</v>
      </c>
      <c r="M177" s="38">
        <f>Table3[[#This Row],[Sales Tickets]]*Table3[[#This Row],[Ticket NS]]</f>
        <v>1816922.2567375754</v>
      </c>
      <c r="N177" s="38">
        <f>'Data Entry'!$D$7</f>
        <v>29000</v>
      </c>
      <c r="O177" s="38">
        <f>Table3[[#This Row],[Sales Forecast]]-Table3[[#This Row],[Capacity NS]]</f>
        <v>7459</v>
      </c>
      <c r="P177" s="38">
        <f>IF(Table3[[#This Row],[Seat Availibility NS]]&gt;0,Table3[[#This Row],[Seat Availibility NS]]*Table3[[#This Row],[Ticket NS]],)</f>
        <v>451747.43710018584</v>
      </c>
      <c r="Q177" s="38">
        <f>Table3[[#This Row],[Revenue NS]]</f>
        <v>1816922.2567375754</v>
      </c>
      <c r="R177" s="38"/>
      <c r="S177" s="38"/>
      <c r="T177" s="42"/>
      <c r="U177" s="57"/>
      <c r="V177" s="6"/>
      <c r="X177"/>
      <c r="Z177"/>
    </row>
    <row r="178" spans="2:26" x14ac:dyDescent="0.25">
      <c r="B178" s="7">
        <v>50010</v>
      </c>
      <c r="C178" s="37">
        <v>0</v>
      </c>
      <c r="D178" s="38">
        <f>$D$166*'Data Entry'!$D$17</f>
        <v>74.220680422286577</v>
      </c>
      <c r="E178" s="39">
        <f>Table3[[#This Row],[Sales Tickets]]*Table3[[#This Row],[Tickets]]</f>
        <v>0</v>
      </c>
      <c r="F178" s="38">
        <v>0</v>
      </c>
      <c r="G178" s="38">
        <f>Table3[[#This Row],[Sales Forecast]]*Table3[[#This Row],[Tickets]]</f>
        <v>0</v>
      </c>
      <c r="H178" s="38">
        <f>'Data Entry'!$D$9</f>
        <v>32000</v>
      </c>
      <c r="I178" s="38">
        <f>Table3[[#This Row],[Sales Forecast]]*Table3[[#This Row],[Tickets]]</f>
        <v>0</v>
      </c>
      <c r="J178" s="38">
        <f>IF(Table3[[#This Row],[Seat availibility]]&gt;0,Table3[[#This Row],[Seat availibility]]*Table3[[#This Row],[Tickets]],)</f>
        <v>0</v>
      </c>
      <c r="K178" s="38">
        <f>Table3[[#This Row],[Revenue]]-Table3[[#This Row],[Payments]]</f>
        <v>0</v>
      </c>
      <c r="L178" s="37">
        <f>$L$166*'Data Entry'!$D$17</f>
        <v>60.564075224585849</v>
      </c>
      <c r="M178" s="38">
        <f>Table3[[#This Row],[Sales Tickets]]*Table3[[#This Row],[Ticket NS]]</f>
        <v>0</v>
      </c>
      <c r="N178" s="38">
        <f>'Data Entry'!$D$7</f>
        <v>29000</v>
      </c>
      <c r="O178" s="38">
        <f>Table3[[#This Row],[Sales Forecast]]-Table3[[#This Row],[Capacity NS]]</f>
        <v>-29000</v>
      </c>
      <c r="P178" s="38">
        <f>IF(Table3[[#This Row],[Seat Availibility NS]]&gt;0,Table3[[#This Row],[Seat Availibility NS]]*Table3[[#This Row],[Ticket NS]],)</f>
        <v>0</v>
      </c>
      <c r="Q178" s="38">
        <f>Table3[[#This Row],[Revenue NS]]</f>
        <v>0</v>
      </c>
      <c r="R178" s="38">
        <f>NPV('Data Entry'!$D$42/12,K168:K178)+K167</f>
        <v>147940433.80572313</v>
      </c>
      <c r="S178" s="38">
        <f>NPV('Data Entry'!D198/12,Q168:Q178)+Q167</f>
        <v>14535378.053900601</v>
      </c>
      <c r="T178" s="42"/>
      <c r="U178" s="57"/>
      <c r="V178" s="6"/>
      <c r="X178"/>
      <c r="Z178"/>
    </row>
    <row r="179" spans="2:26" x14ac:dyDescent="0.25">
      <c r="B179" s="7">
        <v>50041</v>
      </c>
      <c r="C179" s="43">
        <v>0</v>
      </c>
      <c r="D179" s="38">
        <f>$D$178*'Data Entry'!$D$17</f>
        <v>75.705094030732312</v>
      </c>
      <c r="E179" s="39">
        <f>Table3[[#This Row],[Sales Tickets]]*Table3[[#This Row],[Tickets]]</f>
        <v>0</v>
      </c>
      <c r="F179" s="34">
        <v>0</v>
      </c>
      <c r="G179" s="38">
        <f>Table3[[#This Row],[Sales Forecast]]*Table3[[#This Row],[Tickets]]</f>
        <v>0</v>
      </c>
      <c r="H179" s="38">
        <f>'Data Entry'!$D$9</f>
        <v>32000</v>
      </c>
      <c r="I179" s="38">
        <f>Table3[[#This Row],[Sales Forecast]]*Table3[[#This Row],[Tickets]]</f>
        <v>0</v>
      </c>
      <c r="J179" s="38">
        <f>IF(Table3[[#This Row],[Seat availibility]]&gt;0,Table3[[#This Row],[Seat availibility]]*Table3[[#This Row],[Tickets]],)</f>
        <v>0</v>
      </c>
      <c r="K179" s="38">
        <f>Table3[[#This Row],[Revenue]]-Table3[[#This Row],[Payments]]</f>
        <v>0</v>
      </c>
      <c r="L179" s="37">
        <f>$L$178*'Data Entry'!$D$17</f>
        <v>61.775356729077565</v>
      </c>
      <c r="M179" s="38">
        <f>Table3[[#This Row],[Sales Tickets]]*Table3[[#This Row],[Ticket NS]]</f>
        <v>0</v>
      </c>
      <c r="N179" s="38">
        <f>'Data Entry'!$D$7</f>
        <v>29000</v>
      </c>
      <c r="O179" s="38">
        <f>Table3[[#This Row],[Sales Forecast]]-Table3[[#This Row],[Capacity NS]]</f>
        <v>-29000</v>
      </c>
      <c r="P179" s="38">
        <f>IF(Table3[[#This Row],[Seat Availibility NS]]&gt;0,Table3[[#This Row],[Seat Availibility NS]]*Table3[[#This Row],[Ticket NS]],)</f>
        <v>0</v>
      </c>
      <c r="Q179" s="38">
        <f>Table3[[#This Row],[Revenue NS]]</f>
        <v>0</v>
      </c>
      <c r="R179" s="38"/>
      <c r="S179" s="38"/>
      <c r="T179" s="42"/>
      <c r="U179" s="57"/>
      <c r="V179" s="6"/>
      <c r="X179"/>
      <c r="Z179"/>
    </row>
    <row r="180" spans="2:26" x14ac:dyDescent="0.25">
      <c r="B180" s="7">
        <v>50072</v>
      </c>
      <c r="C180" s="43">
        <v>0</v>
      </c>
      <c r="D180" s="38">
        <f>$D$178*'Data Entry'!$D$17</f>
        <v>75.705094030732312</v>
      </c>
      <c r="E180" s="39">
        <f>Table3[[#This Row],[Sales Tickets]]*Table3[[#This Row],[Tickets]]</f>
        <v>0</v>
      </c>
      <c r="F180" s="34">
        <v>0</v>
      </c>
      <c r="G180" s="38">
        <f>Table3[[#This Row],[Sales Forecast]]*Table3[[#This Row],[Tickets]]</f>
        <v>0</v>
      </c>
      <c r="H180" s="38">
        <f>'Data Entry'!$D$9</f>
        <v>32000</v>
      </c>
      <c r="I180" s="38">
        <f>Table3[[#This Row],[Sales Forecast]]*Table3[[#This Row],[Tickets]]</f>
        <v>0</v>
      </c>
      <c r="J180" s="38">
        <f>IF(Table3[[#This Row],[Seat availibility]]&gt;0,Table3[[#This Row],[Seat availibility]]*Table3[[#This Row],[Tickets]],)</f>
        <v>0</v>
      </c>
      <c r="K180" s="38">
        <f>Table3[[#This Row],[Revenue]]-Table3[[#This Row],[Payments]]</f>
        <v>0</v>
      </c>
      <c r="L180" s="37">
        <f>$L$178*'Data Entry'!$D$17</f>
        <v>61.775356729077565</v>
      </c>
      <c r="M180" s="38">
        <f>Table3[[#This Row],[Sales Tickets]]*Table3[[#This Row],[Ticket NS]]</f>
        <v>0</v>
      </c>
      <c r="N180" s="38">
        <f>'Data Entry'!$D$7</f>
        <v>29000</v>
      </c>
      <c r="O180" s="38">
        <f>Table3[[#This Row],[Sales Forecast]]-Table3[[#This Row],[Capacity NS]]</f>
        <v>-29000</v>
      </c>
      <c r="P180" s="38">
        <f>IF(Table3[[#This Row],[Seat Availibility NS]]&gt;0,Table3[[#This Row],[Seat Availibility NS]]*Table3[[#This Row],[Ticket NS]],)</f>
        <v>0</v>
      </c>
      <c r="Q180" s="38">
        <f>Table3[[#This Row],[Revenue NS]]</f>
        <v>0</v>
      </c>
      <c r="R180" s="38"/>
      <c r="S180" s="38"/>
      <c r="T180" s="42"/>
      <c r="U180" s="57"/>
      <c r="V180" s="6"/>
      <c r="X180"/>
      <c r="Z180"/>
    </row>
    <row r="181" spans="2:26" x14ac:dyDescent="0.25">
      <c r="B181" s="7">
        <v>50100</v>
      </c>
      <c r="C181" s="43">
        <v>0</v>
      </c>
      <c r="D181" s="38">
        <f>$D$178*'Data Entry'!$D$17</f>
        <v>75.705094030732312</v>
      </c>
      <c r="E181" s="39">
        <f>Table3[[#This Row],[Sales Tickets]]*Table3[[#This Row],[Tickets]]</f>
        <v>0</v>
      </c>
      <c r="F181" s="34">
        <v>0</v>
      </c>
      <c r="G181" s="38">
        <f>Table3[[#This Row],[Sales Forecast]]*Table3[[#This Row],[Tickets]]</f>
        <v>0</v>
      </c>
      <c r="H181" s="38">
        <f>'Data Entry'!$D$9</f>
        <v>32000</v>
      </c>
      <c r="I181" s="38">
        <f>Table3[[#This Row],[Sales Forecast]]*Table3[[#This Row],[Tickets]]</f>
        <v>0</v>
      </c>
      <c r="J181" s="38">
        <f>IF(Table3[[#This Row],[Seat availibility]]&gt;0,Table3[[#This Row],[Seat availibility]]*Table3[[#This Row],[Tickets]],)</f>
        <v>0</v>
      </c>
      <c r="K181" s="38">
        <f>Table3[[#This Row],[Revenue]]-Table3[[#This Row],[Payments]]</f>
        <v>0</v>
      </c>
      <c r="L181" s="37">
        <f>$L$178*'Data Entry'!$D$17</f>
        <v>61.775356729077565</v>
      </c>
      <c r="M181" s="38">
        <f>Table3[[#This Row],[Sales Tickets]]*Table3[[#This Row],[Ticket NS]]</f>
        <v>0</v>
      </c>
      <c r="N181" s="38">
        <f>'Data Entry'!$D$7</f>
        <v>29000</v>
      </c>
      <c r="O181" s="38">
        <f>Table3[[#This Row],[Sales Forecast]]-Table3[[#This Row],[Capacity NS]]</f>
        <v>-29000</v>
      </c>
      <c r="P181" s="38">
        <f>IF(Table3[[#This Row],[Seat Availibility NS]]&gt;0,Table3[[#This Row],[Seat Availibility NS]]*Table3[[#This Row],[Ticket NS]],)</f>
        <v>0</v>
      </c>
      <c r="Q181" s="38">
        <f>Table3[[#This Row],[Revenue NS]]</f>
        <v>0</v>
      </c>
      <c r="R181" s="38"/>
      <c r="S181" s="38"/>
      <c r="T181" s="42"/>
      <c r="U181" s="57"/>
      <c r="V181" s="6"/>
      <c r="X181"/>
      <c r="Z181"/>
    </row>
    <row r="182" spans="2:26" x14ac:dyDescent="0.25">
      <c r="B182" s="7">
        <v>50131</v>
      </c>
      <c r="C182" s="37">
        <f>'Data Entry'!$E$36</f>
        <v>30000</v>
      </c>
      <c r="D182" s="38">
        <f>$D$178*'Data Entry'!$D$17</f>
        <v>75.705094030732312</v>
      </c>
      <c r="E182" s="39">
        <f>Table3[[#This Row],[Sales Tickets]]*Table3[[#This Row],[Tickets]]*'Data Entry'!$D$19</f>
        <v>20440375.388297722</v>
      </c>
      <c r="F182" s="34">
        <f>'Data Entry'!$D$36</f>
        <v>36823</v>
      </c>
      <c r="G182" s="38">
        <f>Table3[[#This Row],[Sales Forecast]]*Table3[[#This Row],[Tickets]]*'Data Entry'!$D$19</f>
        <v>25089198.097442903</v>
      </c>
      <c r="H182" s="38">
        <f>'Data Entry'!$D$9</f>
        <v>32000</v>
      </c>
      <c r="I182" s="38">
        <f>Table3[[#This Row],[Sales Forecast]]-Table3[[#This Row],[Capacity]]</f>
        <v>4823</v>
      </c>
      <c r="J182" s="38">
        <f>IF(Table3[[#This Row],[Seat availibility]]&gt;0,Table3[[#This Row],[Seat availibility]]*Table3[[#This Row],[Tickets]],)</f>
        <v>365125.66851022193</v>
      </c>
      <c r="K182" s="38">
        <f>Table3[[#This Row],[Revenue]]-Table3[[#This Row],[Payments]]</f>
        <v>20440375.388297722</v>
      </c>
      <c r="L182" s="37">
        <f>$L$178*'Data Entry'!$D$17</f>
        <v>61.775356729077565</v>
      </c>
      <c r="M182" s="38">
        <f>Table3[[#This Row],[Sales Tickets]]*Table3[[#This Row],[Ticket NS]]</f>
        <v>1853260.7018723269</v>
      </c>
      <c r="N182" s="38">
        <f>'Data Entry'!$D$7</f>
        <v>29000</v>
      </c>
      <c r="O182" s="38">
        <f>Table3[[#This Row],[Sales Forecast]]-Table3[[#This Row],[Capacity NS]]</f>
        <v>7823</v>
      </c>
      <c r="P182" s="38">
        <f>IF(Table3[[#This Row],[Seat Availibility NS]]&gt;0,Table3[[#This Row],[Seat Availibility NS]]*Table3[[#This Row],[Ticket NS]],)</f>
        <v>483268.61569157377</v>
      </c>
      <c r="Q182" s="38">
        <f>Table3[[#This Row],[Revenue NS]]</f>
        <v>1853260.7018723269</v>
      </c>
      <c r="R182" s="38"/>
      <c r="S182" s="38"/>
      <c r="T182" s="42"/>
      <c r="U182" s="57"/>
      <c r="V182" s="6"/>
      <c r="X182"/>
      <c r="Z182"/>
    </row>
    <row r="183" spans="2:26" x14ac:dyDescent="0.25">
      <c r="B183" s="7">
        <v>50161</v>
      </c>
      <c r="C183" s="37">
        <f>'Data Entry'!$E$36</f>
        <v>30000</v>
      </c>
      <c r="D183" s="38">
        <f>$D$178*'Data Entry'!$D$17</f>
        <v>75.705094030732312</v>
      </c>
      <c r="E183" s="39">
        <f>Table3[[#This Row],[Sales Tickets]]*Table3[[#This Row],[Tickets]]*'Data Entry'!$D$19</f>
        <v>20440375.388297722</v>
      </c>
      <c r="F183" s="34">
        <f>'Data Entry'!$D$36</f>
        <v>36823</v>
      </c>
      <c r="G183" s="38">
        <f>Table3[[#This Row],[Sales Forecast]]*Table3[[#This Row],[Tickets]]*'Data Entry'!$D$19</f>
        <v>25089198.097442903</v>
      </c>
      <c r="H183" s="38">
        <f>'Data Entry'!$D$9</f>
        <v>32000</v>
      </c>
      <c r="I183" s="38">
        <f>Table3[[#This Row],[Sales Forecast]]-Table3[[#This Row],[Capacity]]</f>
        <v>4823</v>
      </c>
      <c r="J183" s="38">
        <f>IF(Table3[[#This Row],[Seat availibility]]&gt;0,Table3[[#This Row],[Seat availibility]]*Table3[[#This Row],[Tickets]],)</f>
        <v>365125.66851022193</v>
      </c>
      <c r="K183" s="38">
        <f>Table3[[#This Row],[Revenue]]-Table3[[#This Row],[Payments]]</f>
        <v>20440375.388297722</v>
      </c>
      <c r="L183" s="37">
        <f>$L$178*'Data Entry'!$D$17</f>
        <v>61.775356729077565</v>
      </c>
      <c r="M183" s="38">
        <f>Table3[[#This Row],[Sales Tickets]]*Table3[[#This Row],[Ticket NS]]</f>
        <v>1853260.7018723269</v>
      </c>
      <c r="N183" s="38">
        <f>'Data Entry'!$D$7</f>
        <v>29000</v>
      </c>
      <c r="O183" s="38">
        <f>Table3[[#This Row],[Sales Forecast]]-Table3[[#This Row],[Capacity NS]]</f>
        <v>7823</v>
      </c>
      <c r="P183" s="38">
        <f>IF(Table3[[#This Row],[Seat Availibility NS]]&gt;0,Table3[[#This Row],[Seat Availibility NS]]*Table3[[#This Row],[Ticket NS]],)</f>
        <v>483268.61569157377</v>
      </c>
      <c r="Q183" s="38">
        <f>Table3[[#This Row],[Revenue NS]]</f>
        <v>1853260.7018723269</v>
      </c>
      <c r="R183" s="38"/>
      <c r="S183" s="38"/>
      <c r="T183" s="42"/>
      <c r="U183" s="57"/>
      <c r="V183" s="6"/>
      <c r="X183"/>
      <c r="Z183"/>
    </row>
    <row r="184" spans="2:26" x14ac:dyDescent="0.25">
      <c r="B184" s="7">
        <v>50192</v>
      </c>
      <c r="C184" s="37">
        <f>'Data Entry'!$E$36</f>
        <v>30000</v>
      </c>
      <c r="D184" s="38">
        <f>$D$178*'Data Entry'!$D$17</f>
        <v>75.705094030732312</v>
      </c>
      <c r="E184" s="39">
        <f>Table3[[#This Row],[Sales Tickets]]*Table3[[#This Row],[Tickets]]*'Data Entry'!$D$19</f>
        <v>20440375.388297722</v>
      </c>
      <c r="F184" s="34">
        <f>'Data Entry'!$D$36</f>
        <v>36823</v>
      </c>
      <c r="G184" s="38">
        <f>Table3[[#This Row],[Sales Forecast]]*Table3[[#This Row],[Tickets]]*'Data Entry'!$D$19</f>
        <v>25089198.097442903</v>
      </c>
      <c r="H184" s="38">
        <f>'Data Entry'!$D$9</f>
        <v>32000</v>
      </c>
      <c r="I184" s="38">
        <f>Table3[[#This Row],[Sales Forecast]]-Table3[[#This Row],[Capacity]]</f>
        <v>4823</v>
      </c>
      <c r="J184" s="38">
        <f>IF(Table3[[#This Row],[Seat availibility]]&gt;0,Table3[[#This Row],[Seat availibility]]*Table3[[#This Row],[Tickets]],)</f>
        <v>365125.66851022193</v>
      </c>
      <c r="K184" s="38">
        <f>Table3[[#This Row],[Revenue]]-Table3[[#This Row],[Payments]]</f>
        <v>20440375.388297722</v>
      </c>
      <c r="L184" s="37">
        <f>$L$178*'Data Entry'!$D$17</f>
        <v>61.775356729077565</v>
      </c>
      <c r="M184" s="38">
        <f>Table3[[#This Row],[Sales Tickets]]*Table3[[#This Row],[Ticket NS]]</f>
        <v>1853260.7018723269</v>
      </c>
      <c r="N184" s="38">
        <f>'Data Entry'!$D$7</f>
        <v>29000</v>
      </c>
      <c r="O184" s="38">
        <f>Table3[[#This Row],[Sales Forecast]]-Table3[[#This Row],[Capacity NS]]</f>
        <v>7823</v>
      </c>
      <c r="P184" s="38">
        <f>IF(Table3[[#This Row],[Seat Availibility NS]]&gt;0,Table3[[#This Row],[Seat Availibility NS]]*Table3[[#This Row],[Ticket NS]],)</f>
        <v>483268.61569157377</v>
      </c>
      <c r="Q184" s="38">
        <f>Table3[[#This Row],[Revenue NS]]</f>
        <v>1853260.7018723269</v>
      </c>
      <c r="R184" s="38"/>
      <c r="S184" s="38"/>
      <c r="T184" s="42"/>
      <c r="U184" s="57"/>
      <c r="V184" s="6"/>
      <c r="X184"/>
      <c r="Z184"/>
    </row>
    <row r="185" spans="2:26" x14ac:dyDescent="0.25">
      <c r="B185" s="7">
        <v>50222</v>
      </c>
      <c r="C185" s="37">
        <f>'Data Entry'!$E$36</f>
        <v>30000</v>
      </c>
      <c r="D185" s="38">
        <f>$D$178*'Data Entry'!$D$17</f>
        <v>75.705094030732312</v>
      </c>
      <c r="E185" s="39">
        <f>Table3[[#This Row],[Sales Tickets]]*Table3[[#This Row],[Tickets]]*'Data Entry'!$D$19</f>
        <v>20440375.388297722</v>
      </c>
      <c r="F185" s="34">
        <f>'Data Entry'!$D$36</f>
        <v>36823</v>
      </c>
      <c r="G185" s="38">
        <f>Table3[[#This Row],[Sales Forecast]]*Table3[[#This Row],[Tickets]]*'Data Entry'!$D$19</f>
        <v>25089198.097442903</v>
      </c>
      <c r="H185" s="38">
        <f>'Data Entry'!$D$9</f>
        <v>32000</v>
      </c>
      <c r="I185" s="38">
        <f>Table3[[#This Row],[Sales Forecast]]-Table3[[#This Row],[Capacity]]</f>
        <v>4823</v>
      </c>
      <c r="J185" s="38">
        <f>IF(Table3[[#This Row],[Seat availibility]]&gt;0,Table3[[#This Row],[Seat availibility]]*Table3[[#This Row],[Tickets]],)</f>
        <v>365125.66851022193</v>
      </c>
      <c r="K185" s="38">
        <f>Table3[[#This Row],[Revenue]]-Table3[[#This Row],[Payments]]</f>
        <v>20440375.388297722</v>
      </c>
      <c r="L185" s="37">
        <f>$L$178*'Data Entry'!$D$17</f>
        <v>61.775356729077565</v>
      </c>
      <c r="M185" s="38">
        <f>Table3[[#This Row],[Sales Tickets]]*Table3[[#This Row],[Ticket NS]]</f>
        <v>1853260.7018723269</v>
      </c>
      <c r="N185" s="38">
        <f>'Data Entry'!$D$7</f>
        <v>29000</v>
      </c>
      <c r="O185" s="38">
        <f>Table3[[#This Row],[Sales Forecast]]-Table3[[#This Row],[Capacity NS]]</f>
        <v>7823</v>
      </c>
      <c r="P185" s="38">
        <f>IF(Table3[[#This Row],[Seat Availibility NS]]&gt;0,Table3[[#This Row],[Seat Availibility NS]]*Table3[[#This Row],[Ticket NS]],)</f>
        <v>483268.61569157377</v>
      </c>
      <c r="Q185" s="38">
        <f>Table3[[#This Row],[Revenue NS]]</f>
        <v>1853260.7018723269</v>
      </c>
      <c r="R185" s="38"/>
      <c r="S185" s="38"/>
      <c r="T185" s="42"/>
      <c r="U185" s="57"/>
      <c r="V185" s="6"/>
      <c r="X185"/>
      <c r="Z185"/>
    </row>
    <row r="186" spans="2:26" x14ac:dyDescent="0.25">
      <c r="B186" s="7">
        <v>50253</v>
      </c>
      <c r="C186" s="37">
        <f>'Data Entry'!$E$36</f>
        <v>30000</v>
      </c>
      <c r="D186" s="38">
        <f>$D$178*'Data Entry'!$D$17</f>
        <v>75.705094030732312</v>
      </c>
      <c r="E186" s="39">
        <f>Table3[[#This Row],[Sales Tickets]]*Table3[[#This Row],[Tickets]]*'Data Entry'!$D$19</f>
        <v>20440375.388297722</v>
      </c>
      <c r="F186" s="34">
        <f>'Data Entry'!$D$36</f>
        <v>36823</v>
      </c>
      <c r="G186" s="38">
        <f>Table3[[#This Row],[Sales Forecast]]*Table3[[#This Row],[Tickets]]*'Data Entry'!$D$19</f>
        <v>25089198.097442903</v>
      </c>
      <c r="H186" s="38">
        <f>'Data Entry'!$D$9</f>
        <v>32000</v>
      </c>
      <c r="I186" s="38">
        <f>Table3[[#This Row],[Sales Forecast]]-Table3[[#This Row],[Capacity]]</f>
        <v>4823</v>
      </c>
      <c r="J186" s="38">
        <f>IF(Table3[[#This Row],[Seat availibility]]&gt;0,Table3[[#This Row],[Seat availibility]]*Table3[[#This Row],[Tickets]],)</f>
        <v>365125.66851022193</v>
      </c>
      <c r="K186" s="38">
        <f>Table3[[#This Row],[Revenue]]-Table3[[#This Row],[Payments]]</f>
        <v>20440375.388297722</v>
      </c>
      <c r="L186" s="37">
        <f>$L$178*'Data Entry'!$D$17</f>
        <v>61.775356729077565</v>
      </c>
      <c r="M186" s="38">
        <f>Table3[[#This Row],[Sales Tickets]]*Table3[[#This Row],[Ticket NS]]</f>
        <v>1853260.7018723269</v>
      </c>
      <c r="N186" s="38">
        <f>'Data Entry'!$D$7</f>
        <v>29000</v>
      </c>
      <c r="O186" s="38">
        <f>Table3[[#This Row],[Sales Forecast]]-Table3[[#This Row],[Capacity NS]]</f>
        <v>7823</v>
      </c>
      <c r="P186" s="38">
        <f>IF(Table3[[#This Row],[Seat Availibility NS]]&gt;0,Table3[[#This Row],[Seat Availibility NS]]*Table3[[#This Row],[Ticket NS]],)</f>
        <v>483268.61569157377</v>
      </c>
      <c r="Q186" s="38">
        <f>Table3[[#This Row],[Revenue NS]]</f>
        <v>1853260.7018723269</v>
      </c>
      <c r="R186" s="38"/>
      <c r="S186" s="38"/>
      <c r="T186" s="42"/>
      <c r="U186" s="57"/>
      <c r="V186" s="6"/>
      <c r="X186"/>
      <c r="Z186"/>
    </row>
    <row r="187" spans="2:26" x14ac:dyDescent="0.25">
      <c r="B187" s="7">
        <v>50284</v>
      </c>
      <c r="C187" s="37">
        <f>'Data Entry'!$E$36</f>
        <v>30000</v>
      </c>
      <c r="D187" s="38">
        <f>$D$178*'Data Entry'!$D$17</f>
        <v>75.705094030732312</v>
      </c>
      <c r="E187" s="39">
        <f>Table3[[#This Row],[Sales Tickets]]*Table3[[#This Row],[Tickets]]*'Data Entry'!$D$19</f>
        <v>20440375.388297722</v>
      </c>
      <c r="F187" s="34">
        <f>'Data Entry'!$D$36</f>
        <v>36823</v>
      </c>
      <c r="G187" s="38">
        <f>Table3[[#This Row],[Sales Forecast]]*Table3[[#This Row],[Tickets]]*'Data Entry'!$D$19</f>
        <v>25089198.097442903</v>
      </c>
      <c r="H187" s="38">
        <f>'Data Entry'!$D$9</f>
        <v>32000</v>
      </c>
      <c r="I187" s="38">
        <f>Table3[[#This Row],[Sales Forecast]]-Table3[[#This Row],[Capacity]]</f>
        <v>4823</v>
      </c>
      <c r="J187" s="38">
        <f>IF(Table3[[#This Row],[Seat availibility]]&gt;0,Table3[[#This Row],[Seat availibility]]*Table3[[#This Row],[Tickets]],)</f>
        <v>365125.66851022193</v>
      </c>
      <c r="K187" s="38">
        <f>Table3[[#This Row],[Revenue]]-Table3[[#This Row],[Payments]]</f>
        <v>20440375.388297722</v>
      </c>
      <c r="L187" s="37">
        <f>$L$178*'Data Entry'!$D$17</f>
        <v>61.775356729077565</v>
      </c>
      <c r="M187" s="38">
        <f>Table3[[#This Row],[Sales Tickets]]*Table3[[#This Row],[Ticket NS]]</f>
        <v>1853260.7018723269</v>
      </c>
      <c r="N187" s="38">
        <f>'Data Entry'!$D$7</f>
        <v>29000</v>
      </c>
      <c r="O187" s="38">
        <f>Table3[[#This Row],[Sales Forecast]]-Table3[[#This Row],[Capacity NS]]</f>
        <v>7823</v>
      </c>
      <c r="P187" s="38">
        <f>IF(Table3[[#This Row],[Seat Availibility NS]]&gt;0,Table3[[#This Row],[Seat Availibility NS]]*Table3[[#This Row],[Ticket NS]],)</f>
        <v>483268.61569157377</v>
      </c>
      <c r="Q187" s="38">
        <f>Table3[[#This Row],[Revenue NS]]</f>
        <v>1853260.7018723269</v>
      </c>
      <c r="R187" s="38"/>
      <c r="S187" s="38"/>
      <c r="T187" s="42"/>
      <c r="U187" s="57"/>
      <c r="V187" s="6"/>
      <c r="X187"/>
      <c r="Z187"/>
    </row>
    <row r="188" spans="2:26" x14ac:dyDescent="0.25">
      <c r="B188" s="7">
        <v>50314</v>
      </c>
      <c r="C188" s="37">
        <f>'Data Entry'!$E$36</f>
        <v>30000</v>
      </c>
      <c r="D188" s="38">
        <f>$D$178*'Data Entry'!$D$17</f>
        <v>75.705094030732312</v>
      </c>
      <c r="E188" s="39">
        <f>Table3[[#This Row],[Sales Tickets]]*Table3[[#This Row],[Tickets]]*'Data Entry'!$D$19</f>
        <v>20440375.388297722</v>
      </c>
      <c r="F188" s="34">
        <f>'Data Entry'!$D$36</f>
        <v>36823</v>
      </c>
      <c r="G188" s="38">
        <f>Table3[[#This Row],[Sales Forecast]]*Table3[[#This Row],[Tickets]]*'Data Entry'!$D$19</f>
        <v>25089198.097442903</v>
      </c>
      <c r="H188" s="38">
        <f>'Data Entry'!$D$9</f>
        <v>32000</v>
      </c>
      <c r="I188" s="38">
        <f>Table3[[#This Row],[Sales Forecast]]-Table3[[#This Row],[Capacity]]</f>
        <v>4823</v>
      </c>
      <c r="J188" s="38">
        <f>IF(Table3[[#This Row],[Seat availibility]]&gt;0,Table3[[#This Row],[Seat availibility]]*Table3[[#This Row],[Tickets]],)</f>
        <v>365125.66851022193</v>
      </c>
      <c r="K188" s="38">
        <f>Table3[[#This Row],[Revenue]]-Table3[[#This Row],[Payments]]</f>
        <v>20440375.388297722</v>
      </c>
      <c r="L188" s="37">
        <f>$L$178*'Data Entry'!$D$17</f>
        <v>61.775356729077565</v>
      </c>
      <c r="M188" s="38">
        <f>Table3[[#This Row],[Sales Tickets]]*Table3[[#This Row],[Ticket NS]]</f>
        <v>1853260.7018723269</v>
      </c>
      <c r="N188" s="38">
        <f>'Data Entry'!$D$7</f>
        <v>29000</v>
      </c>
      <c r="O188" s="38">
        <f>Table3[[#This Row],[Sales Forecast]]-Table3[[#This Row],[Capacity NS]]</f>
        <v>7823</v>
      </c>
      <c r="P188" s="38">
        <f>IF(Table3[[#This Row],[Seat Availibility NS]]&gt;0,Table3[[#This Row],[Seat Availibility NS]]*Table3[[#This Row],[Ticket NS]],)</f>
        <v>483268.61569157377</v>
      </c>
      <c r="Q188" s="38">
        <f>Table3[[#This Row],[Revenue NS]]</f>
        <v>1853260.7018723269</v>
      </c>
      <c r="R188" s="38"/>
      <c r="S188" s="38"/>
      <c r="T188" s="42"/>
      <c r="U188" s="57"/>
      <c r="V188" s="6"/>
      <c r="X188"/>
      <c r="Z188"/>
    </row>
    <row r="189" spans="2:26" x14ac:dyDescent="0.25">
      <c r="B189" s="7">
        <v>50345</v>
      </c>
      <c r="C189" s="37">
        <f>'Data Entry'!$E$36</f>
        <v>30000</v>
      </c>
      <c r="D189" s="38">
        <f>$D$178*'Data Entry'!$D$17</f>
        <v>75.705094030732312</v>
      </c>
      <c r="E189" s="39">
        <f>Table3[[#This Row],[Sales Tickets]]*Table3[[#This Row],[Tickets]]*'Data Entry'!$D$19</f>
        <v>20440375.388297722</v>
      </c>
      <c r="F189" s="34">
        <f>'Data Entry'!$D$36</f>
        <v>36823</v>
      </c>
      <c r="G189" s="38">
        <f>Table3[[#This Row],[Sales Forecast]]*Table3[[#This Row],[Tickets]]*'Data Entry'!$D$19</f>
        <v>25089198.097442903</v>
      </c>
      <c r="H189" s="38">
        <f>'Data Entry'!$D$9</f>
        <v>32000</v>
      </c>
      <c r="I189" s="38">
        <f>Table3[[#This Row],[Sales Forecast]]-Table3[[#This Row],[Capacity]]</f>
        <v>4823</v>
      </c>
      <c r="J189" s="38">
        <f>IF(Table3[[#This Row],[Seat availibility]]&gt;0,Table3[[#This Row],[Seat availibility]]*Table3[[#This Row],[Tickets]],)</f>
        <v>365125.66851022193</v>
      </c>
      <c r="K189" s="38">
        <f>Table3[[#This Row],[Revenue]]-Table3[[#This Row],[Payments]]</f>
        <v>20440375.388297722</v>
      </c>
      <c r="L189" s="37">
        <f>$L$178*'Data Entry'!$D$17</f>
        <v>61.775356729077565</v>
      </c>
      <c r="M189" s="38">
        <f>Table3[[#This Row],[Sales Tickets]]*Table3[[#This Row],[Ticket NS]]</f>
        <v>1853260.7018723269</v>
      </c>
      <c r="N189" s="38">
        <f>'Data Entry'!$D$7</f>
        <v>29000</v>
      </c>
      <c r="O189" s="38">
        <f>Table3[[#This Row],[Sales Forecast]]-Table3[[#This Row],[Capacity NS]]</f>
        <v>7823</v>
      </c>
      <c r="P189" s="38">
        <f>IF(Table3[[#This Row],[Seat Availibility NS]]&gt;0,Table3[[#This Row],[Seat Availibility NS]]*Table3[[#This Row],[Ticket NS]],)</f>
        <v>483268.61569157377</v>
      </c>
      <c r="Q189" s="38">
        <f>Table3[[#This Row],[Revenue NS]]</f>
        <v>1853260.7018723269</v>
      </c>
      <c r="R189" s="38"/>
      <c r="S189" s="38"/>
      <c r="T189" s="42"/>
      <c r="U189" s="57"/>
      <c r="V189" s="6"/>
      <c r="X189"/>
      <c r="Z189"/>
    </row>
    <row r="190" spans="2:26" x14ac:dyDescent="0.25">
      <c r="B190" s="7">
        <v>50375</v>
      </c>
      <c r="C190" s="37">
        <v>0</v>
      </c>
      <c r="D190" s="38">
        <f>$D$178*'Data Entry'!$D$17</f>
        <v>75.705094030732312</v>
      </c>
      <c r="E190" s="39">
        <f>Table3[[#This Row],[Sales Tickets]]*Table3[[#This Row],[Tickets]]</f>
        <v>0</v>
      </c>
      <c r="F190" s="38">
        <v>0</v>
      </c>
      <c r="G190" s="38">
        <f>Table3[[#This Row],[Sales Forecast]]*Table3[[#This Row],[Tickets]]</f>
        <v>0</v>
      </c>
      <c r="H190" s="38">
        <f>'Data Entry'!$D$9</f>
        <v>32000</v>
      </c>
      <c r="I190" s="38">
        <f>Table3[[#This Row],[Sales Forecast]]*Table3[[#This Row],[Tickets]]</f>
        <v>0</v>
      </c>
      <c r="J190" s="38">
        <f>IF(Table3[[#This Row],[Seat availibility]]&gt;0,Table3[[#This Row],[Seat availibility]]*Table3[[#This Row],[Tickets]],)</f>
        <v>0</v>
      </c>
      <c r="K190" s="38">
        <f>Table3[[#This Row],[Revenue]]-Table3[[#This Row],[Payments]]</f>
        <v>0</v>
      </c>
      <c r="L190" s="37">
        <f>$L$178*'Data Entry'!$D$17</f>
        <v>61.775356729077565</v>
      </c>
      <c r="M190" s="38">
        <f>Table3[[#This Row],[Sales Tickets]]*Table3[[#This Row],[Ticket NS]]</f>
        <v>0</v>
      </c>
      <c r="N190" s="38">
        <f>'Data Entry'!$D$7</f>
        <v>29000</v>
      </c>
      <c r="O190" s="38">
        <f>Table3[[#This Row],[Sales Forecast]]-Table3[[#This Row],[Capacity NS]]</f>
        <v>-29000</v>
      </c>
      <c r="P190" s="38">
        <f>IF(Table3[[#This Row],[Seat Availibility NS]]&gt;0,Table3[[#This Row],[Seat Availibility NS]]*Table3[[#This Row],[Ticket NS]],)</f>
        <v>0</v>
      </c>
      <c r="Q190" s="38">
        <f>Table3[[#This Row],[Revenue NS]]</f>
        <v>0</v>
      </c>
      <c r="R190" s="38">
        <f>NPV('Data Entry'!$D$42/12,K180:K190)+K179</f>
        <v>150899242.48183757</v>
      </c>
      <c r="S190" s="38">
        <f>NPV('Data Entry'!D210/12,Q180:Q190)+Q179</f>
        <v>14826085.614978613</v>
      </c>
      <c r="T190" s="42"/>
      <c r="U190" s="57"/>
      <c r="V190" s="6"/>
      <c r="X190"/>
      <c r="Z190"/>
    </row>
    <row r="191" spans="2:26" x14ac:dyDescent="0.25">
      <c r="B191" s="7">
        <v>50406</v>
      </c>
      <c r="C191" s="43">
        <v>0</v>
      </c>
      <c r="D191" s="38">
        <f>$D$190*'Data Entry'!$D$17</f>
        <v>77.219195911346958</v>
      </c>
      <c r="E191" s="39">
        <f>Table3[[#This Row],[Sales Tickets]]*Table3[[#This Row],[Tickets]]</f>
        <v>0</v>
      </c>
      <c r="F191" s="34">
        <v>0</v>
      </c>
      <c r="G191" s="38">
        <f>Table3[[#This Row],[Sales Forecast]]*Table3[[#This Row],[Tickets]]</f>
        <v>0</v>
      </c>
      <c r="H191" s="38">
        <f>'Data Entry'!$D$9</f>
        <v>32000</v>
      </c>
      <c r="I191" s="38">
        <f>Table3[[#This Row],[Sales Forecast]]*Table3[[#This Row],[Tickets]]</f>
        <v>0</v>
      </c>
      <c r="J191" s="38">
        <f>IF(Table3[[#This Row],[Seat availibility]]&gt;0,Table3[[#This Row],[Seat availibility]]*Table3[[#This Row],[Tickets]],)</f>
        <v>0</v>
      </c>
      <c r="K191" s="38">
        <f>Table3[[#This Row],[Revenue]]-Table3[[#This Row],[Payments]]</f>
        <v>0</v>
      </c>
      <c r="L191" s="37">
        <f>$L$190*'Data Entry'!$D$17</f>
        <v>63.010863863659118</v>
      </c>
      <c r="M191" s="38">
        <f>Table3[[#This Row],[Sales Tickets]]*Table3[[#This Row],[Ticket NS]]</f>
        <v>0</v>
      </c>
      <c r="N191" s="38">
        <f>'Data Entry'!$D$7</f>
        <v>29000</v>
      </c>
      <c r="O191" s="38">
        <f>Table3[[#This Row],[Sales Forecast]]-Table3[[#This Row],[Capacity NS]]</f>
        <v>-29000</v>
      </c>
      <c r="P191" s="38">
        <f>IF(Table3[[#This Row],[Seat Availibility NS]]&gt;0,Table3[[#This Row],[Seat Availibility NS]]*Table3[[#This Row],[Ticket NS]],)</f>
        <v>0</v>
      </c>
      <c r="Q191" s="38">
        <f>Table3[[#This Row],[Revenue NS]]</f>
        <v>0</v>
      </c>
      <c r="R191" s="38"/>
      <c r="S191" s="38"/>
      <c r="T191" s="42"/>
      <c r="U191" s="57"/>
      <c r="V191" s="6"/>
      <c r="X191"/>
      <c r="Z191"/>
    </row>
    <row r="192" spans="2:26" x14ac:dyDescent="0.25">
      <c r="B192" s="7">
        <v>50437</v>
      </c>
      <c r="C192" s="43">
        <v>0</v>
      </c>
      <c r="D192" s="38">
        <f>$D$190*'Data Entry'!$D$17</f>
        <v>77.219195911346958</v>
      </c>
      <c r="E192" s="39">
        <f>Table3[[#This Row],[Sales Tickets]]*Table3[[#This Row],[Tickets]]</f>
        <v>0</v>
      </c>
      <c r="F192" s="34">
        <v>0</v>
      </c>
      <c r="G192" s="38">
        <f>Table3[[#This Row],[Sales Forecast]]*Table3[[#This Row],[Tickets]]</f>
        <v>0</v>
      </c>
      <c r="H192" s="38">
        <f>'Data Entry'!$D$9</f>
        <v>32000</v>
      </c>
      <c r="I192" s="38">
        <f>Table3[[#This Row],[Sales Forecast]]*Table3[[#This Row],[Tickets]]</f>
        <v>0</v>
      </c>
      <c r="J192" s="38">
        <f>IF(Table3[[#This Row],[Seat availibility]]&gt;0,Table3[[#This Row],[Seat availibility]]*Table3[[#This Row],[Tickets]],)</f>
        <v>0</v>
      </c>
      <c r="K192" s="38">
        <f>Table3[[#This Row],[Revenue]]-Table3[[#This Row],[Payments]]</f>
        <v>0</v>
      </c>
      <c r="L192" s="37">
        <f>$L$190*'Data Entry'!$D$17</f>
        <v>63.010863863659118</v>
      </c>
      <c r="M192" s="38">
        <f>Table3[[#This Row],[Sales Tickets]]*Table3[[#This Row],[Ticket NS]]</f>
        <v>0</v>
      </c>
      <c r="N192" s="38">
        <f>'Data Entry'!$D$7</f>
        <v>29000</v>
      </c>
      <c r="O192" s="38">
        <f>Table3[[#This Row],[Sales Forecast]]-Table3[[#This Row],[Capacity NS]]</f>
        <v>-29000</v>
      </c>
      <c r="P192" s="38">
        <f>IF(Table3[[#This Row],[Seat Availibility NS]]&gt;0,Table3[[#This Row],[Seat Availibility NS]]*Table3[[#This Row],[Ticket NS]],)</f>
        <v>0</v>
      </c>
      <c r="Q192" s="38">
        <f>Table3[[#This Row],[Revenue NS]]</f>
        <v>0</v>
      </c>
      <c r="R192" s="38"/>
      <c r="S192" s="38"/>
      <c r="T192" s="42"/>
      <c r="U192" s="57"/>
      <c r="V192" s="6"/>
      <c r="X192"/>
      <c r="Z192"/>
    </row>
    <row r="193" spans="2:26" x14ac:dyDescent="0.25">
      <c r="B193" s="7">
        <v>50465</v>
      </c>
      <c r="C193" s="43">
        <v>0</v>
      </c>
      <c r="D193" s="38">
        <f>$D$190*'Data Entry'!$D$17</f>
        <v>77.219195911346958</v>
      </c>
      <c r="E193" s="39">
        <f>Table3[[#This Row],[Sales Tickets]]*Table3[[#This Row],[Tickets]]</f>
        <v>0</v>
      </c>
      <c r="F193" s="34">
        <v>0</v>
      </c>
      <c r="G193" s="38">
        <f>Table3[[#This Row],[Sales Forecast]]*Table3[[#This Row],[Tickets]]</f>
        <v>0</v>
      </c>
      <c r="H193" s="38">
        <f>'Data Entry'!$D$9</f>
        <v>32000</v>
      </c>
      <c r="I193" s="38">
        <f>Table3[[#This Row],[Sales Forecast]]*Table3[[#This Row],[Tickets]]</f>
        <v>0</v>
      </c>
      <c r="J193" s="38">
        <f>IF(Table3[[#This Row],[Seat availibility]]&gt;0,Table3[[#This Row],[Seat availibility]]*Table3[[#This Row],[Tickets]],)</f>
        <v>0</v>
      </c>
      <c r="K193" s="38">
        <f>Table3[[#This Row],[Revenue]]-Table3[[#This Row],[Payments]]</f>
        <v>0</v>
      </c>
      <c r="L193" s="37">
        <f>$L$190*'Data Entry'!$D$17</f>
        <v>63.010863863659118</v>
      </c>
      <c r="M193" s="38">
        <f>Table3[[#This Row],[Sales Tickets]]*Table3[[#This Row],[Ticket NS]]</f>
        <v>0</v>
      </c>
      <c r="N193" s="38">
        <f>'Data Entry'!$D$7</f>
        <v>29000</v>
      </c>
      <c r="O193" s="38">
        <f>Table3[[#This Row],[Sales Forecast]]-Table3[[#This Row],[Capacity NS]]</f>
        <v>-29000</v>
      </c>
      <c r="P193" s="38">
        <f>IF(Table3[[#This Row],[Seat Availibility NS]]&gt;0,Table3[[#This Row],[Seat Availibility NS]]*Table3[[#This Row],[Ticket NS]],)</f>
        <v>0</v>
      </c>
      <c r="Q193" s="38">
        <f>Table3[[#This Row],[Revenue NS]]</f>
        <v>0</v>
      </c>
      <c r="R193" s="38"/>
      <c r="S193" s="38"/>
      <c r="T193" s="42"/>
      <c r="U193" s="57"/>
      <c r="V193" s="6"/>
      <c r="X193"/>
      <c r="Z193"/>
    </row>
    <row r="194" spans="2:26" x14ac:dyDescent="0.25">
      <c r="B194" s="7">
        <v>50496</v>
      </c>
      <c r="C194" s="37">
        <f>'Data Entry'!$E$37</f>
        <v>30000</v>
      </c>
      <c r="D194" s="38">
        <f>$D$190*'Data Entry'!$D$17</f>
        <v>77.219195911346958</v>
      </c>
      <c r="E194" s="39">
        <f>Table3[[#This Row],[Sales Tickets]]*Table3[[#This Row],[Tickets]]*'Data Entry'!$D$19</f>
        <v>20849182.896063678</v>
      </c>
      <c r="F194" s="34">
        <f>'Data Entry'!$D$37</f>
        <v>37192</v>
      </c>
      <c r="G194" s="38">
        <f>Table3[[#This Row],[Sales Forecast]]*Table3[[#This Row],[Tickets]]*'Data Entry'!$D$19</f>
        <v>25847427.009013344</v>
      </c>
      <c r="H194" s="38">
        <f>'Data Entry'!$D$9</f>
        <v>32000</v>
      </c>
      <c r="I194" s="38">
        <f>Table3[[#This Row],[Sales Forecast]]-Table3[[#This Row],[Capacity]]</f>
        <v>5192</v>
      </c>
      <c r="J194" s="38">
        <f>IF(Table3[[#This Row],[Seat availibility]]&gt;0,Table3[[#This Row],[Seat availibility]]*Table3[[#This Row],[Tickets]],)</f>
        <v>400922.06517171342</v>
      </c>
      <c r="K194" s="38">
        <f>Table3[[#This Row],[Revenue]]-Table3[[#This Row],[Payments]]</f>
        <v>20849182.896063678</v>
      </c>
      <c r="L194" s="37">
        <f>$L$190*'Data Entry'!$D$17</f>
        <v>63.010863863659118</v>
      </c>
      <c r="M194" s="38">
        <f>Table3[[#This Row],[Sales Tickets]]*Table3[[#This Row],[Ticket NS]]</f>
        <v>1890325.9159097734</v>
      </c>
      <c r="N194" s="38">
        <f>'Data Entry'!$D$7</f>
        <v>29000</v>
      </c>
      <c r="O194" s="38">
        <f>Table3[[#This Row],[Sales Forecast]]-Table3[[#This Row],[Capacity NS]]</f>
        <v>8192</v>
      </c>
      <c r="P194" s="38">
        <f>IF(Table3[[#This Row],[Seat Availibility NS]]&gt;0,Table3[[#This Row],[Seat Availibility NS]]*Table3[[#This Row],[Ticket NS]],)</f>
        <v>516184.9967710955</v>
      </c>
      <c r="Q194" s="38">
        <f>Table3[[#This Row],[Revenue NS]]</f>
        <v>1890325.9159097734</v>
      </c>
      <c r="R194" s="38"/>
      <c r="S194" s="38"/>
      <c r="T194" s="42"/>
      <c r="U194" s="57"/>
      <c r="V194" s="6"/>
      <c r="X194"/>
      <c r="Z194"/>
    </row>
    <row r="195" spans="2:26" x14ac:dyDescent="0.25">
      <c r="B195" s="7">
        <v>50526</v>
      </c>
      <c r="C195" s="37">
        <f>'Data Entry'!$E$37</f>
        <v>30000</v>
      </c>
      <c r="D195" s="38">
        <f>$D$190*'Data Entry'!$D$17</f>
        <v>77.219195911346958</v>
      </c>
      <c r="E195" s="39">
        <f>Table3[[#This Row],[Sales Tickets]]*Table3[[#This Row],[Tickets]]*'Data Entry'!$D$19</f>
        <v>20849182.896063678</v>
      </c>
      <c r="F195" s="34">
        <f>'Data Entry'!$D$37</f>
        <v>37192</v>
      </c>
      <c r="G195" s="38">
        <f>Table3[[#This Row],[Sales Forecast]]*Table3[[#This Row],[Tickets]]*'Data Entry'!$D$19</f>
        <v>25847427.009013344</v>
      </c>
      <c r="H195" s="38">
        <f>'Data Entry'!$D$9</f>
        <v>32000</v>
      </c>
      <c r="I195" s="38">
        <f>Table3[[#This Row],[Sales Forecast]]-Table3[[#This Row],[Capacity]]</f>
        <v>5192</v>
      </c>
      <c r="J195" s="38">
        <f>IF(Table3[[#This Row],[Seat availibility]]&gt;0,Table3[[#This Row],[Seat availibility]]*Table3[[#This Row],[Tickets]],)</f>
        <v>400922.06517171342</v>
      </c>
      <c r="K195" s="38">
        <f>Table3[[#This Row],[Revenue]]-Table3[[#This Row],[Payments]]</f>
        <v>20849182.896063678</v>
      </c>
      <c r="L195" s="37">
        <f>$L$190*'Data Entry'!$D$17</f>
        <v>63.010863863659118</v>
      </c>
      <c r="M195" s="38">
        <f>Table3[[#This Row],[Sales Tickets]]*Table3[[#This Row],[Ticket NS]]</f>
        <v>1890325.9159097734</v>
      </c>
      <c r="N195" s="38">
        <f>'Data Entry'!$D$7</f>
        <v>29000</v>
      </c>
      <c r="O195" s="38">
        <f>Table3[[#This Row],[Sales Forecast]]-Table3[[#This Row],[Capacity NS]]</f>
        <v>8192</v>
      </c>
      <c r="P195" s="38">
        <f>IF(Table3[[#This Row],[Seat Availibility NS]]&gt;0,Table3[[#This Row],[Seat Availibility NS]]*Table3[[#This Row],[Ticket NS]],)</f>
        <v>516184.9967710955</v>
      </c>
      <c r="Q195" s="38">
        <f>Table3[[#This Row],[Revenue NS]]</f>
        <v>1890325.9159097734</v>
      </c>
      <c r="R195" s="38"/>
      <c r="S195" s="38"/>
      <c r="T195" s="42"/>
      <c r="U195" s="57"/>
      <c r="V195" s="6"/>
      <c r="X195"/>
      <c r="Z195"/>
    </row>
    <row r="196" spans="2:26" x14ac:dyDescent="0.25">
      <c r="B196" s="7">
        <v>50557</v>
      </c>
      <c r="C196" s="37">
        <f>'Data Entry'!$E$37</f>
        <v>30000</v>
      </c>
      <c r="D196" s="38">
        <f>$D$190*'Data Entry'!$D$17</f>
        <v>77.219195911346958</v>
      </c>
      <c r="E196" s="39">
        <f>Table3[[#This Row],[Sales Tickets]]*Table3[[#This Row],[Tickets]]*'Data Entry'!$D$19</f>
        <v>20849182.896063678</v>
      </c>
      <c r="F196" s="34">
        <f>'Data Entry'!$D$37</f>
        <v>37192</v>
      </c>
      <c r="G196" s="38">
        <f>Table3[[#This Row],[Sales Forecast]]*Table3[[#This Row],[Tickets]]*'Data Entry'!$D$19</f>
        <v>25847427.009013344</v>
      </c>
      <c r="H196" s="38">
        <f>'Data Entry'!$D$9</f>
        <v>32000</v>
      </c>
      <c r="I196" s="38">
        <f>Table3[[#This Row],[Sales Forecast]]-Table3[[#This Row],[Capacity]]</f>
        <v>5192</v>
      </c>
      <c r="J196" s="38">
        <f>IF(Table3[[#This Row],[Seat availibility]]&gt;0,Table3[[#This Row],[Seat availibility]]*Table3[[#This Row],[Tickets]],)</f>
        <v>400922.06517171342</v>
      </c>
      <c r="K196" s="38">
        <f>Table3[[#This Row],[Revenue]]-Table3[[#This Row],[Payments]]</f>
        <v>20849182.896063678</v>
      </c>
      <c r="L196" s="37">
        <f>$L$190*'Data Entry'!$D$17</f>
        <v>63.010863863659118</v>
      </c>
      <c r="M196" s="38">
        <f>Table3[[#This Row],[Sales Tickets]]*Table3[[#This Row],[Ticket NS]]</f>
        <v>1890325.9159097734</v>
      </c>
      <c r="N196" s="38">
        <f>'Data Entry'!$D$7</f>
        <v>29000</v>
      </c>
      <c r="O196" s="38">
        <f>Table3[[#This Row],[Sales Forecast]]-Table3[[#This Row],[Capacity NS]]</f>
        <v>8192</v>
      </c>
      <c r="P196" s="38">
        <f>IF(Table3[[#This Row],[Seat Availibility NS]]&gt;0,Table3[[#This Row],[Seat Availibility NS]]*Table3[[#This Row],[Ticket NS]],)</f>
        <v>516184.9967710955</v>
      </c>
      <c r="Q196" s="38">
        <f>Table3[[#This Row],[Revenue NS]]</f>
        <v>1890325.9159097734</v>
      </c>
      <c r="R196" s="38"/>
      <c r="S196" s="38"/>
      <c r="T196" s="42"/>
      <c r="U196" s="57"/>
      <c r="V196" s="6"/>
      <c r="X196"/>
      <c r="Z196"/>
    </row>
    <row r="197" spans="2:26" x14ac:dyDescent="0.25">
      <c r="B197" s="7">
        <v>50587</v>
      </c>
      <c r="C197" s="37">
        <f>'Data Entry'!$E$37</f>
        <v>30000</v>
      </c>
      <c r="D197" s="38">
        <f>$D$190*'Data Entry'!$D$17</f>
        <v>77.219195911346958</v>
      </c>
      <c r="E197" s="39">
        <f>Table3[[#This Row],[Sales Tickets]]*Table3[[#This Row],[Tickets]]*'Data Entry'!$D$19</f>
        <v>20849182.896063678</v>
      </c>
      <c r="F197" s="34">
        <f>'Data Entry'!$D$37</f>
        <v>37192</v>
      </c>
      <c r="G197" s="38">
        <f>Table3[[#This Row],[Sales Forecast]]*Table3[[#This Row],[Tickets]]*'Data Entry'!$D$19</f>
        <v>25847427.009013344</v>
      </c>
      <c r="H197" s="38">
        <f>'Data Entry'!$D$9</f>
        <v>32000</v>
      </c>
      <c r="I197" s="38">
        <f>Table3[[#This Row],[Sales Forecast]]-Table3[[#This Row],[Capacity]]</f>
        <v>5192</v>
      </c>
      <c r="J197" s="38">
        <f>IF(Table3[[#This Row],[Seat availibility]]&gt;0,Table3[[#This Row],[Seat availibility]]*Table3[[#This Row],[Tickets]],)</f>
        <v>400922.06517171342</v>
      </c>
      <c r="K197" s="38">
        <f>Table3[[#This Row],[Revenue]]-Table3[[#This Row],[Payments]]</f>
        <v>20849182.896063678</v>
      </c>
      <c r="L197" s="37">
        <f>$L$190*'Data Entry'!$D$17</f>
        <v>63.010863863659118</v>
      </c>
      <c r="M197" s="38">
        <f>Table3[[#This Row],[Sales Tickets]]*Table3[[#This Row],[Ticket NS]]</f>
        <v>1890325.9159097734</v>
      </c>
      <c r="N197" s="38">
        <f>'Data Entry'!$D$7</f>
        <v>29000</v>
      </c>
      <c r="O197" s="38">
        <f>Table3[[#This Row],[Sales Forecast]]-Table3[[#This Row],[Capacity NS]]</f>
        <v>8192</v>
      </c>
      <c r="P197" s="38">
        <f>IF(Table3[[#This Row],[Seat Availibility NS]]&gt;0,Table3[[#This Row],[Seat Availibility NS]]*Table3[[#This Row],[Ticket NS]],)</f>
        <v>516184.9967710955</v>
      </c>
      <c r="Q197" s="38">
        <f>Table3[[#This Row],[Revenue NS]]</f>
        <v>1890325.9159097734</v>
      </c>
      <c r="R197" s="38"/>
      <c r="S197" s="38"/>
      <c r="T197" s="42"/>
      <c r="U197" s="57"/>
      <c r="V197" s="6"/>
      <c r="X197"/>
      <c r="Z197"/>
    </row>
    <row r="198" spans="2:26" x14ac:dyDescent="0.25">
      <c r="B198" s="7">
        <v>50618</v>
      </c>
      <c r="C198" s="37">
        <f>'Data Entry'!$E$37</f>
        <v>30000</v>
      </c>
      <c r="D198" s="38">
        <f>$D$190*'Data Entry'!$D$17</f>
        <v>77.219195911346958</v>
      </c>
      <c r="E198" s="39">
        <f>Table3[[#This Row],[Sales Tickets]]*Table3[[#This Row],[Tickets]]*'Data Entry'!$D$19</f>
        <v>20849182.896063678</v>
      </c>
      <c r="F198" s="34">
        <f>'Data Entry'!$D$37</f>
        <v>37192</v>
      </c>
      <c r="G198" s="38">
        <f>Table3[[#This Row],[Sales Forecast]]*Table3[[#This Row],[Tickets]]*'Data Entry'!$D$19</f>
        <v>25847427.009013344</v>
      </c>
      <c r="H198" s="38">
        <f>'Data Entry'!$D$9</f>
        <v>32000</v>
      </c>
      <c r="I198" s="38">
        <f>Table3[[#This Row],[Sales Forecast]]-Table3[[#This Row],[Capacity]]</f>
        <v>5192</v>
      </c>
      <c r="J198" s="38">
        <f>IF(Table3[[#This Row],[Seat availibility]]&gt;0,Table3[[#This Row],[Seat availibility]]*Table3[[#This Row],[Tickets]],)</f>
        <v>400922.06517171342</v>
      </c>
      <c r="K198" s="38">
        <f>Table3[[#This Row],[Revenue]]-Table3[[#This Row],[Payments]]</f>
        <v>20849182.896063678</v>
      </c>
      <c r="L198" s="37">
        <f>$L$190*'Data Entry'!$D$17</f>
        <v>63.010863863659118</v>
      </c>
      <c r="M198" s="38">
        <f>Table3[[#This Row],[Sales Tickets]]*Table3[[#This Row],[Ticket NS]]</f>
        <v>1890325.9159097734</v>
      </c>
      <c r="N198" s="38">
        <f>'Data Entry'!$D$7</f>
        <v>29000</v>
      </c>
      <c r="O198" s="38">
        <f>Table3[[#This Row],[Sales Forecast]]-Table3[[#This Row],[Capacity NS]]</f>
        <v>8192</v>
      </c>
      <c r="P198" s="38">
        <f>IF(Table3[[#This Row],[Seat Availibility NS]]&gt;0,Table3[[#This Row],[Seat Availibility NS]]*Table3[[#This Row],[Ticket NS]],)</f>
        <v>516184.9967710955</v>
      </c>
      <c r="Q198" s="38">
        <f>Table3[[#This Row],[Revenue NS]]</f>
        <v>1890325.9159097734</v>
      </c>
      <c r="R198" s="38"/>
      <c r="S198" s="38"/>
      <c r="T198" s="42"/>
      <c r="U198" s="57"/>
      <c r="V198" s="6"/>
      <c r="X198"/>
      <c r="Z198"/>
    </row>
    <row r="199" spans="2:26" x14ac:dyDescent="0.25">
      <c r="B199" s="7">
        <v>50649</v>
      </c>
      <c r="C199" s="37">
        <f>'Data Entry'!$E$37</f>
        <v>30000</v>
      </c>
      <c r="D199" s="38">
        <f>$D$190*'Data Entry'!$D$17</f>
        <v>77.219195911346958</v>
      </c>
      <c r="E199" s="39">
        <f>Table3[[#This Row],[Sales Tickets]]*Table3[[#This Row],[Tickets]]*'Data Entry'!$D$19</f>
        <v>20849182.896063678</v>
      </c>
      <c r="F199" s="34">
        <f>'Data Entry'!$D$37</f>
        <v>37192</v>
      </c>
      <c r="G199" s="38">
        <f>Table3[[#This Row],[Sales Forecast]]*Table3[[#This Row],[Tickets]]*'Data Entry'!$D$19</f>
        <v>25847427.009013344</v>
      </c>
      <c r="H199" s="38">
        <f>'Data Entry'!$D$9</f>
        <v>32000</v>
      </c>
      <c r="I199" s="38">
        <f>Table3[[#This Row],[Sales Forecast]]-Table3[[#This Row],[Capacity]]</f>
        <v>5192</v>
      </c>
      <c r="J199" s="38">
        <f>IF(Table3[[#This Row],[Seat availibility]]&gt;0,Table3[[#This Row],[Seat availibility]]*Table3[[#This Row],[Tickets]],)</f>
        <v>400922.06517171342</v>
      </c>
      <c r="K199" s="38">
        <f>Table3[[#This Row],[Revenue]]-Table3[[#This Row],[Payments]]</f>
        <v>20849182.896063678</v>
      </c>
      <c r="L199" s="37">
        <f>$L$190*'Data Entry'!$D$17</f>
        <v>63.010863863659118</v>
      </c>
      <c r="M199" s="38">
        <f>Table3[[#This Row],[Sales Tickets]]*Table3[[#This Row],[Ticket NS]]</f>
        <v>1890325.9159097734</v>
      </c>
      <c r="N199" s="38">
        <f>'Data Entry'!$D$7</f>
        <v>29000</v>
      </c>
      <c r="O199" s="38">
        <f>Table3[[#This Row],[Sales Forecast]]-Table3[[#This Row],[Capacity NS]]</f>
        <v>8192</v>
      </c>
      <c r="P199" s="38">
        <f>IF(Table3[[#This Row],[Seat Availibility NS]]&gt;0,Table3[[#This Row],[Seat Availibility NS]]*Table3[[#This Row],[Ticket NS]],)</f>
        <v>516184.9967710955</v>
      </c>
      <c r="Q199" s="38">
        <f>Table3[[#This Row],[Revenue NS]]</f>
        <v>1890325.9159097734</v>
      </c>
      <c r="R199" s="38"/>
      <c r="S199" s="38"/>
      <c r="T199" s="42"/>
      <c r="U199" s="57"/>
      <c r="V199" s="6"/>
      <c r="X199"/>
      <c r="Z199"/>
    </row>
    <row r="200" spans="2:26" x14ac:dyDescent="0.25">
      <c r="B200" s="7">
        <v>50679</v>
      </c>
      <c r="C200" s="37">
        <f>'Data Entry'!$E$37</f>
        <v>30000</v>
      </c>
      <c r="D200" s="38">
        <f>$D$190*'Data Entry'!$D$17</f>
        <v>77.219195911346958</v>
      </c>
      <c r="E200" s="39">
        <f>Table3[[#This Row],[Sales Tickets]]*Table3[[#This Row],[Tickets]]*'Data Entry'!$D$19</f>
        <v>20849182.896063678</v>
      </c>
      <c r="F200" s="34">
        <f>'Data Entry'!$D$37</f>
        <v>37192</v>
      </c>
      <c r="G200" s="38">
        <f>Table3[[#This Row],[Sales Forecast]]*Table3[[#This Row],[Tickets]]*'Data Entry'!$D$19</f>
        <v>25847427.009013344</v>
      </c>
      <c r="H200" s="38">
        <f>'Data Entry'!$D$9</f>
        <v>32000</v>
      </c>
      <c r="I200" s="38">
        <f>Table3[[#This Row],[Sales Forecast]]-Table3[[#This Row],[Capacity]]</f>
        <v>5192</v>
      </c>
      <c r="J200" s="38">
        <f>IF(Table3[[#This Row],[Seat availibility]]&gt;0,Table3[[#This Row],[Seat availibility]]*Table3[[#This Row],[Tickets]],)</f>
        <v>400922.06517171342</v>
      </c>
      <c r="K200" s="38">
        <f>Table3[[#This Row],[Revenue]]-Table3[[#This Row],[Payments]]</f>
        <v>20849182.896063678</v>
      </c>
      <c r="L200" s="37">
        <f>$L$190*'Data Entry'!$D$17</f>
        <v>63.010863863659118</v>
      </c>
      <c r="M200" s="38">
        <f>Table3[[#This Row],[Sales Tickets]]*Table3[[#This Row],[Ticket NS]]</f>
        <v>1890325.9159097734</v>
      </c>
      <c r="N200" s="38">
        <f>'Data Entry'!$D$7</f>
        <v>29000</v>
      </c>
      <c r="O200" s="38">
        <f>Table3[[#This Row],[Sales Forecast]]-Table3[[#This Row],[Capacity NS]]</f>
        <v>8192</v>
      </c>
      <c r="P200" s="38">
        <f>IF(Table3[[#This Row],[Seat Availibility NS]]&gt;0,Table3[[#This Row],[Seat Availibility NS]]*Table3[[#This Row],[Ticket NS]],)</f>
        <v>516184.9967710955</v>
      </c>
      <c r="Q200" s="38">
        <f>Table3[[#This Row],[Revenue NS]]</f>
        <v>1890325.9159097734</v>
      </c>
      <c r="R200" s="38"/>
      <c r="S200" s="38"/>
      <c r="T200" s="42"/>
      <c r="U200" s="57"/>
      <c r="V200" s="6"/>
      <c r="X200"/>
      <c r="Z200"/>
    </row>
    <row r="201" spans="2:26" x14ac:dyDescent="0.25">
      <c r="B201" s="7">
        <v>50710</v>
      </c>
      <c r="C201" s="37">
        <f>'Data Entry'!$E$37</f>
        <v>30000</v>
      </c>
      <c r="D201" s="38">
        <f>$D$190*'Data Entry'!$D$17</f>
        <v>77.219195911346958</v>
      </c>
      <c r="E201" s="39">
        <f>Table3[[#This Row],[Sales Tickets]]*Table3[[#This Row],[Tickets]]*'Data Entry'!$D$19</f>
        <v>20849182.896063678</v>
      </c>
      <c r="F201" s="34">
        <f>'Data Entry'!$D$37</f>
        <v>37192</v>
      </c>
      <c r="G201" s="38">
        <f>Table3[[#This Row],[Sales Forecast]]*Table3[[#This Row],[Tickets]]*'Data Entry'!$D$19</f>
        <v>25847427.009013344</v>
      </c>
      <c r="H201" s="38">
        <f>'Data Entry'!$D$9</f>
        <v>32000</v>
      </c>
      <c r="I201" s="38">
        <f>Table3[[#This Row],[Sales Forecast]]-Table3[[#This Row],[Capacity]]</f>
        <v>5192</v>
      </c>
      <c r="J201" s="38">
        <f>IF(Table3[[#This Row],[Seat availibility]]&gt;0,Table3[[#This Row],[Seat availibility]]*Table3[[#This Row],[Tickets]],)</f>
        <v>400922.06517171342</v>
      </c>
      <c r="K201" s="38">
        <f>Table3[[#This Row],[Revenue]]-Table3[[#This Row],[Payments]]</f>
        <v>20849182.896063678</v>
      </c>
      <c r="L201" s="37">
        <f>$L$190*'Data Entry'!$D$17</f>
        <v>63.010863863659118</v>
      </c>
      <c r="M201" s="38">
        <f>Table3[[#This Row],[Sales Tickets]]*Table3[[#This Row],[Ticket NS]]</f>
        <v>1890325.9159097734</v>
      </c>
      <c r="N201" s="38">
        <f>'Data Entry'!$D$7</f>
        <v>29000</v>
      </c>
      <c r="O201" s="38">
        <f>Table3[[#This Row],[Sales Forecast]]-Table3[[#This Row],[Capacity NS]]</f>
        <v>8192</v>
      </c>
      <c r="P201" s="38">
        <f>IF(Table3[[#This Row],[Seat Availibility NS]]&gt;0,Table3[[#This Row],[Seat Availibility NS]]*Table3[[#This Row],[Ticket NS]],)</f>
        <v>516184.9967710955</v>
      </c>
      <c r="Q201" s="38">
        <f>Table3[[#This Row],[Revenue NS]]</f>
        <v>1890325.9159097734</v>
      </c>
      <c r="R201" s="38"/>
      <c r="S201" s="38"/>
      <c r="T201" s="42"/>
      <c r="U201" s="57"/>
      <c r="V201" s="6"/>
      <c r="X201"/>
      <c r="Z201"/>
    </row>
    <row r="202" spans="2:26" x14ac:dyDescent="0.25">
      <c r="B202" s="7">
        <v>50740</v>
      </c>
      <c r="C202" s="37">
        <v>0</v>
      </c>
      <c r="D202" s="38">
        <f>$D$190*'Data Entry'!$D$17</f>
        <v>77.219195911346958</v>
      </c>
      <c r="E202" s="39">
        <f>Table3[[#This Row],[Sales Tickets]]*Table3[[#This Row],[Tickets]]</f>
        <v>0</v>
      </c>
      <c r="F202" s="38">
        <v>0</v>
      </c>
      <c r="G202" s="38">
        <f>Table3[[#This Row],[Sales Forecast]]*Table3[[#This Row],[Tickets]]</f>
        <v>0</v>
      </c>
      <c r="H202" s="38">
        <f>'Data Entry'!$D$9</f>
        <v>32000</v>
      </c>
      <c r="I202" s="38">
        <f>Table3[[#This Row],[Sales Forecast]]*Table3[[#This Row],[Tickets]]</f>
        <v>0</v>
      </c>
      <c r="J202" s="38">
        <f>IF(Table3[[#This Row],[Seat availibility]]&gt;0,Table3[[#This Row],[Seat availibility]]*Table3[[#This Row],[Tickets]],)</f>
        <v>0</v>
      </c>
      <c r="K202" s="38">
        <f>Table3[[#This Row],[Revenue]]-Table3[[#This Row],[Payments]]</f>
        <v>0</v>
      </c>
      <c r="L202" s="37">
        <f>$L$190*'Data Entry'!$D$17</f>
        <v>63.010863863659118</v>
      </c>
      <c r="M202" s="38">
        <f>Table3[[#This Row],[Sales Tickets]]*Table3[[#This Row],[Ticket NS]]</f>
        <v>0</v>
      </c>
      <c r="N202" s="38">
        <f>'Data Entry'!$D$7</f>
        <v>29000</v>
      </c>
      <c r="O202" s="38">
        <f>Table3[[#This Row],[Sales Forecast]]-Table3[[#This Row],[Capacity NS]]</f>
        <v>-29000</v>
      </c>
      <c r="P202" s="38">
        <f>IF(Table3[[#This Row],[Seat Availibility NS]]&gt;0,Table3[[#This Row],[Seat Availibility NS]]*Table3[[#This Row],[Ticket NS]],)</f>
        <v>0</v>
      </c>
      <c r="Q202" s="38">
        <f>Table3[[#This Row],[Revenue NS]]</f>
        <v>0</v>
      </c>
      <c r="R202" s="38">
        <f>NPV('Data Entry'!$D$42/12,K192:K202)+K191</f>
        <v>153917227.33147436</v>
      </c>
      <c r="S202" s="38">
        <f>NPV('Data Entry'!D222/12,Q192:Q202)+Q191</f>
        <v>15122607.327278186</v>
      </c>
      <c r="T202" s="42"/>
      <c r="U202" s="57"/>
      <c r="V202" s="6"/>
      <c r="X202"/>
      <c r="Z202"/>
    </row>
    <row r="203" spans="2:26" x14ac:dyDescent="0.25">
      <c r="B203" s="7">
        <v>50771</v>
      </c>
      <c r="C203" s="43">
        <v>0</v>
      </c>
      <c r="D203" s="38">
        <f>$D$202*'Data Entry'!$D$17</f>
        <v>78.763579829573899</v>
      </c>
      <c r="E203" s="39">
        <f>Table3[[#This Row],[Sales Tickets]]*Table3[[#This Row],[Tickets]]</f>
        <v>0</v>
      </c>
      <c r="F203" s="34">
        <v>0</v>
      </c>
      <c r="G203" s="38">
        <f>Table3[[#This Row],[Sales Forecast]]*Table3[[#This Row],[Tickets]]</f>
        <v>0</v>
      </c>
      <c r="H203" s="38">
        <f>'Data Entry'!$D$9</f>
        <v>32000</v>
      </c>
      <c r="I203" s="38">
        <f>Table3[[#This Row],[Sales Forecast]]*Table3[[#This Row],[Tickets]]</f>
        <v>0</v>
      </c>
      <c r="J203" s="38">
        <f>IF(Table3[[#This Row],[Seat availibility]]&gt;0,Table3[[#This Row],[Seat availibility]]*Table3[[#This Row],[Tickets]],)</f>
        <v>0</v>
      </c>
      <c r="K203" s="38">
        <f>Table3[[#This Row],[Revenue]]-Table3[[#This Row],[Payments]]</f>
        <v>0</v>
      </c>
      <c r="L203" s="37">
        <f>$L$202*'Data Entry'!$D$17</f>
        <v>64.271081140932296</v>
      </c>
      <c r="M203" s="38">
        <f>Table3[[#This Row],[Sales Tickets]]*Table3[[#This Row],[Ticket NS]]</f>
        <v>0</v>
      </c>
      <c r="N203" s="38">
        <f>'Data Entry'!$D$7</f>
        <v>29000</v>
      </c>
      <c r="O203" s="38">
        <f>Table3[[#This Row],[Sales Forecast]]-Table3[[#This Row],[Capacity NS]]</f>
        <v>-29000</v>
      </c>
      <c r="P203" s="38">
        <f>IF(Table3[[#This Row],[Seat Availibility NS]]&gt;0,Table3[[#This Row],[Seat Availibility NS]]*Table3[[#This Row],[Ticket NS]],)</f>
        <v>0</v>
      </c>
      <c r="Q203" s="38">
        <f>Table3[[#This Row],[Revenue NS]]</f>
        <v>0</v>
      </c>
      <c r="R203" s="38"/>
      <c r="S203" s="38"/>
      <c r="T203" s="42"/>
      <c r="U203" s="57"/>
      <c r="V203" s="6"/>
      <c r="X203"/>
      <c r="Z203"/>
    </row>
    <row r="204" spans="2:26" x14ac:dyDescent="0.25">
      <c r="B204" s="7">
        <v>50802</v>
      </c>
      <c r="C204" s="43">
        <v>0</v>
      </c>
      <c r="D204" s="38">
        <f>$D$202*'Data Entry'!$D$17</f>
        <v>78.763579829573899</v>
      </c>
      <c r="E204" s="39">
        <f>Table3[[#This Row],[Sales Tickets]]*Table3[[#This Row],[Tickets]]</f>
        <v>0</v>
      </c>
      <c r="F204" s="34">
        <v>0</v>
      </c>
      <c r="G204" s="38">
        <f>Table3[[#This Row],[Sales Forecast]]*Table3[[#This Row],[Tickets]]</f>
        <v>0</v>
      </c>
      <c r="H204" s="38">
        <f>'Data Entry'!$D$9</f>
        <v>32000</v>
      </c>
      <c r="I204" s="38">
        <f>Table3[[#This Row],[Sales Forecast]]*Table3[[#This Row],[Tickets]]</f>
        <v>0</v>
      </c>
      <c r="J204" s="38">
        <f>IF(Table3[[#This Row],[Seat availibility]]&gt;0,Table3[[#This Row],[Seat availibility]]*Table3[[#This Row],[Tickets]],)</f>
        <v>0</v>
      </c>
      <c r="K204" s="38">
        <f>Table3[[#This Row],[Revenue]]-Table3[[#This Row],[Payments]]</f>
        <v>0</v>
      </c>
      <c r="L204" s="37">
        <f>$L$202*'Data Entry'!$D$17</f>
        <v>64.271081140932296</v>
      </c>
      <c r="M204" s="38">
        <f>Table3[[#This Row],[Sales Tickets]]*Table3[[#This Row],[Ticket NS]]</f>
        <v>0</v>
      </c>
      <c r="N204" s="38">
        <f>'Data Entry'!$D$7</f>
        <v>29000</v>
      </c>
      <c r="O204" s="38">
        <f>Table3[[#This Row],[Sales Forecast]]-Table3[[#This Row],[Capacity NS]]</f>
        <v>-29000</v>
      </c>
      <c r="P204" s="38">
        <f>IF(Table3[[#This Row],[Seat Availibility NS]]&gt;0,Table3[[#This Row],[Seat Availibility NS]]*Table3[[#This Row],[Ticket NS]],)</f>
        <v>0</v>
      </c>
      <c r="Q204" s="38">
        <f>Table3[[#This Row],[Revenue NS]]</f>
        <v>0</v>
      </c>
      <c r="R204" s="38"/>
      <c r="S204" s="38"/>
      <c r="T204" s="42"/>
      <c r="U204" s="57"/>
      <c r="V204" s="6"/>
      <c r="X204"/>
      <c r="Z204"/>
    </row>
    <row r="205" spans="2:26" x14ac:dyDescent="0.25">
      <c r="B205" s="7">
        <v>50830</v>
      </c>
      <c r="C205" s="43">
        <v>0</v>
      </c>
      <c r="D205" s="38">
        <f>$D$202*'Data Entry'!$D$17</f>
        <v>78.763579829573899</v>
      </c>
      <c r="E205" s="39">
        <f>Table3[[#This Row],[Sales Tickets]]*Table3[[#This Row],[Tickets]]</f>
        <v>0</v>
      </c>
      <c r="F205" s="34">
        <v>0</v>
      </c>
      <c r="G205" s="38">
        <f>Table3[[#This Row],[Sales Forecast]]*Table3[[#This Row],[Tickets]]</f>
        <v>0</v>
      </c>
      <c r="H205" s="38">
        <f>'Data Entry'!$D$9</f>
        <v>32000</v>
      </c>
      <c r="I205" s="38">
        <f>Table3[[#This Row],[Sales Forecast]]*Table3[[#This Row],[Tickets]]</f>
        <v>0</v>
      </c>
      <c r="J205" s="38">
        <f>IF(Table3[[#This Row],[Seat availibility]]&gt;0,Table3[[#This Row],[Seat availibility]]*Table3[[#This Row],[Tickets]],)</f>
        <v>0</v>
      </c>
      <c r="K205" s="38">
        <f>Table3[[#This Row],[Revenue]]-Table3[[#This Row],[Payments]]</f>
        <v>0</v>
      </c>
      <c r="L205" s="37">
        <f>$L$202*'Data Entry'!$D$17</f>
        <v>64.271081140932296</v>
      </c>
      <c r="M205" s="38">
        <f>Table3[[#This Row],[Sales Tickets]]*Table3[[#This Row],[Ticket NS]]</f>
        <v>0</v>
      </c>
      <c r="N205" s="38">
        <f>'Data Entry'!$D$7</f>
        <v>29000</v>
      </c>
      <c r="O205" s="38">
        <f>Table3[[#This Row],[Sales Forecast]]-Table3[[#This Row],[Capacity NS]]</f>
        <v>-29000</v>
      </c>
      <c r="P205" s="38">
        <f>IF(Table3[[#This Row],[Seat Availibility NS]]&gt;0,Table3[[#This Row],[Seat Availibility NS]]*Table3[[#This Row],[Ticket NS]],)</f>
        <v>0</v>
      </c>
      <c r="Q205" s="38">
        <f>Table3[[#This Row],[Revenue NS]]</f>
        <v>0</v>
      </c>
      <c r="R205" s="38"/>
      <c r="S205" s="38"/>
      <c r="T205" s="42"/>
      <c r="U205" s="57"/>
      <c r="V205" s="6"/>
      <c r="X205"/>
      <c r="Z205"/>
    </row>
    <row r="206" spans="2:26" x14ac:dyDescent="0.25">
      <c r="B206" s="7">
        <v>50861</v>
      </c>
      <c r="C206" s="37">
        <f>'Data Entry'!$E$38</f>
        <v>30000</v>
      </c>
      <c r="D206" s="38">
        <f>$D$202*'Data Entry'!$D$17</f>
        <v>78.763579829573899</v>
      </c>
      <c r="E206" s="39">
        <f>Table3[[#This Row],[Sales Tickets]]*Table3[[#This Row],[Tickets]]*'Data Entry'!$D$19</f>
        <v>21266166.553984951</v>
      </c>
      <c r="F206" s="34">
        <f>'Data Entry'!$D$38</f>
        <v>37564</v>
      </c>
      <c r="G206" s="38">
        <f>Table3[[#This Row],[Sales Forecast]]*Table3[[#This Row],[Tickets]]*'Data Entry'!$D$19</f>
        <v>26628076.014463026</v>
      </c>
      <c r="H206" s="38">
        <f>'Data Entry'!$D$9</f>
        <v>32000</v>
      </c>
      <c r="I206" s="38">
        <f>Table3[[#This Row],[Sales Forecast]]-Table3[[#This Row],[Capacity]]</f>
        <v>5564</v>
      </c>
      <c r="J206" s="38">
        <f>IF(Table3[[#This Row],[Seat availibility]]&gt;0,Table3[[#This Row],[Seat availibility]]*Table3[[#This Row],[Tickets]],)</f>
        <v>438240.55817174917</v>
      </c>
      <c r="K206" s="38">
        <f>Table3[[#This Row],[Revenue]]-Table3[[#This Row],[Payments]]</f>
        <v>21266166.553984951</v>
      </c>
      <c r="L206" s="37">
        <f>$L$202*'Data Entry'!$D$17</f>
        <v>64.271081140932296</v>
      </c>
      <c r="M206" s="38">
        <f>Table3[[#This Row],[Sales Tickets]]*Table3[[#This Row],[Ticket NS]]</f>
        <v>1928132.4342279688</v>
      </c>
      <c r="N206" s="38">
        <f>'Data Entry'!$D$7</f>
        <v>29000</v>
      </c>
      <c r="O206" s="38">
        <f>Table3[[#This Row],[Sales Forecast]]-Table3[[#This Row],[Capacity NS]]</f>
        <v>8564</v>
      </c>
      <c r="P206" s="38">
        <f>IF(Table3[[#This Row],[Seat Availibility NS]]&gt;0,Table3[[#This Row],[Seat Availibility NS]]*Table3[[#This Row],[Ticket NS]],)</f>
        <v>550417.53889094421</v>
      </c>
      <c r="Q206" s="38">
        <f>Table3[[#This Row],[Revenue NS]]</f>
        <v>1928132.4342279688</v>
      </c>
      <c r="R206" s="38"/>
      <c r="S206" s="38"/>
      <c r="T206" s="42"/>
      <c r="U206" s="57"/>
      <c r="V206" s="6"/>
      <c r="X206"/>
      <c r="Z206"/>
    </row>
    <row r="207" spans="2:26" x14ac:dyDescent="0.25">
      <c r="B207" s="7">
        <v>50891</v>
      </c>
      <c r="C207" s="37">
        <f>'Data Entry'!$E$38</f>
        <v>30000</v>
      </c>
      <c r="D207" s="38">
        <f>$D$202*'Data Entry'!$D$17</f>
        <v>78.763579829573899</v>
      </c>
      <c r="E207" s="39">
        <f>Table3[[#This Row],[Sales Tickets]]*Table3[[#This Row],[Tickets]]*'Data Entry'!$D$19</f>
        <v>21266166.553984951</v>
      </c>
      <c r="F207" s="34">
        <f>'Data Entry'!$D$38</f>
        <v>37564</v>
      </c>
      <c r="G207" s="38">
        <f>Table3[[#This Row],[Sales Forecast]]*Table3[[#This Row],[Tickets]]*'Data Entry'!$D$19</f>
        <v>26628076.014463026</v>
      </c>
      <c r="H207" s="38">
        <f>'Data Entry'!$D$9</f>
        <v>32000</v>
      </c>
      <c r="I207" s="38">
        <f>Table3[[#This Row],[Sales Forecast]]-Table3[[#This Row],[Capacity]]</f>
        <v>5564</v>
      </c>
      <c r="J207" s="38">
        <f>IF(Table3[[#This Row],[Seat availibility]]&gt;0,Table3[[#This Row],[Seat availibility]]*Table3[[#This Row],[Tickets]],)</f>
        <v>438240.55817174917</v>
      </c>
      <c r="K207" s="38">
        <f>Table3[[#This Row],[Revenue]]-Table3[[#This Row],[Payments]]</f>
        <v>21266166.553984951</v>
      </c>
      <c r="L207" s="37">
        <f>$L$202*'Data Entry'!$D$17</f>
        <v>64.271081140932296</v>
      </c>
      <c r="M207" s="38">
        <f>Table3[[#This Row],[Sales Tickets]]*Table3[[#This Row],[Ticket NS]]</f>
        <v>1928132.4342279688</v>
      </c>
      <c r="N207" s="38">
        <f>'Data Entry'!$D$7</f>
        <v>29000</v>
      </c>
      <c r="O207" s="38">
        <f>Table3[[#This Row],[Sales Forecast]]-Table3[[#This Row],[Capacity NS]]</f>
        <v>8564</v>
      </c>
      <c r="P207" s="38">
        <f>IF(Table3[[#This Row],[Seat Availibility NS]]&gt;0,Table3[[#This Row],[Seat Availibility NS]]*Table3[[#This Row],[Ticket NS]],)</f>
        <v>550417.53889094421</v>
      </c>
      <c r="Q207" s="38">
        <f>Table3[[#This Row],[Revenue NS]]</f>
        <v>1928132.4342279688</v>
      </c>
      <c r="R207" s="38"/>
      <c r="S207" s="38"/>
      <c r="T207" s="42"/>
      <c r="U207" s="57"/>
      <c r="V207" s="6"/>
      <c r="X207"/>
      <c r="Z207"/>
    </row>
    <row r="208" spans="2:26" x14ac:dyDescent="0.25">
      <c r="B208" s="7">
        <v>50922</v>
      </c>
      <c r="C208" s="37">
        <f>'Data Entry'!$E$38</f>
        <v>30000</v>
      </c>
      <c r="D208" s="38">
        <f>$D$202*'Data Entry'!$D$17</f>
        <v>78.763579829573899</v>
      </c>
      <c r="E208" s="39">
        <f>Table3[[#This Row],[Sales Tickets]]*Table3[[#This Row],[Tickets]]*'Data Entry'!$D$19</f>
        <v>21266166.553984951</v>
      </c>
      <c r="F208" s="34">
        <f>'Data Entry'!$D$38</f>
        <v>37564</v>
      </c>
      <c r="G208" s="38">
        <f>Table3[[#This Row],[Sales Forecast]]*Table3[[#This Row],[Tickets]]*'Data Entry'!$D$19</f>
        <v>26628076.014463026</v>
      </c>
      <c r="H208" s="38">
        <f>'Data Entry'!$D$9</f>
        <v>32000</v>
      </c>
      <c r="I208" s="38">
        <f>Table3[[#This Row],[Sales Forecast]]-Table3[[#This Row],[Capacity]]</f>
        <v>5564</v>
      </c>
      <c r="J208" s="38">
        <f>IF(Table3[[#This Row],[Seat availibility]]&gt;0,Table3[[#This Row],[Seat availibility]]*Table3[[#This Row],[Tickets]],)</f>
        <v>438240.55817174917</v>
      </c>
      <c r="K208" s="38">
        <f>Table3[[#This Row],[Revenue]]-Table3[[#This Row],[Payments]]</f>
        <v>21266166.553984951</v>
      </c>
      <c r="L208" s="37">
        <f>$L$202*'Data Entry'!$D$17</f>
        <v>64.271081140932296</v>
      </c>
      <c r="M208" s="38">
        <f>Table3[[#This Row],[Sales Tickets]]*Table3[[#This Row],[Ticket NS]]</f>
        <v>1928132.4342279688</v>
      </c>
      <c r="N208" s="38">
        <f>'Data Entry'!$D$7</f>
        <v>29000</v>
      </c>
      <c r="O208" s="38">
        <f>Table3[[#This Row],[Sales Forecast]]-Table3[[#This Row],[Capacity NS]]</f>
        <v>8564</v>
      </c>
      <c r="P208" s="38">
        <f>IF(Table3[[#This Row],[Seat Availibility NS]]&gt;0,Table3[[#This Row],[Seat Availibility NS]]*Table3[[#This Row],[Ticket NS]],)</f>
        <v>550417.53889094421</v>
      </c>
      <c r="Q208" s="38">
        <f>Table3[[#This Row],[Revenue NS]]</f>
        <v>1928132.4342279688</v>
      </c>
      <c r="R208" s="38"/>
      <c r="S208" s="38"/>
      <c r="T208" s="42"/>
      <c r="U208" s="57"/>
      <c r="V208" s="6"/>
      <c r="X208"/>
      <c r="Z208"/>
    </row>
    <row r="209" spans="2:26" x14ac:dyDescent="0.25">
      <c r="B209" s="7">
        <v>50952</v>
      </c>
      <c r="C209" s="37">
        <f>'Data Entry'!$E$38</f>
        <v>30000</v>
      </c>
      <c r="D209" s="38">
        <f>$D$202*'Data Entry'!$D$17</f>
        <v>78.763579829573899</v>
      </c>
      <c r="E209" s="39">
        <f>Table3[[#This Row],[Sales Tickets]]*Table3[[#This Row],[Tickets]]*'Data Entry'!$D$19</f>
        <v>21266166.553984951</v>
      </c>
      <c r="F209" s="34">
        <f>'Data Entry'!$D$38</f>
        <v>37564</v>
      </c>
      <c r="G209" s="38">
        <f>Table3[[#This Row],[Sales Forecast]]*Table3[[#This Row],[Tickets]]*'Data Entry'!$D$19</f>
        <v>26628076.014463026</v>
      </c>
      <c r="H209" s="38">
        <f>'Data Entry'!$D$9</f>
        <v>32000</v>
      </c>
      <c r="I209" s="38">
        <f>Table3[[#This Row],[Sales Forecast]]-Table3[[#This Row],[Capacity]]</f>
        <v>5564</v>
      </c>
      <c r="J209" s="38">
        <f>IF(Table3[[#This Row],[Seat availibility]]&gt;0,Table3[[#This Row],[Seat availibility]]*Table3[[#This Row],[Tickets]],)</f>
        <v>438240.55817174917</v>
      </c>
      <c r="K209" s="38">
        <f>Table3[[#This Row],[Revenue]]-Table3[[#This Row],[Payments]]</f>
        <v>21266166.553984951</v>
      </c>
      <c r="L209" s="37">
        <f>$L$202*'Data Entry'!$D$17</f>
        <v>64.271081140932296</v>
      </c>
      <c r="M209" s="38">
        <f>Table3[[#This Row],[Sales Tickets]]*Table3[[#This Row],[Ticket NS]]</f>
        <v>1928132.4342279688</v>
      </c>
      <c r="N209" s="38">
        <f>'Data Entry'!$D$7</f>
        <v>29000</v>
      </c>
      <c r="O209" s="38">
        <f>Table3[[#This Row],[Sales Forecast]]-Table3[[#This Row],[Capacity NS]]</f>
        <v>8564</v>
      </c>
      <c r="P209" s="38">
        <f>IF(Table3[[#This Row],[Seat Availibility NS]]&gt;0,Table3[[#This Row],[Seat Availibility NS]]*Table3[[#This Row],[Ticket NS]],)</f>
        <v>550417.53889094421</v>
      </c>
      <c r="Q209" s="38">
        <f>Table3[[#This Row],[Revenue NS]]</f>
        <v>1928132.4342279688</v>
      </c>
      <c r="R209" s="38"/>
      <c r="S209" s="38"/>
      <c r="T209" s="42"/>
      <c r="U209" s="57"/>
      <c r="V209" s="6"/>
      <c r="X209"/>
      <c r="Z209"/>
    </row>
    <row r="210" spans="2:26" x14ac:dyDescent="0.25">
      <c r="B210" s="7">
        <v>50983</v>
      </c>
      <c r="C210" s="37">
        <f>'Data Entry'!$E$38</f>
        <v>30000</v>
      </c>
      <c r="D210" s="38">
        <f>$D$202*'Data Entry'!$D$17</f>
        <v>78.763579829573899</v>
      </c>
      <c r="E210" s="39">
        <f>Table3[[#This Row],[Sales Tickets]]*Table3[[#This Row],[Tickets]]*'Data Entry'!$D$19</f>
        <v>21266166.553984951</v>
      </c>
      <c r="F210" s="34">
        <f>'Data Entry'!$D$38</f>
        <v>37564</v>
      </c>
      <c r="G210" s="38">
        <f>Table3[[#This Row],[Sales Forecast]]*Table3[[#This Row],[Tickets]]*'Data Entry'!$D$19</f>
        <v>26628076.014463026</v>
      </c>
      <c r="H210" s="38">
        <f>'Data Entry'!$D$9</f>
        <v>32000</v>
      </c>
      <c r="I210" s="38">
        <f>Table3[[#This Row],[Sales Forecast]]-Table3[[#This Row],[Capacity]]</f>
        <v>5564</v>
      </c>
      <c r="J210" s="38">
        <f>IF(Table3[[#This Row],[Seat availibility]]&gt;0,Table3[[#This Row],[Seat availibility]]*Table3[[#This Row],[Tickets]],)</f>
        <v>438240.55817174917</v>
      </c>
      <c r="K210" s="38">
        <f>Table3[[#This Row],[Revenue]]-Table3[[#This Row],[Payments]]</f>
        <v>21266166.553984951</v>
      </c>
      <c r="L210" s="37">
        <f>$L$202*'Data Entry'!$D$17</f>
        <v>64.271081140932296</v>
      </c>
      <c r="M210" s="38">
        <f>Table3[[#This Row],[Sales Tickets]]*Table3[[#This Row],[Ticket NS]]</f>
        <v>1928132.4342279688</v>
      </c>
      <c r="N210" s="38">
        <f>'Data Entry'!$D$7</f>
        <v>29000</v>
      </c>
      <c r="O210" s="38">
        <f>Table3[[#This Row],[Sales Forecast]]-Table3[[#This Row],[Capacity NS]]</f>
        <v>8564</v>
      </c>
      <c r="P210" s="38">
        <f>IF(Table3[[#This Row],[Seat Availibility NS]]&gt;0,Table3[[#This Row],[Seat Availibility NS]]*Table3[[#This Row],[Ticket NS]],)</f>
        <v>550417.53889094421</v>
      </c>
      <c r="Q210" s="38">
        <f>Table3[[#This Row],[Revenue NS]]</f>
        <v>1928132.4342279688</v>
      </c>
      <c r="R210" s="38"/>
      <c r="S210" s="38"/>
      <c r="T210" s="42"/>
      <c r="U210" s="57"/>
      <c r="V210" s="6"/>
      <c r="X210"/>
      <c r="Z210"/>
    </row>
    <row r="211" spans="2:26" x14ac:dyDescent="0.25">
      <c r="B211" s="7">
        <v>51014</v>
      </c>
      <c r="C211" s="37">
        <f>'Data Entry'!$E$38</f>
        <v>30000</v>
      </c>
      <c r="D211" s="38">
        <f>$D$202*'Data Entry'!$D$17</f>
        <v>78.763579829573899</v>
      </c>
      <c r="E211" s="39">
        <f>Table3[[#This Row],[Sales Tickets]]*Table3[[#This Row],[Tickets]]*'Data Entry'!$D$19</f>
        <v>21266166.553984951</v>
      </c>
      <c r="F211" s="34">
        <f>'Data Entry'!$D$38</f>
        <v>37564</v>
      </c>
      <c r="G211" s="38">
        <f>Table3[[#This Row],[Sales Forecast]]*Table3[[#This Row],[Tickets]]*'Data Entry'!$D$19</f>
        <v>26628076.014463026</v>
      </c>
      <c r="H211" s="38">
        <f>'Data Entry'!$D$9</f>
        <v>32000</v>
      </c>
      <c r="I211" s="38">
        <f>Table3[[#This Row],[Sales Forecast]]-Table3[[#This Row],[Capacity]]</f>
        <v>5564</v>
      </c>
      <c r="J211" s="38">
        <f>IF(Table3[[#This Row],[Seat availibility]]&gt;0,Table3[[#This Row],[Seat availibility]]*Table3[[#This Row],[Tickets]],)</f>
        <v>438240.55817174917</v>
      </c>
      <c r="K211" s="38">
        <f>Table3[[#This Row],[Revenue]]-Table3[[#This Row],[Payments]]</f>
        <v>21266166.553984951</v>
      </c>
      <c r="L211" s="37">
        <f>$L$202*'Data Entry'!$D$17</f>
        <v>64.271081140932296</v>
      </c>
      <c r="M211" s="38">
        <f>Table3[[#This Row],[Sales Tickets]]*Table3[[#This Row],[Ticket NS]]</f>
        <v>1928132.4342279688</v>
      </c>
      <c r="N211" s="38">
        <f>'Data Entry'!$D$7</f>
        <v>29000</v>
      </c>
      <c r="O211" s="38">
        <f>Table3[[#This Row],[Sales Forecast]]-Table3[[#This Row],[Capacity NS]]</f>
        <v>8564</v>
      </c>
      <c r="P211" s="38">
        <f>IF(Table3[[#This Row],[Seat Availibility NS]]&gt;0,Table3[[#This Row],[Seat Availibility NS]]*Table3[[#This Row],[Ticket NS]],)</f>
        <v>550417.53889094421</v>
      </c>
      <c r="Q211" s="38">
        <f>Table3[[#This Row],[Revenue NS]]</f>
        <v>1928132.4342279688</v>
      </c>
      <c r="R211" s="38"/>
      <c r="S211" s="38"/>
      <c r="T211" s="42"/>
      <c r="U211" s="57"/>
      <c r="V211" s="6"/>
      <c r="X211"/>
      <c r="Z211"/>
    </row>
    <row r="212" spans="2:26" x14ac:dyDescent="0.25">
      <c r="B212" s="7">
        <v>51044</v>
      </c>
      <c r="C212" s="37">
        <f>'Data Entry'!$E$38</f>
        <v>30000</v>
      </c>
      <c r="D212" s="38">
        <f>$D$202*'Data Entry'!$D$17</f>
        <v>78.763579829573899</v>
      </c>
      <c r="E212" s="39">
        <f>Table3[[#This Row],[Sales Tickets]]*Table3[[#This Row],[Tickets]]*'Data Entry'!$D$19</f>
        <v>21266166.553984951</v>
      </c>
      <c r="F212" s="34">
        <f>'Data Entry'!$D$38</f>
        <v>37564</v>
      </c>
      <c r="G212" s="38">
        <f>Table3[[#This Row],[Sales Forecast]]*Table3[[#This Row],[Tickets]]*'Data Entry'!$D$19</f>
        <v>26628076.014463026</v>
      </c>
      <c r="H212" s="38">
        <f>'Data Entry'!$D$9</f>
        <v>32000</v>
      </c>
      <c r="I212" s="38">
        <f>Table3[[#This Row],[Sales Forecast]]-Table3[[#This Row],[Capacity]]</f>
        <v>5564</v>
      </c>
      <c r="J212" s="38">
        <f>IF(Table3[[#This Row],[Seat availibility]]&gt;0,Table3[[#This Row],[Seat availibility]]*Table3[[#This Row],[Tickets]],)</f>
        <v>438240.55817174917</v>
      </c>
      <c r="K212" s="38">
        <f>Table3[[#This Row],[Revenue]]-Table3[[#This Row],[Payments]]</f>
        <v>21266166.553984951</v>
      </c>
      <c r="L212" s="37">
        <f>$L$202*'Data Entry'!$D$17</f>
        <v>64.271081140932296</v>
      </c>
      <c r="M212" s="38">
        <f>Table3[[#This Row],[Sales Tickets]]*Table3[[#This Row],[Ticket NS]]</f>
        <v>1928132.4342279688</v>
      </c>
      <c r="N212" s="38">
        <f>'Data Entry'!$D$7</f>
        <v>29000</v>
      </c>
      <c r="O212" s="38">
        <f>Table3[[#This Row],[Sales Forecast]]-Table3[[#This Row],[Capacity NS]]</f>
        <v>8564</v>
      </c>
      <c r="P212" s="38">
        <f>IF(Table3[[#This Row],[Seat Availibility NS]]&gt;0,Table3[[#This Row],[Seat Availibility NS]]*Table3[[#This Row],[Ticket NS]],)</f>
        <v>550417.53889094421</v>
      </c>
      <c r="Q212" s="38">
        <f>Table3[[#This Row],[Revenue NS]]</f>
        <v>1928132.4342279688</v>
      </c>
      <c r="R212" s="38"/>
      <c r="S212" s="38"/>
      <c r="T212" s="42"/>
      <c r="U212" s="57"/>
      <c r="V212" s="6"/>
      <c r="X212"/>
      <c r="Z212"/>
    </row>
    <row r="213" spans="2:26" x14ac:dyDescent="0.25">
      <c r="B213" s="7">
        <v>51075</v>
      </c>
      <c r="C213" s="37">
        <f>'Data Entry'!$E$38</f>
        <v>30000</v>
      </c>
      <c r="D213" s="38">
        <f>$D$202*'Data Entry'!$D$17</f>
        <v>78.763579829573899</v>
      </c>
      <c r="E213" s="39">
        <f>Table3[[#This Row],[Sales Tickets]]*Table3[[#This Row],[Tickets]]*'Data Entry'!$D$19</f>
        <v>21266166.553984951</v>
      </c>
      <c r="F213" s="34">
        <f>'Data Entry'!$D$38</f>
        <v>37564</v>
      </c>
      <c r="G213" s="38">
        <f>Table3[[#This Row],[Sales Forecast]]*Table3[[#This Row],[Tickets]]*'Data Entry'!$D$19</f>
        <v>26628076.014463026</v>
      </c>
      <c r="H213" s="38">
        <f>'Data Entry'!$D$9</f>
        <v>32000</v>
      </c>
      <c r="I213" s="38">
        <f>Table3[[#This Row],[Sales Forecast]]-Table3[[#This Row],[Capacity]]</f>
        <v>5564</v>
      </c>
      <c r="J213" s="38">
        <f>IF(Table3[[#This Row],[Seat availibility]]&gt;0,Table3[[#This Row],[Seat availibility]]*Table3[[#This Row],[Tickets]],)</f>
        <v>438240.55817174917</v>
      </c>
      <c r="K213" s="38">
        <f>Table3[[#This Row],[Revenue]]-Table3[[#This Row],[Payments]]</f>
        <v>21266166.553984951</v>
      </c>
      <c r="L213" s="37">
        <f>$L$202*'Data Entry'!$D$17</f>
        <v>64.271081140932296</v>
      </c>
      <c r="M213" s="38">
        <f>Table3[[#This Row],[Sales Tickets]]*Table3[[#This Row],[Ticket NS]]</f>
        <v>1928132.4342279688</v>
      </c>
      <c r="N213" s="38">
        <f>'Data Entry'!$D$7</f>
        <v>29000</v>
      </c>
      <c r="O213" s="38">
        <f>Table3[[#This Row],[Sales Forecast]]-Table3[[#This Row],[Capacity NS]]</f>
        <v>8564</v>
      </c>
      <c r="P213" s="38">
        <f>IF(Table3[[#This Row],[Seat Availibility NS]]&gt;0,Table3[[#This Row],[Seat Availibility NS]]*Table3[[#This Row],[Ticket NS]],)</f>
        <v>550417.53889094421</v>
      </c>
      <c r="Q213" s="38">
        <f>Table3[[#This Row],[Revenue NS]]</f>
        <v>1928132.4342279688</v>
      </c>
      <c r="R213" s="38"/>
      <c r="S213" s="38"/>
      <c r="T213" s="42"/>
      <c r="U213" s="57"/>
      <c r="V213" s="6"/>
      <c r="X213"/>
      <c r="Z213"/>
    </row>
    <row r="214" spans="2:26" x14ac:dyDescent="0.25">
      <c r="B214" s="7">
        <v>51105</v>
      </c>
      <c r="C214" s="37">
        <v>0</v>
      </c>
      <c r="D214" s="38">
        <f>$D$202*'Data Entry'!$D$17</f>
        <v>78.763579829573899</v>
      </c>
      <c r="E214" s="39">
        <f>Table3[[#This Row],[Sales Tickets]]*Table3[[#This Row],[Tickets]]</f>
        <v>0</v>
      </c>
      <c r="F214" s="38">
        <v>0</v>
      </c>
      <c r="G214" s="38">
        <f>Table3[[#This Row],[Sales Forecast]]*Table3[[#This Row],[Tickets]]</f>
        <v>0</v>
      </c>
      <c r="H214" s="38">
        <f>'Data Entry'!$D$9</f>
        <v>32000</v>
      </c>
      <c r="I214" s="38">
        <f>Table3[[#This Row],[Sales Forecast]]*Table3[[#This Row],[Tickets]]</f>
        <v>0</v>
      </c>
      <c r="J214" s="38">
        <f>IF(Table3[[#This Row],[Seat availibility]]&gt;0,Table3[[#This Row],[Seat availibility]]*Table3[[#This Row],[Tickets]],)</f>
        <v>0</v>
      </c>
      <c r="K214" s="38">
        <f>Table3[[#This Row],[Revenue]]-Table3[[#This Row],[Payments]]</f>
        <v>0</v>
      </c>
      <c r="L214" s="37">
        <f>$L$202*'Data Entry'!$D$17</f>
        <v>64.271081140932296</v>
      </c>
      <c r="M214" s="38">
        <f>Table3[[#This Row],[Sales Tickets]]*Table3[[#This Row],[Ticket NS]]</f>
        <v>0</v>
      </c>
      <c r="N214" s="38">
        <f>'Data Entry'!$D$7</f>
        <v>29000</v>
      </c>
      <c r="O214" s="38">
        <f>Table3[[#This Row],[Sales Forecast]]-Table3[[#This Row],[Capacity NS]]</f>
        <v>-29000</v>
      </c>
      <c r="P214" s="38">
        <f>IF(Table3[[#This Row],[Seat Availibility NS]]&gt;0,Table3[[#This Row],[Seat Availibility NS]]*Table3[[#This Row],[Ticket NS]],)</f>
        <v>0</v>
      </c>
      <c r="Q214" s="38">
        <f>Table3[[#This Row],[Revenue NS]]</f>
        <v>0</v>
      </c>
      <c r="R214" s="38">
        <f>NPV('Data Entry'!$D$42/12,K204:K214)+K203</f>
        <v>156995571.87810382</v>
      </c>
      <c r="S214" s="38">
        <f>NPV('Data Entry'!D234/12,Q204:Q214)+Q203</f>
        <v>15425059.473823752</v>
      </c>
      <c r="T214" s="42"/>
      <c r="U214" s="57"/>
      <c r="V214" s="6"/>
      <c r="X214"/>
      <c r="Z214"/>
    </row>
    <row r="215" spans="2:26" x14ac:dyDescent="0.25">
      <c r="B215" s="7">
        <v>51136</v>
      </c>
      <c r="C215" s="43">
        <v>0</v>
      </c>
      <c r="D215" s="38">
        <f>$D$214*'Data Entry'!$D$17</f>
        <v>80.338851426165377</v>
      </c>
      <c r="E215" s="39">
        <f>Table3[[#This Row],[Sales Tickets]]*Table3[[#This Row],[Tickets]]</f>
        <v>0</v>
      </c>
      <c r="F215" s="34">
        <v>0</v>
      </c>
      <c r="G215" s="38">
        <f>Table3[[#This Row],[Sales Forecast]]*Table3[[#This Row],[Tickets]]</f>
        <v>0</v>
      </c>
      <c r="H215" s="38">
        <f>'Data Entry'!$D$9</f>
        <v>32000</v>
      </c>
      <c r="I215" s="38">
        <f>Table3[[#This Row],[Sales Forecast]]*Table3[[#This Row],[Tickets]]</f>
        <v>0</v>
      </c>
      <c r="J215" s="38">
        <f>IF(Table3[[#This Row],[Seat availibility]]&gt;0,Table3[[#This Row],[Seat availibility]]*Table3[[#This Row],[Tickets]],)</f>
        <v>0</v>
      </c>
      <c r="K215" s="38">
        <f>Table3[[#This Row],[Revenue]]-Table3[[#This Row],[Payments]]</f>
        <v>0</v>
      </c>
      <c r="L215" s="37">
        <f>$L$214*'Data Entry'!$D$17</f>
        <v>65.556502763750942</v>
      </c>
      <c r="M215" s="38">
        <f>Table3[[#This Row],[Sales Tickets]]*Table3[[#This Row],[Ticket NS]]</f>
        <v>0</v>
      </c>
      <c r="N215" s="38">
        <f>'Data Entry'!$D$7</f>
        <v>29000</v>
      </c>
      <c r="O215" s="38">
        <f>Table3[[#This Row],[Sales Forecast]]-Table3[[#This Row],[Capacity NS]]</f>
        <v>-29000</v>
      </c>
      <c r="P215" s="38">
        <f>IF(Table3[[#This Row],[Seat Availibility NS]]&gt;0,Table3[[#This Row],[Seat Availibility NS]]*Table3[[#This Row],[Ticket NS]],)</f>
        <v>0</v>
      </c>
      <c r="Q215" s="38">
        <f>Table3[[#This Row],[Revenue NS]]</f>
        <v>0</v>
      </c>
      <c r="R215" s="38"/>
      <c r="S215" s="38"/>
      <c r="T215" s="42"/>
      <c r="U215" s="57"/>
      <c r="V215" s="6"/>
      <c r="X215"/>
      <c r="Z215"/>
    </row>
    <row r="216" spans="2:26" x14ac:dyDescent="0.25">
      <c r="B216" s="7">
        <v>51167</v>
      </c>
      <c r="C216" s="43">
        <v>0</v>
      </c>
      <c r="D216" s="38">
        <f>$D$214*'Data Entry'!$D$17</f>
        <v>80.338851426165377</v>
      </c>
      <c r="E216" s="39">
        <f>Table3[[#This Row],[Sales Tickets]]*Table3[[#This Row],[Tickets]]</f>
        <v>0</v>
      </c>
      <c r="F216" s="34">
        <v>0</v>
      </c>
      <c r="G216" s="38">
        <f>Table3[[#This Row],[Sales Forecast]]*Table3[[#This Row],[Tickets]]</f>
        <v>0</v>
      </c>
      <c r="H216" s="38">
        <f>'Data Entry'!$D$9</f>
        <v>32000</v>
      </c>
      <c r="I216" s="38">
        <f>Table3[[#This Row],[Sales Forecast]]*Table3[[#This Row],[Tickets]]</f>
        <v>0</v>
      </c>
      <c r="J216" s="38">
        <f>IF(Table3[[#This Row],[Seat availibility]]&gt;0,Table3[[#This Row],[Seat availibility]]*Table3[[#This Row],[Tickets]],)</f>
        <v>0</v>
      </c>
      <c r="K216" s="38">
        <f>Table3[[#This Row],[Revenue]]-Table3[[#This Row],[Payments]]</f>
        <v>0</v>
      </c>
      <c r="L216" s="37">
        <f>$L$214*'Data Entry'!$D$17</f>
        <v>65.556502763750942</v>
      </c>
      <c r="M216" s="38">
        <f>Table3[[#This Row],[Sales Tickets]]*Table3[[#This Row],[Ticket NS]]</f>
        <v>0</v>
      </c>
      <c r="N216" s="38">
        <f>'Data Entry'!$D$7</f>
        <v>29000</v>
      </c>
      <c r="O216" s="38">
        <f>Table3[[#This Row],[Sales Forecast]]-Table3[[#This Row],[Capacity NS]]</f>
        <v>-29000</v>
      </c>
      <c r="P216" s="38">
        <f>IF(Table3[[#This Row],[Seat Availibility NS]]&gt;0,Table3[[#This Row],[Seat Availibility NS]]*Table3[[#This Row],[Ticket NS]],)</f>
        <v>0</v>
      </c>
      <c r="Q216" s="38">
        <f>Table3[[#This Row],[Revenue NS]]</f>
        <v>0</v>
      </c>
      <c r="R216" s="38"/>
      <c r="S216" s="38"/>
      <c r="T216" s="42"/>
      <c r="U216" s="57"/>
      <c r="V216" s="6"/>
      <c r="X216"/>
      <c r="Z216"/>
    </row>
    <row r="217" spans="2:26" x14ac:dyDescent="0.25">
      <c r="B217" s="7">
        <v>51196</v>
      </c>
      <c r="C217" s="43">
        <v>0</v>
      </c>
      <c r="D217" s="38">
        <f>$D$214*'Data Entry'!$D$17</f>
        <v>80.338851426165377</v>
      </c>
      <c r="E217" s="39">
        <f>Table3[[#This Row],[Sales Tickets]]*Table3[[#This Row],[Tickets]]</f>
        <v>0</v>
      </c>
      <c r="F217" s="34">
        <v>0</v>
      </c>
      <c r="G217" s="38">
        <f>Table3[[#This Row],[Sales Forecast]]*Table3[[#This Row],[Tickets]]</f>
        <v>0</v>
      </c>
      <c r="H217" s="38">
        <f>'Data Entry'!$D$9</f>
        <v>32000</v>
      </c>
      <c r="I217" s="38">
        <f>Table3[[#This Row],[Sales Forecast]]*Table3[[#This Row],[Tickets]]</f>
        <v>0</v>
      </c>
      <c r="J217" s="38">
        <f>IF(Table3[[#This Row],[Seat availibility]]&gt;0,Table3[[#This Row],[Seat availibility]]*Table3[[#This Row],[Tickets]],)</f>
        <v>0</v>
      </c>
      <c r="K217" s="38">
        <f>Table3[[#This Row],[Revenue]]-Table3[[#This Row],[Payments]]</f>
        <v>0</v>
      </c>
      <c r="L217" s="37">
        <f>$L$214*'Data Entry'!$D$17</f>
        <v>65.556502763750942</v>
      </c>
      <c r="M217" s="38">
        <f>Table3[[#This Row],[Sales Tickets]]*Table3[[#This Row],[Ticket NS]]</f>
        <v>0</v>
      </c>
      <c r="N217" s="38">
        <f>'Data Entry'!$D$7</f>
        <v>29000</v>
      </c>
      <c r="O217" s="38">
        <f>Table3[[#This Row],[Sales Forecast]]-Table3[[#This Row],[Capacity NS]]</f>
        <v>-29000</v>
      </c>
      <c r="P217" s="38">
        <f>IF(Table3[[#This Row],[Seat Availibility NS]]&gt;0,Table3[[#This Row],[Seat Availibility NS]]*Table3[[#This Row],[Ticket NS]],)</f>
        <v>0</v>
      </c>
      <c r="Q217" s="38">
        <f>Table3[[#This Row],[Revenue NS]]</f>
        <v>0</v>
      </c>
      <c r="R217" s="38"/>
      <c r="S217" s="38"/>
      <c r="T217" s="42"/>
      <c r="U217" s="57"/>
      <c r="V217" s="6"/>
      <c r="X217"/>
      <c r="Z217"/>
    </row>
    <row r="218" spans="2:26" x14ac:dyDescent="0.25">
      <c r="B218" s="7">
        <v>51227</v>
      </c>
      <c r="C218" s="37">
        <f>'Data Entry'!$E$39</f>
        <v>30000</v>
      </c>
      <c r="D218" s="38">
        <f>$D$214*'Data Entry'!$D$17</f>
        <v>80.338851426165377</v>
      </c>
      <c r="E218" s="39">
        <f>Table3[[#This Row],[Sales Tickets]]*Table3[[#This Row],[Tickets]]*'Data Entry'!$D$19</f>
        <v>21691489.885064654</v>
      </c>
      <c r="F218" s="34">
        <f>'Data Entry'!$D$39</f>
        <v>37939</v>
      </c>
      <c r="G218" s="38">
        <f>Table3[[#This Row],[Sales Forecast]]*Table3[[#This Row],[Tickets]]*'Data Entry'!$D$19</f>
        <v>27431781.158315592</v>
      </c>
      <c r="H218" s="38">
        <f>'Data Entry'!$D$9</f>
        <v>32000</v>
      </c>
      <c r="I218" s="38">
        <f>Table3[[#This Row],[Sales Forecast]]-Table3[[#This Row],[Capacity]]</f>
        <v>5939</v>
      </c>
      <c r="J218" s="38">
        <f>IF(Table3[[#This Row],[Seat availibility]]&gt;0,Table3[[#This Row],[Seat availibility]]*Table3[[#This Row],[Tickets]],)</f>
        <v>477132.43861999619</v>
      </c>
      <c r="K218" s="38">
        <f>Table3[[#This Row],[Revenue]]-Table3[[#This Row],[Payments]]</f>
        <v>21691489.885064654</v>
      </c>
      <c r="L218" s="37">
        <f>$L$214*'Data Entry'!$D$17</f>
        <v>65.556502763750942</v>
      </c>
      <c r="M218" s="38">
        <f>Table3[[#This Row],[Sales Tickets]]*Table3[[#This Row],[Ticket NS]]</f>
        <v>1966695.0829125282</v>
      </c>
      <c r="N218" s="38">
        <f>'Data Entry'!$D$7</f>
        <v>29000</v>
      </c>
      <c r="O218" s="38">
        <f>Table3[[#This Row],[Sales Forecast]]-Table3[[#This Row],[Capacity NS]]</f>
        <v>8939</v>
      </c>
      <c r="P218" s="38">
        <f>IF(Table3[[#This Row],[Seat Availibility NS]]&gt;0,Table3[[#This Row],[Seat Availibility NS]]*Table3[[#This Row],[Ticket NS]],)</f>
        <v>586009.57820516964</v>
      </c>
      <c r="Q218" s="38">
        <f>Table3[[#This Row],[Revenue NS]]</f>
        <v>1966695.0829125282</v>
      </c>
      <c r="R218" s="38"/>
      <c r="S218" s="38"/>
      <c r="T218" s="42"/>
      <c r="U218" s="57"/>
      <c r="V218" s="6"/>
      <c r="X218"/>
      <c r="Z218"/>
    </row>
    <row r="219" spans="2:26" x14ac:dyDescent="0.25">
      <c r="B219" s="7">
        <v>51257</v>
      </c>
      <c r="C219" s="37">
        <f>'Data Entry'!$E$39</f>
        <v>30000</v>
      </c>
      <c r="D219" s="38">
        <f>$D$214*'Data Entry'!$D$17</f>
        <v>80.338851426165377</v>
      </c>
      <c r="E219" s="39">
        <f>Table3[[#This Row],[Sales Tickets]]*Table3[[#This Row],[Tickets]]*'Data Entry'!$D$19</f>
        <v>21691489.885064654</v>
      </c>
      <c r="F219" s="34">
        <f>'Data Entry'!$D$39</f>
        <v>37939</v>
      </c>
      <c r="G219" s="38">
        <f>Table3[[#This Row],[Sales Forecast]]*Table3[[#This Row],[Tickets]]*'Data Entry'!$D$19</f>
        <v>27431781.158315592</v>
      </c>
      <c r="H219" s="38">
        <f>'Data Entry'!$D$9</f>
        <v>32000</v>
      </c>
      <c r="I219" s="38">
        <f>Table3[[#This Row],[Sales Forecast]]-Table3[[#This Row],[Capacity]]</f>
        <v>5939</v>
      </c>
      <c r="J219" s="38">
        <f>IF(Table3[[#This Row],[Seat availibility]]&gt;0,Table3[[#This Row],[Seat availibility]]*Table3[[#This Row],[Tickets]],)</f>
        <v>477132.43861999619</v>
      </c>
      <c r="K219" s="38">
        <f>Table3[[#This Row],[Revenue]]-Table3[[#This Row],[Payments]]</f>
        <v>21691489.885064654</v>
      </c>
      <c r="L219" s="37">
        <f>$L$214*'Data Entry'!$D$17</f>
        <v>65.556502763750942</v>
      </c>
      <c r="M219" s="38">
        <f>Table3[[#This Row],[Sales Tickets]]*Table3[[#This Row],[Ticket NS]]</f>
        <v>1966695.0829125282</v>
      </c>
      <c r="N219" s="38">
        <f>'Data Entry'!$D$7</f>
        <v>29000</v>
      </c>
      <c r="O219" s="38">
        <f>Table3[[#This Row],[Sales Forecast]]-Table3[[#This Row],[Capacity NS]]</f>
        <v>8939</v>
      </c>
      <c r="P219" s="38">
        <f>IF(Table3[[#This Row],[Seat Availibility NS]]&gt;0,Table3[[#This Row],[Seat Availibility NS]]*Table3[[#This Row],[Ticket NS]],)</f>
        <v>586009.57820516964</v>
      </c>
      <c r="Q219" s="38">
        <f>Table3[[#This Row],[Revenue NS]]</f>
        <v>1966695.0829125282</v>
      </c>
      <c r="R219" s="38"/>
      <c r="S219" s="38"/>
      <c r="T219" s="42"/>
      <c r="U219" s="57"/>
      <c r="V219" s="6"/>
      <c r="X219"/>
      <c r="Z219"/>
    </row>
    <row r="220" spans="2:26" x14ac:dyDescent="0.25">
      <c r="B220" s="7">
        <v>51288</v>
      </c>
      <c r="C220" s="37">
        <f>'Data Entry'!$E$39</f>
        <v>30000</v>
      </c>
      <c r="D220" s="38">
        <f>$D$214*'Data Entry'!$D$17</f>
        <v>80.338851426165377</v>
      </c>
      <c r="E220" s="39">
        <f>Table3[[#This Row],[Sales Tickets]]*Table3[[#This Row],[Tickets]]*'Data Entry'!$D$19</f>
        <v>21691489.885064654</v>
      </c>
      <c r="F220" s="34">
        <f>'Data Entry'!$D$39</f>
        <v>37939</v>
      </c>
      <c r="G220" s="38">
        <f>Table3[[#This Row],[Sales Forecast]]*Table3[[#This Row],[Tickets]]*'Data Entry'!$D$19</f>
        <v>27431781.158315592</v>
      </c>
      <c r="H220" s="38">
        <f>'Data Entry'!$D$9</f>
        <v>32000</v>
      </c>
      <c r="I220" s="38">
        <f>Table3[[#This Row],[Sales Forecast]]-Table3[[#This Row],[Capacity]]</f>
        <v>5939</v>
      </c>
      <c r="J220" s="38">
        <f>IF(Table3[[#This Row],[Seat availibility]]&gt;0,Table3[[#This Row],[Seat availibility]]*Table3[[#This Row],[Tickets]],)</f>
        <v>477132.43861999619</v>
      </c>
      <c r="K220" s="38">
        <f>Table3[[#This Row],[Revenue]]-Table3[[#This Row],[Payments]]</f>
        <v>21691489.885064654</v>
      </c>
      <c r="L220" s="37">
        <f>$L$214*'Data Entry'!$D$17</f>
        <v>65.556502763750942</v>
      </c>
      <c r="M220" s="38">
        <f>Table3[[#This Row],[Sales Tickets]]*Table3[[#This Row],[Ticket NS]]</f>
        <v>1966695.0829125282</v>
      </c>
      <c r="N220" s="38">
        <f>'Data Entry'!$D$7</f>
        <v>29000</v>
      </c>
      <c r="O220" s="38">
        <f>Table3[[#This Row],[Sales Forecast]]-Table3[[#This Row],[Capacity NS]]</f>
        <v>8939</v>
      </c>
      <c r="P220" s="38">
        <f>IF(Table3[[#This Row],[Seat Availibility NS]]&gt;0,Table3[[#This Row],[Seat Availibility NS]]*Table3[[#This Row],[Ticket NS]],)</f>
        <v>586009.57820516964</v>
      </c>
      <c r="Q220" s="38">
        <f>Table3[[#This Row],[Revenue NS]]</f>
        <v>1966695.0829125282</v>
      </c>
      <c r="R220" s="38"/>
      <c r="S220" s="38"/>
      <c r="T220" s="42"/>
      <c r="U220" s="57"/>
      <c r="V220" s="6"/>
      <c r="X220"/>
      <c r="Z220"/>
    </row>
    <row r="221" spans="2:26" x14ac:dyDescent="0.25">
      <c r="B221" s="7">
        <v>51318</v>
      </c>
      <c r="C221" s="37">
        <f>'Data Entry'!$E$39</f>
        <v>30000</v>
      </c>
      <c r="D221" s="38">
        <f>$D$214*'Data Entry'!$D$17</f>
        <v>80.338851426165377</v>
      </c>
      <c r="E221" s="39">
        <f>Table3[[#This Row],[Sales Tickets]]*Table3[[#This Row],[Tickets]]*'Data Entry'!$D$19</f>
        <v>21691489.885064654</v>
      </c>
      <c r="F221" s="34">
        <f>'Data Entry'!$D$39</f>
        <v>37939</v>
      </c>
      <c r="G221" s="38">
        <f>Table3[[#This Row],[Sales Forecast]]*Table3[[#This Row],[Tickets]]*'Data Entry'!$D$19</f>
        <v>27431781.158315592</v>
      </c>
      <c r="H221" s="38">
        <f>'Data Entry'!$D$9</f>
        <v>32000</v>
      </c>
      <c r="I221" s="38">
        <f>Table3[[#This Row],[Sales Forecast]]-Table3[[#This Row],[Capacity]]</f>
        <v>5939</v>
      </c>
      <c r="J221" s="38">
        <f>IF(Table3[[#This Row],[Seat availibility]]&gt;0,Table3[[#This Row],[Seat availibility]]*Table3[[#This Row],[Tickets]],)</f>
        <v>477132.43861999619</v>
      </c>
      <c r="K221" s="38">
        <f>Table3[[#This Row],[Revenue]]-Table3[[#This Row],[Payments]]</f>
        <v>21691489.885064654</v>
      </c>
      <c r="L221" s="37">
        <f>$L$214*'Data Entry'!$D$17</f>
        <v>65.556502763750942</v>
      </c>
      <c r="M221" s="38">
        <f>Table3[[#This Row],[Sales Tickets]]*Table3[[#This Row],[Ticket NS]]</f>
        <v>1966695.0829125282</v>
      </c>
      <c r="N221" s="38">
        <f>'Data Entry'!$D$7</f>
        <v>29000</v>
      </c>
      <c r="O221" s="38">
        <f>Table3[[#This Row],[Sales Forecast]]-Table3[[#This Row],[Capacity NS]]</f>
        <v>8939</v>
      </c>
      <c r="P221" s="38">
        <f>IF(Table3[[#This Row],[Seat Availibility NS]]&gt;0,Table3[[#This Row],[Seat Availibility NS]]*Table3[[#This Row],[Ticket NS]],)</f>
        <v>586009.57820516964</v>
      </c>
      <c r="Q221" s="38">
        <f>Table3[[#This Row],[Revenue NS]]</f>
        <v>1966695.0829125282</v>
      </c>
      <c r="R221" s="38"/>
      <c r="S221" s="38"/>
      <c r="T221" s="42"/>
      <c r="U221" s="57"/>
      <c r="V221" s="6"/>
      <c r="X221"/>
      <c r="Z221"/>
    </row>
    <row r="222" spans="2:26" x14ac:dyDescent="0.25">
      <c r="B222" s="7">
        <v>51349</v>
      </c>
      <c r="C222" s="37">
        <f>'Data Entry'!$E$39</f>
        <v>30000</v>
      </c>
      <c r="D222" s="38">
        <f>$D$214*'Data Entry'!$D$17</f>
        <v>80.338851426165377</v>
      </c>
      <c r="E222" s="39">
        <f>Table3[[#This Row],[Sales Tickets]]*Table3[[#This Row],[Tickets]]*'Data Entry'!$D$19</f>
        <v>21691489.885064654</v>
      </c>
      <c r="F222" s="34">
        <f>'Data Entry'!$D$39</f>
        <v>37939</v>
      </c>
      <c r="G222" s="38">
        <f>Table3[[#This Row],[Sales Forecast]]*Table3[[#This Row],[Tickets]]*'Data Entry'!$D$19</f>
        <v>27431781.158315592</v>
      </c>
      <c r="H222" s="38">
        <f>'Data Entry'!$D$9</f>
        <v>32000</v>
      </c>
      <c r="I222" s="38">
        <f>Table3[[#This Row],[Sales Forecast]]-Table3[[#This Row],[Capacity]]</f>
        <v>5939</v>
      </c>
      <c r="J222" s="38">
        <f>IF(Table3[[#This Row],[Seat availibility]]&gt;0,Table3[[#This Row],[Seat availibility]]*Table3[[#This Row],[Tickets]],)</f>
        <v>477132.43861999619</v>
      </c>
      <c r="K222" s="38">
        <f>Table3[[#This Row],[Revenue]]-Table3[[#This Row],[Payments]]</f>
        <v>21691489.885064654</v>
      </c>
      <c r="L222" s="37">
        <f>$L$214*'Data Entry'!$D$17</f>
        <v>65.556502763750942</v>
      </c>
      <c r="M222" s="38">
        <f>Table3[[#This Row],[Sales Tickets]]*Table3[[#This Row],[Ticket NS]]</f>
        <v>1966695.0829125282</v>
      </c>
      <c r="N222" s="38">
        <f>'Data Entry'!$D$7</f>
        <v>29000</v>
      </c>
      <c r="O222" s="38">
        <f>Table3[[#This Row],[Sales Forecast]]-Table3[[#This Row],[Capacity NS]]</f>
        <v>8939</v>
      </c>
      <c r="P222" s="38">
        <f>IF(Table3[[#This Row],[Seat Availibility NS]]&gt;0,Table3[[#This Row],[Seat Availibility NS]]*Table3[[#This Row],[Ticket NS]],)</f>
        <v>586009.57820516964</v>
      </c>
      <c r="Q222" s="38">
        <f>Table3[[#This Row],[Revenue NS]]</f>
        <v>1966695.0829125282</v>
      </c>
      <c r="R222" s="38"/>
      <c r="S222" s="38"/>
      <c r="T222" s="42"/>
      <c r="U222" s="57"/>
      <c r="V222" s="6"/>
      <c r="X222"/>
      <c r="Z222"/>
    </row>
    <row r="223" spans="2:26" x14ac:dyDescent="0.25">
      <c r="B223" s="7">
        <v>51380</v>
      </c>
      <c r="C223" s="37">
        <f>'Data Entry'!$E$39</f>
        <v>30000</v>
      </c>
      <c r="D223" s="38">
        <f>$D$214*'Data Entry'!$D$17</f>
        <v>80.338851426165377</v>
      </c>
      <c r="E223" s="39">
        <f>Table3[[#This Row],[Sales Tickets]]*Table3[[#This Row],[Tickets]]*'Data Entry'!$D$19</f>
        <v>21691489.885064654</v>
      </c>
      <c r="F223" s="34">
        <f>'Data Entry'!$D$39</f>
        <v>37939</v>
      </c>
      <c r="G223" s="38">
        <f>Table3[[#This Row],[Sales Forecast]]*Table3[[#This Row],[Tickets]]*'Data Entry'!$D$19</f>
        <v>27431781.158315592</v>
      </c>
      <c r="H223" s="38">
        <f>'Data Entry'!$D$9</f>
        <v>32000</v>
      </c>
      <c r="I223" s="38">
        <f>Table3[[#This Row],[Sales Forecast]]-Table3[[#This Row],[Capacity]]</f>
        <v>5939</v>
      </c>
      <c r="J223" s="38">
        <f>IF(Table3[[#This Row],[Seat availibility]]&gt;0,Table3[[#This Row],[Seat availibility]]*Table3[[#This Row],[Tickets]],)</f>
        <v>477132.43861999619</v>
      </c>
      <c r="K223" s="38">
        <f>Table3[[#This Row],[Revenue]]-Table3[[#This Row],[Payments]]</f>
        <v>21691489.885064654</v>
      </c>
      <c r="L223" s="37">
        <f>$L$214*'Data Entry'!$D$17</f>
        <v>65.556502763750942</v>
      </c>
      <c r="M223" s="38">
        <f>Table3[[#This Row],[Sales Tickets]]*Table3[[#This Row],[Ticket NS]]</f>
        <v>1966695.0829125282</v>
      </c>
      <c r="N223" s="38">
        <f>'Data Entry'!$D$7</f>
        <v>29000</v>
      </c>
      <c r="O223" s="38">
        <f>Table3[[#This Row],[Sales Forecast]]-Table3[[#This Row],[Capacity NS]]</f>
        <v>8939</v>
      </c>
      <c r="P223" s="38">
        <f>IF(Table3[[#This Row],[Seat Availibility NS]]&gt;0,Table3[[#This Row],[Seat Availibility NS]]*Table3[[#This Row],[Ticket NS]],)</f>
        <v>586009.57820516964</v>
      </c>
      <c r="Q223" s="38">
        <f>Table3[[#This Row],[Revenue NS]]</f>
        <v>1966695.0829125282</v>
      </c>
      <c r="R223" s="38"/>
      <c r="S223" s="38"/>
      <c r="T223" s="42"/>
      <c r="U223" s="57"/>
      <c r="V223" s="6"/>
      <c r="X223"/>
      <c r="Z223"/>
    </row>
    <row r="224" spans="2:26" x14ac:dyDescent="0.25">
      <c r="B224" s="7">
        <v>51410</v>
      </c>
      <c r="C224" s="37">
        <f>'Data Entry'!$E$39</f>
        <v>30000</v>
      </c>
      <c r="D224" s="38">
        <f>$D$214*'Data Entry'!$D$17</f>
        <v>80.338851426165377</v>
      </c>
      <c r="E224" s="39">
        <f>Table3[[#This Row],[Sales Tickets]]*Table3[[#This Row],[Tickets]]*'Data Entry'!$D$19</f>
        <v>21691489.885064654</v>
      </c>
      <c r="F224" s="34">
        <f>'Data Entry'!$D$39</f>
        <v>37939</v>
      </c>
      <c r="G224" s="38">
        <f>Table3[[#This Row],[Sales Forecast]]*Table3[[#This Row],[Tickets]]*'Data Entry'!$D$19</f>
        <v>27431781.158315592</v>
      </c>
      <c r="H224" s="38">
        <f>'Data Entry'!$D$9</f>
        <v>32000</v>
      </c>
      <c r="I224" s="38">
        <f>Table3[[#This Row],[Sales Forecast]]-Table3[[#This Row],[Capacity]]</f>
        <v>5939</v>
      </c>
      <c r="J224" s="38">
        <f>IF(Table3[[#This Row],[Seat availibility]]&gt;0,Table3[[#This Row],[Seat availibility]]*Table3[[#This Row],[Tickets]],)</f>
        <v>477132.43861999619</v>
      </c>
      <c r="K224" s="38">
        <f>Table3[[#This Row],[Revenue]]-Table3[[#This Row],[Payments]]</f>
        <v>21691489.885064654</v>
      </c>
      <c r="L224" s="37">
        <f>$L$214*'Data Entry'!$D$17</f>
        <v>65.556502763750942</v>
      </c>
      <c r="M224" s="38">
        <f>Table3[[#This Row],[Sales Tickets]]*Table3[[#This Row],[Ticket NS]]</f>
        <v>1966695.0829125282</v>
      </c>
      <c r="N224" s="38">
        <f>'Data Entry'!$D$7</f>
        <v>29000</v>
      </c>
      <c r="O224" s="38">
        <f>Table3[[#This Row],[Sales Forecast]]-Table3[[#This Row],[Capacity NS]]</f>
        <v>8939</v>
      </c>
      <c r="P224" s="38">
        <f>IF(Table3[[#This Row],[Seat Availibility NS]]&gt;0,Table3[[#This Row],[Seat Availibility NS]]*Table3[[#This Row],[Ticket NS]],)</f>
        <v>586009.57820516964</v>
      </c>
      <c r="Q224" s="38">
        <f>Table3[[#This Row],[Revenue NS]]</f>
        <v>1966695.0829125282</v>
      </c>
      <c r="R224" s="38"/>
      <c r="S224" s="38"/>
      <c r="T224" s="42"/>
      <c r="U224" s="57"/>
      <c r="V224" s="6"/>
      <c r="X224"/>
      <c r="Z224"/>
    </row>
    <row r="225" spans="2:26" x14ac:dyDescent="0.25">
      <c r="B225" s="7">
        <v>51441</v>
      </c>
      <c r="C225" s="37">
        <f>'Data Entry'!$E$39</f>
        <v>30000</v>
      </c>
      <c r="D225" s="38">
        <f>$D$214*'Data Entry'!$D$17</f>
        <v>80.338851426165377</v>
      </c>
      <c r="E225" s="39">
        <f>Table3[[#This Row],[Sales Tickets]]*Table3[[#This Row],[Tickets]]*'Data Entry'!$D$19</f>
        <v>21691489.885064654</v>
      </c>
      <c r="F225" s="34">
        <f>'Data Entry'!$D$39</f>
        <v>37939</v>
      </c>
      <c r="G225" s="38">
        <f>Table3[[#This Row],[Sales Forecast]]*Table3[[#This Row],[Tickets]]*'Data Entry'!$D$19</f>
        <v>27431781.158315592</v>
      </c>
      <c r="H225" s="38">
        <f>'Data Entry'!$D$9</f>
        <v>32000</v>
      </c>
      <c r="I225" s="38">
        <f>Table3[[#This Row],[Sales Forecast]]-Table3[[#This Row],[Capacity]]</f>
        <v>5939</v>
      </c>
      <c r="J225" s="38">
        <f>IF(Table3[[#This Row],[Seat availibility]]&gt;0,Table3[[#This Row],[Seat availibility]]*Table3[[#This Row],[Tickets]],)</f>
        <v>477132.43861999619</v>
      </c>
      <c r="K225" s="38">
        <f>Table3[[#This Row],[Revenue]]-Table3[[#This Row],[Payments]]</f>
        <v>21691489.885064654</v>
      </c>
      <c r="L225" s="37">
        <f>$L$214*'Data Entry'!$D$17</f>
        <v>65.556502763750942</v>
      </c>
      <c r="M225" s="38">
        <f>Table3[[#This Row],[Sales Tickets]]*Table3[[#This Row],[Ticket NS]]</f>
        <v>1966695.0829125282</v>
      </c>
      <c r="N225" s="38">
        <f>'Data Entry'!$D$7</f>
        <v>29000</v>
      </c>
      <c r="O225" s="38">
        <f>Table3[[#This Row],[Sales Forecast]]-Table3[[#This Row],[Capacity NS]]</f>
        <v>8939</v>
      </c>
      <c r="P225" s="38">
        <f>IF(Table3[[#This Row],[Seat Availibility NS]]&gt;0,Table3[[#This Row],[Seat Availibility NS]]*Table3[[#This Row],[Ticket NS]],)</f>
        <v>586009.57820516964</v>
      </c>
      <c r="Q225" s="38">
        <f>Table3[[#This Row],[Revenue NS]]</f>
        <v>1966695.0829125282</v>
      </c>
      <c r="R225" s="38"/>
      <c r="S225" s="38"/>
      <c r="T225" s="42"/>
      <c r="U225" s="57"/>
      <c r="V225" s="6"/>
      <c r="X225"/>
      <c r="Z225"/>
    </row>
    <row r="226" spans="2:26" x14ac:dyDescent="0.25">
      <c r="B226" s="7">
        <v>51471</v>
      </c>
      <c r="C226" s="37">
        <v>0</v>
      </c>
      <c r="D226" s="38">
        <f>$D$214*'Data Entry'!$D$17</f>
        <v>80.338851426165377</v>
      </c>
      <c r="E226" s="39">
        <f>Table3[[#This Row],[Sales Tickets]]*Table3[[#This Row],[Tickets]]</f>
        <v>0</v>
      </c>
      <c r="F226" s="38">
        <v>0</v>
      </c>
      <c r="G226" s="38">
        <f>Table3[[#This Row],[Sales Forecast]]*Table3[[#This Row],[Tickets]]</f>
        <v>0</v>
      </c>
      <c r="H226" s="38">
        <f>'Data Entry'!$D$9</f>
        <v>32000</v>
      </c>
      <c r="I226" s="38">
        <f>Table3[[#This Row],[Sales Forecast]]*Table3[[#This Row],[Tickets]]</f>
        <v>0</v>
      </c>
      <c r="J226" s="38">
        <f>IF(Table3[[#This Row],[Seat availibility]]&gt;0,Table3[[#This Row],[Seat availibility]]*Table3[[#This Row],[Tickets]],)</f>
        <v>0</v>
      </c>
      <c r="K226" s="38">
        <f>Table3[[#This Row],[Revenue]]-Table3[[#This Row],[Payments]]</f>
        <v>0</v>
      </c>
      <c r="L226" s="37">
        <f>$L$214*'Data Entry'!$D$17</f>
        <v>65.556502763750942</v>
      </c>
      <c r="M226" s="38">
        <f>Table3[[#This Row],[Sales Tickets]]*Table3[[#This Row],[Ticket NS]]</f>
        <v>0</v>
      </c>
      <c r="N226" s="38">
        <f>'Data Entry'!$D$7</f>
        <v>29000</v>
      </c>
      <c r="O226" s="38">
        <f>Table3[[#This Row],[Sales Forecast]]-Table3[[#This Row],[Capacity NS]]</f>
        <v>-29000</v>
      </c>
      <c r="P226" s="38">
        <f>IF(Table3[[#This Row],[Seat Availibility NS]]&gt;0,Table3[[#This Row],[Seat Availibility NS]]*Table3[[#This Row],[Ticket NS]],)</f>
        <v>0</v>
      </c>
      <c r="Q226" s="38">
        <f>Table3[[#This Row],[Revenue NS]]</f>
        <v>0</v>
      </c>
      <c r="R226" s="38">
        <f>NPV('Data Entry'!$D$42/12,K216:K226)+K215</f>
        <v>160135483.31566593</v>
      </c>
      <c r="S226" s="38">
        <f>NPV('Data Entry'!D246/12,Q216:Q226)+Q215</f>
        <v>15733560.663300227</v>
      </c>
      <c r="T226" s="42"/>
      <c r="U226" s="57"/>
      <c r="V226" s="6"/>
      <c r="X226"/>
      <c r="Z226"/>
    </row>
    <row r="227" spans="2:26" x14ac:dyDescent="0.25">
      <c r="B227" s="7">
        <v>51502</v>
      </c>
      <c r="C227" s="43">
        <v>0</v>
      </c>
      <c r="D227" s="38">
        <f>$D$226*'Data Entry'!$D$17</f>
        <v>81.945628454688688</v>
      </c>
      <c r="E227" s="39">
        <f>Table3[[#This Row],[Sales Tickets]]*Table3[[#This Row],[Tickets]]</f>
        <v>0</v>
      </c>
      <c r="F227" s="34">
        <v>0</v>
      </c>
      <c r="G227" s="38">
        <f>Table3[[#This Row],[Sales Forecast]]*Table3[[#This Row],[Tickets]]</f>
        <v>0</v>
      </c>
      <c r="H227" s="38">
        <f>'Data Entry'!$D$9</f>
        <v>32000</v>
      </c>
      <c r="I227" s="38">
        <f>Table3[[#This Row],[Sales Forecast]]*Table3[[#This Row],[Tickets]]</f>
        <v>0</v>
      </c>
      <c r="J227" s="38">
        <f>IF(Table3[[#This Row],[Seat availibility]]&gt;0,Table3[[#This Row],[Seat availibility]]*Table3[[#This Row],[Tickets]],)</f>
        <v>0</v>
      </c>
      <c r="K227" s="38">
        <f>Table3[[#This Row],[Revenue]]-Table3[[#This Row],[Payments]]</f>
        <v>0</v>
      </c>
      <c r="L227" s="37">
        <f>$L$226*'Data Entry'!$D$17</f>
        <v>66.867632819025957</v>
      </c>
      <c r="M227" s="38">
        <f>Table3[[#This Row],[Sales Tickets]]*Table3[[#This Row],[Ticket NS]]</f>
        <v>0</v>
      </c>
      <c r="N227" s="38">
        <f>'Data Entry'!$D$7</f>
        <v>29000</v>
      </c>
      <c r="O227" s="38">
        <f>Table3[[#This Row],[Sales Forecast]]-Table3[[#This Row],[Capacity NS]]</f>
        <v>-29000</v>
      </c>
      <c r="P227" s="38">
        <f>IF(Table3[[#This Row],[Seat Availibility NS]]&gt;0,Table3[[#This Row],[Seat Availibility NS]]*Table3[[#This Row],[Ticket NS]],)</f>
        <v>0</v>
      </c>
      <c r="Q227" s="38">
        <f>Table3[[#This Row],[Revenue NS]]</f>
        <v>0</v>
      </c>
      <c r="R227" s="38"/>
      <c r="S227" s="38"/>
      <c r="T227" s="42"/>
      <c r="U227" s="57"/>
      <c r="V227" s="6"/>
      <c r="X227"/>
      <c r="Z227"/>
    </row>
    <row r="228" spans="2:26" x14ac:dyDescent="0.25">
      <c r="B228" s="7">
        <v>51533</v>
      </c>
      <c r="C228" s="43">
        <v>0</v>
      </c>
      <c r="D228" s="38">
        <f>$D$226*'Data Entry'!$D$17</f>
        <v>81.945628454688688</v>
      </c>
      <c r="E228" s="39">
        <f>Table3[[#This Row],[Sales Tickets]]*Table3[[#This Row],[Tickets]]</f>
        <v>0</v>
      </c>
      <c r="F228" s="34">
        <v>0</v>
      </c>
      <c r="G228" s="38">
        <f>Table3[[#This Row],[Sales Forecast]]*Table3[[#This Row],[Tickets]]</f>
        <v>0</v>
      </c>
      <c r="H228" s="38">
        <f>'Data Entry'!$D$9</f>
        <v>32000</v>
      </c>
      <c r="I228" s="38">
        <f>Table3[[#This Row],[Sales Forecast]]*Table3[[#This Row],[Tickets]]</f>
        <v>0</v>
      </c>
      <c r="J228" s="38">
        <f>IF(Table3[[#This Row],[Seat availibility]]&gt;0,Table3[[#This Row],[Seat availibility]]*Table3[[#This Row],[Tickets]],)</f>
        <v>0</v>
      </c>
      <c r="K228" s="38">
        <f>Table3[[#This Row],[Revenue]]-Table3[[#This Row],[Payments]]</f>
        <v>0</v>
      </c>
      <c r="L228" s="37">
        <f>$L$226*'Data Entry'!$D$17</f>
        <v>66.867632819025957</v>
      </c>
      <c r="M228" s="38">
        <f>Table3[[#This Row],[Sales Tickets]]*Table3[[#This Row],[Ticket NS]]</f>
        <v>0</v>
      </c>
      <c r="N228" s="38">
        <f>'Data Entry'!$D$7</f>
        <v>29000</v>
      </c>
      <c r="O228" s="38">
        <f>Table3[[#This Row],[Sales Forecast]]-Table3[[#This Row],[Capacity NS]]</f>
        <v>-29000</v>
      </c>
      <c r="P228" s="38">
        <f>IF(Table3[[#This Row],[Seat Availibility NS]]&gt;0,Table3[[#This Row],[Seat Availibility NS]]*Table3[[#This Row],[Ticket NS]],)</f>
        <v>0</v>
      </c>
      <c r="Q228" s="38">
        <f>Table3[[#This Row],[Revenue NS]]</f>
        <v>0</v>
      </c>
      <c r="R228" s="38"/>
      <c r="S228" s="38"/>
      <c r="T228" s="42"/>
      <c r="U228" s="57"/>
      <c r="V228" s="6"/>
      <c r="X228"/>
      <c r="Z228"/>
    </row>
    <row r="229" spans="2:26" x14ac:dyDescent="0.25">
      <c r="B229" s="7">
        <v>51561</v>
      </c>
      <c r="C229" s="43">
        <v>0</v>
      </c>
      <c r="D229" s="38">
        <f>$D$226*'Data Entry'!$D$17</f>
        <v>81.945628454688688</v>
      </c>
      <c r="E229" s="39">
        <f>Table3[[#This Row],[Sales Tickets]]*Table3[[#This Row],[Tickets]]</f>
        <v>0</v>
      </c>
      <c r="F229" s="34">
        <v>0</v>
      </c>
      <c r="G229" s="38">
        <f>Table3[[#This Row],[Sales Forecast]]*Table3[[#This Row],[Tickets]]</f>
        <v>0</v>
      </c>
      <c r="H229" s="38">
        <f>'Data Entry'!$D$9</f>
        <v>32000</v>
      </c>
      <c r="I229" s="38">
        <f>Table3[[#This Row],[Sales Forecast]]*Table3[[#This Row],[Tickets]]</f>
        <v>0</v>
      </c>
      <c r="J229" s="38">
        <f>IF(Table3[[#This Row],[Seat availibility]]&gt;0,Table3[[#This Row],[Seat availibility]]*Table3[[#This Row],[Tickets]],)</f>
        <v>0</v>
      </c>
      <c r="K229" s="38">
        <f>Table3[[#This Row],[Revenue]]-Table3[[#This Row],[Payments]]</f>
        <v>0</v>
      </c>
      <c r="L229" s="37">
        <f>$L$226*'Data Entry'!$D$17</f>
        <v>66.867632819025957</v>
      </c>
      <c r="M229" s="38">
        <f>Table3[[#This Row],[Sales Tickets]]*Table3[[#This Row],[Ticket NS]]</f>
        <v>0</v>
      </c>
      <c r="N229" s="38">
        <f>'Data Entry'!$D$7</f>
        <v>29000</v>
      </c>
      <c r="O229" s="38">
        <f>Table3[[#This Row],[Sales Forecast]]-Table3[[#This Row],[Capacity NS]]</f>
        <v>-29000</v>
      </c>
      <c r="P229" s="38">
        <f>IF(Table3[[#This Row],[Seat Availibility NS]]&gt;0,Table3[[#This Row],[Seat Availibility NS]]*Table3[[#This Row],[Ticket NS]],)</f>
        <v>0</v>
      </c>
      <c r="Q229" s="38">
        <f>Table3[[#This Row],[Revenue NS]]</f>
        <v>0</v>
      </c>
      <c r="R229" s="38"/>
      <c r="S229" s="38"/>
      <c r="T229" s="42"/>
      <c r="U229" s="57"/>
      <c r="V229" s="6"/>
      <c r="X229"/>
      <c r="Z229"/>
    </row>
    <row r="230" spans="2:26" x14ac:dyDescent="0.25">
      <c r="B230" s="7">
        <v>51592</v>
      </c>
      <c r="C230" s="37">
        <f>'Data Entry'!$E$40</f>
        <v>30000</v>
      </c>
      <c r="D230" s="38">
        <f>$D$226*'Data Entry'!$D$17</f>
        <v>81.945628454688688</v>
      </c>
      <c r="E230" s="39">
        <f>Table3[[#This Row],[Sales Tickets]]*Table3[[#This Row],[Tickets]]*'Data Entry'!$D$19</f>
        <v>22125319.682765946</v>
      </c>
      <c r="F230" s="34">
        <f>'Data Entry'!$D$40</f>
        <v>38319</v>
      </c>
      <c r="G230" s="38">
        <f>Table3[[#This Row],[Sales Forecast]]*Table3[[#This Row],[Tickets]]*'Data Entry'!$D$19</f>
        <v>28260670.830796942</v>
      </c>
      <c r="H230" s="38">
        <f>'Data Entry'!$D$9</f>
        <v>32000</v>
      </c>
      <c r="I230" s="38">
        <f>Table3[[#This Row],[Sales Forecast]]-Table3[[#This Row],[Capacity]]</f>
        <v>6319</v>
      </c>
      <c r="J230" s="38">
        <f>IF(Table3[[#This Row],[Seat availibility]]&gt;0,Table3[[#This Row],[Seat availibility]]*Table3[[#This Row],[Tickets]],)</f>
        <v>517814.42620517779</v>
      </c>
      <c r="K230" s="38">
        <f>Table3[[#This Row],[Revenue]]-Table3[[#This Row],[Payments]]</f>
        <v>22125319.682765946</v>
      </c>
      <c r="L230" s="37">
        <f>$L$226*'Data Entry'!$D$17</f>
        <v>66.867632819025957</v>
      </c>
      <c r="M230" s="38">
        <f>Table3[[#This Row],[Sales Tickets]]*Table3[[#This Row],[Ticket NS]]</f>
        <v>2006028.9845707787</v>
      </c>
      <c r="N230" s="38">
        <f>'Data Entry'!$D$7</f>
        <v>29000</v>
      </c>
      <c r="O230" s="38">
        <f>Table3[[#This Row],[Sales Forecast]]-Table3[[#This Row],[Capacity NS]]</f>
        <v>9319</v>
      </c>
      <c r="P230" s="38">
        <f>IF(Table3[[#This Row],[Seat Availibility NS]]&gt;0,Table3[[#This Row],[Seat Availibility NS]]*Table3[[#This Row],[Ticket NS]],)</f>
        <v>623139.47024050285</v>
      </c>
      <c r="Q230" s="38">
        <f>Table3[[#This Row],[Revenue NS]]</f>
        <v>2006028.9845707787</v>
      </c>
      <c r="R230" s="38"/>
      <c r="S230" s="38"/>
      <c r="T230" s="42"/>
      <c r="U230" s="57"/>
      <c r="V230" s="6"/>
      <c r="X230"/>
      <c r="Z230"/>
    </row>
    <row r="231" spans="2:26" x14ac:dyDescent="0.25">
      <c r="B231" s="7">
        <v>51622</v>
      </c>
      <c r="C231" s="37">
        <f>'Data Entry'!$E$40</f>
        <v>30000</v>
      </c>
      <c r="D231" s="38">
        <f>$D$226*'Data Entry'!$D$17</f>
        <v>81.945628454688688</v>
      </c>
      <c r="E231" s="39">
        <f>Table3[[#This Row],[Sales Tickets]]*Table3[[#This Row],[Tickets]]*'Data Entry'!$D$19</f>
        <v>22125319.682765946</v>
      </c>
      <c r="F231" s="34">
        <f>'Data Entry'!$D$40</f>
        <v>38319</v>
      </c>
      <c r="G231" s="38">
        <f>Table3[[#This Row],[Sales Forecast]]*Table3[[#This Row],[Tickets]]*'Data Entry'!$D$19</f>
        <v>28260670.830796942</v>
      </c>
      <c r="H231" s="38">
        <f>'Data Entry'!$D$9</f>
        <v>32000</v>
      </c>
      <c r="I231" s="38">
        <f>Table3[[#This Row],[Sales Forecast]]-Table3[[#This Row],[Capacity]]</f>
        <v>6319</v>
      </c>
      <c r="J231" s="38">
        <f>IF(Table3[[#This Row],[Seat availibility]]&gt;0,Table3[[#This Row],[Seat availibility]]*Table3[[#This Row],[Tickets]],)</f>
        <v>517814.42620517779</v>
      </c>
      <c r="K231" s="38">
        <f>Table3[[#This Row],[Revenue]]-Table3[[#This Row],[Payments]]</f>
        <v>22125319.682765946</v>
      </c>
      <c r="L231" s="37">
        <f>$L$226*'Data Entry'!$D$17</f>
        <v>66.867632819025957</v>
      </c>
      <c r="M231" s="38">
        <f>Table3[[#This Row],[Sales Tickets]]*Table3[[#This Row],[Ticket NS]]</f>
        <v>2006028.9845707787</v>
      </c>
      <c r="N231" s="38">
        <f>'Data Entry'!$D$7</f>
        <v>29000</v>
      </c>
      <c r="O231" s="38">
        <f>Table3[[#This Row],[Sales Forecast]]-Table3[[#This Row],[Capacity NS]]</f>
        <v>9319</v>
      </c>
      <c r="P231" s="38">
        <f>IF(Table3[[#This Row],[Seat Availibility NS]]&gt;0,Table3[[#This Row],[Seat Availibility NS]]*Table3[[#This Row],[Ticket NS]],)</f>
        <v>623139.47024050285</v>
      </c>
      <c r="Q231" s="38">
        <f>Table3[[#This Row],[Revenue NS]]</f>
        <v>2006028.9845707787</v>
      </c>
      <c r="R231" s="38"/>
      <c r="S231" s="38"/>
      <c r="T231" s="42"/>
      <c r="U231" s="57"/>
      <c r="V231" s="6"/>
      <c r="X231"/>
      <c r="Z231"/>
    </row>
    <row r="232" spans="2:26" x14ac:dyDescent="0.25">
      <c r="B232" s="7">
        <v>51653</v>
      </c>
      <c r="C232" s="37">
        <f>'Data Entry'!$E$40</f>
        <v>30000</v>
      </c>
      <c r="D232" s="38">
        <f>$D$226*'Data Entry'!$D$17</f>
        <v>81.945628454688688</v>
      </c>
      <c r="E232" s="39">
        <f>Table3[[#This Row],[Sales Tickets]]*Table3[[#This Row],[Tickets]]*'Data Entry'!$D$19</f>
        <v>22125319.682765946</v>
      </c>
      <c r="F232" s="34">
        <f>'Data Entry'!$D$40</f>
        <v>38319</v>
      </c>
      <c r="G232" s="38">
        <f>Table3[[#This Row],[Sales Forecast]]*Table3[[#This Row],[Tickets]]*'Data Entry'!$D$19</f>
        <v>28260670.830796942</v>
      </c>
      <c r="H232" s="38">
        <f>'Data Entry'!$D$9</f>
        <v>32000</v>
      </c>
      <c r="I232" s="38">
        <f>Table3[[#This Row],[Sales Forecast]]-Table3[[#This Row],[Capacity]]</f>
        <v>6319</v>
      </c>
      <c r="J232" s="38">
        <f>IF(Table3[[#This Row],[Seat availibility]]&gt;0,Table3[[#This Row],[Seat availibility]]*Table3[[#This Row],[Tickets]],)</f>
        <v>517814.42620517779</v>
      </c>
      <c r="K232" s="38">
        <f>Table3[[#This Row],[Revenue]]-Table3[[#This Row],[Payments]]</f>
        <v>22125319.682765946</v>
      </c>
      <c r="L232" s="37">
        <f>$L$226*'Data Entry'!$D$17</f>
        <v>66.867632819025957</v>
      </c>
      <c r="M232" s="38">
        <f>Table3[[#This Row],[Sales Tickets]]*Table3[[#This Row],[Ticket NS]]</f>
        <v>2006028.9845707787</v>
      </c>
      <c r="N232" s="38">
        <f>'Data Entry'!$D$7</f>
        <v>29000</v>
      </c>
      <c r="O232" s="38">
        <f>Table3[[#This Row],[Sales Forecast]]-Table3[[#This Row],[Capacity NS]]</f>
        <v>9319</v>
      </c>
      <c r="P232" s="38">
        <f>IF(Table3[[#This Row],[Seat Availibility NS]]&gt;0,Table3[[#This Row],[Seat Availibility NS]]*Table3[[#This Row],[Ticket NS]],)</f>
        <v>623139.47024050285</v>
      </c>
      <c r="Q232" s="38">
        <f>Table3[[#This Row],[Revenue NS]]</f>
        <v>2006028.9845707787</v>
      </c>
      <c r="R232" s="38"/>
      <c r="S232" s="38"/>
      <c r="T232" s="42"/>
      <c r="U232" s="57"/>
      <c r="V232" s="6"/>
      <c r="X232"/>
      <c r="Z232"/>
    </row>
    <row r="233" spans="2:26" x14ac:dyDescent="0.25">
      <c r="B233" s="7">
        <v>51683</v>
      </c>
      <c r="C233" s="37">
        <f>'Data Entry'!$E$40</f>
        <v>30000</v>
      </c>
      <c r="D233" s="38">
        <f>$D$226*'Data Entry'!$D$17</f>
        <v>81.945628454688688</v>
      </c>
      <c r="E233" s="39">
        <f>Table3[[#This Row],[Sales Tickets]]*Table3[[#This Row],[Tickets]]*'Data Entry'!$D$19</f>
        <v>22125319.682765946</v>
      </c>
      <c r="F233" s="34">
        <f>'Data Entry'!$D$40</f>
        <v>38319</v>
      </c>
      <c r="G233" s="38">
        <f>Table3[[#This Row],[Sales Forecast]]*Table3[[#This Row],[Tickets]]*'Data Entry'!$D$19</f>
        <v>28260670.830796942</v>
      </c>
      <c r="H233" s="38">
        <f>'Data Entry'!$D$9</f>
        <v>32000</v>
      </c>
      <c r="I233" s="38">
        <f>Table3[[#This Row],[Sales Forecast]]-Table3[[#This Row],[Capacity]]</f>
        <v>6319</v>
      </c>
      <c r="J233" s="38">
        <f>IF(Table3[[#This Row],[Seat availibility]]&gt;0,Table3[[#This Row],[Seat availibility]]*Table3[[#This Row],[Tickets]],)</f>
        <v>517814.42620517779</v>
      </c>
      <c r="K233" s="38">
        <f>Table3[[#This Row],[Revenue]]-Table3[[#This Row],[Payments]]</f>
        <v>22125319.682765946</v>
      </c>
      <c r="L233" s="37">
        <f>$L$226*'Data Entry'!$D$17</f>
        <v>66.867632819025957</v>
      </c>
      <c r="M233" s="38">
        <f>Table3[[#This Row],[Sales Tickets]]*Table3[[#This Row],[Ticket NS]]</f>
        <v>2006028.9845707787</v>
      </c>
      <c r="N233" s="38">
        <f>'Data Entry'!$D$7</f>
        <v>29000</v>
      </c>
      <c r="O233" s="38">
        <f>Table3[[#This Row],[Sales Forecast]]-Table3[[#This Row],[Capacity NS]]</f>
        <v>9319</v>
      </c>
      <c r="P233" s="38">
        <f>IF(Table3[[#This Row],[Seat Availibility NS]]&gt;0,Table3[[#This Row],[Seat Availibility NS]]*Table3[[#This Row],[Ticket NS]],)</f>
        <v>623139.47024050285</v>
      </c>
      <c r="Q233" s="38">
        <f>Table3[[#This Row],[Revenue NS]]</f>
        <v>2006028.9845707787</v>
      </c>
      <c r="R233" s="38"/>
      <c r="S233" s="38"/>
      <c r="T233" s="42"/>
      <c r="U233" s="57"/>
      <c r="V233" s="6"/>
      <c r="X233"/>
      <c r="Z233"/>
    </row>
    <row r="234" spans="2:26" x14ac:dyDescent="0.25">
      <c r="B234" s="7">
        <v>51714</v>
      </c>
      <c r="C234" s="37">
        <f>'Data Entry'!$E$40</f>
        <v>30000</v>
      </c>
      <c r="D234" s="38">
        <f>$D$226*'Data Entry'!$D$17</f>
        <v>81.945628454688688</v>
      </c>
      <c r="E234" s="39">
        <f>Table3[[#This Row],[Sales Tickets]]*Table3[[#This Row],[Tickets]]*'Data Entry'!$D$19</f>
        <v>22125319.682765946</v>
      </c>
      <c r="F234" s="34">
        <f>'Data Entry'!$D$40</f>
        <v>38319</v>
      </c>
      <c r="G234" s="38">
        <f>Table3[[#This Row],[Sales Forecast]]*Table3[[#This Row],[Tickets]]*'Data Entry'!$D$19</f>
        <v>28260670.830796942</v>
      </c>
      <c r="H234" s="38">
        <f>'Data Entry'!$D$9</f>
        <v>32000</v>
      </c>
      <c r="I234" s="38">
        <f>Table3[[#This Row],[Sales Forecast]]-Table3[[#This Row],[Capacity]]</f>
        <v>6319</v>
      </c>
      <c r="J234" s="38">
        <f>IF(Table3[[#This Row],[Seat availibility]]&gt;0,Table3[[#This Row],[Seat availibility]]*Table3[[#This Row],[Tickets]],)</f>
        <v>517814.42620517779</v>
      </c>
      <c r="K234" s="38">
        <f>Table3[[#This Row],[Revenue]]-Table3[[#This Row],[Payments]]</f>
        <v>22125319.682765946</v>
      </c>
      <c r="L234" s="37">
        <f>$L$226*'Data Entry'!$D$17</f>
        <v>66.867632819025957</v>
      </c>
      <c r="M234" s="38">
        <f>Table3[[#This Row],[Sales Tickets]]*Table3[[#This Row],[Ticket NS]]</f>
        <v>2006028.9845707787</v>
      </c>
      <c r="N234" s="38">
        <f>'Data Entry'!$D$7</f>
        <v>29000</v>
      </c>
      <c r="O234" s="38">
        <f>Table3[[#This Row],[Sales Forecast]]-Table3[[#This Row],[Capacity NS]]</f>
        <v>9319</v>
      </c>
      <c r="P234" s="38">
        <f>IF(Table3[[#This Row],[Seat Availibility NS]]&gt;0,Table3[[#This Row],[Seat Availibility NS]]*Table3[[#This Row],[Ticket NS]],)</f>
        <v>623139.47024050285</v>
      </c>
      <c r="Q234" s="38">
        <f>Table3[[#This Row],[Revenue NS]]</f>
        <v>2006028.9845707787</v>
      </c>
      <c r="R234" s="38"/>
      <c r="S234" s="38"/>
      <c r="T234" s="42"/>
      <c r="U234" s="57"/>
      <c r="V234" s="6"/>
      <c r="X234"/>
      <c r="Z234"/>
    </row>
    <row r="235" spans="2:26" x14ac:dyDescent="0.25">
      <c r="B235" s="7">
        <v>51745</v>
      </c>
      <c r="C235" s="37">
        <f>'Data Entry'!$E$40</f>
        <v>30000</v>
      </c>
      <c r="D235" s="38">
        <f>$D$226*'Data Entry'!$D$17</f>
        <v>81.945628454688688</v>
      </c>
      <c r="E235" s="39">
        <f>Table3[[#This Row],[Sales Tickets]]*Table3[[#This Row],[Tickets]]*'Data Entry'!$D$19</f>
        <v>22125319.682765946</v>
      </c>
      <c r="F235" s="34">
        <f>'Data Entry'!$D$40</f>
        <v>38319</v>
      </c>
      <c r="G235" s="38">
        <f>Table3[[#This Row],[Sales Forecast]]*Table3[[#This Row],[Tickets]]*'Data Entry'!$D$19</f>
        <v>28260670.830796942</v>
      </c>
      <c r="H235" s="38">
        <f>'Data Entry'!$D$9</f>
        <v>32000</v>
      </c>
      <c r="I235" s="38">
        <f>Table3[[#This Row],[Sales Forecast]]-Table3[[#This Row],[Capacity]]</f>
        <v>6319</v>
      </c>
      <c r="J235" s="38">
        <f>IF(Table3[[#This Row],[Seat availibility]]&gt;0,Table3[[#This Row],[Seat availibility]]*Table3[[#This Row],[Tickets]],)</f>
        <v>517814.42620517779</v>
      </c>
      <c r="K235" s="38">
        <f>Table3[[#This Row],[Revenue]]-Table3[[#This Row],[Payments]]</f>
        <v>22125319.682765946</v>
      </c>
      <c r="L235" s="37">
        <f>$L$226*'Data Entry'!$D$17</f>
        <v>66.867632819025957</v>
      </c>
      <c r="M235" s="38">
        <f>Table3[[#This Row],[Sales Tickets]]*Table3[[#This Row],[Ticket NS]]</f>
        <v>2006028.9845707787</v>
      </c>
      <c r="N235" s="38">
        <f>'Data Entry'!$D$7</f>
        <v>29000</v>
      </c>
      <c r="O235" s="38">
        <f>Table3[[#This Row],[Sales Forecast]]-Table3[[#This Row],[Capacity NS]]</f>
        <v>9319</v>
      </c>
      <c r="P235" s="38">
        <f>IF(Table3[[#This Row],[Seat Availibility NS]]&gt;0,Table3[[#This Row],[Seat Availibility NS]]*Table3[[#This Row],[Ticket NS]],)</f>
        <v>623139.47024050285</v>
      </c>
      <c r="Q235" s="38">
        <f>Table3[[#This Row],[Revenue NS]]</f>
        <v>2006028.9845707787</v>
      </c>
      <c r="R235" s="38"/>
      <c r="S235" s="38"/>
      <c r="T235" s="42"/>
      <c r="U235" s="57"/>
      <c r="V235" s="6"/>
      <c r="X235"/>
      <c r="Z235"/>
    </row>
    <row r="236" spans="2:26" x14ac:dyDescent="0.25">
      <c r="B236" s="7">
        <v>51775</v>
      </c>
      <c r="C236" s="37">
        <f>'Data Entry'!$E$40</f>
        <v>30000</v>
      </c>
      <c r="D236" s="38">
        <f>$D$226*'Data Entry'!$D$17</f>
        <v>81.945628454688688</v>
      </c>
      <c r="E236" s="39">
        <f>Table3[[#This Row],[Sales Tickets]]*Table3[[#This Row],[Tickets]]*'Data Entry'!$D$19</f>
        <v>22125319.682765946</v>
      </c>
      <c r="F236" s="34">
        <f>'Data Entry'!$D$40</f>
        <v>38319</v>
      </c>
      <c r="G236" s="38">
        <f>Table3[[#This Row],[Sales Forecast]]*Table3[[#This Row],[Tickets]]*'Data Entry'!$D$19</f>
        <v>28260670.830796942</v>
      </c>
      <c r="H236" s="38">
        <f>'Data Entry'!$D$9</f>
        <v>32000</v>
      </c>
      <c r="I236" s="38">
        <f>Table3[[#This Row],[Sales Forecast]]-Table3[[#This Row],[Capacity]]</f>
        <v>6319</v>
      </c>
      <c r="J236" s="38">
        <f>IF(Table3[[#This Row],[Seat availibility]]&gt;0,Table3[[#This Row],[Seat availibility]]*Table3[[#This Row],[Tickets]],)</f>
        <v>517814.42620517779</v>
      </c>
      <c r="K236" s="38">
        <f>Table3[[#This Row],[Revenue]]-Table3[[#This Row],[Payments]]</f>
        <v>22125319.682765946</v>
      </c>
      <c r="L236" s="37">
        <f>$L$226*'Data Entry'!$D$17</f>
        <v>66.867632819025957</v>
      </c>
      <c r="M236" s="38">
        <f>Table3[[#This Row],[Sales Tickets]]*Table3[[#This Row],[Ticket NS]]</f>
        <v>2006028.9845707787</v>
      </c>
      <c r="N236" s="38">
        <f>'Data Entry'!$D$7</f>
        <v>29000</v>
      </c>
      <c r="O236" s="38">
        <f>Table3[[#This Row],[Sales Forecast]]-Table3[[#This Row],[Capacity NS]]</f>
        <v>9319</v>
      </c>
      <c r="P236" s="38">
        <f>IF(Table3[[#This Row],[Seat Availibility NS]]&gt;0,Table3[[#This Row],[Seat Availibility NS]]*Table3[[#This Row],[Ticket NS]],)</f>
        <v>623139.47024050285</v>
      </c>
      <c r="Q236" s="38">
        <f>Table3[[#This Row],[Revenue NS]]</f>
        <v>2006028.9845707787</v>
      </c>
      <c r="R236" s="38"/>
      <c r="S236" s="38"/>
      <c r="T236" s="42"/>
      <c r="U236" s="57"/>
      <c r="V236" s="6"/>
      <c r="X236"/>
      <c r="Z236"/>
    </row>
    <row r="237" spans="2:26" x14ac:dyDescent="0.25">
      <c r="B237" s="7">
        <v>51806</v>
      </c>
      <c r="C237" s="37">
        <f>'Data Entry'!$E$40</f>
        <v>30000</v>
      </c>
      <c r="D237" s="38">
        <f>$D$226*'Data Entry'!$D$17</f>
        <v>81.945628454688688</v>
      </c>
      <c r="E237" s="39">
        <f>Table3[[#This Row],[Sales Tickets]]*Table3[[#This Row],[Tickets]]*'Data Entry'!$D$19</f>
        <v>22125319.682765946</v>
      </c>
      <c r="F237" s="34">
        <f>'Data Entry'!$D$40</f>
        <v>38319</v>
      </c>
      <c r="G237" s="38">
        <f>Table3[[#This Row],[Sales Forecast]]*Table3[[#This Row],[Tickets]]*'Data Entry'!$D$19</f>
        <v>28260670.830796942</v>
      </c>
      <c r="H237" s="38">
        <f>'Data Entry'!$D$9</f>
        <v>32000</v>
      </c>
      <c r="I237" s="38">
        <f>Table3[[#This Row],[Sales Forecast]]-Table3[[#This Row],[Capacity]]</f>
        <v>6319</v>
      </c>
      <c r="J237" s="38">
        <f>IF(Table3[[#This Row],[Seat availibility]]&gt;0,Table3[[#This Row],[Seat availibility]]*Table3[[#This Row],[Tickets]],)</f>
        <v>517814.42620517779</v>
      </c>
      <c r="K237" s="38">
        <f>Table3[[#This Row],[Revenue]]-Table3[[#This Row],[Payments]]</f>
        <v>22125319.682765946</v>
      </c>
      <c r="L237" s="37">
        <f>$L$226*'Data Entry'!$D$17</f>
        <v>66.867632819025957</v>
      </c>
      <c r="M237" s="38">
        <f>Table3[[#This Row],[Sales Tickets]]*Table3[[#This Row],[Ticket NS]]</f>
        <v>2006028.9845707787</v>
      </c>
      <c r="N237" s="38">
        <f>'Data Entry'!$D$7</f>
        <v>29000</v>
      </c>
      <c r="O237" s="38">
        <f>Table3[[#This Row],[Sales Forecast]]-Table3[[#This Row],[Capacity NS]]</f>
        <v>9319</v>
      </c>
      <c r="P237" s="38">
        <f>IF(Table3[[#This Row],[Seat Availibility NS]]&gt;0,Table3[[#This Row],[Seat Availibility NS]]*Table3[[#This Row],[Ticket NS]],)</f>
        <v>623139.47024050285</v>
      </c>
      <c r="Q237" s="38">
        <f>Table3[[#This Row],[Revenue NS]]</f>
        <v>2006028.9845707787</v>
      </c>
      <c r="R237" s="38"/>
      <c r="S237" s="38"/>
      <c r="T237" s="42"/>
      <c r="U237" s="57"/>
      <c r="V237" s="6"/>
      <c r="X237"/>
      <c r="Z237"/>
    </row>
    <row r="238" spans="2:26" ht="15.75" thickBot="1" x14ac:dyDescent="0.3">
      <c r="B238" s="7">
        <v>51836</v>
      </c>
      <c r="C238" s="37">
        <v>0</v>
      </c>
      <c r="D238" s="38">
        <f>$D$226*'Data Entry'!$D$17</f>
        <v>81.945628454688688</v>
      </c>
      <c r="E238" s="39">
        <f>Table3[[#This Row],[Sales Tickets]]*Table3[[#This Row],[Tickets]]</f>
        <v>0</v>
      </c>
      <c r="F238" s="45">
        <v>0</v>
      </c>
      <c r="G238" s="46">
        <f>Table3[[#This Row],[Sales Forecast]]*Table3[[#This Row],[Tickets]]</f>
        <v>0</v>
      </c>
      <c r="H238" s="38">
        <f>'Data Entry'!$D$9</f>
        <v>32000</v>
      </c>
      <c r="I238" s="38">
        <f>Table3[[#This Row],[Sales Forecast]]*Table3[[#This Row],[Tickets]]</f>
        <v>0</v>
      </c>
      <c r="J238" s="38">
        <f>IF(Table3[[#This Row],[Seat availibility]]&gt;0,Table3[[#This Row],[Seat availibility]]*Table3[[#This Row],[Tickets]],)</f>
        <v>0</v>
      </c>
      <c r="K238" s="38">
        <f>Table3[[#This Row],[Revenue]]-Table3[[#This Row],[Payments]]</f>
        <v>0</v>
      </c>
      <c r="L238" s="37">
        <f>$L$226*'Data Entry'!$D$17</f>
        <v>66.867632819025957</v>
      </c>
      <c r="M238" s="38">
        <f>Table3[[#This Row],[Sales Tickets]]*Table3[[#This Row],[Ticket NS]]</f>
        <v>0</v>
      </c>
      <c r="N238" s="38">
        <f>'Data Entry'!$D$7</f>
        <v>29000</v>
      </c>
      <c r="O238" s="38">
        <f>Table3[[#This Row],[Sales Forecast]]-Table3[[#This Row],[Capacity NS]]</f>
        <v>-29000</v>
      </c>
      <c r="P238" s="38">
        <f>IF(Table3[[#This Row],[Seat Availibility NS]]&gt;0,Table3[[#This Row],[Seat Availibility NS]]*Table3[[#This Row],[Ticket NS]],)</f>
        <v>0</v>
      </c>
      <c r="Q238" s="38">
        <f>Table3[[#This Row],[Revenue NS]]</f>
        <v>0</v>
      </c>
      <c r="R238" s="38">
        <f>NPV('Data Entry'!$D$42/12,K228:K238)+K227</f>
        <v>163338192.98197922</v>
      </c>
      <c r="S238" s="38">
        <f>NPV('Data Entry'!D258/12,Q228:Q238)+Q227</f>
        <v>16048231.876566229</v>
      </c>
      <c r="T238" s="42"/>
      <c r="U238" s="57"/>
      <c r="V238" s="6"/>
      <c r="X238"/>
      <c r="Z238"/>
    </row>
    <row r="239" spans="2:26" ht="15.75" thickBot="1" x14ac:dyDescent="0.3">
      <c r="B239" s="7" t="s">
        <v>1</v>
      </c>
      <c r="C239" s="45"/>
      <c r="D239" s="47">
        <f>SUBTOTAL(101,Table3[Tickets])</f>
        <v>67.332958288056801</v>
      </c>
      <c r="E239" s="46">
        <f>SUBTOTAL(109,Table3[Revenue])</f>
        <v>2797595230.956851</v>
      </c>
      <c r="F239" s="38"/>
      <c r="G239" s="38"/>
      <c r="H239" s="38"/>
      <c r="I239" s="38"/>
      <c r="J239" s="38">
        <f>SUBTOTAL(109,Table3[Potential Lost])</f>
        <v>33048952.763896082</v>
      </c>
      <c r="K239" s="38"/>
      <c r="L239" s="45">
        <f>SUBTOTAL(101,Table3[Ticket NS])</f>
        <v>55.339451990857505</v>
      </c>
      <c r="M239" s="47">
        <f>SUBTOTAL(9,Table3[Revenue NS])</f>
        <v>281844628.98651278</v>
      </c>
      <c r="N239" s="38"/>
      <c r="O239" s="38"/>
      <c r="P239" s="38">
        <f>SUBTOTAL(109,Table3[Potential lost NS])</f>
        <v>42644183.373676807</v>
      </c>
      <c r="Q239" s="38"/>
      <c r="R239" s="38"/>
      <c r="S239" s="38"/>
      <c r="T239" s="48">
        <f>SUBTOTAL(109,Table3[Payments])</f>
        <v>64000000</v>
      </c>
      <c r="U239" s="57"/>
      <c r="X239"/>
      <c r="Z239"/>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EA1EF-DD5C-4D07-91A3-952BD6CAC4C3}">
  <dimension ref="A2:C25"/>
  <sheetViews>
    <sheetView workbookViewId="0">
      <selection activeCell="C31" sqref="C31"/>
    </sheetView>
  </sheetViews>
  <sheetFormatPr defaultRowHeight="15" x14ac:dyDescent="0.25"/>
  <cols>
    <col min="1" max="1" width="13.140625" bestFit="1" customWidth="1"/>
    <col min="2" max="2" width="18.7109375" style="30" bestFit="1" customWidth="1"/>
    <col min="3" max="3" width="14.42578125" style="30" bestFit="1" customWidth="1"/>
  </cols>
  <sheetData>
    <row r="2" spans="1:3" x14ac:dyDescent="0.25">
      <c r="A2" s="1" t="s">
        <v>4</v>
      </c>
      <c r="B2" s="30" t="s">
        <v>72</v>
      </c>
      <c r="C2" s="30" t="s">
        <v>73</v>
      </c>
    </row>
    <row r="3" spans="1:3" x14ac:dyDescent="0.25">
      <c r="A3" s="2" t="s">
        <v>26</v>
      </c>
      <c r="B3" s="30">
        <v>39432394.745383672</v>
      </c>
      <c r="C3" s="30">
        <v>34696544.975444362</v>
      </c>
    </row>
    <row r="4" spans="1:3" x14ac:dyDescent="0.25">
      <c r="A4" s="2" t="s">
        <v>27</v>
      </c>
      <c r="B4" s="30">
        <v>36405619.538537733</v>
      </c>
      <c r="C4" s="30">
        <v>6438200.2222792907</v>
      </c>
    </row>
    <row r="5" spans="1:3" x14ac:dyDescent="0.25">
      <c r="A5" s="2" t="s">
        <v>28</v>
      </c>
      <c r="B5" s="30">
        <v>93600449.796824038</v>
      </c>
      <c r="C5" s="30">
        <v>10158007.823999999</v>
      </c>
    </row>
    <row r="6" spans="1:3" x14ac:dyDescent="0.25">
      <c r="A6" s="2" t="s">
        <v>29</v>
      </c>
      <c r="B6" s="30">
        <v>110789058.72050488</v>
      </c>
      <c r="C6" s="30">
        <v>10671762.337919997</v>
      </c>
    </row>
    <row r="7" spans="1:3" x14ac:dyDescent="0.25">
      <c r="A7" s="2" t="s">
        <v>30</v>
      </c>
      <c r="B7" s="30">
        <v>116398949.60608536</v>
      </c>
      <c r="C7" s="30">
        <v>11212135.3942848</v>
      </c>
    </row>
    <row r="8" spans="1:3" x14ac:dyDescent="0.25">
      <c r="A8" s="2" t="s">
        <v>31</v>
      </c>
      <c r="B8" s="30">
        <v>109908958.7509764</v>
      </c>
      <c r="C8" s="30">
        <v>10586986.658652671</v>
      </c>
    </row>
    <row r="9" spans="1:3" x14ac:dyDescent="0.25">
      <c r="A9" s="2" t="s">
        <v>32</v>
      </c>
      <c r="B9" s="30">
        <v>126265735.76287274</v>
      </c>
      <c r="C9" s="30">
        <v>12162554.128051199</v>
      </c>
    </row>
    <row r="10" spans="1:3" x14ac:dyDescent="0.25">
      <c r="A10" s="2" t="s">
        <v>33</v>
      </c>
      <c r="B10" s="30">
        <v>128791050.47813022</v>
      </c>
      <c r="C10" s="30">
        <v>12405805.210612224</v>
      </c>
    </row>
    <row r="11" spans="1:3" x14ac:dyDescent="0.25">
      <c r="A11" s="2" t="s">
        <v>34</v>
      </c>
      <c r="B11" s="30">
        <v>131366871.48769283</v>
      </c>
      <c r="C11" s="30">
        <v>12653921.314824469</v>
      </c>
    </row>
    <row r="12" spans="1:3" x14ac:dyDescent="0.25">
      <c r="A12" s="2" t="s">
        <v>35</v>
      </c>
      <c r="B12" s="30">
        <v>133994208.91744667</v>
      </c>
      <c r="C12" s="30">
        <v>12906999.741120961</v>
      </c>
    </row>
    <row r="13" spans="1:3" x14ac:dyDescent="0.25">
      <c r="A13" s="2" t="s">
        <v>36</v>
      </c>
      <c r="B13" s="30">
        <v>136674093.0957956</v>
      </c>
      <c r="C13" s="30">
        <v>13165139.735943379</v>
      </c>
    </row>
    <row r="14" spans="1:3" x14ac:dyDescent="0.25">
      <c r="A14" s="2" t="s">
        <v>37</v>
      </c>
      <c r="B14" s="30">
        <v>139407574.95771152</v>
      </c>
      <c r="C14" s="30">
        <v>13697011.381275492</v>
      </c>
    </row>
    <row r="15" spans="1:3" x14ac:dyDescent="0.25">
      <c r="A15" s="2" t="s">
        <v>38</v>
      </c>
      <c r="B15" s="30">
        <v>142195726.4568657</v>
      </c>
      <c r="C15" s="30">
        <v>13970951.608901005</v>
      </c>
    </row>
    <row r="16" spans="1:3" x14ac:dyDescent="0.25">
      <c r="A16" s="2" t="s">
        <v>39</v>
      </c>
      <c r="B16" s="30">
        <v>145039640.98600307</v>
      </c>
      <c r="C16" s="30">
        <v>14250370.641079023</v>
      </c>
    </row>
    <row r="17" spans="1:3" x14ac:dyDescent="0.25">
      <c r="A17" s="2" t="s">
        <v>40</v>
      </c>
      <c r="B17" s="30">
        <v>147940433.80572313</v>
      </c>
      <c r="C17" s="30">
        <v>14535378.053900601</v>
      </c>
    </row>
    <row r="18" spans="1:3" x14ac:dyDescent="0.25">
      <c r="A18" s="2" t="s">
        <v>41</v>
      </c>
      <c r="B18" s="30">
        <v>150899242.48183757</v>
      </c>
      <c r="C18" s="30">
        <v>14826085.614978613</v>
      </c>
    </row>
    <row r="19" spans="1:3" x14ac:dyDescent="0.25">
      <c r="A19" s="2" t="s">
        <v>42</v>
      </c>
      <c r="B19" s="30">
        <v>153917227.33147436</v>
      </c>
      <c r="C19" s="30">
        <v>15122607.327278186</v>
      </c>
    </row>
    <row r="20" spans="1:3" x14ac:dyDescent="0.25">
      <c r="A20" s="2" t="s">
        <v>43</v>
      </c>
      <c r="B20" s="30">
        <v>156995571.87810382</v>
      </c>
      <c r="C20" s="30">
        <v>15425059.473823752</v>
      </c>
    </row>
    <row r="21" spans="1:3" x14ac:dyDescent="0.25">
      <c r="A21" s="2" t="s">
        <v>44</v>
      </c>
      <c r="B21" s="30">
        <v>160135483.31566593</v>
      </c>
      <c r="C21" s="30">
        <v>15733560.663300227</v>
      </c>
    </row>
    <row r="22" spans="1:3" x14ac:dyDescent="0.25">
      <c r="A22" s="2" t="s">
        <v>45</v>
      </c>
      <c r="B22" s="30">
        <v>163338192.98197922</v>
      </c>
      <c r="C22" s="30">
        <v>16048231.876566229</v>
      </c>
    </row>
    <row r="23" spans="1:3" x14ac:dyDescent="0.25">
      <c r="A23" s="2" t="s">
        <v>5</v>
      </c>
      <c r="B23" s="30">
        <v>2523496485.0956144</v>
      </c>
      <c r="C23" s="30">
        <v>280667314.18423647</v>
      </c>
    </row>
    <row r="25" spans="1:3" x14ac:dyDescent="0.25">
      <c r="B25" s="61">
        <f>GETPIVOTDATA("Sum of NPV Normal",$A$2)</f>
        <v>2523496485.0956144</v>
      </c>
      <c r="C25" s="61">
        <f>GETPIVOTDATA("Sum of NPV NS",$A$2)</f>
        <v>280667314.18423647</v>
      </c>
    </row>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6B005-B178-4D89-BF68-9203609A84A2}">
  <dimension ref="A1:C24"/>
  <sheetViews>
    <sheetView workbookViewId="0">
      <selection activeCell="J25" sqref="J25"/>
    </sheetView>
  </sheetViews>
  <sheetFormatPr defaultRowHeight="15" x14ac:dyDescent="0.25"/>
  <cols>
    <col min="1" max="1" width="11.28515625" bestFit="1" customWidth="1"/>
    <col min="2" max="2" width="13.42578125" style="30" bestFit="1" customWidth="1"/>
    <col min="3" max="3" width="15.5703125" style="30" bestFit="1" customWidth="1"/>
  </cols>
  <sheetData>
    <row r="1" spans="1:3" x14ac:dyDescent="0.25">
      <c r="B1" s="30" t="s">
        <v>62</v>
      </c>
      <c r="C1" s="30" t="s">
        <v>63</v>
      </c>
    </row>
    <row r="2" spans="1:3" x14ac:dyDescent="0.25">
      <c r="A2" s="2" t="s">
        <v>26</v>
      </c>
      <c r="B2" s="30">
        <v>40735260</v>
      </c>
      <c r="C2" s="30">
        <v>35335260</v>
      </c>
    </row>
    <row r="3" spans="1:3" x14ac:dyDescent="0.25">
      <c r="A3" s="2" t="s">
        <v>27</v>
      </c>
      <c r="B3" s="30">
        <v>39751200</v>
      </c>
      <c r="C3" s="30">
        <v>6976800</v>
      </c>
    </row>
    <row r="4" spans="1:3" x14ac:dyDescent="0.25">
      <c r="A4" s="2" t="s">
        <v>28</v>
      </c>
      <c r="B4" s="30">
        <v>102117588.02</v>
      </c>
      <c r="C4" s="30">
        <v>10158007.823999999</v>
      </c>
    </row>
    <row r="5" spans="1:3" x14ac:dyDescent="0.25">
      <c r="A5" s="2" t="s">
        <v>29</v>
      </c>
      <c r="B5" s="30">
        <v>120057326.30159999</v>
      </c>
      <c r="C5" s="30">
        <v>10671762.337919997</v>
      </c>
    </row>
    <row r="6" spans="1:3" x14ac:dyDescent="0.25">
      <c r="A6" s="2" t="s">
        <v>30</v>
      </c>
      <c r="B6" s="30">
        <v>126136523.18570399</v>
      </c>
      <c r="C6" s="30">
        <v>11212135.3942848</v>
      </c>
    </row>
    <row r="7" spans="1:3" x14ac:dyDescent="0.25">
      <c r="A7" s="2" t="s">
        <v>31</v>
      </c>
      <c r="B7" s="30">
        <v>119103599.90984258</v>
      </c>
      <c r="C7" s="30">
        <v>10586986.658652671</v>
      </c>
    </row>
    <row r="8" spans="1:3" x14ac:dyDescent="0.25">
      <c r="A8" s="2" t="s">
        <v>32</v>
      </c>
      <c r="B8" s="30">
        <v>136828733.94057605</v>
      </c>
      <c r="C8" s="30">
        <v>12162554.128051199</v>
      </c>
    </row>
    <row r="9" spans="1:3" x14ac:dyDescent="0.25">
      <c r="A9" s="2" t="s">
        <v>33</v>
      </c>
      <c r="B9" s="30">
        <v>139565308.61938754</v>
      </c>
      <c r="C9" s="30">
        <v>12405805.210612224</v>
      </c>
    </row>
    <row r="10" spans="1:3" x14ac:dyDescent="0.25">
      <c r="A10" s="2" t="s">
        <v>34</v>
      </c>
      <c r="B10" s="30">
        <v>142356614.79177532</v>
      </c>
      <c r="C10" s="30">
        <v>12653921.314824469</v>
      </c>
    </row>
    <row r="11" spans="1:3" x14ac:dyDescent="0.25">
      <c r="A11" s="2" t="s">
        <v>35</v>
      </c>
      <c r="B11" s="30">
        <v>145203747.08761081</v>
      </c>
      <c r="C11" s="30">
        <v>12906999.741120961</v>
      </c>
    </row>
    <row r="12" spans="1:3" x14ac:dyDescent="0.25">
      <c r="A12" s="2" t="s">
        <v>36</v>
      </c>
      <c r="B12" s="30">
        <v>148107822.02936304</v>
      </c>
      <c r="C12" s="30">
        <v>13165139.735943379</v>
      </c>
    </row>
    <row r="13" spans="1:3" x14ac:dyDescent="0.25">
      <c r="A13" s="2" t="s">
        <v>37</v>
      </c>
      <c r="B13" s="30">
        <v>151069978.46995029</v>
      </c>
      <c r="C13" s="30">
        <v>13697011.381275492</v>
      </c>
    </row>
    <row r="14" spans="1:3" x14ac:dyDescent="0.25">
      <c r="A14" s="2" t="s">
        <v>38</v>
      </c>
      <c r="B14" s="30">
        <v>154091378.03934929</v>
      </c>
      <c r="C14" s="30">
        <v>13970951.608901005</v>
      </c>
    </row>
    <row r="15" spans="1:3" x14ac:dyDescent="0.25">
      <c r="A15" s="2" t="s">
        <v>39</v>
      </c>
      <c r="B15" s="30">
        <v>157173205.60013628</v>
      </c>
      <c r="C15" s="30">
        <v>14250370.641079023</v>
      </c>
    </row>
    <row r="16" spans="1:3" x14ac:dyDescent="0.25">
      <c r="A16" s="2" t="s">
        <v>40</v>
      </c>
      <c r="B16" s="30">
        <v>160316669.71213901</v>
      </c>
      <c r="C16" s="30">
        <v>14535378.053900601</v>
      </c>
    </row>
    <row r="17" spans="1:3" x14ac:dyDescent="0.25">
      <c r="A17" s="2" t="s">
        <v>41</v>
      </c>
      <c r="B17" s="30">
        <v>163523003.10638177</v>
      </c>
      <c r="C17" s="30">
        <v>14826085.614978613</v>
      </c>
    </row>
    <row r="18" spans="1:3" x14ac:dyDescent="0.25">
      <c r="A18" s="2" t="s">
        <v>42</v>
      </c>
      <c r="B18" s="30">
        <v>166793463.16850945</v>
      </c>
      <c r="C18" s="30">
        <v>15122607.327278186</v>
      </c>
    </row>
    <row r="19" spans="1:3" x14ac:dyDescent="0.25">
      <c r="A19" s="2" t="s">
        <v>43</v>
      </c>
      <c r="B19" s="30">
        <v>170129332.43187961</v>
      </c>
      <c r="C19" s="30">
        <v>15425059.473823752</v>
      </c>
    </row>
    <row r="20" spans="1:3" x14ac:dyDescent="0.25">
      <c r="A20" s="2" t="s">
        <v>44</v>
      </c>
      <c r="B20" s="30">
        <v>173531919.08051726</v>
      </c>
      <c r="C20" s="30">
        <v>15733560.663300227</v>
      </c>
    </row>
    <row r="21" spans="1:3" x14ac:dyDescent="0.25">
      <c r="A21" s="2" t="s">
        <v>45</v>
      </c>
      <c r="B21" s="30">
        <v>177002557.46212757</v>
      </c>
      <c r="C21" s="30">
        <v>16048231.876566229</v>
      </c>
    </row>
    <row r="22" spans="1:3" x14ac:dyDescent="0.25">
      <c r="A22" s="2" t="s">
        <v>5</v>
      </c>
      <c r="B22" s="30">
        <v>2733595230.9568501</v>
      </c>
      <c r="C22" s="30">
        <v>281844628.98651278</v>
      </c>
    </row>
    <row r="24" spans="1:3" x14ac:dyDescent="0.25">
      <c r="B24" s="61">
        <f>GETPIVOTDATA("Sum of Profit",$A$1)</f>
        <v>2733595230.9568501</v>
      </c>
      <c r="C24" s="61">
        <f>GETPIVOTDATA("Sum of Profit NS",A$1)</f>
        <v>281844628.98651278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405F3-E07A-4FEF-90D1-EFF7B4D24CF5}">
  <dimension ref="A1:C23"/>
  <sheetViews>
    <sheetView workbookViewId="0">
      <selection activeCell="C6" sqref="C6"/>
    </sheetView>
  </sheetViews>
  <sheetFormatPr defaultRowHeight="15" x14ac:dyDescent="0.25"/>
  <cols>
    <col min="1" max="1" width="13.140625" bestFit="1" customWidth="1"/>
    <col min="2" max="2" width="17.42578125" style="4" bestFit="1" customWidth="1"/>
    <col min="3" max="3" width="19.42578125" style="4" bestFit="1" customWidth="1"/>
  </cols>
  <sheetData>
    <row r="1" spans="1:3" x14ac:dyDescent="0.25">
      <c r="A1" s="1" t="s">
        <v>4</v>
      </c>
      <c r="B1" s="4" t="s">
        <v>59</v>
      </c>
      <c r="C1" s="4" t="s">
        <v>58</v>
      </c>
    </row>
    <row r="2" spans="1:3" x14ac:dyDescent="0.25">
      <c r="A2" s="2" t="s">
        <v>26</v>
      </c>
      <c r="B2" s="4">
        <v>45</v>
      </c>
      <c r="C2" s="4">
        <v>45</v>
      </c>
    </row>
    <row r="3" spans="1:3" x14ac:dyDescent="0.25">
      <c r="A3" s="2" t="s">
        <v>27</v>
      </c>
      <c r="B3" s="4">
        <v>45.899999999999984</v>
      </c>
      <c r="C3" s="4">
        <v>45.899999999999984</v>
      </c>
    </row>
    <row r="4" spans="1:3" x14ac:dyDescent="0.25">
      <c r="A4" s="2" t="s">
        <v>28</v>
      </c>
      <c r="B4" s="4">
        <v>55.596374999999995</v>
      </c>
      <c r="C4" s="4">
        <v>46.817999999999991</v>
      </c>
    </row>
    <row r="5" spans="1:3" x14ac:dyDescent="0.25">
      <c r="A5" s="2" t="s">
        <v>29</v>
      </c>
      <c r="B5" s="4">
        <v>59.692949999999996</v>
      </c>
      <c r="C5" s="4">
        <v>47.754360000000013</v>
      </c>
    </row>
    <row r="6" spans="1:3" x14ac:dyDescent="0.25">
      <c r="A6" s="2" t="s">
        <v>30</v>
      </c>
      <c r="B6" s="4">
        <v>60.886808999999978</v>
      </c>
      <c r="C6" s="4">
        <v>48.7094472</v>
      </c>
    </row>
    <row r="7" spans="1:3" x14ac:dyDescent="0.25">
      <c r="A7" s="2" t="s">
        <v>31</v>
      </c>
      <c r="B7" s="4">
        <v>62.104545180000024</v>
      </c>
      <c r="C7" s="4">
        <v>49.683636143999998</v>
      </c>
    </row>
    <row r="8" spans="1:3" x14ac:dyDescent="0.25">
      <c r="A8" s="2" t="s">
        <v>32</v>
      </c>
      <c r="B8" s="4">
        <v>63.346636083600025</v>
      </c>
      <c r="C8" s="4">
        <v>50.677308866880004</v>
      </c>
    </row>
    <row r="9" spans="1:3" x14ac:dyDescent="0.25">
      <c r="A9" s="2" t="s">
        <v>33</v>
      </c>
      <c r="B9" s="4">
        <v>64.613568805272024</v>
      </c>
      <c r="C9" s="4">
        <v>51.690855044217606</v>
      </c>
    </row>
    <row r="10" spans="1:3" x14ac:dyDescent="0.25">
      <c r="A10" s="2" t="s">
        <v>34</v>
      </c>
      <c r="B10" s="4">
        <v>65.905840181377457</v>
      </c>
      <c r="C10" s="4">
        <v>52.72467214510197</v>
      </c>
    </row>
    <row r="11" spans="1:3" x14ac:dyDescent="0.25">
      <c r="A11" s="2" t="s">
        <v>35</v>
      </c>
      <c r="B11" s="4">
        <v>67.223956985004989</v>
      </c>
      <c r="C11" s="4">
        <v>53.779165588004012</v>
      </c>
    </row>
    <row r="12" spans="1:3" x14ac:dyDescent="0.25">
      <c r="A12" s="2" t="s">
        <v>36</v>
      </c>
      <c r="B12" s="4">
        <v>68.568436124705116</v>
      </c>
      <c r="C12" s="4">
        <v>54.854748899764097</v>
      </c>
    </row>
    <row r="13" spans="1:3" x14ac:dyDescent="0.25">
      <c r="A13" s="2" t="s">
        <v>37</v>
      </c>
      <c r="B13" s="4">
        <v>69.939804847199198</v>
      </c>
      <c r="C13" s="4">
        <v>56.977627682184952</v>
      </c>
    </row>
    <row r="14" spans="1:3" x14ac:dyDescent="0.25">
      <c r="A14" s="2" t="s">
        <v>38</v>
      </c>
      <c r="B14" s="4">
        <v>71.338600944143181</v>
      </c>
      <c r="C14" s="4">
        <v>58.212298370420847</v>
      </c>
    </row>
    <row r="15" spans="1:3" x14ac:dyDescent="0.25">
      <c r="A15" s="2" t="s">
        <v>39</v>
      </c>
      <c r="B15" s="4">
        <v>72.765372963026053</v>
      </c>
      <c r="C15" s="4">
        <v>59.376544337829266</v>
      </c>
    </row>
    <row r="16" spans="1:3" x14ac:dyDescent="0.25">
      <c r="A16" s="2" t="s">
        <v>40</v>
      </c>
      <c r="B16" s="4">
        <v>74.220680422286577</v>
      </c>
      <c r="C16" s="4">
        <v>60.564075224585849</v>
      </c>
    </row>
    <row r="17" spans="1:3" x14ac:dyDescent="0.25">
      <c r="A17" s="2" t="s">
        <v>41</v>
      </c>
      <c r="B17" s="4">
        <v>75.705094030732312</v>
      </c>
      <c r="C17" s="4">
        <v>61.775356729077551</v>
      </c>
    </row>
    <row r="18" spans="1:3" x14ac:dyDescent="0.25">
      <c r="A18" s="2" t="s">
        <v>42</v>
      </c>
      <c r="B18" s="4">
        <v>77.219195911346972</v>
      </c>
      <c r="C18" s="4">
        <v>63.010863863659104</v>
      </c>
    </row>
    <row r="19" spans="1:3" x14ac:dyDescent="0.25">
      <c r="A19" s="2" t="s">
        <v>43</v>
      </c>
      <c r="B19" s="4">
        <v>78.763579829573914</v>
      </c>
      <c r="C19" s="4">
        <v>64.27108114093231</v>
      </c>
    </row>
    <row r="20" spans="1:3" x14ac:dyDescent="0.25">
      <c r="A20" s="2" t="s">
        <v>44</v>
      </c>
      <c r="B20" s="4">
        <v>80.338851426165363</v>
      </c>
      <c r="C20" s="4">
        <v>65.556502763750942</v>
      </c>
    </row>
    <row r="21" spans="1:3" x14ac:dyDescent="0.25">
      <c r="A21" s="2" t="s">
        <v>45</v>
      </c>
      <c r="B21" s="4">
        <v>81.945628454688674</v>
      </c>
      <c r="C21" s="4">
        <v>66.867632819025957</v>
      </c>
    </row>
    <row r="22" spans="1:3" x14ac:dyDescent="0.25">
      <c r="A22" s="2" t="s">
        <v>5</v>
      </c>
      <c r="B22" s="4">
        <v>67.332958288056801</v>
      </c>
      <c r="C22" s="4">
        <v>55.339451990857505</v>
      </c>
    </row>
    <row r="23" spans="1:3" x14ac:dyDescent="0.25">
      <c r="B23" s="59">
        <f>GETPIVOTDATA("Average of Tickets",$A$1)</f>
        <v>67.332958288056801</v>
      </c>
      <c r="C23" s="59">
        <f>GETPIVOTDATA("Average of Ticket NS",$A$1)</f>
        <v>55.339451990857505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1BCEF-FDFB-4593-8AE2-AC11FF52EDF5}">
  <dimension ref="A1:C23"/>
  <sheetViews>
    <sheetView workbookViewId="0">
      <selection activeCell="E28" sqref="E28"/>
    </sheetView>
  </sheetViews>
  <sheetFormatPr defaultRowHeight="15" x14ac:dyDescent="0.25"/>
  <cols>
    <col min="1" max="1" width="13.140625" bestFit="1" customWidth="1"/>
    <col min="2" max="2" width="20" style="30" bestFit="1" customWidth="1"/>
    <col min="3" max="3" width="22.7109375" style="30" bestFit="1" customWidth="1"/>
  </cols>
  <sheetData>
    <row r="1" spans="1:3" x14ac:dyDescent="0.25">
      <c r="A1" s="1" t="s">
        <v>4</v>
      </c>
      <c r="B1" s="30" t="s">
        <v>46</v>
      </c>
      <c r="C1" s="30" t="s">
        <v>57</v>
      </c>
    </row>
    <row r="2" spans="1:3" x14ac:dyDescent="0.25">
      <c r="A2" s="2" t="s">
        <v>26</v>
      </c>
      <c r="B2" s="30">
        <v>1476900</v>
      </c>
      <c r="C2" s="30">
        <v>0</v>
      </c>
    </row>
    <row r="3" spans="1:3" x14ac:dyDescent="0.25">
      <c r="A3" s="2" t="s">
        <v>27</v>
      </c>
      <c r="B3" s="30">
        <v>2691943.1999999997</v>
      </c>
      <c r="C3" s="30">
        <v>0</v>
      </c>
    </row>
    <row r="4" spans="1:3" x14ac:dyDescent="0.25">
      <c r="A4" s="2" t="s">
        <v>28</v>
      </c>
      <c r="B4" s="30">
        <v>0</v>
      </c>
      <c r="C4" s="30">
        <v>0</v>
      </c>
    </row>
    <row r="5" spans="1:3" x14ac:dyDescent="0.25">
      <c r="A5" s="2" t="s">
        <v>29</v>
      </c>
      <c r="B5" s="30">
        <v>0</v>
      </c>
      <c r="C5" s="30">
        <v>0</v>
      </c>
    </row>
    <row r="6" spans="1:3" x14ac:dyDescent="0.25">
      <c r="A6" s="2" t="s">
        <v>30</v>
      </c>
      <c r="B6" s="30">
        <v>0</v>
      </c>
      <c r="C6" s="30">
        <v>0</v>
      </c>
    </row>
    <row r="7" spans="1:3" x14ac:dyDescent="0.25">
      <c r="A7" s="2" t="s">
        <v>31</v>
      </c>
      <c r="B7" s="30">
        <v>0</v>
      </c>
      <c r="C7" s="30">
        <v>252790.34070067198</v>
      </c>
    </row>
    <row r="8" spans="1:3" x14ac:dyDescent="0.25">
      <c r="A8" s="2" t="s">
        <v>32</v>
      </c>
      <c r="B8" s="30">
        <v>0</v>
      </c>
      <c r="C8" s="30">
        <v>618263.16817593586</v>
      </c>
    </row>
    <row r="9" spans="1:3" x14ac:dyDescent="0.25">
      <c r="A9" s="2" t="s">
        <v>33</v>
      </c>
      <c r="B9" s="30">
        <v>0</v>
      </c>
      <c r="C9" s="30">
        <v>1009005.4904631275</v>
      </c>
    </row>
    <row r="10" spans="1:3" x14ac:dyDescent="0.25">
      <c r="A10" s="2" t="s">
        <v>34</v>
      </c>
      <c r="B10" s="30">
        <v>202462.74103719156</v>
      </c>
      <c r="C10" s="30">
        <v>1427362.3243122003</v>
      </c>
    </row>
    <row r="11" spans="1:3" x14ac:dyDescent="0.25">
      <c r="A11" s="2" t="s">
        <v>35</v>
      </c>
      <c r="B11" s="30">
        <v>728707.69371745433</v>
      </c>
      <c r="C11" s="30">
        <v>1873666.1290860591</v>
      </c>
    </row>
    <row r="12" spans="1:3" x14ac:dyDescent="0.25">
      <c r="A12" s="2" t="s">
        <v>36</v>
      </c>
      <c r="B12" s="30">
        <v>1292377.8840784414</v>
      </c>
      <c r="C12" s="30">
        <v>2350416.2808570913</v>
      </c>
    </row>
    <row r="13" spans="1:3" x14ac:dyDescent="0.25">
      <c r="A13" s="2" t="s">
        <v>37</v>
      </c>
      <c r="B13" s="30">
        <v>1895088.9521397094</v>
      </c>
      <c r="C13" s="30">
        <v>2916093.7230735528</v>
      </c>
    </row>
    <row r="14" spans="1:3" x14ac:dyDescent="0.25">
      <c r="A14" s="2" t="s">
        <v>38</v>
      </c>
      <c r="B14" s="30">
        <v>2134450.9402487646</v>
      </c>
      <c r="C14" s="30">
        <v>3138807.1281330921</v>
      </c>
    </row>
    <row r="15" spans="1:3" x14ac:dyDescent="0.25">
      <c r="A15" s="2" t="s">
        <v>39</v>
      </c>
      <c r="B15" s="30">
        <v>2385539.9872198463</v>
      </c>
      <c r="C15" s="30">
        <v>3371637.6936792964</v>
      </c>
    </row>
    <row r="16" spans="1:3" x14ac:dyDescent="0.25">
      <c r="A16" s="2" t="s">
        <v>40</v>
      </c>
      <c r="B16" s="30">
        <v>2647600.1120238067</v>
      </c>
      <c r="C16" s="30">
        <v>3613979.4968014872</v>
      </c>
    </row>
    <row r="17" spans="1:3" x14ac:dyDescent="0.25">
      <c r="A17" s="2" t="s">
        <v>41</v>
      </c>
      <c r="B17" s="30">
        <v>2921005.3480817755</v>
      </c>
      <c r="C17" s="30">
        <v>3866148.9255325901</v>
      </c>
    </row>
    <row r="18" spans="1:3" x14ac:dyDescent="0.25">
      <c r="A18" s="2" t="s">
        <v>42</v>
      </c>
      <c r="B18" s="30">
        <v>3207376.5213737073</v>
      </c>
      <c r="C18" s="30">
        <v>4129479.9741687635</v>
      </c>
    </row>
    <row r="19" spans="1:3" x14ac:dyDescent="0.25">
      <c r="A19" s="2" t="s">
        <v>43</v>
      </c>
      <c r="B19" s="30">
        <v>3505924.4653739934</v>
      </c>
      <c r="C19" s="30">
        <v>4403340.3111275537</v>
      </c>
    </row>
    <row r="20" spans="1:3" x14ac:dyDescent="0.25">
      <c r="A20" s="2" t="s">
        <v>44</v>
      </c>
      <c r="B20" s="30">
        <v>3817059.5089599704</v>
      </c>
      <c r="C20" s="30">
        <v>4688076.6256413572</v>
      </c>
    </row>
    <row r="21" spans="1:3" x14ac:dyDescent="0.25">
      <c r="A21" s="2" t="s">
        <v>45</v>
      </c>
      <c r="B21" s="30">
        <v>4142515.4096414223</v>
      </c>
      <c r="C21" s="30">
        <v>4985115.7619240219</v>
      </c>
    </row>
    <row r="22" spans="1:3" x14ac:dyDescent="0.25">
      <c r="A22" s="2" t="s">
        <v>5</v>
      </c>
      <c r="B22" s="30">
        <v>33048952.763896082</v>
      </c>
      <c r="C22" s="30">
        <v>42644183.373676799</v>
      </c>
    </row>
    <row r="23" spans="1:3" x14ac:dyDescent="0.25">
      <c r="B23" s="60">
        <f>GETPIVOTDATA("Sum of Potential Lost",$A$1)</f>
        <v>33048952.763896082</v>
      </c>
      <c r="C23" s="60">
        <f>GETPIVOTDATA("Sum of Potential lost NS",$A$1)</f>
        <v>42644183.373676799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37672-FDC7-40C4-A002-766F24A69E6B}">
  <dimension ref="E2:N19"/>
  <sheetViews>
    <sheetView showGridLines="0" showRowColHeaders="0" tabSelected="1" zoomScale="145" zoomScaleNormal="145" workbookViewId="0">
      <selection activeCell="N2" sqref="N2"/>
    </sheetView>
  </sheetViews>
  <sheetFormatPr defaultRowHeight="15" x14ac:dyDescent="0.25"/>
  <cols>
    <col min="1" max="5" width="9.140625" style="8"/>
    <col min="6" max="6" width="36.28515625" style="12" customWidth="1"/>
    <col min="7" max="7" width="9.140625" style="8"/>
    <col min="8" max="8" width="10.85546875" style="8" bestFit="1" customWidth="1"/>
    <col min="9" max="16384" width="9.140625" style="8"/>
  </cols>
  <sheetData>
    <row r="2" spans="5:14" x14ac:dyDescent="0.25">
      <c r="F2" s="10"/>
    </row>
    <row r="6" spans="5:14" ht="17.25" x14ac:dyDescent="0.4">
      <c r="E6" s="11"/>
    </row>
    <row r="10" spans="5:14" x14ac:dyDescent="0.25">
      <c r="N10" s="8" t="s">
        <v>67</v>
      </c>
    </row>
    <row r="18" spans="8:9" x14ac:dyDescent="0.25">
      <c r="H18" s="9"/>
      <c r="I18" s="9"/>
    </row>
    <row r="19" spans="8:9" x14ac:dyDescent="0.25">
      <c r="H19" s="9"/>
      <c r="I19" s="9"/>
    </row>
  </sheetData>
  <sheetProtection selectLockedCells="1" pivotTables="0"/>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 Entry</vt:lpstr>
      <vt:lpstr>DataTable</vt:lpstr>
      <vt:lpstr>NPV</vt:lpstr>
      <vt:lpstr>Profit</vt:lpstr>
      <vt:lpstr>Tickets</vt:lpstr>
      <vt:lpstr>Potential Lost</vt:lpstr>
      <vt:lpstr>Dashboard</vt:lpstr>
      <vt:lpstr>DEMAND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Ricardo Sinchuk</dc:creator>
  <cp:keywords/>
  <dc:description/>
  <cp:lastModifiedBy>simon</cp:lastModifiedBy>
  <cp:revision/>
  <dcterms:created xsi:type="dcterms:W3CDTF">2023-01-01T16:59:42Z</dcterms:created>
  <dcterms:modified xsi:type="dcterms:W3CDTF">2023-01-15T19:37:01Z</dcterms:modified>
  <cp:category/>
  <cp:contentStatus/>
</cp:coreProperties>
</file>