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70577A\PycharmProjects\Interpretable_Machine_Learning_Gasification\data\"/>
    </mc:Choice>
  </mc:AlternateContent>
  <xr:revisionPtr revIDLastSave="0" documentId="13_ncr:1_{91BD78F4-0764-4512-B05A-8E21D4780D58}" xr6:coauthVersionLast="47" xr6:coauthVersionMax="47" xr10:uidLastSave="{00000000-0000-0000-0000-000000000000}"/>
  <bookViews>
    <workbookView xWindow="-28920" yWindow="-105" windowWidth="29040" windowHeight="16440" activeTab="4" xr2:uid="{4794FB5D-B89B-42EB-9269-90DAE747DD91}"/>
  </bookViews>
  <sheets>
    <sheet name="Clean Data" sheetId="8" r:id="rId1"/>
    <sheet name="Raw Data" sheetId="1" r:id="rId2"/>
    <sheet name="Data analysis" sheetId="10" r:id="rId3"/>
    <sheet name="Calculations" sheetId="5" r:id="rId4"/>
    <sheet name="Information" sheetId="9" r:id="rId5"/>
  </sheets>
  <definedNames>
    <definedName name="_xlnm._FilterDatabase" localSheetId="1" hidden="1">'Raw Data'!$A$3:$AP$315</definedName>
    <definedName name="btbl1fna" localSheetId="1">'Raw Data'!$C$252</definedName>
    <definedName name="btbl1fnb" localSheetId="1">'Raw Data'!$E$252</definedName>
    <definedName name="btbl1fnc" localSheetId="1">'Raw Data'!$C$256</definedName>
    <definedName name="btbl1fnd" localSheetId="1">'Raw Data'!$D$258</definedName>
    <definedName name="btbl2fna" localSheetId="1">'Raw Data'!$E$166</definedName>
    <definedName name="btblfn1" localSheetId="1">'Raw Data'!$C$51</definedName>
    <definedName name="btblfn2" localSheetId="1">'Raw Data'!$C$52</definedName>
    <definedName name="btblfn3" localSheetId="1">'Raw Data'!#REF!</definedName>
    <definedName name="bTBLFN5" localSheetId="1">'Raw Data'!$AF$136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5" i="10" l="1"/>
  <c r="O315" i="10"/>
  <c r="P315" i="10"/>
  <c r="Q315" i="10"/>
  <c r="R315" i="10"/>
  <c r="U315" i="10"/>
  <c r="W315" i="10"/>
  <c r="AD315" i="10"/>
  <c r="AE315" i="10"/>
  <c r="AF315" i="10"/>
  <c r="AG315" i="10"/>
  <c r="AJ315" i="10"/>
  <c r="AL315" i="10"/>
  <c r="O316" i="10"/>
  <c r="P316" i="10"/>
  <c r="Q316" i="10"/>
  <c r="R316" i="10"/>
  <c r="U316" i="10"/>
  <c r="W316" i="10"/>
  <c r="AD316" i="10"/>
  <c r="AE316" i="10"/>
  <c r="AF316" i="10"/>
  <c r="AG316" i="10"/>
  <c r="AJ316" i="10"/>
  <c r="AL316" i="10"/>
  <c r="O317" i="10"/>
  <c r="P317" i="10"/>
  <c r="Q317" i="10"/>
  <c r="R317" i="10"/>
  <c r="U317" i="10"/>
  <c r="W317" i="10"/>
  <c r="AA317" i="10"/>
  <c r="AD317" i="10"/>
  <c r="AE317" i="10"/>
  <c r="AF317" i="10"/>
  <c r="AG317" i="10"/>
  <c r="AJ317" i="10"/>
  <c r="AL317" i="10"/>
  <c r="O318" i="10"/>
  <c r="P318" i="10"/>
  <c r="Q318" i="10"/>
  <c r="R318" i="10"/>
  <c r="U318" i="10"/>
  <c r="W318" i="10"/>
  <c r="AA318" i="10"/>
  <c r="AD318" i="10"/>
  <c r="AE318" i="10"/>
  <c r="AF318" i="10"/>
  <c r="AG318" i="10"/>
  <c r="AJ318" i="10"/>
  <c r="AL318" i="10"/>
  <c r="B319" i="10"/>
  <c r="C319" i="10"/>
  <c r="O319" i="10"/>
  <c r="P319" i="10"/>
  <c r="Q319" i="10"/>
  <c r="R319" i="10"/>
  <c r="S319" i="10"/>
  <c r="U319" i="10"/>
  <c r="W319" i="10"/>
  <c r="X319" i="10"/>
  <c r="Y319" i="10"/>
  <c r="Z319" i="10"/>
  <c r="AA319" i="10"/>
  <c r="AB319" i="10"/>
  <c r="AD319" i="10"/>
  <c r="AE319" i="10"/>
  <c r="AF319" i="10"/>
  <c r="AG319" i="10"/>
  <c r="AJ319" i="10"/>
  <c r="AL319" i="10"/>
  <c r="E8" i="8"/>
  <c r="E9" i="10" s="1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B3" i="10"/>
  <c r="C3" i="10"/>
  <c r="D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O3" i="10"/>
  <c r="B4" i="10"/>
  <c r="C4" i="10"/>
  <c r="D4" i="10"/>
  <c r="K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O4" i="10"/>
  <c r="B5" i="10"/>
  <c r="C5" i="10"/>
  <c r="D5" i="10"/>
  <c r="K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O5" i="10"/>
  <c r="B6" i="10"/>
  <c r="C6" i="10"/>
  <c r="D6" i="10"/>
  <c r="K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O6" i="10"/>
  <c r="B7" i="10"/>
  <c r="C7" i="10"/>
  <c r="D7" i="10"/>
  <c r="K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O7" i="10"/>
  <c r="B8" i="10"/>
  <c r="C8" i="10"/>
  <c r="D8" i="10"/>
  <c r="K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O8" i="10"/>
  <c r="B9" i="10"/>
  <c r="C9" i="10"/>
  <c r="D9" i="10"/>
  <c r="H9" i="10"/>
  <c r="I9" i="10"/>
  <c r="J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D9" i="10"/>
  <c r="AE9" i="10"/>
  <c r="AF9" i="10"/>
  <c r="AG9" i="10"/>
  <c r="AH9" i="10"/>
  <c r="AI9" i="10"/>
  <c r="AJ9" i="10"/>
  <c r="AK9" i="10"/>
  <c r="AL9" i="10"/>
  <c r="AM9" i="10"/>
  <c r="AO9" i="10"/>
  <c r="B10" i="10"/>
  <c r="C10" i="10"/>
  <c r="D10" i="10"/>
  <c r="E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D10" i="10"/>
  <c r="AE10" i="10"/>
  <c r="AF10" i="10"/>
  <c r="AG10" i="10"/>
  <c r="AH10" i="10"/>
  <c r="AI10" i="10"/>
  <c r="AJ10" i="10"/>
  <c r="AK10" i="10"/>
  <c r="AL10" i="10"/>
  <c r="AM10" i="10"/>
  <c r="AO10" i="10"/>
  <c r="B11" i="10"/>
  <c r="C11" i="10"/>
  <c r="D11" i="10"/>
  <c r="E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D11" i="10"/>
  <c r="AE11" i="10"/>
  <c r="AF11" i="10"/>
  <c r="AG11" i="10"/>
  <c r="AH11" i="10"/>
  <c r="AI11" i="10"/>
  <c r="AJ11" i="10"/>
  <c r="AK11" i="10"/>
  <c r="AL11" i="10"/>
  <c r="AM11" i="10"/>
  <c r="AO11" i="10"/>
  <c r="B12" i="10"/>
  <c r="C12" i="10"/>
  <c r="D12" i="10"/>
  <c r="E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D12" i="10"/>
  <c r="AE12" i="10"/>
  <c r="AF12" i="10"/>
  <c r="AG12" i="10"/>
  <c r="AH12" i="10"/>
  <c r="AI12" i="10"/>
  <c r="AJ12" i="10"/>
  <c r="AK12" i="10"/>
  <c r="AL12" i="10"/>
  <c r="AM12" i="10"/>
  <c r="AO12" i="10"/>
  <c r="B13" i="10"/>
  <c r="C13" i="10"/>
  <c r="D13" i="10"/>
  <c r="E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D13" i="10"/>
  <c r="AE13" i="10"/>
  <c r="AF13" i="10"/>
  <c r="AG13" i="10"/>
  <c r="AH13" i="10"/>
  <c r="AI13" i="10"/>
  <c r="AJ13" i="10"/>
  <c r="AK13" i="10"/>
  <c r="AL13" i="10"/>
  <c r="AM13" i="10"/>
  <c r="AO13" i="10"/>
  <c r="B14" i="10"/>
  <c r="C14" i="10"/>
  <c r="D14" i="10"/>
  <c r="E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D14" i="10"/>
  <c r="AE14" i="10"/>
  <c r="AF14" i="10"/>
  <c r="AG14" i="10"/>
  <c r="AH14" i="10"/>
  <c r="AI14" i="10"/>
  <c r="AJ14" i="10"/>
  <c r="AK14" i="10"/>
  <c r="AL14" i="10"/>
  <c r="AM14" i="10"/>
  <c r="AO14" i="10"/>
  <c r="B15" i="10"/>
  <c r="C15" i="10"/>
  <c r="D15" i="10"/>
  <c r="E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D15" i="10"/>
  <c r="AE15" i="10"/>
  <c r="AF15" i="10"/>
  <c r="AG15" i="10"/>
  <c r="AH15" i="10"/>
  <c r="AI15" i="10"/>
  <c r="AJ15" i="10"/>
  <c r="AK15" i="10"/>
  <c r="AL15" i="10"/>
  <c r="AM15" i="10"/>
  <c r="AO15" i="10"/>
  <c r="B16" i="10"/>
  <c r="C16" i="10"/>
  <c r="D16" i="10"/>
  <c r="E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D16" i="10"/>
  <c r="AE16" i="10"/>
  <c r="AF16" i="10"/>
  <c r="AG16" i="10"/>
  <c r="AH16" i="10"/>
  <c r="AI16" i="10"/>
  <c r="AJ16" i="10"/>
  <c r="AK16" i="10"/>
  <c r="AL16" i="10"/>
  <c r="AM16" i="10"/>
  <c r="AO16" i="10"/>
  <c r="B17" i="10"/>
  <c r="C17" i="10"/>
  <c r="D17" i="10"/>
  <c r="E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D17" i="10"/>
  <c r="AE17" i="10"/>
  <c r="AF17" i="10"/>
  <c r="AG17" i="10"/>
  <c r="AH17" i="10"/>
  <c r="AI17" i="10"/>
  <c r="AJ17" i="10"/>
  <c r="AK17" i="10"/>
  <c r="AL17" i="10"/>
  <c r="AM17" i="10"/>
  <c r="AO17" i="10"/>
  <c r="B18" i="10"/>
  <c r="C18" i="10"/>
  <c r="D18" i="10"/>
  <c r="E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D18" i="10"/>
  <c r="AE18" i="10"/>
  <c r="AF18" i="10"/>
  <c r="AG18" i="10"/>
  <c r="AH18" i="10"/>
  <c r="AI18" i="10"/>
  <c r="AJ18" i="10"/>
  <c r="AK18" i="10"/>
  <c r="AL18" i="10"/>
  <c r="AM18" i="10"/>
  <c r="AO18" i="10"/>
  <c r="B19" i="10"/>
  <c r="C19" i="10"/>
  <c r="D19" i="10"/>
  <c r="E19" i="10"/>
  <c r="H19" i="10"/>
  <c r="I19" i="10"/>
  <c r="J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D19" i="10"/>
  <c r="AE19" i="10"/>
  <c r="AF19" i="10"/>
  <c r="AG19" i="10"/>
  <c r="AH19" i="10"/>
  <c r="AI19" i="10"/>
  <c r="AJ19" i="10"/>
  <c r="AK19" i="10"/>
  <c r="AL19" i="10"/>
  <c r="AM19" i="10"/>
  <c r="AO19" i="10"/>
  <c r="B20" i="10"/>
  <c r="C20" i="10"/>
  <c r="D20" i="10"/>
  <c r="E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D20" i="10"/>
  <c r="AE20" i="10"/>
  <c r="AF20" i="10"/>
  <c r="AG20" i="10"/>
  <c r="AH20" i="10"/>
  <c r="AI20" i="10"/>
  <c r="AJ20" i="10"/>
  <c r="AK20" i="10"/>
  <c r="AL20" i="10"/>
  <c r="AM20" i="10"/>
  <c r="AO20" i="10"/>
  <c r="B21" i="10"/>
  <c r="C21" i="10"/>
  <c r="D21" i="10"/>
  <c r="E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D21" i="10"/>
  <c r="AE21" i="10"/>
  <c r="AF21" i="10"/>
  <c r="AG21" i="10"/>
  <c r="AH21" i="10"/>
  <c r="AI21" i="10"/>
  <c r="AJ21" i="10"/>
  <c r="AK21" i="10"/>
  <c r="AL21" i="10"/>
  <c r="AM21" i="10"/>
  <c r="AO21" i="10"/>
  <c r="B22" i="10"/>
  <c r="C22" i="10"/>
  <c r="D22" i="10"/>
  <c r="E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D22" i="10"/>
  <c r="AE22" i="10"/>
  <c r="AF22" i="10"/>
  <c r="AG22" i="10"/>
  <c r="AH22" i="10"/>
  <c r="AI22" i="10"/>
  <c r="AJ22" i="10"/>
  <c r="AK22" i="10"/>
  <c r="AL22" i="10"/>
  <c r="AM22" i="10"/>
  <c r="AO22" i="10"/>
  <c r="B23" i="10"/>
  <c r="C23" i="10"/>
  <c r="D23" i="10"/>
  <c r="E23" i="10"/>
  <c r="H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D23" i="10"/>
  <c r="AE23" i="10"/>
  <c r="AF23" i="10"/>
  <c r="AG23" i="10"/>
  <c r="AH23" i="10"/>
  <c r="AI23" i="10"/>
  <c r="AJ23" i="10"/>
  <c r="AK23" i="10"/>
  <c r="AL23" i="10"/>
  <c r="AM23" i="10"/>
  <c r="AO23" i="10"/>
  <c r="B24" i="10"/>
  <c r="C24" i="10"/>
  <c r="D24" i="10"/>
  <c r="E24" i="10"/>
  <c r="H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D24" i="10"/>
  <c r="AE24" i="10"/>
  <c r="AF24" i="10"/>
  <c r="AG24" i="10"/>
  <c r="AH24" i="10"/>
  <c r="AI24" i="10"/>
  <c r="AJ24" i="10"/>
  <c r="AK24" i="10"/>
  <c r="AL24" i="10"/>
  <c r="AM24" i="10"/>
  <c r="AO24" i="10"/>
  <c r="B25" i="10"/>
  <c r="C25" i="10"/>
  <c r="D25" i="10"/>
  <c r="E25" i="10"/>
  <c r="H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D25" i="10"/>
  <c r="AE25" i="10"/>
  <c r="AF25" i="10"/>
  <c r="AG25" i="10"/>
  <c r="AH25" i="10"/>
  <c r="AI25" i="10"/>
  <c r="AJ25" i="10"/>
  <c r="AK25" i="10"/>
  <c r="AL25" i="10"/>
  <c r="AM25" i="10"/>
  <c r="AO25" i="10"/>
  <c r="B26" i="10"/>
  <c r="C26" i="10"/>
  <c r="D26" i="10"/>
  <c r="E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D26" i="10"/>
  <c r="AE26" i="10"/>
  <c r="AF26" i="10"/>
  <c r="AG26" i="10"/>
  <c r="AH26" i="10"/>
  <c r="AI26" i="10"/>
  <c r="AJ26" i="10"/>
  <c r="AK26" i="10"/>
  <c r="AL26" i="10"/>
  <c r="AM26" i="10"/>
  <c r="AO26" i="10"/>
  <c r="B27" i="10"/>
  <c r="C27" i="10"/>
  <c r="D27" i="10"/>
  <c r="E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D27" i="10"/>
  <c r="AE27" i="10"/>
  <c r="AF27" i="10"/>
  <c r="AG27" i="10"/>
  <c r="AH27" i="10"/>
  <c r="AI27" i="10"/>
  <c r="AJ27" i="10"/>
  <c r="AK27" i="10"/>
  <c r="AL27" i="10"/>
  <c r="AM27" i="10"/>
  <c r="AO27" i="10"/>
  <c r="B28" i="10"/>
  <c r="C28" i="10"/>
  <c r="D28" i="10"/>
  <c r="E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D28" i="10"/>
  <c r="AE28" i="10"/>
  <c r="AF28" i="10"/>
  <c r="AG28" i="10"/>
  <c r="AH28" i="10"/>
  <c r="AI28" i="10"/>
  <c r="AJ28" i="10"/>
  <c r="AK28" i="10"/>
  <c r="AL28" i="10"/>
  <c r="AM28" i="10"/>
  <c r="AO28" i="10"/>
  <c r="B29" i="10"/>
  <c r="C29" i="10"/>
  <c r="D29" i="10"/>
  <c r="E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D29" i="10"/>
  <c r="AE29" i="10"/>
  <c r="AF29" i="10"/>
  <c r="AG29" i="10"/>
  <c r="AH29" i="10"/>
  <c r="AI29" i="10"/>
  <c r="AJ29" i="10"/>
  <c r="AK29" i="10"/>
  <c r="AL29" i="10"/>
  <c r="AM29" i="10"/>
  <c r="AO29" i="10"/>
  <c r="B30" i="10"/>
  <c r="C30" i="10"/>
  <c r="D30" i="10"/>
  <c r="E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D30" i="10"/>
  <c r="AE30" i="10"/>
  <c r="AF30" i="10"/>
  <c r="AG30" i="10"/>
  <c r="AH30" i="10"/>
  <c r="AI30" i="10"/>
  <c r="AJ30" i="10"/>
  <c r="AK30" i="10"/>
  <c r="AL30" i="10"/>
  <c r="AM30" i="10"/>
  <c r="AO30" i="10"/>
  <c r="B31" i="10"/>
  <c r="C31" i="10"/>
  <c r="D31" i="10"/>
  <c r="E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D31" i="10"/>
  <c r="AE31" i="10"/>
  <c r="AF31" i="10"/>
  <c r="AG31" i="10"/>
  <c r="AH31" i="10"/>
  <c r="AI31" i="10"/>
  <c r="AJ31" i="10"/>
  <c r="AK31" i="10"/>
  <c r="AL31" i="10"/>
  <c r="AM31" i="10"/>
  <c r="AO31" i="10"/>
  <c r="B32" i="10"/>
  <c r="C32" i="10"/>
  <c r="D32" i="10"/>
  <c r="E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D32" i="10"/>
  <c r="AE32" i="10"/>
  <c r="AF32" i="10"/>
  <c r="AG32" i="10"/>
  <c r="AH32" i="10"/>
  <c r="AI32" i="10"/>
  <c r="AJ32" i="10"/>
  <c r="AK32" i="10"/>
  <c r="AL32" i="10"/>
  <c r="AM32" i="10"/>
  <c r="AO32" i="10"/>
  <c r="B33" i="10"/>
  <c r="C33" i="10"/>
  <c r="F33" i="10"/>
  <c r="G33" i="10"/>
  <c r="H33" i="10"/>
  <c r="I33" i="10"/>
  <c r="J33" i="10"/>
  <c r="L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B34" i="10"/>
  <c r="C34" i="10"/>
  <c r="F34" i="10"/>
  <c r="G34" i="10"/>
  <c r="H34" i="10"/>
  <c r="I34" i="10"/>
  <c r="J34" i="10"/>
  <c r="L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B35" i="10"/>
  <c r="C35" i="10"/>
  <c r="F35" i="10"/>
  <c r="G35" i="10"/>
  <c r="H35" i="10"/>
  <c r="I35" i="10"/>
  <c r="J35" i="10"/>
  <c r="L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B36" i="10"/>
  <c r="C36" i="10"/>
  <c r="F36" i="10"/>
  <c r="G36" i="10"/>
  <c r="H36" i="10"/>
  <c r="I36" i="10"/>
  <c r="J36" i="10"/>
  <c r="L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B37" i="10"/>
  <c r="C37" i="10"/>
  <c r="F37" i="10"/>
  <c r="G37" i="10"/>
  <c r="H37" i="10"/>
  <c r="I37" i="10"/>
  <c r="J37" i="10"/>
  <c r="L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B38" i="10"/>
  <c r="C38" i="10"/>
  <c r="F38" i="10"/>
  <c r="G38" i="10"/>
  <c r="H38" i="10"/>
  <c r="I38" i="10"/>
  <c r="J38" i="10"/>
  <c r="L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B39" i="10"/>
  <c r="C39" i="10"/>
  <c r="F39" i="10"/>
  <c r="G39" i="10"/>
  <c r="H39" i="10"/>
  <c r="I39" i="10"/>
  <c r="J39" i="10"/>
  <c r="L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B40" i="10"/>
  <c r="C40" i="10"/>
  <c r="F40" i="10"/>
  <c r="G40" i="10"/>
  <c r="H40" i="10"/>
  <c r="I40" i="10"/>
  <c r="J40" i="10"/>
  <c r="L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B41" i="10"/>
  <c r="C41" i="10"/>
  <c r="F41" i="10"/>
  <c r="G41" i="10"/>
  <c r="H41" i="10"/>
  <c r="I41" i="10"/>
  <c r="J41" i="10"/>
  <c r="L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B42" i="10"/>
  <c r="C42" i="10"/>
  <c r="F42" i="10"/>
  <c r="G42" i="10"/>
  <c r="H42" i="10"/>
  <c r="I42" i="10"/>
  <c r="J42" i="10"/>
  <c r="L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B43" i="10"/>
  <c r="C43" i="10"/>
  <c r="F43" i="10"/>
  <c r="G43" i="10"/>
  <c r="H43" i="10"/>
  <c r="I43" i="10"/>
  <c r="J43" i="10"/>
  <c r="L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B44" i="10"/>
  <c r="C44" i="10"/>
  <c r="F44" i="10"/>
  <c r="G44" i="10"/>
  <c r="H44" i="10"/>
  <c r="I44" i="10"/>
  <c r="J44" i="10"/>
  <c r="L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B45" i="10"/>
  <c r="C45" i="10"/>
  <c r="F45" i="10"/>
  <c r="G45" i="10"/>
  <c r="H45" i="10"/>
  <c r="I45" i="10"/>
  <c r="J45" i="10"/>
  <c r="L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B46" i="10"/>
  <c r="C46" i="10"/>
  <c r="F46" i="10"/>
  <c r="G46" i="10"/>
  <c r="H46" i="10"/>
  <c r="I46" i="10"/>
  <c r="J46" i="10"/>
  <c r="L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B47" i="10"/>
  <c r="C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D47" i="10"/>
  <c r="AE47" i="10"/>
  <c r="AF47" i="10"/>
  <c r="AG47" i="10"/>
  <c r="AH47" i="10"/>
  <c r="AI47" i="10"/>
  <c r="AJ47" i="10"/>
  <c r="AK47" i="10"/>
  <c r="AL47" i="10"/>
  <c r="AN47" i="10"/>
  <c r="AO47" i="10"/>
  <c r="B48" i="10"/>
  <c r="C48" i="10"/>
  <c r="I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D48" i="10"/>
  <c r="AE48" i="10"/>
  <c r="AF48" i="10"/>
  <c r="AG48" i="10"/>
  <c r="AH48" i="10"/>
  <c r="AI48" i="10"/>
  <c r="AJ48" i="10"/>
  <c r="AK48" i="10"/>
  <c r="AL48" i="10"/>
  <c r="AN48" i="10"/>
  <c r="AO48" i="10"/>
  <c r="B49" i="10"/>
  <c r="C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D49" i="10"/>
  <c r="AE49" i="10"/>
  <c r="AF49" i="10"/>
  <c r="AG49" i="10"/>
  <c r="AH49" i="10"/>
  <c r="AI49" i="10"/>
  <c r="AJ49" i="10"/>
  <c r="AK49" i="10"/>
  <c r="AL49" i="10"/>
  <c r="AN49" i="10"/>
  <c r="AO49" i="10"/>
  <c r="B50" i="10"/>
  <c r="C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D50" i="10"/>
  <c r="AE50" i="10"/>
  <c r="AF50" i="10"/>
  <c r="AG50" i="10"/>
  <c r="AH50" i="10"/>
  <c r="AI50" i="10"/>
  <c r="AJ50" i="10"/>
  <c r="AK50" i="10"/>
  <c r="AL50" i="10"/>
  <c r="AN50" i="10"/>
  <c r="AO50" i="10"/>
  <c r="B51" i="10"/>
  <c r="C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D51" i="10"/>
  <c r="AE51" i="10"/>
  <c r="AF51" i="10"/>
  <c r="AG51" i="10"/>
  <c r="AH51" i="10"/>
  <c r="AI51" i="10"/>
  <c r="AJ51" i="10"/>
  <c r="AK51" i="10"/>
  <c r="AL51" i="10"/>
  <c r="AN51" i="10"/>
  <c r="AO51" i="10"/>
  <c r="B52" i="10"/>
  <c r="C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D52" i="10"/>
  <c r="AE52" i="10"/>
  <c r="AF52" i="10"/>
  <c r="AG52" i="10"/>
  <c r="AH52" i="10"/>
  <c r="AI52" i="10"/>
  <c r="AJ52" i="10"/>
  <c r="AK52" i="10"/>
  <c r="AL52" i="10"/>
  <c r="AN52" i="10"/>
  <c r="AO52" i="10"/>
  <c r="B53" i="10"/>
  <c r="C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D53" i="10"/>
  <c r="AE53" i="10"/>
  <c r="AF53" i="10"/>
  <c r="AG53" i="10"/>
  <c r="AH53" i="10"/>
  <c r="AI53" i="10"/>
  <c r="AJ53" i="10"/>
  <c r="AK53" i="10"/>
  <c r="AL53" i="10"/>
  <c r="AN53" i="10"/>
  <c r="AO53" i="10"/>
  <c r="B54" i="10"/>
  <c r="C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D54" i="10"/>
  <c r="AE54" i="10"/>
  <c r="AF54" i="10"/>
  <c r="AG54" i="10"/>
  <c r="AH54" i="10"/>
  <c r="AI54" i="10"/>
  <c r="AJ54" i="10"/>
  <c r="AK54" i="10"/>
  <c r="AL54" i="10"/>
  <c r="AN54" i="10"/>
  <c r="AO54" i="10"/>
  <c r="B55" i="10"/>
  <c r="C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D55" i="10"/>
  <c r="AE55" i="10"/>
  <c r="AF55" i="10"/>
  <c r="AG55" i="10"/>
  <c r="AH55" i="10"/>
  <c r="AI55" i="10"/>
  <c r="AJ55" i="10"/>
  <c r="AK55" i="10"/>
  <c r="AL55" i="10"/>
  <c r="AN55" i="10"/>
  <c r="AO55" i="10"/>
  <c r="B56" i="10"/>
  <c r="C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D56" i="10"/>
  <c r="AE56" i="10"/>
  <c r="AF56" i="10"/>
  <c r="AG56" i="10"/>
  <c r="AH56" i="10"/>
  <c r="AI56" i="10"/>
  <c r="AJ56" i="10"/>
  <c r="AK56" i="10"/>
  <c r="AL56" i="10"/>
  <c r="AN56" i="10"/>
  <c r="AO56" i="10"/>
  <c r="B57" i="10"/>
  <c r="C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D57" i="10"/>
  <c r="AE57" i="10"/>
  <c r="AF57" i="10"/>
  <c r="AG57" i="10"/>
  <c r="AH57" i="10"/>
  <c r="AI57" i="10"/>
  <c r="AJ57" i="10"/>
  <c r="AK57" i="10"/>
  <c r="AL57" i="10"/>
  <c r="AN57" i="10"/>
  <c r="AO57" i="10"/>
  <c r="B58" i="10"/>
  <c r="C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D58" i="10"/>
  <c r="AE58" i="10"/>
  <c r="AF58" i="10"/>
  <c r="AG58" i="10"/>
  <c r="AH58" i="10"/>
  <c r="AI58" i="10"/>
  <c r="AJ58" i="10"/>
  <c r="AK58" i="10"/>
  <c r="AL58" i="10"/>
  <c r="AN58" i="10"/>
  <c r="AO58" i="10"/>
  <c r="B59" i="10"/>
  <c r="C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D59" i="10"/>
  <c r="AE59" i="10"/>
  <c r="AF59" i="10"/>
  <c r="AG59" i="10"/>
  <c r="AH59" i="10"/>
  <c r="AI59" i="10"/>
  <c r="AJ59" i="10"/>
  <c r="AK59" i="10"/>
  <c r="AL59" i="10"/>
  <c r="AN59" i="10"/>
  <c r="AO59" i="10"/>
  <c r="B60" i="10"/>
  <c r="C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D60" i="10"/>
  <c r="AE60" i="10"/>
  <c r="AF60" i="10"/>
  <c r="AG60" i="10"/>
  <c r="AH60" i="10"/>
  <c r="AI60" i="10"/>
  <c r="AJ60" i="10"/>
  <c r="AK60" i="10"/>
  <c r="AL60" i="10"/>
  <c r="AN60" i="10"/>
  <c r="AO60" i="10"/>
  <c r="B61" i="10"/>
  <c r="C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D61" i="10"/>
  <c r="AE61" i="10"/>
  <c r="AF61" i="10"/>
  <c r="AG61" i="10"/>
  <c r="AH61" i="10"/>
  <c r="AI61" i="10"/>
  <c r="AJ61" i="10"/>
  <c r="AK61" i="10"/>
  <c r="AL61" i="10"/>
  <c r="AN61" i="10"/>
  <c r="AO61" i="10"/>
  <c r="B62" i="10"/>
  <c r="C62" i="10"/>
  <c r="D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D62" i="10"/>
  <c r="AE62" i="10"/>
  <c r="AF62" i="10"/>
  <c r="AG62" i="10"/>
  <c r="AH62" i="10"/>
  <c r="AI62" i="10"/>
  <c r="AJ62" i="10"/>
  <c r="AK62" i="10"/>
  <c r="AL62" i="10"/>
  <c r="AN62" i="10"/>
  <c r="AO62" i="10"/>
  <c r="B63" i="10"/>
  <c r="C63" i="10"/>
  <c r="D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D63" i="10"/>
  <c r="AE63" i="10"/>
  <c r="AF63" i="10"/>
  <c r="AG63" i="10"/>
  <c r="AH63" i="10"/>
  <c r="AI63" i="10"/>
  <c r="AJ63" i="10"/>
  <c r="AK63" i="10"/>
  <c r="AL63" i="10"/>
  <c r="AN63" i="10"/>
  <c r="AO63" i="10"/>
  <c r="B64" i="10"/>
  <c r="C64" i="10"/>
  <c r="D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D64" i="10"/>
  <c r="AE64" i="10"/>
  <c r="AF64" i="10"/>
  <c r="AG64" i="10"/>
  <c r="AH64" i="10"/>
  <c r="AI64" i="10"/>
  <c r="AJ64" i="10"/>
  <c r="AK64" i="10"/>
  <c r="AL64" i="10"/>
  <c r="AN64" i="10"/>
  <c r="AO64" i="10"/>
  <c r="B65" i="10"/>
  <c r="C65" i="10"/>
  <c r="D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D65" i="10"/>
  <c r="AE65" i="10"/>
  <c r="AF65" i="10"/>
  <c r="AG65" i="10"/>
  <c r="AH65" i="10"/>
  <c r="AI65" i="10"/>
  <c r="AJ65" i="10"/>
  <c r="AK65" i="10"/>
  <c r="AL65" i="10"/>
  <c r="AN65" i="10"/>
  <c r="AO65" i="10"/>
  <c r="B66" i="10"/>
  <c r="C66" i="10"/>
  <c r="E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N66" i="10"/>
  <c r="AO66" i="10"/>
  <c r="B67" i="10"/>
  <c r="C67" i="10"/>
  <c r="E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N67" i="10"/>
  <c r="AO67" i="10"/>
  <c r="B68" i="10"/>
  <c r="C68" i="10"/>
  <c r="E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N68" i="10"/>
  <c r="AO68" i="10"/>
  <c r="B69" i="10"/>
  <c r="C69" i="10"/>
  <c r="E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N69" i="10"/>
  <c r="AO69" i="10"/>
  <c r="B70" i="10"/>
  <c r="C70" i="10"/>
  <c r="E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K70" i="10"/>
  <c r="AL70" i="10"/>
  <c r="AN70" i="10"/>
  <c r="AO70" i="10"/>
  <c r="B71" i="10"/>
  <c r="C71" i="10"/>
  <c r="E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N71" i="10"/>
  <c r="AO71" i="10"/>
  <c r="B72" i="10"/>
  <c r="C72" i="10"/>
  <c r="E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N72" i="10"/>
  <c r="AO72" i="10"/>
  <c r="B73" i="10"/>
  <c r="C73" i="10"/>
  <c r="E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AN73" i="10"/>
  <c r="AO73" i="10"/>
  <c r="B74" i="10"/>
  <c r="C74" i="10"/>
  <c r="E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AH74" i="10"/>
  <c r="AI74" i="10"/>
  <c r="AJ74" i="10"/>
  <c r="AK74" i="10"/>
  <c r="AL74" i="10"/>
  <c r="AN74" i="10"/>
  <c r="AO74" i="10"/>
  <c r="B75" i="10"/>
  <c r="C75" i="10"/>
  <c r="E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AF75" i="10"/>
  <c r="AG75" i="10"/>
  <c r="AH75" i="10"/>
  <c r="AI75" i="10"/>
  <c r="AJ75" i="10"/>
  <c r="AK75" i="10"/>
  <c r="AL75" i="10"/>
  <c r="AN75" i="10"/>
  <c r="AO75" i="10"/>
  <c r="B76" i="10"/>
  <c r="C76" i="10"/>
  <c r="E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AG76" i="10"/>
  <c r="AH76" i="10"/>
  <c r="AI76" i="10"/>
  <c r="AJ76" i="10"/>
  <c r="AK76" i="10"/>
  <c r="AL76" i="10"/>
  <c r="AN76" i="10"/>
  <c r="AO76" i="10"/>
  <c r="B77" i="10"/>
  <c r="C77" i="10"/>
  <c r="E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AG77" i="10"/>
  <c r="AH77" i="10"/>
  <c r="AI77" i="10"/>
  <c r="AJ77" i="10"/>
  <c r="AK77" i="10"/>
  <c r="AL77" i="10"/>
  <c r="AN77" i="10"/>
  <c r="AO77" i="10"/>
  <c r="B78" i="10"/>
  <c r="C78" i="10"/>
  <c r="E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AG78" i="10"/>
  <c r="AH78" i="10"/>
  <c r="AI78" i="10"/>
  <c r="AJ78" i="10"/>
  <c r="AK78" i="10"/>
  <c r="AL78" i="10"/>
  <c r="AN78" i="10"/>
  <c r="AO78" i="10"/>
  <c r="B79" i="10"/>
  <c r="C79" i="10"/>
  <c r="E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AG79" i="10"/>
  <c r="AH79" i="10"/>
  <c r="AI79" i="10"/>
  <c r="AJ79" i="10"/>
  <c r="AK79" i="10"/>
  <c r="AL79" i="10"/>
  <c r="AN79" i="10"/>
  <c r="AO79" i="10"/>
  <c r="B80" i="10"/>
  <c r="C80" i="10"/>
  <c r="E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N80" i="10"/>
  <c r="AO80" i="10"/>
  <c r="B81" i="10"/>
  <c r="C81" i="10"/>
  <c r="E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N81" i="10"/>
  <c r="AO81" i="10"/>
  <c r="B82" i="10"/>
  <c r="C82" i="10"/>
  <c r="E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AH82" i="10"/>
  <c r="AI82" i="10"/>
  <c r="AJ82" i="10"/>
  <c r="AK82" i="10"/>
  <c r="AL82" i="10"/>
  <c r="AN82" i="10"/>
  <c r="AO82" i="10"/>
  <c r="B83" i="10"/>
  <c r="C83" i="10"/>
  <c r="E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H83" i="10"/>
  <c r="AI83" i="10"/>
  <c r="AJ83" i="10"/>
  <c r="AK83" i="10"/>
  <c r="AL83" i="10"/>
  <c r="AN83" i="10"/>
  <c r="AO83" i="10"/>
  <c r="B84" i="10"/>
  <c r="C84" i="10"/>
  <c r="E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AF84" i="10"/>
  <c r="AG84" i="10"/>
  <c r="AH84" i="10"/>
  <c r="AI84" i="10"/>
  <c r="AJ84" i="10"/>
  <c r="AK84" i="10"/>
  <c r="AL84" i="10"/>
  <c r="AN84" i="10"/>
  <c r="AO84" i="10"/>
  <c r="B85" i="10"/>
  <c r="C85" i="10"/>
  <c r="E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AG85" i="10"/>
  <c r="AH85" i="10"/>
  <c r="AI85" i="10"/>
  <c r="AJ85" i="10"/>
  <c r="AK85" i="10"/>
  <c r="AL85" i="10"/>
  <c r="AN85" i="10"/>
  <c r="AO85" i="10"/>
  <c r="B86" i="10"/>
  <c r="C86" i="10"/>
  <c r="E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AG86" i="10"/>
  <c r="AH86" i="10"/>
  <c r="AI86" i="10"/>
  <c r="AJ86" i="10"/>
  <c r="AK86" i="10"/>
  <c r="AL86" i="10"/>
  <c r="AN86" i="10"/>
  <c r="AO86" i="10"/>
  <c r="B87" i="10"/>
  <c r="C87" i="10"/>
  <c r="E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AG87" i="10"/>
  <c r="AH87" i="10"/>
  <c r="AI87" i="10"/>
  <c r="AJ87" i="10"/>
  <c r="AK87" i="10"/>
  <c r="AL87" i="10"/>
  <c r="AN87" i="10"/>
  <c r="AO87" i="10"/>
  <c r="B88" i="10"/>
  <c r="C88" i="10"/>
  <c r="E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AF88" i="10"/>
  <c r="AG88" i="10"/>
  <c r="AH88" i="10"/>
  <c r="AI88" i="10"/>
  <c r="AJ88" i="10"/>
  <c r="AK88" i="10"/>
  <c r="AL88" i="10"/>
  <c r="AN88" i="10"/>
  <c r="AO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AF89" i="10"/>
  <c r="AG89" i="10"/>
  <c r="AH89" i="10"/>
  <c r="AI89" i="10"/>
  <c r="AJ89" i="10"/>
  <c r="AK89" i="10"/>
  <c r="AL89" i="10"/>
  <c r="AN89" i="10"/>
  <c r="AO89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AF90" i="10"/>
  <c r="AG90" i="10"/>
  <c r="AH90" i="10"/>
  <c r="AI90" i="10"/>
  <c r="AJ90" i="10"/>
  <c r="AK90" i="10"/>
  <c r="AL90" i="10"/>
  <c r="AN90" i="10"/>
  <c r="AO90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AF91" i="10"/>
  <c r="AG91" i="10"/>
  <c r="AH91" i="10"/>
  <c r="AI91" i="10"/>
  <c r="AJ91" i="10"/>
  <c r="AK91" i="10"/>
  <c r="AL91" i="10"/>
  <c r="AN91" i="10"/>
  <c r="AO91" i="10"/>
  <c r="B92" i="10"/>
  <c r="C92" i="10"/>
  <c r="D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AF92" i="10"/>
  <c r="AG92" i="10"/>
  <c r="AH92" i="10"/>
  <c r="AI92" i="10"/>
  <c r="AJ92" i="10"/>
  <c r="AK92" i="10"/>
  <c r="AL92" i="10"/>
  <c r="AN92" i="10"/>
  <c r="AO92" i="10"/>
  <c r="B93" i="10"/>
  <c r="C93" i="10"/>
  <c r="D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Z93" i="10"/>
  <c r="AA93" i="10"/>
  <c r="AB93" i="10"/>
  <c r="AC93" i="10"/>
  <c r="AD93" i="10"/>
  <c r="AE93" i="10"/>
  <c r="AF93" i="10"/>
  <c r="AG93" i="10"/>
  <c r="AH93" i="10"/>
  <c r="AI93" i="10"/>
  <c r="AJ93" i="10"/>
  <c r="AK93" i="10"/>
  <c r="AL93" i="10"/>
  <c r="AN93" i="10"/>
  <c r="AO93" i="10"/>
  <c r="B94" i="10"/>
  <c r="C94" i="10"/>
  <c r="D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AF94" i="10"/>
  <c r="AG94" i="10"/>
  <c r="AH94" i="10"/>
  <c r="AI94" i="10"/>
  <c r="AJ94" i="10"/>
  <c r="AK94" i="10"/>
  <c r="AL94" i="10"/>
  <c r="AN94" i="10"/>
  <c r="AO94" i="10"/>
  <c r="B95" i="10"/>
  <c r="C95" i="10"/>
  <c r="D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Z95" i="10"/>
  <c r="AA95" i="10"/>
  <c r="AB95" i="10"/>
  <c r="AC95" i="10"/>
  <c r="AD95" i="10"/>
  <c r="AE95" i="10"/>
  <c r="AF95" i="10"/>
  <c r="AG95" i="10"/>
  <c r="AH95" i="10"/>
  <c r="AI95" i="10"/>
  <c r="AJ95" i="10"/>
  <c r="AK95" i="10"/>
  <c r="AL95" i="10"/>
  <c r="AN95" i="10"/>
  <c r="AO95" i="10"/>
  <c r="B96" i="10"/>
  <c r="C96" i="10"/>
  <c r="D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AF96" i="10"/>
  <c r="AG96" i="10"/>
  <c r="AH96" i="10"/>
  <c r="AI96" i="10"/>
  <c r="AJ96" i="10"/>
  <c r="AK96" i="10"/>
  <c r="AL96" i="10"/>
  <c r="AN96" i="10"/>
  <c r="AO96" i="10"/>
  <c r="B97" i="10"/>
  <c r="C97" i="10"/>
  <c r="D97" i="10"/>
  <c r="E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Z97" i="10"/>
  <c r="AA97" i="10"/>
  <c r="AB97" i="10"/>
  <c r="AC97" i="10"/>
  <c r="AD97" i="10"/>
  <c r="AE97" i="10"/>
  <c r="AF97" i="10"/>
  <c r="AG97" i="10"/>
  <c r="AH97" i="10"/>
  <c r="AI97" i="10"/>
  <c r="AJ97" i="10"/>
  <c r="AK97" i="10"/>
  <c r="AL97" i="10"/>
  <c r="AN97" i="10"/>
  <c r="AO97" i="10"/>
  <c r="B98" i="10"/>
  <c r="C98" i="10"/>
  <c r="D98" i="10"/>
  <c r="E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N98" i="10"/>
  <c r="AO98" i="10"/>
  <c r="B99" i="10"/>
  <c r="C99" i="10"/>
  <c r="D99" i="10"/>
  <c r="E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AF99" i="10"/>
  <c r="AG99" i="10"/>
  <c r="AH99" i="10"/>
  <c r="AI99" i="10"/>
  <c r="AJ99" i="10"/>
  <c r="AK99" i="10"/>
  <c r="AL99" i="10"/>
  <c r="AN99" i="10"/>
  <c r="AO99" i="10"/>
  <c r="B100" i="10"/>
  <c r="C100" i="10"/>
  <c r="D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Z100" i="10"/>
  <c r="AA100" i="10"/>
  <c r="AB100" i="10"/>
  <c r="AC100" i="10"/>
  <c r="AD100" i="10"/>
  <c r="AE100" i="10"/>
  <c r="AF100" i="10"/>
  <c r="AG100" i="10"/>
  <c r="AH100" i="10"/>
  <c r="AI100" i="10"/>
  <c r="AJ100" i="10"/>
  <c r="AK100" i="10"/>
  <c r="AL100" i="10"/>
  <c r="AN100" i="10"/>
  <c r="AO100" i="10"/>
  <c r="B101" i="10"/>
  <c r="C101" i="10"/>
  <c r="D101" i="10"/>
  <c r="E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Z101" i="10"/>
  <c r="AA101" i="10"/>
  <c r="AB101" i="10"/>
  <c r="AC101" i="10"/>
  <c r="AD101" i="10"/>
  <c r="AE101" i="10"/>
  <c r="AF101" i="10"/>
  <c r="AG101" i="10"/>
  <c r="AH101" i="10"/>
  <c r="AI101" i="10"/>
  <c r="AJ101" i="10"/>
  <c r="AK101" i="10"/>
  <c r="AL101" i="10"/>
  <c r="AN101" i="10"/>
  <c r="AO101" i="10"/>
  <c r="B102" i="10"/>
  <c r="C102" i="10"/>
  <c r="D102" i="10"/>
  <c r="E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X102" i="10"/>
  <c r="Y102" i="10"/>
  <c r="Z102" i="10"/>
  <c r="AA102" i="10"/>
  <c r="AB102" i="10"/>
  <c r="AC102" i="10"/>
  <c r="AD102" i="10"/>
  <c r="AE102" i="10"/>
  <c r="AF102" i="10"/>
  <c r="AG102" i="10"/>
  <c r="AH102" i="10"/>
  <c r="AI102" i="10"/>
  <c r="AJ102" i="10"/>
  <c r="AK102" i="10"/>
  <c r="AL102" i="10"/>
  <c r="AN102" i="10"/>
  <c r="AO102" i="10"/>
  <c r="B103" i="10"/>
  <c r="C103" i="10"/>
  <c r="D103" i="10"/>
  <c r="E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N103" i="10"/>
  <c r="AO103" i="10"/>
  <c r="B104" i="10"/>
  <c r="C104" i="10"/>
  <c r="D104" i="10"/>
  <c r="E104" i="10"/>
  <c r="H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AH104" i="10"/>
  <c r="AI104" i="10"/>
  <c r="AJ104" i="10"/>
  <c r="AK104" i="10"/>
  <c r="AL104" i="10"/>
  <c r="AN104" i="10"/>
  <c r="AO104" i="10"/>
  <c r="B105" i="10"/>
  <c r="C105" i="10"/>
  <c r="D105" i="10"/>
  <c r="E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D105" i="10"/>
  <c r="AE105" i="10"/>
  <c r="AF105" i="10"/>
  <c r="AG105" i="10"/>
  <c r="AH105" i="10"/>
  <c r="AI105" i="10"/>
  <c r="AJ105" i="10"/>
  <c r="AK105" i="10"/>
  <c r="AL105" i="10"/>
  <c r="AM105" i="10"/>
  <c r="AN105" i="10"/>
  <c r="AO105" i="10"/>
  <c r="B106" i="10"/>
  <c r="C106" i="10"/>
  <c r="D106" i="10"/>
  <c r="E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D106" i="10"/>
  <c r="AE106" i="10"/>
  <c r="AF106" i="10"/>
  <c r="AG106" i="10"/>
  <c r="AH106" i="10"/>
  <c r="AI106" i="10"/>
  <c r="AJ106" i="10"/>
  <c r="AK106" i="10"/>
  <c r="AL106" i="10"/>
  <c r="AM106" i="10"/>
  <c r="AN106" i="10"/>
  <c r="AO106" i="10"/>
  <c r="B107" i="10"/>
  <c r="C107" i="10"/>
  <c r="D107" i="10"/>
  <c r="E107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W107" i="10"/>
  <c r="X107" i="10"/>
  <c r="Y107" i="10"/>
  <c r="Z107" i="10"/>
  <c r="AA107" i="10"/>
  <c r="AB107" i="10"/>
  <c r="AD107" i="10"/>
  <c r="AE107" i="10"/>
  <c r="AF107" i="10"/>
  <c r="AG107" i="10"/>
  <c r="AH107" i="10"/>
  <c r="AI107" i="10"/>
  <c r="AJ107" i="10"/>
  <c r="AK107" i="10"/>
  <c r="AL107" i="10"/>
  <c r="AM107" i="10"/>
  <c r="AN107" i="10"/>
  <c r="AO107" i="10"/>
  <c r="B108" i="10"/>
  <c r="C108" i="10"/>
  <c r="D108" i="10"/>
  <c r="E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X108" i="10"/>
  <c r="Y108" i="10"/>
  <c r="Z108" i="10"/>
  <c r="AA108" i="10"/>
  <c r="AB108" i="10"/>
  <c r="AD108" i="10"/>
  <c r="AE108" i="10"/>
  <c r="AF108" i="10"/>
  <c r="AG108" i="10"/>
  <c r="AH108" i="10"/>
  <c r="AI108" i="10"/>
  <c r="AJ108" i="10"/>
  <c r="AK108" i="10"/>
  <c r="AL108" i="10"/>
  <c r="AM108" i="10"/>
  <c r="AN108" i="10"/>
  <c r="AO108" i="10"/>
  <c r="B109" i="10"/>
  <c r="C109" i="10"/>
  <c r="D109" i="10"/>
  <c r="E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W109" i="10"/>
  <c r="X109" i="10"/>
  <c r="Y109" i="10"/>
  <c r="Z109" i="10"/>
  <c r="AA109" i="10"/>
  <c r="AB109" i="10"/>
  <c r="AD109" i="10"/>
  <c r="AE109" i="10"/>
  <c r="AF109" i="10"/>
  <c r="AG109" i="10"/>
  <c r="AH109" i="10"/>
  <c r="AI109" i="10"/>
  <c r="AJ109" i="10"/>
  <c r="AK109" i="10"/>
  <c r="AL109" i="10"/>
  <c r="AM109" i="10"/>
  <c r="AN109" i="10"/>
  <c r="AO109" i="10"/>
  <c r="B110" i="10"/>
  <c r="C110" i="10"/>
  <c r="D110" i="10"/>
  <c r="E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X110" i="10"/>
  <c r="Y110" i="10"/>
  <c r="Z110" i="10"/>
  <c r="AA110" i="10"/>
  <c r="AB110" i="10"/>
  <c r="AD110" i="10"/>
  <c r="AE110" i="10"/>
  <c r="AF110" i="10"/>
  <c r="AG110" i="10"/>
  <c r="AH110" i="10"/>
  <c r="AI110" i="10"/>
  <c r="AJ110" i="10"/>
  <c r="AK110" i="10"/>
  <c r="AL110" i="10"/>
  <c r="AM110" i="10"/>
  <c r="AN110" i="10"/>
  <c r="AO110" i="10"/>
  <c r="B111" i="10"/>
  <c r="C111" i="10"/>
  <c r="D111" i="10"/>
  <c r="E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D111" i="10"/>
  <c r="AE111" i="10"/>
  <c r="AF111" i="10"/>
  <c r="AG111" i="10"/>
  <c r="AH111" i="10"/>
  <c r="AI111" i="10"/>
  <c r="AJ111" i="10"/>
  <c r="AK111" i="10"/>
  <c r="AL111" i="10"/>
  <c r="AM111" i="10"/>
  <c r="AN111" i="10"/>
  <c r="AO111" i="10"/>
  <c r="B112" i="10"/>
  <c r="C112" i="10"/>
  <c r="D112" i="10"/>
  <c r="E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W112" i="10"/>
  <c r="X112" i="10"/>
  <c r="Y112" i="10"/>
  <c r="Z112" i="10"/>
  <c r="AA112" i="10"/>
  <c r="AB112" i="10"/>
  <c r="AD112" i="10"/>
  <c r="AE112" i="10"/>
  <c r="AF112" i="10"/>
  <c r="AG112" i="10"/>
  <c r="AH112" i="10"/>
  <c r="AI112" i="10"/>
  <c r="AJ112" i="10"/>
  <c r="AK112" i="10"/>
  <c r="AL112" i="10"/>
  <c r="AM112" i="10"/>
  <c r="AN112" i="10"/>
  <c r="AO112" i="10"/>
  <c r="B113" i="10"/>
  <c r="C113" i="10"/>
  <c r="D113" i="10"/>
  <c r="E113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W113" i="10"/>
  <c r="X113" i="10"/>
  <c r="Y113" i="10"/>
  <c r="Z113" i="10"/>
  <c r="AA113" i="10"/>
  <c r="AB113" i="10"/>
  <c r="AD113" i="10"/>
  <c r="AE113" i="10"/>
  <c r="AF113" i="10"/>
  <c r="AG113" i="10"/>
  <c r="AH113" i="10"/>
  <c r="AI113" i="10"/>
  <c r="AJ113" i="10"/>
  <c r="AK113" i="10"/>
  <c r="AL113" i="10"/>
  <c r="AM113" i="10"/>
  <c r="AN113" i="10"/>
  <c r="AO113" i="10"/>
  <c r="B114" i="10"/>
  <c r="C114" i="10"/>
  <c r="D114" i="10"/>
  <c r="E114" i="10"/>
  <c r="K114" i="10"/>
  <c r="L114" i="10"/>
  <c r="M114" i="10"/>
  <c r="N114" i="10"/>
  <c r="O114" i="10"/>
  <c r="P114" i="10"/>
  <c r="Q114" i="10"/>
  <c r="R114" i="10"/>
  <c r="S114" i="10"/>
  <c r="T114" i="10"/>
  <c r="U114" i="10"/>
  <c r="V114" i="10"/>
  <c r="W114" i="10"/>
  <c r="X114" i="10"/>
  <c r="Y114" i="10"/>
  <c r="Z114" i="10"/>
  <c r="AA114" i="10"/>
  <c r="AB114" i="10"/>
  <c r="AD114" i="10"/>
  <c r="AE114" i="10"/>
  <c r="AF114" i="10"/>
  <c r="AG114" i="10"/>
  <c r="AH114" i="10"/>
  <c r="AI114" i="10"/>
  <c r="AJ114" i="10"/>
  <c r="AK114" i="10"/>
  <c r="AL114" i="10"/>
  <c r="AM114" i="10"/>
  <c r="AN114" i="10"/>
  <c r="AO114" i="10"/>
  <c r="B115" i="10"/>
  <c r="C115" i="10"/>
  <c r="D115" i="10"/>
  <c r="E115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W115" i="10"/>
  <c r="X115" i="10"/>
  <c r="Y115" i="10"/>
  <c r="Z115" i="10"/>
  <c r="AA115" i="10"/>
  <c r="AB115" i="10"/>
  <c r="AD115" i="10"/>
  <c r="AE115" i="10"/>
  <c r="AF115" i="10"/>
  <c r="AG115" i="10"/>
  <c r="AH115" i="10"/>
  <c r="AI115" i="10"/>
  <c r="AJ115" i="10"/>
  <c r="AK115" i="10"/>
  <c r="AL115" i="10"/>
  <c r="AM115" i="10"/>
  <c r="AN115" i="10"/>
  <c r="AO115" i="10"/>
  <c r="B116" i="10"/>
  <c r="C116" i="10"/>
  <c r="D116" i="10"/>
  <c r="E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W116" i="10"/>
  <c r="X116" i="10"/>
  <c r="Y116" i="10"/>
  <c r="Z116" i="10"/>
  <c r="AA116" i="10"/>
  <c r="AB116" i="10"/>
  <c r="AD116" i="10"/>
  <c r="AE116" i="10"/>
  <c r="AF116" i="10"/>
  <c r="AG116" i="10"/>
  <c r="AH116" i="10"/>
  <c r="AI116" i="10"/>
  <c r="AJ116" i="10"/>
  <c r="AK116" i="10"/>
  <c r="AL116" i="10"/>
  <c r="AM116" i="10"/>
  <c r="AN116" i="10"/>
  <c r="AO116" i="10"/>
  <c r="B117" i="10"/>
  <c r="C117" i="10"/>
  <c r="D117" i="10"/>
  <c r="E117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W117" i="10"/>
  <c r="X117" i="10"/>
  <c r="Y117" i="10"/>
  <c r="Z117" i="10"/>
  <c r="AA117" i="10"/>
  <c r="AB117" i="10"/>
  <c r="AD117" i="10"/>
  <c r="AE117" i="10"/>
  <c r="AF117" i="10"/>
  <c r="AG117" i="10"/>
  <c r="AH117" i="10"/>
  <c r="AI117" i="10"/>
  <c r="AJ117" i="10"/>
  <c r="AK117" i="10"/>
  <c r="AL117" i="10"/>
  <c r="AM117" i="10"/>
  <c r="AN117" i="10"/>
  <c r="AO117" i="10"/>
  <c r="B118" i="10"/>
  <c r="C118" i="10"/>
  <c r="D118" i="10"/>
  <c r="E118" i="10"/>
  <c r="K118" i="10"/>
  <c r="L118" i="10"/>
  <c r="M118" i="10"/>
  <c r="N118" i="10"/>
  <c r="O118" i="10"/>
  <c r="P118" i="10"/>
  <c r="Q118" i="10"/>
  <c r="R118" i="10"/>
  <c r="S118" i="10"/>
  <c r="T118" i="10"/>
  <c r="U118" i="10"/>
  <c r="V118" i="10"/>
  <c r="W118" i="10"/>
  <c r="X118" i="10"/>
  <c r="Y118" i="10"/>
  <c r="Z118" i="10"/>
  <c r="AA118" i="10"/>
  <c r="AB118" i="10"/>
  <c r="AD118" i="10"/>
  <c r="AE118" i="10"/>
  <c r="AF118" i="10"/>
  <c r="AG118" i="10"/>
  <c r="AH118" i="10"/>
  <c r="AI118" i="10"/>
  <c r="AJ118" i="10"/>
  <c r="AK118" i="10"/>
  <c r="AL118" i="10"/>
  <c r="AM118" i="10"/>
  <c r="AN118" i="10"/>
  <c r="AO118" i="10"/>
  <c r="B119" i="10"/>
  <c r="C119" i="10"/>
  <c r="D119" i="10"/>
  <c r="E119" i="10"/>
  <c r="K119" i="10"/>
  <c r="L119" i="10"/>
  <c r="M119" i="10"/>
  <c r="N119" i="10"/>
  <c r="O119" i="10"/>
  <c r="P119" i="10"/>
  <c r="Q119" i="10"/>
  <c r="R119" i="10"/>
  <c r="S119" i="10"/>
  <c r="T119" i="10"/>
  <c r="U119" i="10"/>
  <c r="V119" i="10"/>
  <c r="W119" i="10"/>
  <c r="X119" i="10"/>
  <c r="Y119" i="10"/>
  <c r="Z119" i="10"/>
  <c r="AA119" i="10"/>
  <c r="AB119" i="10"/>
  <c r="AD119" i="10"/>
  <c r="AE119" i="10"/>
  <c r="AF119" i="10"/>
  <c r="AG119" i="10"/>
  <c r="AH119" i="10"/>
  <c r="AI119" i="10"/>
  <c r="AJ119" i="10"/>
  <c r="AK119" i="10"/>
  <c r="AL119" i="10"/>
  <c r="AM119" i="10"/>
  <c r="AN119" i="10"/>
  <c r="AO119" i="10"/>
  <c r="B120" i="10"/>
  <c r="C120" i="10"/>
  <c r="D120" i="10"/>
  <c r="L120" i="10"/>
  <c r="N120" i="10"/>
  <c r="O120" i="10"/>
  <c r="P120" i="10"/>
  <c r="Q120" i="10"/>
  <c r="R120" i="10"/>
  <c r="S120" i="10"/>
  <c r="T120" i="10"/>
  <c r="U120" i="10"/>
  <c r="V120" i="10"/>
  <c r="W120" i="10"/>
  <c r="X120" i="10"/>
  <c r="Y120" i="10"/>
  <c r="Z120" i="10"/>
  <c r="AA120" i="10"/>
  <c r="AB120" i="10"/>
  <c r="AC120" i="10"/>
  <c r="AD120" i="10"/>
  <c r="AE120" i="10"/>
  <c r="AF120" i="10"/>
  <c r="AG120" i="10"/>
  <c r="AH120" i="10"/>
  <c r="AI120" i="10"/>
  <c r="AJ120" i="10"/>
  <c r="AK120" i="10"/>
  <c r="AL120" i="10"/>
  <c r="AM120" i="10"/>
  <c r="AO120" i="10"/>
  <c r="B121" i="10"/>
  <c r="C121" i="10"/>
  <c r="D121" i="10"/>
  <c r="L121" i="10"/>
  <c r="N121" i="10"/>
  <c r="O121" i="10"/>
  <c r="P121" i="10"/>
  <c r="Q121" i="10"/>
  <c r="R121" i="10"/>
  <c r="S121" i="10"/>
  <c r="T121" i="10"/>
  <c r="U121" i="10"/>
  <c r="V121" i="10"/>
  <c r="W121" i="10"/>
  <c r="X121" i="10"/>
  <c r="Y121" i="10"/>
  <c r="Z121" i="10"/>
  <c r="AA121" i="10"/>
  <c r="AB121" i="10"/>
  <c r="AC121" i="10"/>
  <c r="AD121" i="10"/>
  <c r="AE121" i="10"/>
  <c r="AF121" i="10"/>
  <c r="AG121" i="10"/>
  <c r="AH121" i="10"/>
  <c r="AI121" i="10"/>
  <c r="AJ121" i="10"/>
  <c r="AK121" i="10"/>
  <c r="AL121" i="10"/>
  <c r="AM121" i="10"/>
  <c r="AO121" i="10"/>
  <c r="B122" i="10"/>
  <c r="C122" i="10"/>
  <c r="D122" i="10"/>
  <c r="L122" i="10"/>
  <c r="N122" i="10"/>
  <c r="O122" i="10"/>
  <c r="P122" i="10"/>
  <c r="Q122" i="10"/>
  <c r="R122" i="10"/>
  <c r="S122" i="10"/>
  <c r="T122" i="10"/>
  <c r="U122" i="10"/>
  <c r="V122" i="10"/>
  <c r="W122" i="10"/>
  <c r="X122" i="10"/>
  <c r="Y122" i="10"/>
  <c r="Z122" i="10"/>
  <c r="AA122" i="10"/>
  <c r="AB122" i="10"/>
  <c r="AC122" i="10"/>
  <c r="AD122" i="10"/>
  <c r="AE122" i="10"/>
  <c r="AF122" i="10"/>
  <c r="AG122" i="10"/>
  <c r="AH122" i="10"/>
  <c r="AI122" i="10"/>
  <c r="AJ122" i="10"/>
  <c r="AK122" i="10"/>
  <c r="AL122" i="10"/>
  <c r="AM122" i="10"/>
  <c r="AO122" i="10"/>
  <c r="B123" i="10"/>
  <c r="C123" i="10"/>
  <c r="D123" i="10"/>
  <c r="L123" i="10"/>
  <c r="N123" i="10"/>
  <c r="O123" i="10"/>
  <c r="P123" i="10"/>
  <c r="Q123" i="10"/>
  <c r="R123" i="10"/>
  <c r="S123" i="10"/>
  <c r="T123" i="10"/>
  <c r="U123" i="10"/>
  <c r="V123" i="10"/>
  <c r="W123" i="10"/>
  <c r="X123" i="10"/>
  <c r="Y123" i="10"/>
  <c r="Z123" i="10"/>
  <c r="AA123" i="10"/>
  <c r="AB123" i="10"/>
  <c r="AC123" i="10"/>
  <c r="AD123" i="10"/>
  <c r="AE123" i="10"/>
  <c r="AF123" i="10"/>
  <c r="AG123" i="10"/>
  <c r="AH123" i="10"/>
  <c r="AI123" i="10"/>
  <c r="AJ123" i="10"/>
  <c r="AK123" i="10"/>
  <c r="AL123" i="10"/>
  <c r="AM123" i="10"/>
  <c r="AO123" i="10"/>
  <c r="B124" i="10"/>
  <c r="C124" i="10"/>
  <c r="D124" i="10"/>
  <c r="E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W124" i="10"/>
  <c r="X124" i="10"/>
  <c r="Y124" i="10"/>
  <c r="Z124" i="10"/>
  <c r="AA124" i="10"/>
  <c r="AB124" i="10"/>
  <c r="AC124" i="10"/>
  <c r="AD124" i="10"/>
  <c r="AE124" i="10"/>
  <c r="AF124" i="10"/>
  <c r="AG124" i="10"/>
  <c r="AH124" i="10"/>
  <c r="AI124" i="10"/>
  <c r="AJ124" i="10"/>
  <c r="AK124" i="10"/>
  <c r="AL124" i="10"/>
  <c r="AN124" i="10"/>
  <c r="AO124" i="10"/>
  <c r="B125" i="10"/>
  <c r="C125" i="10"/>
  <c r="D125" i="10"/>
  <c r="E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W125" i="10"/>
  <c r="X125" i="10"/>
  <c r="Y125" i="10"/>
  <c r="Z125" i="10"/>
  <c r="AA125" i="10"/>
  <c r="AB125" i="10"/>
  <c r="AC125" i="10"/>
  <c r="AD125" i="10"/>
  <c r="AE125" i="10"/>
  <c r="AF125" i="10"/>
  <c r="AG125" i="10"/>
  <c r="AH125" i="10"/>
  <c r="AI125" i="10"/>
  <c r="AJ125" i="10"/>
  <c r="AK125" i="10"/>
  <c r="AL125" i="10"/>
  <c r="AN125" i="10"/>
  <c r="AO125" i="10"/>
  <c r="B126" i="10"/>
  <c r="C126" i="10"/>
  <c r="D126" i="10"/>
  <c r="E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AF126" i="10"/>
  <c r="AG126" i="10"/>
  <c r="AH126" i="10"/>
  <c r="AI126" i="10"/>
  <c r="AJ126" i="10"/>
  <c r="AK126" i="10"/>
  <c r="AL126" i="10"/>
  <c r="AN126" i="10"/>
  <c r="AO126" i="10"/>
  <c r="B127" i="10"/>
  <c r="C127" i="10"/>
  <c r="D127" i="10"/>
  <c r="E127" i="10"/>
  <c r="K127" i="10"/>
  <c r="L127" i="10"/>
  <c r="M127" i="10"/>
  <c r="N127" i="10"/>
  <c r="O127" i="10"/>
  <c r="P127" i="10"/>
  <c r="Q127" i="10"/>
  <c r="R127" i="10"/>
  <c r="S127" i="10"/>
  <c r="T127" i="10"/>
  <c r="U127" i="10"/>
  <c r="V127" i="10"/>
  <c r="W127" i="10"/>
  <c r="X127" i="10"/>
  <c r="Y127" i="10"/>
  <c r="Z127" i="10"/>
  <c r="AA127" i="10"/>
  <c r="AB127" i="10"/>
  <c r="AC127" i="10"/>
  <c r="AD127" i="10"/>
  <c r="AE127" i="10"/>
  <c r="AF127" i="10"/>
  <c r="AG127" i="10"/>
  <c r="AH127" i="10"/>
  <c r="AI127" i="10"/>
  <c r="AJ127" i="10"/>
  <c r="AK127" i="10"/>
  <c r="AL127" i="10"/>
  <c r="AN127" i="10"/>
  <c r="AO127" i="10"/>
  <c r="B128" i="10"/>
  <c r="C128" i="10"/>
  <c r="D128" i="10"/>
  <c r="E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AF128" i="10"/>
  <c r="AG128" i="10"/>
  <c r="AH128" i="10"/>
  <c r="AI128" i="10"/>
  <c r="AJ128" i="10"/>
  <c r="AK128" i="10"/>
  <c r="AL128" i="10"/>
  <c r="AN128" i="10"/>
  <c r="AO128" i="10"/>
  <c r="B129" i="10"/>
  <c r="C129" i="10"/>
  <c r="D129" i="10"/>
  <c r="E129" i="10"/>
  <c r="K129" i="10"/>
  <c r="L129" i="10"/>
  <c r="M129" i="10"/>
  <c r="N129" i="10"/>
  <c r="O129" i="10"/>
  <c r="P129" i="10"/>
  <c r="Q129" i="10"/>
  <c r="R129" i="10"/>
  <c r="S129" i="10"/>
  <c r="T129" i="10"/>
  <c r="U129" i="10"/>
  <c r="V129" i="10"/>
  <c r="W129" i="10"/>
  <c r="X129" i="10"/>
  <c r="Y129" i="10"/>
  <c r="Z129" i="10"/>
  <c r="AA129" i="10"/>
  <c r="AB129" i="10"/>
  <c r="AC129" i="10"/>
  <c r="AD129" i="10"/>
  <c r="AE129" i="10"/>
  <c r="AF129" i="10"/>
  <c r="AG129" i="10"/>
  <c r="AH129" i="10"/>
  <c r="AI129" i="10"/>
  <c r="AJ129" i="10"/>
  <c r="AK129" i="10"/>
  <c r="AL129" i="10"/>
  <c r="AN129" i="10"/>
  <c r="AO129" i="10"/>
  <c r="B130" i="10"/>
  <c r="C130" i="10"/>
  <c r="D130" i="10"/>
  <c r="E130" i="10"/>
  <c r="K130" i="10"/>
  <c r="L130" i="10"/>
  <c r="M130" i="10"/>
  <c r="N130" i="10"/>
  <c r="O130" i="10"/>
  <c r="P130" i="10"/>
  <c r="Q130" i="10"/>
  <c r="R130" i="10"/>
  <c r="S130" i="10"/>
  <c r="T130" i="10"/>
  <c r="U130" i="10"/>
  <c r="V130" i="10"/>
  <c r="W130" i="10"/>
  <c r="X130" i="10"/>
  <c r="Y130" i="10"/>
  <c r="Z130" i="10"/>
  <c r="AA130" i="10"/>
  <c r="AB130" i="10"/>
  <c r="AC130" i="10"/>
  <c r="AD130" i="10"/>
  <c r="AE130" i="10"/>
  <c r="AF130" i="10"/>
  <c r="AG130" i="10"/>
  <c r="AH130" i="10"/>
  <c r="AI130" i="10"/>
  <c r="AJ130" i="10"/>
  <c r="AK130" i="10"/>
  <c r="AL130" i="10"/>
  <c r="AN130" i="10"/>
  <c r="AO130" i="10"/>
  <c r="B131" i="10"/>
  <c r="C131" i="10"/>
  <c r="D131" i="10"/>
  <c r="E131" i="10"/>
  <c r="K131" i="10"/>
  <c r="L131" i="10"/>
  <c r="M131" i="10"/>
  <c r="N131" i="10"/>
  <c r="O131" i="10"/>
  <c r="P131" i="10"/>
  <c r="Q131" i="10"/>
  <c r="R131" i="10"/>
  <c r="S131" i="10"/>
  <c r="T131" i="10"/>
  <c r="U131" i="10"/>
  <c r="V131" i="10"/>
  <c r="W131" i="10"/>
  <c r="X131" i="10"/>
  <c r="Y131" i="10"/>
  <c r="Z131" i="10"/>
  <c r="AA131" i="10"/>
  <c r="AB131" i="10"/>
  <c r="AC131" i="10"/>
  <c r="AD131" i="10"/>
  <c r="AE131" i="10"/>
  <c r="AF131" i="10"/>
  <c r="AG131" i="10"/>
  <c r="AH131" i="10"/>
  <c r="AI131" i="10"/>
  <c r="AJ131" i="10"/>
  <c r="AK131" i="10"/>
  <c r="AL131" i="10"/>
  <c r="AN131" i="10"/>
  <c r="AO131" i="10"/>
  <c r="B132" i="10"/>
  <c r="C132" i="10"/>
  <c r="D132" i="10"/>
  <c r="E132" i="10"/>
  <c r="K132" i="10"/>
  <c r="L132" i="10"/>
  <c r="M132" i="10"/>
  <c r="N132" i="10"/>
  <c r="O132" i="10"/>
  <c r="P132" i="10"/>
  <c r="Q132" i="10"/>
  <c r="R132" i="10"/>
  <c r="S132" i="10"/>
  <c r="T132" i="10"/>
  <c r="U132" i="10"/>
  <c r="V132" i="10"/>
  <c r="W132" i="10"/>
  <c r="X132" i="10"/>
  <c r="Y132" i="10"/>
  <c r="Z132" i="10"/>
  <c r="AA132" i="10"/>
  <c r="AB132" i="10"/>
  <c r="AC132" i="10"/>
  <c r="AD132" i="10"/>
  <c r="AE132" i="10"/>
  <c r="AF132" i="10"/>
  <c r="AG132" i="10"/>
  <c r="AH132" i="10"/>
  <c r="AI132" i="10"/>
  <c r="AJ132" i="10"/>
  <c r="AK132" i="10"/>
  <c r="AL132" i="10"/>
  <c r="AN132" i="10"/>
  <c r="AO132" i="10"/>
  <c r="B133" i="10"/>
  <c r="C133" i="10"/>
  <c r="D133" i="10"/>
  <c r="L133" i="10"/>
  <c r="O133" i="10"/>
  <c r="P133" i="10"/>
  <c r="Q133" i="10"/>
  <c r="R133" i="10"/>
  <c r="S133" i="10"/>
  <c r="T133" i="10"/>
  <c r="U133" i="10"/>
  <c r="V133" i="10"/>
  <c r="W133" i="10"/>
  <c r="X133" i="10"/>
  <c r="Y133" i="10"/>
  <c r="Z133" i="10"/>
  <c r="AA133" i="10"/>
  <c r="AB133" i="10"/>
  <c r="AC133" i="10"/>
  <c r="AD133" i="10"/>
  <c r="AE133" i="10"/>
  <c r="AF133" i="10"/>
  <c r="AG133" i="10"/>
  <c r="AH133" i="10"/>
  <c r="AI133" i="10"/>
  <c r="AJ133" i="10"/>
  <c r="AK133" i="10"/>
  <c r="AL133" i="10"/>
  <c r="AN133" i="10"/>
  <c r="AO133" i="10"/>
  <c r="B134" i="10"/>
  <c r="C134" i="10"/>
  <c r="D134" i="10"/>
  <c r="L134" i="10"/>
  <c r="O134" i="10"/>
  <c r="P134" i="10"/>
  <c r="Q134" i="10"/>
  <c r="R134" i="10"/>
  <c r="S134" i="10"/>
  <c r="T134" i="10"/>
  <c r="U134" i="10"/>
  <c r="V134" i="10"/>
  <c r="W134" i="10"/>
  <c r="X134" i="10"/>
  <c r="Y134" i="10"/>
  <c r="Z134" i="10"/>
  <c r="AA134" i="10"/>
  <c r="AB134" i="10"/>
  <c r="AC134" i="10"/>
  <c r="AD134" i="10"/>
  <c r="AE134" i="10"/>
  <c r="AF134" i="10"/>
  <c r="AG134" i="10"/>
  <c r="AH134" i="10"/>
  <c r="AI134" i="10"/>
  <c r="AJ134" i="10"/>
  <c r="AK134" i="10"/>
  <c r="AL134" i="10"/>
  <c r="AN134" i="10"/>
  <c r="AO134" i="10"/>
  <c r="B135" i="10"/>
  <c r="C135" i="10"/>
  <c r="D135" i="10"/>
  <c r="L135" i="10"/>
  <c r="O135" i="10"/>
  <c r="P135" i="10"/>
  <c r="Q135" i="10"/>
  <c r="R135" i="10"/>
  <c r="S135" i="10"/>
  <c r="T135" i="10"/>
  <c r="U135" i="10"/>
  <c r="V135" i="10"/>
  <c r="W135" i="10"/>
  <c r="X135" i="10"/>
  <c r="Y135" i="10"/>
  <c r="Z135" i="10"/>
  <c r="AA135" i="10"/>
  <c r="AB135" i="10"/>
  <c r="AC135" i="10"/>
  <c r="AD135" i="10"/>
  <c r="AE135" i="10"/>
  <c r="AF135" i="10"/>
  <c r="AG135" i="10"/>
  <c r="AH135" i="10"/>
  <c r="AI135" i="10"/>
  <c r="AJ135" i="10"/>
  <c r="AK135" i="10"/>
  <c r="AL135" i="10"/>
  <c r="AN135" i="10"/>
  <c r="AO135" i="10"/>
  <c r="B136" i="10"/>
  <c r="C136" i="10"/>
  <c r="D136" i="10"/>
  <c r="L136" i="10"/>
  <c r="M136" i="10"/>
  <c r="O136" i="10"/>
  <c r="P136" i="10"/>
  <c r="Q136" i="10"/>
  <c r="R136" i="10"/>
  <c r="S136" i="10"/>
  <c r="T136" i="10"/>
  <c r="U136" i="10"/>
  <c r="V136" i="10"/>
  <c r="W136" i="10"/>
  <c r="X136" i="10"/>
  <c r="Y136" i="10"/>
  <c r="Z136" i="10"/>
  <c r="AA136" i="10"/>
  <c r="AB136" i="10"/>
  <c r="AC136" i="10"/>
  <c r="AD136" i="10"/>
  <c r="AE136" i="10"/>
  <c r="AF136" i="10"/>
  <c r="AG136" i="10"/>
  <c r="AH136" i="10"/>
  <c r="AI136" i="10"/>
  <c r="AJ136" i="10"/>
  <c r="AK136" i="10"/>
  <c r="AL136" i="10"/>
  <c r="AN136" i="10"/>
  <c r="AO136" i="10"/>
  <c r="B137" i="10"/>
  <c r="C137" i="10"/>
  <c r="D137" i="10"/>
  <c r="L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AN137" i="10"/>
  <c r="AO137" i="10"/>
  <c r="B138" i="10"/>
  <c r="C138" i="10"/>
  <c r="D138" i="10"/>
  <c r="L138" i="10"/>
  <c r="O138" i="10"/>
  <c r="P138" i="10"/>
  <c r="Q138" i="10"/>
  <c r="R138" i="10"/>
  <c r="S138" i="10"/>
  <c r="T138" i="10"/>
  <c r="U138" i="10"/>
  <c r="V138" i="10"/>
  <c r="W138" i="10"/>
  <c r="X138" i="10"/>
  <c r="Y138" i="10"/>
  <c r="Z138" i="10"/>
  <c r="AA138" i="10"/>
  <c r="AB138" i="10"/>
  <c r="AC138" i="10"/>
  <c r="AD138" i="10"/>
  <c r="AE138" i="10"/>
  <c r="AF138" i="10"/>
  <c r="AG138" i="10"/>
  <c r="AH138" i="10"/>
  <c r="AI138" i="10"/>
  <c r="AJ138" i="10"/>
  <c r="AK138" i="10"/>
  <c r="AL138" i="10"/>
  <c r="AN138" i="10"/>
  <c r="AO138" i="10"/>
  <c r="B139" i="10"/>
  <c r="C139" i="10"/>
  <c r="D139" i="10"/>
  <c r="L139" i="10"/>
  <c r="O139" i="10"/>
  <c r="P139" i="10"/>
  <c r="Q139" i="10"/>
  <c r="R139" i="10"/>
  <c r="S139" i="10"/>
  <c r="T139" i="10"/>
  <c r="U139" i="10"/>
  <c r="V139" i="10"/>
  <c r="W139" i="10"/>
  <c r="X139" i="10"/>
  <c r="Y139" i="10"/>
  <c r="Z139" i="10"/>
  <c r="AA139" i="10"/>
  <c r="AB139" i="10"/>
  <c r="AC139" i="10"/>
  <c r="AD139" i="10"/>
  <c r="AE139" i="10"/>
  <c r="AF139" i="10"/>
  <c r="AG139" i="10"/>
  <c r="AH139" i="10"/>
  <c r="AI139" i="10"/>
  <c r="AJ139" i="10"/>
  <c r="AK139" i="10"/>
  <c r="AL139" i="10"/>
  <c r="AN139" i="10"/>
  <c r="AO139" i="10"/>
  <c r="B140" i="10"/>
  <c r="C140" i="10"/>
  <c r="D140" i="10"/>
  <c r="L140" i="10"/>
  <c r="O140" i="10"/>
  <c r="P140" i="10"/>
  <c r="Q140" i="10"/>
  <c r="R140" i="10"/>
  <c r="S140" i="10"/>
  <c r="T140" i="10"/>
  <c r="U140" i="10"/>
  <c r="V140" i="10"/>
  <c r="W140" i="10"/>
  <c r="X140" i="10"/>
  <c r="Y140" i="10"/>
  <c r="Z140" i="10"/>
  <c r="AA140" i="10"/>
  <c r="AB140" i="10"/>
  <c r="AC140" i="10"/>
  <c r="AD140" i="10"/>
  <c r="AE140" i="10"/>
  <c r="AF140" i="10"/>
  <c r="AG140" i="10"/>
  <c r="AH140" i="10"/>
  <c r="AI140" i="10"/>
  <c r="AJ140" i="10"/>
  <c r="AK140" i="10"/>
  <c r="AL140" i="10"/>
  <c r="AN140" i="10"/>
  <c r="AO140" i="10"/>
  <c r="B141" i="10"/>
  <c r="C141" i="10"/>
  <c r="D141" i="10"/>
  <c r="E141" i="10"/>
  <c r="K141" i="10"/>
  <c r="L141" i="10"/>
  <c r="M141" i="10"/>
  <c r="N141" i="10"/>
  <c r="O141" i="10"/>
  <c r="P141" i="10"/>
  <c r="Q141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AG141" i="10"/>
  <c r="AH141" i="10"/>
  <c r="AI141" i="10"/>
  <c r="AJ141" i="10"/>
  <c r="AK141" i="10"/>
  <c r="AL141" i="10"/>
  <c r="AN141" i="10"/>
  <c r="AO141" i="10"/>
  <c r="B142" i="10"/>
  <c r="C142" i="10"/>
  <c r="D142" i="10"/>
  <c r="E142" i="10"/>
  <c r="K142" i="10"/>
  <c r="L142" i="10"/>
  <c r="M142" i="10"/>
  <c r="N142" i="10"/>
  <c r="O142" i="10"/>
  <c r="P142" i="10"/>
  <c r="Q142" i="10"/>
  <c r="R142" i="10"/>
  <c r="S142" i="10"/>
  <c r="T142" i="10"/>
  <c r="U142" i="10"/>
  <c r="V142" i="10"/>
  <c r="W142" i="10"/>
  <c r="X142" i="10"/>
  <c r="Y142" i="10"/>
  <c r="Z142" i="10"/>
  <c r="AA142" i="10"/>
  <c r="AB142" i="10"/>
  <c r="AC142" i="10"/>
  <c r="AD142" i="10"/>
  <c r="AE142" i="10"/>
  <c r="AF142" i="10"/>
  <c r="AG142" i="10"/>
  <c r="AH142" i="10"/>
  <c r="AI142" i="10"/>
  <c r="AJ142" i="10"/>
  <c r="AK142" i="10"/>
  <c r="AL142" i="10"/>
  <c r="AN142" i="10"/>
  <c r="AO142" i="10"/>
  <c r="B143" i="10"/>
  <c r="C143" i="10"/>
  <c r="D143" i="10"/>
  <c r="E143" i="10"/>
  <c r="K143" i="10"/>
  <c r="L143" i="10"/>
  <c r="M143" i="10"/>
  <c r="N143" i="10"/>
  <c r="O143" i="10"/>
  <c r="P143" i="10"/>
  <c r="Q143" i="10"/>
  <c r="R143" i="10"/>
  <c r="S143" i="10"/>
  <c r="T143" i="10"/>
  <c r="U143" i="10"/>
  <c r="V143" i="10"/>
  <c r="W143" i="10"/>
  <c r="X143" i="10"/>
  <c r="Y143" i="10"/>
  <c r="Z143" i="10"/>
  <c r="AA143" i="10"/>
  <c r="AB143" i="10"/>
  <c r="AC143" i="10"/>
  <c r="AD143" i="10"/>
  <c r="AE143" i="10"/>
  <c r="AF143" i="10"/>
  <c r="AG143" i="10"/>
  <c r="AH143" i="10"/>
  <c r="AI143" i="10"/>
  <c r="AJ143" i="10"/>
  <c r="AK143" i="10"/>
  <c r="AL143" i="10"/>
  <c r="AN143" i="10"/>
  <c r="AO143" i="10"/>
  <c r="B144" i="10"/>
  <c r="C144" i="10"/>
  <c r="D144" i="10"/>
  <c r="E144" i="10"/>
  <c r="K144" i="10"/>
  <c r="L144" i="10"/>
  <c r="M144" i="10"/>
  <c r="N144" i="10"/>
  <c r="O144" i="10"/>
  <c r="P144" i="10"/>
  <c r="Q144" i="10"/>
  <c r="R144" i="10"/>
  <c r="S144" i="10"/>
  <c r="T144" i="10"/>
  <c r="U144" i="10"/>
  <c r="V144" i="10"/>
  <c r="W144" i="10"/>
  <c r="X144" i="10"/>
  <c r="Y144" i="10"/>
  <c r="Z144" i="10"/>
  <c r="AA144" i="10"/>
  <c r="AB144" i="10"/>
  <c r="AC144" i="10"/>
  <c r="AD144" i="10"/>
  <c r="AE144" i="10"/>
  <c r="AF144" i="10"/>
  <c r="AG144" i="10"/>
  <c r="AH144" i="10"/>
  <c r="AI144" i="10"/>
  <c r="AJ144" i="10"/>
  <c r="AK144" i="10"/>
  <c r="AL144" i="10"/>
  <c r="AN144" i="10"/>
  <c r="AO144" i="10"/>
  <c r="B145" i="10"/>
  <c r="C145" i="10"/>
  <c r="D145" i="10"/>
  <c r="E145" i="10"/>
  <c r="K145" i="10"/>
  <c r="L145" i="10"/>
  <c r="M145" i="10"/>
  <c r="N145" i="10"/>
  <c r="O145" i="10"/>
  <c r="P145" i="10"/>
  <c r="Q145" i="10"/>
  <c r="R145" i="10"/>
  <c r="S145" i="10"/>
  <c r="T145" i="10"/>
  <c r="U145" i="10"/>
  <c r="V145" i="10"/>
  <c r="W145" i="10"/>
  <c r="X145" i="10"/>
  <c r="Y145" i="10"/>
  <c r="Z145" i="10"/>
  <c r="AA145" i="10"/>
  <c r="AB145" i="10"/>
  <c r="AC145" i="10"/>
  <c r="AD145" i="10"/>
  <c r="AE145" i="10"/>
  <c r="AF145" i="10"/>
  <c r="AG145" i="10"/>
  <c r="AH145" i="10"/>
  <c r="AI145" i="10"/>
  <c r="AJ145" i="10"/>
  <c r="AK145" i="10"/>
  <c r="AL145" i="10"/>
  <c r="AN145" i="10"/>
  <c r="AO145" i="10"/>
  <c r="B146" i="10"/>
  <c r="C146" i="10"/>
  <c r="D146" i="10"/>
  <c r="E146" i="10"/>
  <c r="K146" i="10"/>
  <c r="L146" i="10"/>
  <c r="M146" i="10"/>
  <c r="N146" i="10"/>
  <c r="O146" i="10"/>
  <c r="P146" i="10"/>
  <c r="Q146" i="10"/>
  <c r="R146" i="10"/>
  <c r="S146" i="10"/>
  <c r="T146" i="10"/>
  <c r="U146" i="10"/>
  <c r="V146" i="10"/>
  <c r="W146" i="10"/>
  <c r="X146" i="10"/>
  <c r="Y146" i="10"/>
  <c r="Z146" i="10"/>
  <c r="AA146" i="10"/>
  <c r="AB146" i="10"/>
  <c r="AC146" i="10"/>
  <c r="AD146" i="10"/>
  <c r="AE146" i="10"/>
  <c r="AF146" i="10"/>
  <c r="AG146" i="10"/>
  <c r="AH146" i="10"/>
  <c r="AI146" i="10"/>
  <c r="AJ146" i="10"/>
  <c r="AK146" i="10"/>
  <c r="AL146" i="10"/>
  <c r="AN146" i="10"/>
  <c r="AO146" i="10"/>
  <c r="B147" i="10"/>
  <c r="C147" i="10"/>
  <c r="D147" i="10"/>
  <c r="E147" i="10"/>
  <c r="K147" i="10"/>
  <c r="L14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N147" i="10"/>
  <c r="AO147" i="10"/>
  <c r="B148" i="10"/>
  <c r="C148" i="10"/>
  <c r="D148" i="10"/>
  <c r="E148" i="10"/>
  <c r="K148" i="10"/>
  <c r="L148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N148" i="10"/>
  <c r="AO148" i="10"/>
  <c r="B149" i="10"/>
  <c r="C149" i="10"/>
  <c r="D149" i="10"/>
  <c r="E149" i="10"/>
  <c r="K149" i="10"/>
  <c r="L149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N149" i="10"/>
  <c r="AO149" i="10"/>
  <c r="B150" i="10"/>
  <c r="C150" i="10"/>
  <c r="D150" i="10"/>
  <c r="E150" i="10"/>
  <c r="K150" i="10"/>
  <c r="L150" i="10"/>
  <c r="M150" i="10"/>
  <c r="N150" i="10"/>
  <c r="O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N150" i="10"/>
  <c r="AO150" i="10"/>
  <c r="B151" i="10"/>
  <c r="C151" i="10"/>
  <c r="D151" i="10"/>
  <c r="E151" i="10"/>
  <c r="K151" i="10"/>
  <c r="L151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N151" i="10"/>
  <c r="AO151" i="10"/>
  <c r="B152" i="10"/>
  <c r="C152" i="10"/>
  <c r="D152" i="10"/>
  <c r="E152" i="10"/>
  <c r="K152" i="10"/>
  <c r="L152" i="10"/>
  <c r="M152" i="10"/>
  <c r="N152" i="10"/>
  <c r="O152" i="10"/>
  <c r="P152" i="10"/>
  <c r="Q152" i="10"/>
  <c r="R152" i="10"/>
  <c r="S152" i="10"/>
  <c r="T152" i="10"/>
  <c r="U152" i="10"/>
  <c r="V152" i="10"/>
  <c r="W152" i="10"/>
  <c r="X152" i="10"/>
  <c r="Y152" i="10"/>
  <c r="Z152" i="10"/>
  <c r="AA152" i="10"/>
  <c r="AB152" i="10"/>
  <c r="AC152" i="10"/>
  <c r="AD152" i="10"/>
  <c r="AE152" i="10"/>
  <c r="AF152" i="10"/>
  <c r="AG152" i="10"/>
  <c r="AH152" i="10"/>
  <c r="AI152" i="10"/>
  <c r="AJ152" i="10"/>
  <c r="AK152" i="10"/>
  <c r="AL152" i="10"/>
  <c r="AN152" i="10"/>
  <c r="AO152" i="10"/>
  <c r="B153" i="10"/>
  <c r="C153" i="10"/>
  <c r="D153" i="10"/>
  <c r="E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N153" i="10"/>
  <c r="AO153" i="10"/>
  <c r="B154" i="10"/>
  <c r="C154" i="10"/>
  <c r="D154" i="10"/>
  <c r="E154" i="10"/>
  <c r="K154" i="10"/>
  <c r="L154" i="10"/>
  <c r="M154" i="10"/>
  <c r="N154" i="10"/>
  <c r="O154" i="10"/>
  <c r="P154" i="10"/>
  <c r="Q154" i="10"/>
  <c r="R154" i="10"/>
  <c r="S154" i="10"/>
  <c r="T154" i="10"/>
  <c r="U154" i="10"/>
  <c r="V154" i="10"/>
  <c r="W154" i="10"/>
  <c r="X154" i="10"/>
  <c r="Y154" i="10"/>
  <c r="Z154" i="10"/>
  <c r="AA154" i="10"/>
  <c r="AB154" i="10"/>
  <c r="AC154" i="10"/>
  <c r="AD154" i="10"/>
  <c r="AE154" i="10"/>
  <c r="AF154" i="10"/>
  <c r="AG154" i="10"/>
  <c r="AH154" i="10"/>
  <c r="AI154" i="10"/>
  <c r="AJ154" i="10"/>
  <c r="AK154" i="10"/>
  <c r="AL154" i="10"/>
  <c r="AN154" i="10"/>
  <c r="AO154" i="10"/>
  <c r="B155" i="10"/>
  <c r="C155" i="10"/>
  <c r="D155" i="10"/>
  <c r="E155" i="10"/>
  <c r="K155" i="10"/>
  <c r="L155" i="10"/>
  <c r="M155" i="10"/>
  <c r="N155" i="10"/>
  <c r="O155" i="10"/>
  <c r="P155" i="10"/>
  <c r="Q155" i="10"/>
  <c r="R155" i="10"/>
  <c r="S155" i="10"/>
  <c r="T155" i="10"/>
  <c r="U155" i="10"/>
  <c r="V155" i="10"/>
  <c r="W155" i="10"/>
  <c r="X155" i="10"/>
  <c r="Y155" i="10"/>
  <c r="Z155" i="10"/>
  <c r="AA155" i="10"/>
  <c r="AB155" i="10"/>
  <c r="AC155" i="10"/>
  <c r="AD155" i="10"/>
  <c r="AE155" i="10"/>
  <c r="AF155" i="10"/>
  <c r="AG155" i="10"/>
  <c r="AH155" i="10"/>
  <c r="AI155" i="10"/>
  <c r="AJ155" i="10"/>
  <c r="AK155" i="10"/>
  <c r="AL155" i="10"/>
  <c r="AN155" i="10"/>
  <c r="AO155" i="10"/>
  <c r="B156" i="10"/>
  <c r="C156" i="10"/>
  <c r="D156" i="10"/>
  <c r="E156" i="10"/>
  <c r="K156" i="10"/>
  <c r="L156" i="10"/>
  <c r="M156" i="10"/>
  <c r="N156" i="10"/>
  <c r="O156" i="10"/>
  <c r="P156" i="10"/>
  <c r="Q156" i="10"/>
  <c r="R156" i="10"/>
  <c r="S156" i="10"/>
  <c r="T156" i="10"/>
  <c r="U156" i="10"/>
  <c r="V156" i="10"/>
  <c r="W156" i="10"/>
  <c r="X156" i="10"/>
  <c r="Y156" i="10"/>
  <c r="Z156" i="10"/>
  <c r="AA156" i="10"/>
  <c r="AB156" i="10"/>
  <c r="AC156" i="10"/>
  <c r="AD156" i="10"/>
  <c r="AE156" i="10"/>
  <c r="AF156" i="10"/>
  <c r="AG156" i="10"/>
  <c r="AH156" i="10"/>
  <c r="AI156" i="10"/>
  <c r="AJ156" i="10"/>
  <c r="AK156" i="10"/>
  <c r="AL156" i="10"/>
  <c r="AN156" i="10"/>
  <c r="AO156" i="10"/>
  <c r="B157" i="10"/>
  <c r="C157" i="10"/>
  <c r="D157" i="10"/>
  <c r="E157" i="10"/>
  <c r="K157" i="10"/>
  <c r="L157" i="10"/>
  <c r="M157" i="10"/>
  <c r="N157" i="10"/>
  <c r="O157" i="10"/>
  <c r="P157" i="10"/>
  <c r="Q157" i="10"/>
  <c r="R157" i="10"/>
  <c r="S157" i="10"/>
  <c r="T157" i="10"/>
  <c r="U157" i="10"/>
  <c r="V157" i="10"/>
  <c r="W157" i="10"/>
  <c r="X157" i="10"/>
  <c r="Y157" i="10"/>
  <c r="Z157" i="10"/>
  <c r="AA157" i="10"/>
  <c r="AB157" i="10"/>
  <c r="AC157" i="10"/>
  <c r="AD157" i="10"/>
  <c r="AE157" i="10"/>
  <c r="AF157" i="10"/>
  <c r="AG157" i="10"/>
  <c r="AH157" i="10"/>
  <c r="AI157" i="10"/>
  <c r="AJ157" i="10"/>
  <c r="AK157" i="10"/>
  <c r="AL157" i="10"/>
  <c r="AN157" i="10"/>
  <c r="AO157" i="10"/>
  <c r="B158" i="10"/>
  <c r="C158" i="10"/>
  <c r="D158" i="10"/>
  <c r="E158" i="10"/>
  <c r="K158" i="10"/>
  <c r="L158" i="10"/>
  <c r="M158" i="10"/>
  <c r="N158" i="10"/>
  <c r="O158" i="10"/>
  <c r="P158" i="10"/>
  <c r="Q158" i="10"/>
  <c r="R158" i="10"/>
  <c r="S158" i="10"/>
  <c r="T158" i="10"/>
  <c r="U158" i="10"/>
  <c r="V158" i="10"/>
  <c r="W158" i="10"/>
  <c r="X158" i="10"/>
  <c r="Y158" i="10"/>
  <c r="Z158" i="10"/>
  <c r="AA158" i="10"/>
  <c r="AB158" i="10"/>
  <c r="AC158" i="10"/>
  <c r="AD158" i="10"/>
  <c r="AE158" i="10"/>
  <c r="AF158" i="10"/>
  <c r="AG158" i="10"/>
  <c r="AH158" i="10"/>
  <c r="AI158" i="10"/>
  <c r="AJ158" i="10"/>
  <c r="AK158" i="10"/>
  <c r="AL158" i="10"/>
  <c r="AN158" i="10"/>
  <c r="AO158" i="10"/>
  <c r="B159" i="10"/>
  <c r="C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W159" i="10"/>
  <c r="X159" i="10"/>
  <c r="Y159" i="10"/>
  <c r="Z159" i="10"/>
  <c r="AA159" i="10"/>
  <c r="AB159" i="10"/>
  <c r="AC159" i="10"/>
  <c r="AD159" i="10"/>
  <c r="AE159" i="10"/>
  <c r="AF159" i="10"/>
  <c r="AG159" i="10"/>
  <c r="AH159" i="10"/>
  <c r="AJ159" i="10"/>
  <c r="AK159" i="10"/>
  <c r="AL159" i="10"/>
  <c r="AN159" i="10"/>
  <c r="AO159" i="10"/>
  <c r="B160" i="10"/>
  <c r="C160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W160" i="10"/>
  <c r="X160" i="10"/>
  <c r="Y160" i="10"/>
  <c r="Z160" i="10"/>
  <c r="AA160" i="10"/>
  <c r="AB160" i="10"/>
  <c r="AC160" i="10"/>
  <c r="AD160" i="10"/>
  <c r="AE160" i="10"/>
  <c r="AF160" i="10"/>
  <c r="AG160" i="10"/>
  <c r="AH160" i="10"/>
  <c r="AJ160" i="10"/>
  <c r="AK160" i="10"/>
  <c r="AL160" i="10"/>
  <c r="AN160" i="10"/>
  <c r="AO160" i="10"/>
  <c r="B161" i="10"/>
  <c r="C161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W161" i="10"/>
  <c r="X161" i="10"/>
  <c r="Y161" i="10"/>
  <c r="Z161" i="10"/>
  <c r="AA161" i="10"/>
  <c r="AB161" i="10"/>
  <c r="AC161" i="10"/>
  <c r="AD161" i="10"/>
  <c r="AE161" i="10"/>
  <c r="AF161" i="10"/>
  <c r="AG161" i="10"/>
  <c r="AH161" i="10"/>
  <c r="AJ161" i="10"/>
  <c r="AK161" i="10"/>
  <c r="AL161" i="10"/>
  <c r="AN161" i="10"/>
  <c r="AO161" i="10"/>
  <c r="B162" i="10"/>
  <c r="C162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W162" i="10"/>
  <c r="X162" i="10"/>
  <c r="Y162" i="10"/>
  <c r="Z162" i="10"/>
  <c r="AA162" i="10"/>
  <c r="AB162" i="10"/>
  <c r="AC162" i="10"/>
  <c r="AD162" i="10"/>
  <c r="AE162" i="10"/>
  <c r="AF162" i="10"/>
  <c r="AG162" i="10"/>
  <c r="AH162" i="10"/>
  <c r="AJ162" i="10"/>
  <c r="AK162" i="10"/>
  <c r="AL162" i="10"/>
  <c r="AN162" i="10"/>
  <c r="AO162" i="10"/>
  <c r="B163" i="10"/>
  <c r="C163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W163" i="10"/>
  <c r="X163" i="10"/>
  <c r="Y163" i="10"/>
  <c r="Z163" i="10"/>
  <c r="AA163" i="10"/>
  <c r="AB163" i="10"/>
  <c r="AC163" i="10"/>
  <c r="AD163" i="10"/>
  <c r="AE163" i="10"/>
  <c r="AF163" i="10"/>
  <c r="AG163" i="10"/>
  <c r="AH163" i="10"/>
  <c r="AJ163" i="10"/>
  <c r="AK163" i="10"/>
  <c r="AL163" i="10"/>
  <c r="AN163" i="10"/>
  <c r="AO163" i="10"/>
  <c r="B164" i="10"/>
  <c r="C164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V164" i="10"/>
  <c r="W164" i="10"/>
  <c r="X164" i="10"/>
  <c r="Y164" i="10"/>
  <c r="Z164" i="10"/>
  <c r="AA164" i="10"/>
  <c r="AB164" i="10"/>
  <c r="AC164" i="10"/>
  <c r="AD164" i="10"/>
  <c r="AE164" i="10"/>
  <c r="AF164" i="10"/>
  <c r="AG164" i="10"/>
  <c r="AH164" i="10"/>
  <c r="AJ164" i="10"/>
  <c r="AK164" i="10"/>
  <c r="AL164" i="10"/>
  <c r="AN164" i="10"/>
  <c r="AO164" i="10"/>
  <c r="B165" i="10"/>
  <c r="C165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U165" i="10"/>
  <c r="V165" i="10"/>
  <c r="W165" i="10"/>
  <c r="X165" i="10"/>
  <c r="Y165" i="10"/>
  <c r="Z165" i="10"/>
  <c r="AA165" i="10"/>
  <c r="AB165" i="10"/>
  <c r="AC165" i="10"/>
  <c r="AD165" i="10"/>
  <c r="AE165" i="10"/>
  <c r="AF165" i="10"/>
  <c r="AG165" i="10"/>
  <c r="AH165" i="10"/>
  <c r="AJ165" i="10"/>
  <c r="AK165" i="10"/>
  <c r="AL165" i="10"/>
  <c r="AN165" i="10"/>
  <c r="AO165" i="10"/>
  <c r="B166" i="10"/>
  <c r="C166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T166" i="10"/>
  <c r="U166" i="10"/>
  <c r="V166" i="10"/>
  <c r="W166" i="10"/>
  <c r="X166" i="10"/>
  <c r="Y166" i="10"/>
  <c r="Z166" i="10"/>
  <c r="AA166" i="10"/>
  <c r="AB166" i="10"/>
  <c r="AC166" i="10"/>
  <c r="AD166" i="10"/>
  <c r="AE166" i="10"/>
  <c r="AF166" i="10"/>
  <c r="AG166" i="10"/>
  <c r="AH166" i="10"/>
  <c r="AJ166" i="10"/>
  <c r="AK166" i="10"/>
  <c r="AL166" i="10"/>
  <c r="AN166" i="10"/>
  <c r="AO166" i="10"/>
  <c r="B167" i="10"/>
  <c r="C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V167" i="10"/>
  <c r="W167" i="10"/>
  <c r="X167" i="10"/>
  <c r="Y167" i="10"/>
  <c r="Z167" i="10"/>
  <c r="AA167" i="10"/>
  <c r="AB167" i="10"/>
  <c r="AC167" i="10"/>
  <c r="AD167" i="10"/>
  <c r="AE167" i="10"/>
  <c r="AF167" i="10"/>
  <c r="AG167" i="10"/>
  <c r="AH167" i="10"/>
  <c r="AJ167" i="10"/>
  <c r="AK167" i="10"/>
  <c r="AL167" i="10"/>
  <c r="AN167" i="10"/>
  <c r="AO167" i="10"/>
  <c r="B168" i="10"/>
  <c r="C168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T168" i="10"/>
  <c r="U168" i="10"/>
  <c r="V168" i="10"/>
  <c r="W168" i="10"/>
  <c r="X168" i="10"/>
  <c r="Y168" i="10"/>
  <c r="Z168" i="10"/>
  <c r="AA168" i="10"/>
  <c r="AB168" i="10"/>
  <c r="AC168" i="10"/>
  <c r="AD168" i="10"/>
  <c r="AE168" i="10"/>
  <c r="AF168" i="10"/>
  <c r="AG168" i="10"/>
  <c r="AH168" i="10"/>
  <c r="AJ168" i="10"/>
  <c r="AK168" i="10"/>
  <c r="AL168" i="10"/>
  <c r="AN168" i="10"/>
  <c r="AO168" i="10"/>
  <c r="B169" i="10"/>
  <c r="C169" i="10"/>
  <c r="D169" i="10"/>
  <c r="F169" i="10"/>
  <c r="G169" i="10"/>
  <c r="H169" i="10"/>
  <c r="I169" i="10"/>
  <c r="J169" i="10"/>
  <c r="K169" i="10"/>
  <c r="L169" i="10"/>
  <c r="M169" i="10"/>
  <c r="N169" i="10"/>
  <c r="O169" i="10"/>
  <c r="P169" i="10"/>
  <c r="Q169" i="10"/>
  <c r="R169" i="10"/>
  <c r="S169" i="10"/>
  <c r="T169" i="10"/>
  <c r="U169" i="10"/>
  <c r="V169" i="10"/>
  <c r="W169" i="10"/>
  <c r="X169" i="10"/>
  <c r="Y169" i="10"/>
  <c r="Z169" i="10"/>
  <c r="AA169" i="10"/>
  <c r="AB169" i="10"/>
  <c r="AC169" i="10"/>
  <c r="AD169" i="10"/>
  <c r="AE169" i="10"/>
  <c r="AF169" i="10"/>
  <c r="AG169" i="10"/>
  <c r="AH169" i="10"/>
  <c r="AI169" i="10"/>
  <c r="AJ169" i="10"/>
  <c r="AK169" i="10"/>
  <c r="AL169" i="10"/>
  <c r="AN169" i="10"/>
  <c r="AO169" i="10"/>
  <c r="B170" i="10"/>
  <c r="C170" i="10"/>
  <c r="D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T170" i="10"/>
  <c r="U170" i="10"/>
  <c r="V170" i="10"/>
  <c r="W170" i="10"/>
  <c r="X170" i="10"/>
  <c r="Y170" i="10"/>
  <c r="Z170" i="10"/>
  <c r="AA170" i="10"/>
  <c r="AB170" i="10"/>
  <c r="AC170" i="10"/>
  <c r="AD170" i="10"/>
  <c r="AE170" i="10"/>
  <c r="AF170" i="10"/>
  <c r="AG170" i="10"/>
  <c r="AH170" i="10"/>
  <c r="AI170" i="10"/>
  <c r="AJ170" i="10"/>
  <c r="AK170" i="10"/>
  <c r="AL170" i="10"/>
  <c r="AN170" i="10"/>
  <c r="AO170" i="10"/>
  <c r="B171" i="10"/>
  <c r="C171" i="10"/>
  <c r="D171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U171" i="10"/>
  <c r="V171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N171" i="10"/>
  <c r="AO171" i="10"/>
  <c r="B172" i="10"/>
  <c r="C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U172" i="10"/>
  <c r="V172" i="10"/>
  <c r="W172" i="10"/>
  <c r="X172" i="10"/>
  <c r="Y172" i="10"/>
  <c r="Z172" i="10"/>
  <c r="AA172" i="10"/>
  <c r="AB172" i="10"/>
  <c r="AC172" i="10"/>
  <c r="AD172" i="10"/>
  <c r="AE172" i="10"/>
  <c r="AF172" i="10"/>
  <c r="AG172" i="10"/>
  <c r="AH172" i="10"/>
  <c r="AI172" i="10"/>
  <c r="AJ172" i="10"/>
  <c r="AK172" i="10"/>
  <c r="AL172" i="10"/>
  <c r="AN172" i="10"/>
  <c r="AO172" i="10"/>
  <c r="B173" i="10"/>
  <c r="C173" i="10"/>
  <c r="D173" i="10"/>
  <c r="E173" i="10"/>
  <c r="K173" i="10"/>
  <c r="L173" i="10"/>
  <c r="M173" i="10"/>
  <c r="N173" i="10"/>
  <c r="O173" i="10"/>
  <c r="P173" i="10"/>
  <c r="Q173" i="10"/>
  <c r="R173" i="10"/>
  <c r="S173" i="10"/>
  <c r="T173" i="10"/>
  <c r="U173" i="10"/>
  <c r="V173" i="10"/>
  <c r="W173" i="10"/>
  <c r="X173" i="10"/>
  <c r="Y173" i="10"/>
  <c r="Z173" i="10"/>
  <c r="AA173" i="10"/>
  <c r="AB173" i="10"/>
  <c r="AC173" i="10"/>
  <c r="AD173" i="10"/>
  <c r="AE173" i="10"/>
  <c r="AF173" i="10"/>
  <c r="AG173" i="10"/>
  <c r="AH173" i="10"/>
  <c r="AI173" i="10"/>
  <c r="AJ173" i="10"/>
  <c r="AK173" i="10"/>
  <c r="AL173" i="10"/>
  <c r="AN173" i="10"/>
  <c r="AO173" i="10"/>
  <c r="B174" i="10"/>
  <c r="C174" i="10"/>
  <c r="D174" i="10"/>
  <c r="E174" i="10"/>
  <c r="K174" i="10"/>
  <c r="L174" i="10"/>
  <c r="M174" i="10"/>
  <c r="N174" i="10"/>
  <c r="O174" i="10"/>
  <c r="P174" i="10"/>
  <c r="Q174" i="10"/>
  <c r="R174" i="10"/>
  <c r="S174" i="10"/>
  <c r="T174" i="10"/>
  <c r="U174" i="10"/>
  <c r="V174" i="10"/>
  <c r="W174" i="10"/>
  <c r="X174" i="10"/>
  <c r="Y174" i="10"/>
  <c r="Z174" i="10"/>
  <c r="AA174" i="10"/>
  <c r="AB174" i="10"/>
  <c r="AC174" i="10"/>
  <c r="AD174" i="10"/>
  <c r="AE174" i="10"/>
  <c r="AF174" i="10"/>
  <c r="AG174" i="10"/>
  <c r="AH174" i="10"/>
  <c r="AI174" i="10"/>
  <c r="AJ174" i="10"/>
  <c r="AK174" i="10"/>
  <c r="AL174" i="10"/>
  <c r="AN174" i="10"/>
  <c r="AO174" i="10"/>
  <c r="B175" i="10"/>
  <c r="C175" i="10"/>
  <c r="D175" i="10"/>
  <c r="E175" i="10"/>
  <c r="K175" i="10"/>
  <c r="L175" i="10"/>
  <c r="M175" i="10"/>
  <c r="N175" i="10"/>
  <c r="O175" i="10"/>
  <c r="P175" i="10"/>
  <c r="Q175" i="10"/>
  <c r="R175" i="10"/>
  <c r="S175" i="10"/>
  <c r="T175" i="10"/>
  <c r="U175" i="10"/>
  <c r="V175" i="10"/>
  <c r="W175" i="10"/>
  <c r="X175" i="10"/>
  <c r="Y175" i="10"/>
  <c r="Z175" i="10"/>
  <c r="AA175" i="10"/>
  <c r="AB175" i="10"/>
  <c r="AC175" i="10"/>
  <c r="AD175" i="10"/>
  <c r="AE175" i="10"/>
  <c r="AF175" i="10"/>
  <c r="AG175" i="10"/>
  <c r="AH175" i="10"/>
  <c r="AI175" i="10"/>
  <c r="AJ175" i="10"/>
  <c r="AK175" i="10"/>
  <c r="AL175" i="10"/>
  <c r="AN175" i="10"/>
  <c r="AO175" i="10"/>
  <c r="B176" i="10"/>
  <c r="C176" i="10"/>
  <c r="D176" i="10"/>
  <c r="E176" i="10"/>
  <c r="K176" i="10"/>
  <c r="L176" i="10"/>
  <c r="M176" i="10"/>
  <c r="N176" i="10"/>
  <c r="O176" i="10"/>
  <c r="P176" i="10"/>
  <c r="Q176" i="10"/>
  <c r="R176" i="10"/>
  <c r="S176" i="10"/>
  <c r="T176" i="10"/>
  <c r="U176" i="10"/>
  <c r="V176" i="10"/>
  <c r="W176" i="10"/>
  <c r="X176" i="10"/>
  <c r="Y176" i="10"/>
  <c r="Z176" i="10"/>
  <c r="AA176" i="10"/>
  <c r="AB176" i="10"/>
  <c r="AC176" i="10"/>
  <c r="AD176" i="10"/>
  <c r="AE176" i="10"/>
  <c r="AF176" i="10"/>
  <c r="AG176" i="10"/>
  <c r="AH176" i="10"/>
  <c r="AI176" i="10"/>
  <c r="AJ176" i="10"/>
  <c r="AK176" i="10"/>
  <c r="AL176" i="10"/>
  <c r="AN176" i="10"/>
  <c r="AO176" i="10"/>
  <c r="B177" i="10"/>
  <c r="C177" i="10"/>
  <c r="D177" i="10"/>
  <c r="E177" i="10"/>
  <c r="K177" i="10"/>
  <c r="L177" i="10"/>
  <c r="M177" i="10"/>
  <c r="N177" i="10"/>
  <c r="O177" i="10"/>
  <c r="P177" i="10"/>
  <c r="Q177" i="10"/>
  <c r="R177" i="10"/>
  <c r="S177" i="10"/>
  <c r="T177" i="10"/>
  <c r="U177" i="10"/>
  <c r="V177" i="10"/>
  <c r="W177" i="10"/>
  <c r="X177" i="10"/>
  <c r="Y177" i="10"/>
  <c r="Z177" i="10"/>
  <c r="AA177" i="10"/>
  <c r="AB177" i="10"/>
  <c r="AC177" i="10"/>
  <c r="AD177" i="10"/>
  <c r="AE177" i="10"/>
  <c r="AF177" i="10"/>
  <c r="AG177" i="10"/>
  <c r="AH177" i="10"/>
  <c r="AI177" i="10"/>
  <c r="AJ177" i="10"/>
  <c r="AK177" i="10"/>
  <c r="AL177" i="10"/>
  <c r="AN177" i="10"/>
  <c r="AO177" i="10"/>
  <c r="B178" i="10"/>
  <c r="C178" i="10"/>
  <c r="D178" i="10"/>
  <c r="E178" i="10"/>
  <c r="K178" i="10"/>
  <c r="L178" i="10"/>
  <c r="M178" i="10"/>
  <c r="N178" i="10"/>
  <c r="O178" i="10"/>
  <c r="P178" i="10"/>
  <c r="Q178" i="10"/>
  <c r="R178" i="10"/>
  <c r="S178" i="10"/>
  <c r="T178" i="10"/>
  <c r="U178" i="10"/>
  <c r="V178" i="10"/>
  <c r="W178" i="10"/>
  <c r="X178" i="10"/>
  <c r="Y178" i="10"/>
  <c r="Z178" i="10"/>
  <c r="AA178" i="10"/>
  <c r="AB178" i="10"/>
  <c r="AC178" i="10"/>
  <c r="AD178" i="10"/>
  <c r="AE178" i="10"/>
  <c r="AF178" i="10"/>
  <c r="AG178" i="10"/>
  <c r="AH178" i="10"/>
  <c r="AI178" i="10"/>
  <c r="AJ178" i="10"/>
  <c r="AK178" i="10"/>
  <c r="AL178" i="10"/>
  <c r="AN178" i="10"/>
  <c r="AO178" i="10"/>
  <c r="B179" i="10"/>
  <c r="C179" i="10"/>
  <c r="D179" i="10"/>
  <c r="E179" i="10"/>
  <c r="K179" i="10"/>
  <c r="L179" i="10"/>
  <c r="M179" i="10"/>
  <c r="N179" i="10"/>
  <c r="O179" i="10"/>
  <c r="P179" i="10"/>
  <c r="Q179" i="10"/>
  <c r="R179" i="10"/>
  <c r="S179" i="10"/>
  <c r="T179" i="10"/>
  <c r="U179" i="10"/>
  <c r="V179" i="10"/>
  <c r="W179" i="10"/>
  <c r="X179" i="10"/>
  <c r="Y179" i="10"/>
  <c r="Z179" i="10"/>
  <c r="AA179" i="10"/>
  <c r="AB179" i="10"/>
  <c r="AC179" i="10"/>
  <c r="AD179" i="10"/>
  <c r="AE179" i="10"/>
  <c r="AF179" i="10"/>
  <c r="AG179" i="10"/>
  <c r="AH179" i="10"/>
  <c r="AI179" i="10"/>
  <c r="AJ179" i="10"/>
  <c r="AK179" i="10"/>
  <c r="AL179" i="10"/>
  <c r="AN179" i="10"/>
  <c r="AO179" i="10"/>
  <c r="B180" i="10"/>
  <c r="C180" i="10"/>
  <c r="D180" i="10"/>
  <c r="E180" i="10"/>
  <c r="K180" i="10"/>
  <c r="L180" i="10"/>
  <c r="M180" i="10"/>
  <c r="N180" i="10"/>
  <c r="O180" i="10"/>
  <c r="P180" i="10"/>
  <c r="Q180" i="10"/>
  <c r="R180" i="10"/>
  <c r="S180" i="10"/>
  <c r="T180" i="10"/>
  <c r="U180" i="10"/>
  <c r="V180" i="10"/>
  <c r="W180" i="10"/>
  <c r="X180" i="10"/>
  <c r="Y180" i="10"/>
  <c r="Z180" i="10"/>
  <c r="AA180" i="10"/>
  <c r="AB180" i="10"/>
  <c r="AC180" i="10"/>
  <c r="AD180" i="10"/>
  <c r="AE180" i="10"/>
  <c r="AF180" i="10"/>
  <c r="AG180" i="10"/>
  <c r="AH180" i="10"/>
  <c r="AI180" i="10"/>
  <c r="AJ180" i="10"/>
  <c r="AK180" i="10"/>
  <c r="AL180" i="10"/>
  <c r="AN180" i="10"/>
  <c r="AO180" i="10"/>
  <c r="B181" i="10"/>
  <c r="C181" i="10"/>
  <c r="D181" i="10"/>
  <c r="E181" i="10"/>
  <c r="K181" i="10"/>
  <c r="L181" i="10"/>
  <c r="M181" i="10"/>
  <c r="N181" i="10"/>
  <c r="O181" i="10"/>
  <c r="P181" i="10"/>
  <c r="Q181" i="10"/>
  <c r="R181" i="10"/>
  <c r="S181" i="10"/>
  <c r="T181" i="10"/>
  <c r="U181" i="10"/>
  <c r="V181" i="10"/>
  <c r="W181" i="10"/>
  <c r="X181" i="10"/>
  <c r="Y181" i="10"/>
  <c r="Z181" i="10"/>
  <c r="AA181" i="10"/>
  <c r="AB181" i="10"/>
  <c r="AC181" i="10"/>
  <c r="AD181" i="10"/>
  <c r="AE181" i="10"/>
  <c r="AF181" i="10"/>
  <c r="AG181" i="10"/>
  <c r="AH181" i="10"/>
  <c r="AI181" i="10"/>
  <c r="AJ181" i="10"/>
  <c r="AK181" i="10"/>
  <c r="AL181" i="10"/>
  <c r="AN181" i="10"/>
  <c r="AO181" i="10"/>
  <c r="B182" i="10"/>
  <c r="C182" i="10"/>
  <c r="D182" i="10"/>
  <c r="E182" i="10"/>
  <c r="K182" i="10"/>
  <c r="L182" i="10"/>
  <c r="M182" i="10"/>
  <c r="N182" i="10"/>
  <c r="O182" i="10"/>
  <c r="P182" i="10"/>
  <c r="Q182" i="10"/>
  <c r="R182" i="10"/>
  <c r="S182" i="10"/>
  <c r="T182" i="10"/>
  <c r="U182" i="10"/>
  <c r="V182" i="10"/>
  <c r="W182" i="10"/>
  <c r="X182" i="10"/>
  <c r="Y182" i="10"/>
  <c r="Z182" i="10"/>
  <c r="AA182" i="10"/>
  <c r="AB182" i="10"/>
  <c r="AC182" i="10"/>
  <c r="AD182" i="10"/>
  <c r="AE182" i="10"/>
  <c r="AF182" i="10"/>
  <c r="AG182" i="10"/>
  <c r="AH182" i="10"/>
  <c r="AI182" i="10"/>
  <c r="AJ182" i="10"/>
  <c r="AK182" i="10"/>
  <c r="AL182" i="10"/>
  <c r="AN182" i="10"/>
  <c r="AO182" i="10"/>
  <c r="B183" i="10"/>
  <c r="C183" i="10"/>
  <c r="D183" i="10"/>
  <c r="E183" i="10"/>
  <c r="K183" i="10"/>
  <c r="L183" i="10"/>
  <c r="M183" i="10"/>
  <c r="N183" i="10"/>
  <c r="O183" i="10"/>
  <c r="P183" i="10"/>
  <c r="Q183" i="10"/>
  <c r="R183" i="10"/>
  <c r="S183" i="10"/>
  <c r="T183" i="10"/>
  <c r="U183" i="10"/>
  <c r="V183" i="10"/>
  <c r="W183" i="10"/>
  <c r="X183" i="10"/>
  <c r="Y183" i="10"/>
  <c r="Z183" i="10"/>
  <c r="AA183" i="10"/>
  <c r="AB183" i="10"/>
  <c r="AC183" i="10"/>
  <c r="AD183" i="10"/>
  <c r="AE183" i="10"/>
  <c r="AF183" i="10"/>
  <c r="AG183" i="10"/>
  <c r="AH183" i="10"/>
  <c r="AJ183" i="10"/>
  <c r="AK183" i="10"/>
  <c r="AL183" i="10"/>
  <c r="AO183" i="10"/>
  <c r="B184" i="10"/>
  <c r="C184" i="10"/>
  <c r="D184" i="10"/>
  <c r="E184" i="10"/>
  <c r="K184" i="10"/>
  <c r="L184" i="10"/>
  <c r="M184" i="10"/>
  <c r="N184" i="10"/>
  <c r="O184" i="10"/>
  <c r="P184" i="10"/>
  <c r="Q184" i="10"/>
  <c r="R184" i="10"/>
  <c r="S184" i="10"/>
  <c r="T184" i="10"/>
  <c r="U184" i="10"/>
  <c r="V184" i="10"/>
  <c r="W184" i="10"/>
  <c r="X184" i="10"/>
  <c r="Y184" i="10"/>
  <c r="Z184" i="10"/>
  <c r="AA184" i="10"/>
  <c r="AB184" i="10"/>
  <c r="AC184" i="10"/>
  <c r="AD184" i="10"/>
  <c r="AE184" i="10"/>
  <c r="AF184" i="10"/>
  <c r="AG184" i="10"/>
  <c r="AH184" i="10"/>
  <c r="AJ184" i="10"/>
  <c r="AK184" i="10"/>
  <c r="AL184" i="10"/>
  <c r="AO184" i="10"/>
  <c r="B185" i="10"/>
  <c r="C185" i="10"/>
  <c r="E185" i="10"/>
  <c r="K185" i="10"/>
  <c r="L185" i="10"/>
  <c r="M185" i="10"/>
  <c r="N185" i="10"/>
  <c r="O185" i="10"/>
  <c r="P185" i="10"/>
  <c r="Q185" i="10"/>
  <c r="R185" i="10"/>
  <c r="S185" i="10"/>
  <c r="T185" i="10"/>
  <c r="U185" i="10"/>
  <c r="V185" i="10"/>
  <c r="W185" i="10"/>
  <c r="X185" i="10"/>
  <c r="Y185" i="10"/>
  <c r="Z185" i="10"/>
  <c r="AA185" i="10"/>
  <c r="AB185" i="10"/>
  <c r="AD185" i="10"/>
  <c r="AE185" i="10"/>
  <c r="AF185" i="10"/>
  <c r="AG185" i="10"/>
  <c r="AH185" i="10"/>
  <c r="AI185" i="10"/>
  <c r="AJ185" i="10"/>
  <c r="AK185" i="10"/>
  <c r="AL185" i="10"/>
  <c r="AM185" i="10"/>
  <c r="AN185" i="10"/>
  <c r="AO185" i="10"/>
  <c r="B186" i="10"/>
  <c r="C186" i="10"/>
  <c r="E186" i="10"/>
  <c r="K186" i="10"/>
  <c r="L186" i="10"/>
  <c r="M186" i="10"/>
  <c r="N186" i="10"/>
  <c r="O186" i="10"/>
  <c r="P186" i="10"/>
  <c r="Q186" i="10"/>
  <c r="R186" i="10"/>
  <c r="S186" i="10"/>
  <c r="T186" i="10"/>
  <c r="U186" i="10"/>
  <c r="V186" i="10"/>
  <c r="W186" i="10"/>
  <c r="X186" i="10"/>
  <c r="Y186" i="10"/>
  <c r="Z186" i="10"/>
  <c r="AA186" i="10"/>
  <c r="AB186" i="10"/>
  <c r="AD186" i="10"/>
  <c r="AE186" i="10"/>
  <c r="AF186" i="10"/>
  <c r="AG186" i="10"/>
  <c r="AH186" i="10"/>
  <c r="AI186" i="10"/>
  <c r="AJ186" i="10"/>
  <c r="AK186" i="10"/>
  <c r="AL186" i="10"/>
  <c r="AM186" i="10"/>
  <c r="AN186" i="10"/>
  <c r="AO186" i="10"/>
  <c r="B187" i="10"/>
  <c r="C187" i="10"/>
  <c r="E187" i="10"/>
  <c r="K187" i="10"/>
  <c r="L187" i="10"/>
  <c r="M187" i="10"/>
  <c r="N187" i="10"/>
  <c r="O187" i="10"/>
  <c r="P187" i="10"/>
  <c r="Q187" i="10"/>
  <c r="R187" i="10"/>
  <c r="S187" i="10"/>
  <c r="T187" i="10"/>
  <c r="U187" i="10"/>
  <c r="V187" i="10"/>
  <c r="W187" i="10"/>
  <c r="X187" i="10"/>
  <c r="Y187" i="10"/>
  <c r="Z187" i="10"/>
  <c r="AA187" i="10"/>
  <c r="AB187" i="10"/>
  <c r="AD187" i="10"/>
  <c r="AE187" i="10"/>
  <c r="AF187" i="10"/>
  <c r="AG187" i="10"/>
  <c r="AH187" i="10"/>
  <c r="AI187" i="10"/>
  <c r="AJ187" i="10"/>
  <c r="AK187" i="10"/>
  <c r="AL187" i="10"/>
  <c r="AM187" i="10"/>
  <c r="AN187" i="10"/>
  <c r="AO187" i="10"/>
  <c r="B188" i="10"/>
  <c r="C188" i="10"/>
  <c r="E188" i="10"/>
  <c r="K188" i="10"/>
  <c r="L188" i="10"/>
  <c r="M188" i="10"/>
  <c r="N188" i="10"/>
  <c r="O188" i="10"/>
  <c r="P188" i="10"/>
  <c r="Q188" i="10"/>
  <c r="R188" i="10"/>
  <c r="S188" i="10"/>
  <c r="T188" i="10"/>
  <c r="U188" i="10"/>
  <c r="V188" i="10"/>
  <c r="W188" i="10"/>
  <c r="X188" i="10"/>
  <c r="Y188" i="10"/>
  <c r="Z188" i="10"/>
  <c r="AA188" i="10"/>
  <c r="AB188" i="10"/>
  <c r="AD188" i="10"/>
  <c r="AE188" i="10"/>
  <c r="AF188" i="10"/>
  <c r="AG188" i="10"/>
  <c r="AH188" i="10"/>
  <c r="AI188" i="10"/>
  <c r="AJ188" i="10"/>
  <c r="AK188" i="10"/>
  <c r="AL188" i="10"/>
  <c r="AM188" i="10"/>
  <c r="AN188" i="10"/>
  <c r="AO188" i="10"/>
  <c r="B189" i="10"/>
  <c r="C189" i="10"/>
  <c r="E189" i="10"/>
  <c r="K189" i="10"/>
  <c r="L189" i="10"/>
  <c r="M189" i="10"/>
  <c r="N189" i="10"/>
  <c r="O189" i="10"/>
  <c r="P189" i="10"/>
  <c r="Q189" i="10"/>
  <c r="R189" i="10"/>
  <c r="S189" i="10"/>
  <c r="T189" i="10"/>
  <c r="U189" i="10"/>
  <c r="V189" i="10"/>
  <c r="W189" i="10"/>
  <c r="X189" i="10"/>
  <c r="Y189" i="10"/>
  <c r="Z189" i="10"/>
  <c r="AA189" i="10"/>
  <c r="AB189" i="10"/>
  <c r="AC189" i="10"/>
  <c r="AD189" i="10"/>
  <c r="AE189" i="10"/>
  <c r="AF189" i="10"/>
  <c r="AG189" i="10"/>
  <c r="AH189" i="10"/>
  <c r="AI189" i="10"/>
  <c r="AJ189" i="10"/>
  <c r="AK189" i="10"/>
  <c r="AL189" i="10"/>
  <c r="AM189" i="10"/>
  <c r="AN189" i="10"/>
  <c r="AO189" i="10"/>
  <c r="B190" i="10"/>
  <c r="C190" i="10"/>
  <c r="E190" i="10"/>
  <c r="K190" i="10"/>
  <c r="L190" i="10"/>
  <c r="M190" i="10"/>
  <c r="N190" i="10"/>
  <c r="O190" i="10"/>
  <c r="P190" i="10"/>
  <c r="Q190" i="10"/>
  <c r="R190" i="10"/>
  <c r="S190" i="10"/>
  <c r="T190" i="10"/>
  <c r="U190" i="10"/>
  <c r="V190" i="10"/>
  <c r="W190" i="10"/>
  <c r="X190" i="10"/>
  <c r="Y190" i="10"/>
  <c r="Z190" i="10"/>
  <c r="AA190" i="10"/>
  <c r="AB190" i="10"/>
  <c r="AD190" i="10"/>
  <c r="AE190" i="10"/>
  <c r="AF190" i="10"/>
  <c r="AG190" i="10"/>
  <c r="AH190" i="10"/>
  <c r="AI190" i="10"/>
  <c r="AJ190" i="10"/>
  <c r="AK190" i="10"/>
  <c r="AL190" i="10"/>
  <c r="AM190" i="10"/>
  <c r="AN190" i="10"/>
  <c r="AO190" i="10"/>
  <c r="B191" i="10"/>
  <c r="C191" i="10"/>
  <c r="E191" i="10"/>
  <c r="K191" i="10"/>
  <c r="L191" i="10"/>
  <c r="M191" i="10"/>
  <c r="N191" i="10"/>
  <c r="O191" i="10"/>
  <c r="P191" i="10"/>
  <c r="Q191" i="10"/>
  <c r="R191" i="10"/>
  <c r="S191" i="10"/>
  <c r="T191" i="10"/>
  <c r="U191" i="10"/>
  <c r="V191" i="10"/>
  <c r="W191" i="10"/>
  <c r="X191" i="10"/>
  <c r="Y191" i="10"/>
  <c r="Z191" i="10"/>
  <c r="AA191" i="10"/>
  <c r="AB191" i="10"/>
  <c r="AD191" i="10"/>
  <c r="AE191" i="10"/>
  <c r="AF191" i="10"/>
  <c r="AG191" i="10"/>
  <c r="AH191" i="10"/>
  <c r="AI191" i="10"/>
  <c r="AJ191" i="10"/>
  <c r="AK191" i="10"/>
  <c r="AL191" i="10"/>
  <c r="AM191" i="10"/>
  <c r="AN191" i="10"/>
  <c r="AO191" i="10"/>
  <c r="B192" i="10"/>
  <c r="C192" i="10"/>
  <c r="E192" i="10"/>
  <c r="K192" i="10"/>
  <c r="L192" i="10"/>
  <c r="M192" i="10"/>
  <c r="N192" i="10"/>
  <c r="O192" i="10"/>
  <c r="P192" i="10"/>
  <c r="Q192" i="10"/>
  <c r="R192" i="10"/>
  <c r="S192" i="10"/>
  <c r="T192" i="10"/>
  <c r="U192" i="10"/>
  <c r="V192" i="10"/>
  <c r="W192" i="10"/>
  <c r="X192" i="10"/>
  <c r="Y192" i="10"/>
  <c r="Z192" i="10"/>
  <c r="AA192" i="10"/>
  <c r="AB192" i="10"/>
  <c r="AD192" i="10"/>
  <c r="AE192" i="10"/>
  <c r="AF192" i="10"/>
  <c r="AG192" i="10"/>
  <c r="AH192" i="10"/>
  <c r="AI192" i="10"/>
  <c r="AJ192" i="10"/>
  <c r="AK192" i="10"/>
  <c r="AL192" i="10"/>
  <c r="AM192" i="10"/>
  <c r="AN192" i="10"/>
  <c r="AO192" i="10"/>
  <c r="B193" i="10"/>
  <c r="C193" i="10"/>
  <c r="E193" i="10"/>
  <c r="K193" i="10"/>
  <c r="L193" i="10"/>
  <c r="M193" i="10"/>
  <c r="N193" i="10"/>
  <c r="O193" i="10"/>
  <c r="P193" i="10"/>
  <c r="Q193" i="10"/>
  <c r="R193" i="10"/>
  <c r="S193" i="10"/>
  <c r="T193" i="10"/>
  <c r="U193" i="10"/>
  <c r="V193" i="10"/>
  <c r="W193" i="10"/>
  <c r="X193" i="10"/>
  <c r="Y193" i="10"/>
  <c r="Z193" i="10"/>
  <c r="AA193" i="10"/>
  <c r="AB193" i="10"/>
  <c r="AD193" i="10"/>
  <c r="AE193" i="10"/>
  <c r="AF193" i="10"/>
  <c r="AG193" i="10"/>
  <c r="AH193" i="10"/>
  <c r="AI193" i="10"/>
  <c r="AJ193" i="10"/>
  <c r="AK193" i="10"/>
  <c r="AL193" i="10"/>
  <c r="AM193" i="10"/>
  <c r="AN193" i="10"/>
  <c r="AO193" i="10"/>
  <c r="B194" i="10"/>
  <c r="C194" i="10"/>
  <c r="E194" i="10"/>
  <c r="K194" i="10"/>
  <c r="L194" i="10"/>
  <c r="M194" i="10"/>
  <c r="N194" i="10"/>
  <c r="O194" i="10"/>
  <c r="P194" i="10"/>
  <c r="Q194" i="10"/>
  <c r="R194" i="10"/>
  <c r="S194" i="10"/>
  <c r="T194" i="10"/>
  <c r="U194" i="10"/>
  <c r="V194" i="10"/>
  <c r="W194" i="10"/>
  <c r="X194" i="10"/>
  <c r="Y194" i="10"/>
  <c r="Z194" i="10"/>
  <c r="AA194" i="10"/>
  <c r="AB194" i="10"/>
  <c r="AD194" i="10"/>
  <c r="AE194" i="10"/>
  <c r="AF194" i="10"/>
  <c r="AG194" i="10"/>
  <c r="AH194" i="10"/>
  <c r="AI194" i="10"/>
  <c r="AJ194" i="10"/>
  <c r="AK194" i="10"/>
  <c r="AL194" i="10"/>
  <c r="AM194" i="10"/>
  <c r="AN194" i="10"/>
  <c r="AO194" i="10"/>
  <c r="B195" i="10"/>
  <c r="C195" i="10"/>
  <c r="E195" i="10"/>
  <c r="K195" i="10"/>
  <c r="L195" i="10"/>
  <c r="M195" i="10"/>
  <c r="N195" i="10"/>
  <c r="O195" i="10"/>
  <c r="P195" i="10"/>
  <c r="Q195" i="10"/>
  <c r="R195" i="10"/>
  <c r="S195" i="10"/>
  <c r="T195" i="10"/>
  <c r="U195" i="10"/>
  <c r="V195" i="10"/>
  <c r="W195" i="10"/>
  <c r="X195" i="10"/>
  <c r="Y195" i="10"/>
  <c r="Z195" i="10"/>
  <c r="AA195" i="10"/>
  <c r="AB195" i="10"/>
  <c r="AD195" i="10"/>
  <c r="AE195" i="10"/>
  <c r="AF195" i="10"/>
  <c r="AG195" i="10"/>
  <c r="AH195" i="10"/>
  <c r="AI195" i="10"/>
  <c r="AJ195" i="10"/>
  <c r="AK195" i="10"/>
  <c r="AL195" i="10"/>
  <c r="AM195" i="10"/>
  <c r="AN195" i="10"/>
  <c r="AO195" i="10"/>
  <c r="B196" i="10"/>
  <c r="C196" i="10"/>
  <c r="E196" i="10"/>
  <c r="K196" i="10"/>
  <c r="L196" i="10"/>
  <c r="M196" i="10"/>
  <c r="N196" i="10"/>
  <c r="O196" i="10"/>
  <c r="P196" i="10"/>
  <c r="Q196" i="10"/>
  <c r="R196" i="10"/>
  <c r="S196" i="10"/>
  <c r="T196" i="10"/>
  <c r="U196" i="10"/>
  <c r="V196" i="10"/>
  <c r="W196" i="10"/>
  <c r="X196" i="10"/>
  <c r="Y196" i="10"/>
  <c r="Z196" i="10"/>
  <c r="AA196" i="10"/>
  <c r="AB196" i="10"/>
  <c r="AD196" i="10"/>
  <c r="AE196" i="10"/>
  <c r="AF196" i="10"/>
  <c r="AG196" i="10"/>
  <c r="AH196" i="10"/>
  <c r="AI196" i="10"/>
  <c r="AJ196" i="10"/>
  <c r="AK196" i="10"/>
  <c r="AL196" i="10"/>
  <c r="AM196" i="10"/>
  <c r="AN196" i="10"/>
  <c r="AO196" i="10"/>
  <c r="B197" i="10"/>
  <c r="C197" i="10"/>
  <c r="E197" i="10"/>
  <c r="K197" i="10"/>
  <c r="L197" i="10"/>
  <c r="M197" i="10"/>
  <c r="N197" i="10"/>
  <c r="O197" i="10"/>
  <c r="P197" i="10"/>
  <c r="Q197" i="10"/>
  <c r="R197" i="10"/>
  <c r="S197" i="10"/>
  <c r="T197" i="10"/>
  <c r="U197" i="10"/>
  <c r="V197" i="10"/>
  <c r="W197" i="10"/>
  <c r="X197" i="10"/>
  <c r="Y197" i="10"/>
  <c r="Z197" i="10"/>
  <c r="AA197" i="10"/>
  <c r="AB197" i="10"/>
  <c r="AD197" i="10"/>
  <c r="AE197" i="10"/>
  <c r="AF197" i="10"/>
  <c r="AG197" i="10"/>
  <c r="AH197" i="10"/>
  <c r="AI197" i="10"/>
  <c r="AJ197" i="10"/>
  <c r="AK197" i="10"/>
  <c r="AL197" i="10"/>
  <c r="AM197" i="10"/>
  <c r="AN197" i="10"/>
  <c r="AO197" i="10"/>
  <c r="B198" i="10"/>
  <c r="C198" i="10"/>
  <c r="E198" i="10"/>
  <c r="K198" i="10"/>
  <c r="L198" i="10"/>
  <c r="M198" i="10"/>
  <c r="N198" i="10"/>
  <c r="O198" i="10"/>
  <c r="P198" i="10"/>
  <c r="Q198" i="10"/>
  <c r="R198" i="10"/>
  <c r="S198" i="10"/>
  <c r="T198" i="10"/>
  <c r="U198" i="10"/>
  <c r="V198" i="10"/>
  <c r="W198" i="10"/>
  <c r="X198" i="10"/>
  <c r="Y198" i="10"/>
  <c r="Z198" i="10"/>
  <c r="AA198" i="10"/>
  <c r="AB198" i="10"/>
  <c r="AD198" i="10"/>
  <c r="AE198" i="10"/>
  <c r="AF198" i="10"/>
  <c r="AG198" i="10"/>
  <c r="AH198" i="10"/>
  <c r="AI198" i="10"/>
  <c r="AJ198" i="10"/>
  <c r="AK198" i="10"/>
  <c r="AL198" i="10"/>
  <c r="AM198" i="10"/>
  <c r="AN198" i="10"/>
  <c r="AO198" i="10"/>
  <c r="B199" i="10"/>
  <c r="C199" i="10"/>
  <c r="E199" i="10"/>
  <c r="K199" i="10"/>
  <c r="L199" i="10"/>
  <c r="M199" i="10"/>
  <c r="N199" i="10"/>
  <c r="O199" i="10"/>
  <c r="P199" i="10"/>
  <c r="Q199" i="10"/>
  <c r="R199" i="10"/>
  <c r="S199" i="10"/>
  <c r="T199" i="10"/>
  <c r="U199" i="10"/>
  <c r="V199" i="10"/>
  <c r="W199" i="10"/>
  <c r="X199" i="10"/>
  <c r="Y199" i="10"/>
  <c r="Z199" i="10"/>
  <c r="AA199" i="10"/>
  <c r="AB199" i="10"/>
  <c r="AD199" i="10"/>
  <c r="AE199" i="10"/>
  <c r="AF199" i="10"/>
  <c r="AG199" i="10"/>
  <c r="AH199" i="10"/>
  <c r="AI199" i="10"/>
  <c r="AJ199" i="10"/>
  <c r="AK199" i="10"/>
  <c r="AL199" i="10"/>
  <c r="AM199" i="10"/>
  <c r="AN199" i="10"/>
  <c r="AO199" i="10"/>
  <c r="B200" i="10"/>
  <c r="C200" i="10"/>
  <c r="D200" i="10"/>
  <c r="F200" i="10"/>
  <c r="G200" i="10"/>
  <c r="H200" i="10"/>
  <c r="I200" i="10"/>
  <c r="J200" i="10"/>
  <c r="L200" i="10"/>
  <c r="O200" i="10"/>
  <c r="P200" i="10"/>
  <c r="Q200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G200" i="10"/>
  <c r="AH200" i="10"/>
  <c r="AI200" i="10"/>
  <c r="AJ200" i="10"/>
  <c r="AK200" i="10"/>
  <c r="AL200" i="10"/>
  <c r="AM200" i="10"/>
  <c r="AN200" i="10"/>
  <c r="AO200" i="10"/>
  <c r="B201" i="10"/>
  <c r="C201" i="10"/>
  <c r="D201" i="10"/>
  <c r="F201" i="10"/>
  <c r="G201" i="10"/>
  <c r="H201" i="10"/>
  <c r="I201" i="10"/>
  <c r="J201" i="10"/>
  <c r="L201" i="10"/>
  <c r="O201" i="10"/>
  <c r="P201" i="10"/>
  <c r="Q201" i="10"/>
  <c r="R201" i="10"/>
  <c r="S201" i="10"/>
  <c r="T201" i="10"/>
  <c r="U201" i="10"/>
  <c r="V201" i="10"/>
  <c r="W201" i="10"/>
  <c r="X201" i="10"/>
  <c r="Y201" i="10"/>
  <c r="Z201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AM201" i="10"/>
  <c r="AN201" i="10"/>
  <c r="AO201" i="10"/>
  <c r="B202" i="10"/>
  <c r="C202" i="10"/>
  <c r="D202" i="10"/>
  <c r="F202" i="10"/>
  <c r="G202" i="10"/>
  <c r="H202" i="10"/>
  <c r="I202" i="10"/>
  <c r="J202" i="10"/>
  <c r="L202" i="10"/>
  <c r="O202" i="10"/>
  <c r="P202" i="10"/>
  <c r="Q202" i="10"/>
  <c r="R202" i="10"/>
  <c r="S202" i="10"/>
  <c r="T202" i="10"/>
  <c r="U202" i="10"/>
  <c r="V202" i="10"/>
  <c r="W202" i="10"/>
  <c r="X202" i="10"/>
  <c r="Y202" i="10"/>
  <c r="Z202" i="10"/>
  <c r="AA202" i="10"/>
  <c r="AB202" i="10"/>
  <c r="AC202" i="10"/>
  <c r="AD202" i="10"/>
  <c r="AE202" i="10"/>
  <c r="AF202" i="10"/>
  <c r="AG202" i="10"/>
  <c r="AH202" i="10"/>
  <c r="AI202" i="10"/>
  <c r="AJ202" i="10"/>
  <c r="AK202" i="10"/>
  <c r="AL202" i="10"/>
  <c r="AM202" i="10"/>
  <c r="AN202" i="10"/>
  <c r="AO202" i="10"/>
  <c r="B203" i="10"/>
  <c r="C203" i="10"/>
  <c r="D203" i="10"/>
  <c r="F203" i="10"/>
  <c r="G203" i="10"/>
  <c r="H203" i="10"/>
  <c r="I203" i="10"/>
  <c r="J203" i="10"/>
  <c r="L203" i="10"/>
  <c r="O203" i="10"/>
  <c r="P203" i="10"/>
  <c r="Q203" i="10"/>
  <c r="R203" i="10"/>
  <c r="S203" i="10"/>
  <c r="T203" i="10"/>
  <c r="U203" i="10"/>
  <c r="V203" i="10"/>
  <c r="W203" i="10"/>
  <c r="X203" i="10"/>
  <c r="Y203" i="10"/>
  <c r="Z203" i="10"/>
  <c r="AA203" i="10"/>
  <c r="AB203" i="10"/>
  <c r="AC203" i="10"/>
  <c r="AD203" i="10"/>
  <c r="AE203" i="10"/>
  <c r="AF203" i="10"/>
  <c r="AG203" i="10"/>
  <c r="AH203" i="10"/>
  <c r="AI203" i="10"/>
  <c r="AJ203" i="10"/>
  <c r="AK203" i="10"/>
  <c r="AL203" i="10"/>
  <c r="AM203" i="10"/>
  <c r="AN203" i="10"/>
  <c r="AO203" i="10"/>
  <c r="B204" i="10"/>
  <c r="C204" i="10"/>
  <c r="D204" i="10"/>
  <c r="F204" i="10"/>
  <c r="G204" i="10"/>
  <c r="H204" i="10"/>
  <c r="I204" i="10"/>
  <c r="J204" i="10"/>
  <c r="L204" i="10"/>
  <c r="O204" i="10"/>
  <c r="P204" i="10"/>
  <c r="Q204" i="10"/>
  <c r="R204" i="10"/>
  <c r="S204" i="10"/>
  <c r="T204" i="10"/>
  <c r="U204" i="10"/>
  <c r="V204" i="10"/>
  <c r="W204" i="10"/>
  <c r="X204" i="10"/>
  <c r="Y204" i="10"/>
  <c r="Z204" i="10"/>
  <c r="AA204" i="10"/>
  <c r="AB204" i="10"/>
  <c r="AC204" i="10"/>
  <c r="AD204" i="10"/>
  <c r="AE204" i="10"/>
  <c r="AF204" i="10"/>
  <c r="AG204" i="10"/>
  <c r="AH204" i="10"/>
  <c r="AI204" i="10"/>
  <c r="AJ204" i="10"/>
  <c r="AK204" i="10"/>
  <c r="AL204" i="10"/>
  <c r="AM204" i="10"/>
  <c r="AN204" i="10"/>
  <c r="AO204" i="10"/>
  <c r="B205" i="10"/>
  <c r="C205" i="10"/>
  <c r="D205" i="10"/>
  <c r="F205" i="10"/>
  <c r="G205" i="10"/>
  <c r="H205" i="10"/>
  <c r="I205" i="10"/>
  <c r="J205" i="10"/>
  <c r="L205" i="10"/>
  <c r="O205" i="10"/>
  <c r="P205" i="10"/>
  <c r="Q205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G205" i="10"/>
  <c r="AH205" i="10"/>
  <c r="AI205" i="10"/>
  <c r="AJ205" i="10"/>
  <c r="AK205" i="10"/>
  <c r="AL205" i="10"/>
  <c r="AM205" i="10"/>
  <c r="AN205" i="10"/>
  <c r="AO205" i="10"/>
  <c r="B206" i="10"/>
  <c r="C206" i="10"/>
  <c r="D206" i="10"/>
  <c r="F206" i="10"/>
  <c r="G206" i="10"/>
  <c r="H206" i="10"/>
  <c r="I206" i="10"/>
  <c r="J206" i="10"/>
  <c r="L206" i="10"/>
  <c r="O206" i="10"/>
  <c r="P206" i="10"/>
  <c r="Q206" i="10"/>
  <c r="R206" i="10"/>
  <c r="S206" i="10"/>
  <c r="T206" i="10"/>
  <c r="U206" i="10"/>
  <c r="V206" i="10"/>
  <c r="W206" i="10"/>
  <c r="X206" i="10"/>
  <c r="Y206" i="10"/>
  <c r="Z206" i="10"/>
  <c r="AA206" i="10"/>
  <c r="AB206" i="10"/>
  <c r="AC206" i="10"/>
  <c r="AD206" i="10"/>
  <c r="AE206" i="10"/>
  <c r="AF206" i="10"/>
  <c r="AG206" i="10"/>
  <c r="AH206" i="10"/>
  <c r="AI206" i="10"/>
  <c r="AJ206" i="10"/>
  <c r="AK206" i="10"/>
  <c r="AL206" i="10"/>
  <c r="AM206" i="10"/>
  <c r="AN206" i="10"/>
  <c r="AO206" i="10"/>
  <c r="B207" i="10"/>
  <c r="C207" i="10"/>
  <c r="D207" i="10"/>
  <c r="F207" i="10"/>
  <c r="G207" i="10"/>
  <c r="H207" i="10"/>
  <c r="I207" i="10"/>
  <c r="J207" i="10"/>
  <c r="L207" i="10"/>
  <c r="O207" i="10"/>
  <c r="P207" i="10"/>
  <c r="Q207" i="10"/>
  <c r="R207" i="10"/>
  <c r="S207" i="10"/>
  <c r="T207" i="10"/>
  <c r="U207" i="10"/>
  <c r="V207" i="10"/>
  <c r="W207" i="10"/>
  <c r="X207" i="10"/>
  <c r="Y207" i="10"/>
  <c r="Z207" i="10"/>
  <c r="AA207" i="10"/>
  <c r="AB207" i="10"/>
  <c r="AC207" i="10"/>
  <c r="AD207" i="10"/>
  <c r="AE207" i="10"/>
  <c r="AF207" i="10"/>
  <c r="AG207" i="10"/>
  <c r="AH207" i="10"/>
  <c r="AI207" i="10"/>
  <c r="AJ207" i="10"/>
  <c r="AK207" i="10"/>
  <c r="AL207" i="10"/>
  <c r="AM207" i="10"/>
  <c r="AN207" i="10"/>
  <c r="AO207" i="10"/>
  <c r="B208" i="10"/>
  <c r="C208" i="10"/>
  <c r="D208" i="10"/>
  <c r="F208" i="10"/>
  <c r="G208" i="10"/>
  <c r="H208" i="10"/>
  <c r="I208" i="10"/>
  <c r="J208" i="10"/>
  <c r="L208" i="10"/>
  <c r="O208" i="10"/>
  <c r="P208" i="10"/>
  <c r="Q208" i="10"/>
  <c r="R208" i="10"/>
  <c r="S208" i="10"/>
  <c r="T208" i="10"/>
  <c r="U208" i="10"/>
  <c r="V208" i="10"/>
  <c r="W208" i="10"/>
  <c r="X208" i="10"/>
  <c r="Y208" i="10"/>
  <c r="Z208" i="10"/>
  <c r="AA208" i="10"/>
  <c r="AB208" i="10"/>
  <c r="AC208" i="10"/>
  <c r="AD208" i="10"/>
  <c r="AE208" i="10"/>
  <c r="AF208" i="10"/>
  <c r="AG208" i="10"/>
  <c r="AH208" i="10"/>
  <c r="AI208" i="10"/>
  <c r="AJ208" i="10"/>
  <c r="AK208" i="10"/>
  <c r="AL208" i="10"/>
  <c r="AM208" i="10"/>
  <c r="AN208" i="10"/>
  <c r="AO208" i="10"/>
  <c r="B209" i="10"/>
  <c r="C209" i="10"/>
  <c r="D209" i="10"/>
  <c r="F209" i="10"/>
  <c r="G209" i="10"/>
  <c r="H209" i="10"/>
  <c r="I209" i="10"/>
  <c r="J209" i="10"/>
  <c r="L209" i="10"/>
  <c r="O209" i="10"/>
  <c r="P209" i="10"/>
  <c r="Q209" i="10"/>
  <c r="R209" i="10"/>
  <c r="S209" i="10"/>
  <c r="T209" i="10"/>
  <c r="U209" i="10"/>
  <c r="V209" i="10"/>
  <c r="W209" i="10"/>
  <c r="X209" i="10"/>
  <c r="Y209" i="10"/>
  <c r="Z209" i="10"/>
  <c r="AA209" i="10"/>
  <c r="AB209" i="10"/>
  <c r="AC209" i="10"/>
  <c r="AD209" i="10"/>
  <c r="AE209" i="10"/>
  <c r="AF209" i="10"/>
  <c r="AG209" i="10"/>
  <c r="AH209" i="10"/>
  <c r="AJ209" i="10"/>
  <c r="AK209" i="10"/>
  <c r="AL209" i="10"/>
  <c r="AN209" i="10"/>
  <c r="AO209" i="10"/>
  <c r="B210" i="10"/>
  <c r="C210" i="10"/>
  <c r="D210" i="10"/>
  <c r="F210" i="10"/>
  <c r="G210" i="10"/>
  <c r="H210" i="10"/>
  <c r="I210" i="10"/>
  <c r="J210" i="10"/>
  <c r="L210" i="10"/>
  <c r="O210" i="10"/>
  <c r="P210" i="10"/>
  <c r="Q210" i="10"/>
  <c r="R210" i="10"/>
  <c r="S210" i="10"/>
  <c r="T210" i="10"/>
  <c r="U210" i="10"/>
  <c r="V210" i="10"/>
  <c r="W210" i="10"/>
  <c r="X210" i="10"/>
  <c r="Y210" i="10"/>
  <c r="Z210" i="10"/>
  <c r="AA210" i="10"/>
  <c r="AB210" i="10"/>
  <c r="AC210" i="10"/>
  <c r="AD210" i="10"/>
  <c r="AE210" i="10"/>
  <c r="AF210" i="10"/>
  <c r="AG210" i="10"/>
  <c r="AH210" i="10"/>
  <c r="AJ210" i="10"/>
  <c r="AL210" i="10"/>
  <c r="AN210" i="10"/>
  <c r="AO210" i="10"/>
  <c r="B211" i="10"/>
  <c r="C211" i="10"/>
  <c r="D211" i="10"/>
  <c r="F211" i="10"/>
  <c r="G211" i="10"/>
  <c r="H211" i="10"/>
  <c r="I211" i="10"/>
  <c r="J211" i="10"/>
  <c r="L211" i="10"/>
  <c r="M211" i="10"/>
  <c r="O211" i="10"/>
  <c r="P211" i="10"/>
  <c r="Q211" i="10"/>
  <c r="R211" i="10"/>
  <c r="S211" i="10"/>
  <c r="T211" i="10"/>
  <c r="U211" i="10"/>
  <c r="V211" i="10"/>
  <c r="W211" i="10"/>
  <c r="X211" i="10"/>
  <c r="Y211" i="10"/>
  <c r="Z211" i="10"/>
  <c r="AA211" i="10"/>
  <c r="AB211" i="10"/>
  <c r="AC211" i="10"/>
  <c r="AD211" i="10"/>
  <c r="AE211" i="10"/>
  <c r="AF211" i="10"/>
  <c r="AG211" i="10"/>
  <c r="AH211" i="10"/>
  <c r="AJ211" i="10"/>
  <c r="AK211" i="10"/>
  <c r="AL211" i="10"/>
  <c r="AN211" i="10"/>
  <c r="AO211" i="10"/>
  <c r="B212" i="10"/>
  <c r="C212" i="10"/>
  <c r="D212" i="10"/>
  <c r="F212" i="10"/>
  <c r="G212" i="10"/>
  <c r="H212" i="10"/>
  <c r="I212" i="10"/>
  <c r="J212" i="10"/>
  <c r="L212" i="10"/>
  <c r="O212" i="10"/>
  <c r="P212" i="10"/>
  <c r="Q212" i="10"/>
  <c r="R212" i="10"/>
  <c r="S212" i="10"/>
  <c r="T212" i="10"/>
  <c r="U212" i="10"/>
  <c r="V212" i="10"/>
  <c r="W212" i="10"/>
  <c r="X212" i="10"/>
  <c r="Y212" i="10"/>
  <c r="Z212" i="10"/>
  <c r="AA212" i="10"/>
  <c r="AB212" i="10"/>
  <c r="AC212" i="10"/>
  <c r="AD212" i="10"/>
  <c r="AE212" i="10"/>
  <c r="AF212" i="10"/>
  <c r="AG212" i="10"/>
  <c r="AH212" i="10"/>
  <c r="AJ212" i="10"/>
  <c r="AK212" i="10"/>
  <c r="AL212" i="10"/>
  <c r="AN212" i="10"/>
  <c r="AO212" i="10"/>
  <c r="B213" i="10"/>
  <c r="C213" i="10"/>
  <c r="D213" i="10"/>
  <c r="F213" i="10"/>
  <c r="G213" i="10"/>
  <c r="H213" i="10"/>
  <c r="I213" i="10"/>
  <c r="J213" i="10"/>
  <c r="L213" i="10"/>
  <c r="O213" i="10"/>
  <c r="P213" i="10"/>
  <c r="Q213" i="10"/>
  <c r="R213" i="10"/>
  <c r="S213" i="10"/>
  <c r="T213" i="10"/>
  <c r="U213" i="10"/>
  <c r="V213" i="10"/>
  <c r="W213" i="10"/>
  <c r="X213" i="10"/>
  <c r="Y213" i="10"/>
  <c r="Z213" i="10"/>
  <c r="AA213" i="10"/>
  <c r="AB213" i="10"/>
  <c r="AC213" i="10"/>
  <c r="AD213" i="10"/>
  <c r="AE213" i="10"/>
  <c r="AF213" i="10"/>
  <c r="AG213" i="10"/>
  <c r="AH213" i="10"/>
  <c r="AJ213" i="10"/>
  <c r="AK213" i="10"/>
  <c r="AL213" i="10"/>
  <c r="AN213" i="10"/>
  <c r="AO213" i="10"/>
  <c r="B214" i="10"/>
  <c r="C214" i="10"/>
  <c r="F214" i="10"/>
  <c r="G214" i="10"/>
  <c r="H214" i="10"/>
  <c r="I214" i="10"/>
  <c r="J214" i="10"/>
  <c r="L214" i="10"/>
  <c r="O214" i="10"/>
  <c r="P214" i="10"/>
  <c r="Q214" i="10"/>
  <c r="R214" i="10"/>
  <c r="S214" i="10"/>
  <c r="T214" i="10"/>
  <c r="U214" i="10"/>
  <c r="V214" i="10"/>
  <c r="W214" i="10"/>
  <c r="X214" i="10"/>
  <c r="Y214" i="10"/>
  <c r="Z214" i="10"/>
  <c r="AA214" i="10"/>
  <c r="AB214" i="10"/>
  <c r="AC214" i="10"/>
  <c r="AD214" i="10"/>
  <c r="AE214" i="10"/>
  <c r="AF214" i="10"/>
  <c r="AG214" i="10"/>
  <c r="AH214" i="10"/>
  <c r="AJ214" i="10"/>
  <c r="AK214" i="10"/>
  <c r="AL214" i="10"/>
  <c r="AN214" i="10"/>
  <c r="AO214" i="10"/>
  <c r="B215" i="10"/>
  <c r="C215" i="10"/>
  <c r="D215" i="10"/>
  <c r="F215" i="10"/>
  <c r="G215" i="10"/>
  <c r="H215" i="10"/>
  <c r="I215" i="10"/>
  <c r="J215" i="10"/>
  <c r="L215" i="10"/>
  <c r="O215" i="10"/>
  <c r="P215" i="10"/>
  <c r="Q215" i="10"/>
  <c r="R215" i="10"/>
  <c r="S215" i="10"/>
  <c r="T215" i="10"/>
  <c r="U215" i="10"/>
  <c r="V215" i="10"/>
  <c r="W215" i="10"/>
  <c r="X215" i="10"/>
  <c r="Y215" i="10"/>
  <c r="Z215" i="10"/>
  <c r="AA215" i="10"/>
  <c r="AB215" i="10"/>
  <c r="AC215" i="10"/>
  <c r="AD215" i="10"/>
  <c r="AE215" i="10"/>
  <c r="AF215" i="10"/>
  <c r="AG215" i="10"/>
  <c r="AH215" i="10"/>
  <c r="AJ215" i="10"/>
  <c r="AK215" i="10"/>
  <c r="AL215" i="10"/>
  <c r="AN215" i="10"/>
  <c r="AO215" i="10"/>
  <c r="B216" i="10"/>
  <c r="C216" i="10"/>
  <c r="D216" i="10"/>
  <c r="E216" i="10"/>
  <c r="F216" i="10"/>
  <c r="G216" i="10"/>
  <c r="H216" i="10"/>
  <c r="I216" i="10"/>
  <c r="J216" i="10"/>
  <c r="L216" i="10"/>
  <c r="O216" i="10"/>
  <c r="P216" i="10"/>
  <c r="Q216" i="10"/>
  <c r="R216" i="10"/>
  <c r="S216" i="10"/>
  <c r="T216" i="10"/>
  <c r="U216" i="10"/>
  <c r="V216" i="10"/>
  <c r="W216" i="10"/>
  <c r="X216" i="10"/>
  <c r="Y216" i="10"/>
  <c r="Z216" i="10"/>
  <c r="AA216" i="10"/>
  <c r="AB216" i="10"/>
  <c r="AD216" i="10"/>
  <c r="AE216" i="10"/>
  <c r="AF216" i="10"/>
  <c r="AG216" i="10"/>
  <c r="AH216" i="10"/>
  <c r="AI216" i="10"/>
  <c r="AJ216" i="10"/>
  <c r="AL216" i="10"/>
  <c r="AM216" i="10"/>
  <c r="AO216" i="10"/>
  <c r="B217" i="10"/>
  <c r="C217" i="10"/>
  <c r="D217" i="10"/>
  <c r="E217" i="10"/>
  <c r="F217" i="10"/>
  <c r="G217" i="10"/>
  <c r="H217" i="10"/>
  <c r="I217" i="10"/>
  <c r="J217" i="10"/>
  <c r="L217" i="10"/>
  <c r="O217" i="10"/>
  <c r="P217" i="10"/>
  <c r="Q217" i="10"/>
  <c r="R217" i="10"/>
  <c r="S217" i="10"/>
  <c r="T217" i="10"/>
  <c r="U217" i="10"/>
  <c r="V217" i="10"/>
  <c r="W217" i="10"/>
  <c r="X217" i="10"/>
  <c r="Y217" i="10"/>
  <c r="Z217" i="10"/>
  <c r="AA217" i="10"/>
  <c r="AB217" i="10"/>
  <c r="AD217" i="10"/>
  <c r="AE217" i="10"/>
  <c r="AF217" i="10"/>
  <c r="AG217" i="10"/>
  <c r="AH217" i="10"/>
  <c r="AI217" i="10"/>
  <c r="AJ217" i="10"/>
  <c r="AL217" i="10"/>
  <c r="AM217" i="10"/>
  <c r="AO217" i="10"/>
  <c r="B218" i="10"/>
  <c r="C218" i="10"/>
  <c r="D218" i="10"/>
  <c r="E218" i="10"/>
  <c r="F218" i="10"/>
  <c r="G218" i="10"/>
  <c r="H218" i="10"/>
  <c r="I218" i="10"/>
  <c r="J218" i="10"/>
  <c r="L218" i="10"/>
  <c r="O218" i="10"/>
  <c r="P218" i="10"/>
  <c r="Q218" i="10"/>
  <c r="R218" i="10"/>
  <c r="S218" i="10"/>
  <c r="T218" i="10"/>
  <c r="U218" i="10"/>
  <c r="V218" i="10"/>
  <c r="W218" i="10"/>
  <c r="X218" i="10"/>
  <c r="Y218" i="10"/>
  <c r="Z218" i="10"/>
  <c r="AA218" i="10"/>
  <c r="AB218" i="10"/>
  <c r="AD218" i="10"/>
  <c r="AE218" i="10"/>
  <c r="AF218" i="10"/>
  <c r="AG218" i="10"/>
  <c r="AH218" i="10"/>
  <c r="AI218" i="10"/>
  <c r="AJ218" i="10"/>
  <c r="AL218" i="10"/>
  <c r="AM218" i="10"/>
  <c r="AO218" i="10"/>
  <c r="B219" i="10"/>
  <c r="C219" i="10"/>
  <c r="D219" i="10"/>
  <c r="E219" i="10"/>
  <c r="F219" i="10"/>
  <c r="G219" i="10"/>
  <c r="H219" i="10"/>
  <c r="I219" i="10"/>
  <c r="J219" i="10"/>
  <c r="L219" i="10"/>
  <c r="O219" i="10"/>
  <c r="P219" i="10"/>
  <c r="Q219" i="10"/>
  <c r="R219" i="10"/>
  <c r="S219" i="10"/>
  <c r="T219" i="10"/>
  <c r="U219" i="10"/>
  <c r="V219" i="10"/>
  <c r="W219" i="10"/>
  <c r="X219" i="10"/>
  <c r="Y219" i="10"/>
  <c r="Z219" i="10"/>
  <c r="AA219" i="10"/>
  <c r="AB219" i="10"/>
  <c r="AD219" i="10"/>
  <c r="AE219" i="10"/>
  <c r="AF219" i="10"/>
  <c r="AG219" i="10"/>
  <c r="AH219" i="10"/>
  <c r="AI219" i="10"/>
  <c r="AJ219" i="10"/>
  <c r="AL219" i="10"/>
  <c r="AM219" i="10"/>
  <c r="AO219" i="10"/>
  <c r="B220" i="10"/>
  <c r="C220" i="10"/>
  <c r="D220" i="10"/>
  <c r="E220" i="10"/>
  <c r="F220" i="10"/>
  <c r="G220" i="10"/>
  <c r="H220" i="10"/>
  <c r="I220" i="10"/>
  <c r="J220" i="10"/>
  <c r="L220" i="10"/>
  <c r="O220" i="10"/>
  <c r="P220" i="10"/>
  <c r="Q220" i="10"/>
  <c r="R220" i="10"/>
  <c r="S220" i="10"/>
  <c r="T220" i="10"/>
  <c r="U220" i="10"/>
  <c r="V220" i="10"/>
  <c r="W220" i="10"/>
  <c r="X220" i="10"/>
  <c r="Y220" i="10"/>
  <c r="Z220" i="10"/>
  <c r="AA220" i="10"/>
  <c r="AB220" i="10"/>
  <c r="AD220" i="10"/>
  <c r="AE220" i="10"/>
  <c r="AF220" i="10"/>
  <c r="AG220" i="10"/>
  <c r="AH220" i="10"/>
  <c r="AI220" i="10"/>
  <c r="AJ220" i="10"/>
  <c r="AL220" i="10"/>
  <c r="AM220" i="10"/>
  <c r="AO220" i="10"/>
  <c r="B221" i="10"/>
  <c r="C221" i="10"/>
  <c r="D221" i="10"/>
  <c r="E221" i="10"/>
  <c r="F221" i="10"/>
  <c r="G221" i="10"/>
  <c r="H221" i="10"/>
  <c r="I221" i="10"/>
  <c r="J221" i="10"/>
  <c r="L221" i="10"/>
  <c r="O221" i="10"/>
  <c r="P221" i="10"/>
  <c r="Q221" i="10"/>
  <c r="R221" i="10"/>
  <c r="S221" i="10"/>
  <c r="T221" i="10"/>
  <c r="U221" i="10"/>
  <c r="V221" i="10"/>
  <c r="W221" i="10"/>
  <c r="X221" i="10"/>
  <c r="Y221" i="10"/>
  <c r="Z221" i="10"/>
  <c r="AA221" i="10"/>
  <c r="AB221" i="10"/>
  <c r="AD221" i="10"/>
  <c r="AE221" i="10"/>
  <c r="AF221" i="10"/>
  <c r="AG221" i="10"/>
  <c r="AH221" i="10"/>
  <c r="AI221" i="10"/>
  <c r="AJ221" i="10"/>
  <c r="AL221" i="10"/>
  <c r="AM221" i="10"/>
  <c r="AO221" i="10"/>
  <c r="B222" i="10"/>
  <c r="C222" i="10"/>
  <c r="D222" i="10"/>
  <c r="E222" i="10"/>
  <c r="F222" i="10"/>
  <c r="G222" i="10"/>
  <c r="H222" i="10"/>
  <c r="I222" i="10"/>
  <c r="J222" i="10"/>
  <c r="L222" i="10"/>
  <c r="O222" i="10"/>
  <c r="P222" i="10"/>
  <c r="Q222" i="10"/>
  <c r="R222" i="10"/>
  <c r="S222" i="10"/>
  <c r="T222" i="10"/>
  <c r="U222" i="10"/>
  <c r="V222" i="10"/>
  <c r="W222" i="10"/>
  <c r="X222" i="10"/>
  <c r="Y222" i="10"/>
  <c r="Z222" i="10"/>
  <c r="AA222" i="10"/>
  <c r="AB222" i="10"/>
  <c r="AD222" i="10"/>
  <c r="AE222" i="10"/>
  <c r="AF222" i="10"/>
  <c r="AG222" i="10"/>
  <c r="AH222" i="10"/>
  <c r="AI222" i="10"/>
  <c r="AJ222" i="10"/>
  <c r="AL222" i="10"/>
  <c r="AM222" i="10"/>
  <c r="AO222" i="10"/>
  <c r="B223" i="10"/>
  <c r="C223" i="10"/>
  <c r="D223" i="10"/>
  <c r="E223" i="10"/>
  <c r="F223" i="10"/>
  <c r="G223" i="10"/>
  <c r="H223" i="10"/>
  <c r="I223" i="10"/>
  <c r="J223" i="10"/>
  <c r="L223" i="10"/>
  <c r="O223" i="10"/>
  <c r="P223" i="10"/>
  <c r="Q223" i="10"/>
  <c r="R223" i="10"/>
  <c r="S223" i="10"/>
  <c r="T223" i="10"/>
  <c r="U223" i="10"/>
  <c r="V223" i="10"/>
  <c r="W223" i="10"/>
  <c r="X223" i="10"/>
  <c r="Y223" i="10"/>
  <c r="Z223" i="10"/>
  <c r="AA223" i="10"/>
  <c r="AB223" i="10"/>
  <c r="AD223" i="10"/>
  <c r="AE223" i="10"/>
  <c r="AF223" i="10"/>
  <c r="AG223" i="10"/>
  <c r="AH223" i="10"/>
  <c r="AI223" i="10"/>
  <c r="AJ223" i="10"/>
  <c r="AL223" i="10"/>
  <c r="AM223" i="10"/>
  <c r="AO223" i="10"/>
  <c r="B224" i="10"/>
  <c r="C224" i="10"/>
  <c r="D224" i="10"/>
  <c r="E224" i="10"/>
  <c r="F224" i="10"/>
  <c r="G224" i="10"/>
  <c r="H224" i="10"/>
  <c r="I224" i="10"/>
  <c r="J224" i="10"/>
  <c r="L224" i="10"/>
  <c r="O224" i="10"/>
  <c r="P224" i="10"/>
  <c r="Q224" i="10"/>
  <c r="R224" i="10"/>
  <c r="S224" i="10"/>
  <c r="T224" i="10"/>
  <c r="U224" i="10"/>
  <c r="V224" i="10"/>
  <c r="W224" i="10"/>
  <c r="X224" i="10"/>
  <c r="Y224" i="10"/>
  <c r="Z224" i="10"/>
  <c r="AA224" i="10"/>
  <c r="AB224" i="10"/>
  <c r="AD224" i="10"/>
  <c r="AE224" i="10"/>
  <c r="AF224" i="10"/>
  <c r="AG224" i="10"/>
  <c r="AH224" i="10"/>
  <c r="AI224" i="10"/>
  <c r="AJ224" i="10"/>
  <c r="AL224" i="10"/>
  <c r="AM224" i="10"/>
  <c r="AO224" i="10"/>
  <c r="B225" i="10"/>
  <c r="C225" i="10"/>
  <c r="D225" i="10"/>
  <c r="E225" i="10"/>
  <c r="F225" i="10"/>
  <c r="G225" i="10"/>
  <c r="H225" i="10"/>
  <c r="I225" i="10"/>
  <c r="J225" i="10"/>
  <c r="L225" i="10"/>
  <c r="O225" i="10"/>
  <c r="P225" i="10"/>
  <c r="Q225" i="10"/>
  <c r="R225" i="10"/>
  <c r="S225" i="10"/>
  <c r="T225" i="10"/>
  <c r="U225" i="10"/>
  <c r="V225" i="10"/>
  <c r="W225" i="10"/>
  <c r="X225" i="10"/>
  <c r="Y225" i="10"/>
  <c r="Z225" i="10"/>
  <c r="AA225" i="10"/>
  <c r="AB225" i="10"/>
  <c r="AC225" i="10"/>
  <c r="AD225" i="10"/>
  <c r="AE225" i="10"/>
  <c r="AF225" i="10"/>
  <c r="AG225" i="10"/>
  <c r="AH225" i="10"/>
  <c r="AI225" i="10"/>
  <c r="AJ225" i="10"/>
  <c r="AL225" i="10"/>
  <c r="AM225" i="10"/>
  <c r="AO225" i="10"/>
  <c r="B226" i="10"/>
  <c r="C226" i="10"/>
  <c r="D226" i="10"/>
  <c r="E226" i="10"/>
  <c r="F226" i="10"/>
  <c r="G226" i="10"/>
  <c r="H226" i="10"/>
  <c r="I226" i="10"/>
  <c r="J226" i="10"/>
  <c r="L226" i="10"/>
  <c r="O226" i="10"/>
  <c r="P226" i="10"/>
  <c r="Q226" i="10"/>
  <c r="R226" i="10"/>
  <c r="S226" i="10"/>
  <c r="T226" i="10"/>
  <c r="U226" i="10"/>
  <c r="V226" i="10"/>
  <c r="W226" i="10"/>
  <c r="X226" i="10"/>
  <c r="Y226" i="10"/>
  <c r="Z226" i="10"/>
  <c r="AA226" i="10"/>
  <c r="AB226" i="10"/>
  <c r="AD226" i="10"/>
  <c r="AE226" i="10"/>
  <c r="AF226" i="10"/>
  <c r="AG226" i="10"/>
  <c r="AH226" i="10"/>
  <c r="AI226" i="10"/>
  <c r="AJ226" i="10"/>
  <c r="AL226" i="10"/>
  <c r="AM226" i="10"/>
  <c r="AO226" i="10"/>
  <c r="B227" i="10"/>
  <c r="C227" i="10"/>
  <c r="D227" i="10"/>
  <c r="E227" i="10"/>
  <c r="F227" i="10"/>
  <c r="G227" i="10"/>
  <c r="H227" i="10"/>
  <c r="I227" i="10"/>
  <c r="J227" i="10"/>
  <c r="L227" i="10"/>
  <c r="O227" i="10"/>
  <c r="P227" i="10"/>
  <c r="Q227" i="10"/>
  <c r="R227" i="10"/>
  <c r="S227" i="10"/>
  <c r="T227" i="10"/>
  <c r="U227" i="10"/>
  <c r="V227" i="10"/>
  <c r="W227" i="10"/>
  <c r="X227" i="10"/>
  <c r="Y227" i="10"/>
  <c r="Z227" i="10"/>
  <c r="AA227" i="10"/>
  <c r="AB227" i="10"/>
  <c r="AD227" i="10"/>
  <c r="AE227" i="10"/>
  <c r="AF227" i="10"/>
  <c r="AG227" i="10"/>
  <c r="AH227" i="10"/>
  <c r="AI227" i="10"/>
  <c r="AJ227" i="10"/>
  <c r="AL227" i="10"/>
  <c r="AM227" i="10"/>
  <c r="AO227" i="10"/>
  <c r="B228" i="10"/>
  <c r="C228" i="10"/>
  <c r="D228" i="10"/>
  <c r="E228" i="10"/>
  <c r="F228" i="10"/>
  <c r="G228" i="10"/>
  <c r="H228" i="10"/>
  <c r="I228" i="10"/>
  <c r="J228" i="10"/>
  <c r="L228" i="10"/>
  <c r="O228" i="10"/>
  <c r="P228" i="10"/>
  <c r="Q228" i="10"/>
  <c r="R228" i="10"/>
  <c r="S228" i="10"/>
  <c r="T228" i="10"/>
  <c r="U228" i="10"/>
  <c r="V228" i="10"/>
  <c r="W228" i="10"/>
  <c r="X228" i="10"/>
  <c r="Y228" i="10"/>
  <c r="Z228" i="10"/>
  <c r="AA228" i="10"/>
  <c r="AB228" i="10"/>
  <c r="AD228" i="10"/>
  <c r="AE228" i="10"/>
  <c r="AF228" i="10"/>
  <c r="AG228" i="10"/>
  <c r="AH228" i="10"/>
  <c r="AI228" i="10"/>
  <c r="AJ228" i="10"/>
  <c r="AL228" i="10"/>
  <c r="AM228" i="10"/>
  <c r="AO228" i="10"/>
  <c r="B229" i="10"/>
  <c r="C229" i="10"/>
  <c r="D229" i="10"/>
  <c r="E229" i="10"/>
  <c r="F229" i="10"/>
  <c r="G229" i="10"/>
  <c r="H229" i="10"/>
  <c r="I229" i="10"/>
  <c r="J229" i="10"/>
  <c r="L229" i="10"/>
  <c r="O229" i="10"/>
  <c r="P229" i="10"/>
  <c r="Q229" i="10"/>
  <c r="R229" i="10"/>
  <c r="S229" i="10"/>
  <c r="T229" i="10"/>
  <c r="U229" i="10"/>
  <c r="V229" i="10"/>
  <c r="W229" i="10"/>
  <c r="X229" i="10"/>
  <c r="Y229" i="10"/>
  <c r="Z229" i="10"/>
  <c r="AA229" i="10"/>
  <c r="AB229" i="10"/>
  <c r="AD229" i="10"/>
  <c r="AE229" i="10"/>
  <c r="AF229" i="10"/>
  <c r="AG229" i="10"/>
  <c r="AH229" i="10"/>
  <c r="AI229" i="10"/>
  <c r="AJ229" i="10"/>
  <c r="AL229" i="10"/>
  <c r="AM229" i="10"/>
  <c r="AO229" i="10"/>
  <c r="B230" i="10"/>
  <c r="C230" i="10"/>
  <c r="D230" i="10"/>
  <c r="E230" i="10"/>
  <c r="F230" i="10"/>
  <c r="G230" i="10"/>
  <c r="H230" i="10"/>
  <c r="I230" i="10"/>
  <c r="J230" i="10"/>
  <c r="L230" i="10"/>
  <c r="O230" i="10"/>
  <c r="P230" i="10"/>
  <c r="Q230" i="10"/>
  <c r="R230" i="10"/>
  <c r="S230" i="10"/>
  <c r="T230" i="10"/>
  <c r="U230" i="10"/>
  <c r="V230" i="10"/>
  <c r="W230" i="10"/>
  <c r="X230" i="10"/>
  <c r="Y230" i="10"/>
  <c r="Z230" i="10"/>
  <c r="AA230" i="10"/>
  <c r="AB230" i="10"/>
  <c r="AD230" i="10"/>
  <c r="AE230" i="10"/>
  <c r="AF230" i="10"/>
  <c r="AG230" i="10"/>
  <c r="AH230" i="10"/>
  <c r="AI230" i="10"/>
  <c r="AJ230" i="10"/>
  <c r="AL230" i="10"/>
  <c r="AM230" i="10"/>
  <c r="AO230" i="10"/>
  <c r="B231" i="10"/>
  <c r="C231" i="10"/>
  <c r="D231" i="10"/>
  <c r="E231" i="10"/>
  <c r="F231" i="10"/>
  <c r="G231" i="10"/>
  <c r="H231" i="10"/>
  <c r="I231" i="10"/>
  <c r="J231" i="10"/>
  <c r="L231" i="10"/>
  <c r="O231" i="10"/>
  <c r="P231" i="10"/>
  <c r="Q231" i="10"/>
  <c r="R231" i="10"/>
  <c r="S231" i="10"/>
  <c r="T231" i="10"/>
  <c r="U231" i="10"/>
  <c r="V231" i="10"/>
  <c r="W231" i="10"/>
  <c r="X231" i="10"/>
  <c r="Y231" i="10"/>
  <c r="Z231" i="10"/>
  <c r="AA231" i="10"/>
  <c r="AB231" i="10"/>
  <c r="AD231" i="10"/>
  <c r="AE231" i="10"/>
  <c r="AF231" i="10"/>
  <c r="AG231" i="10"/>
  <c r="AH231" i="10"/>
  <c r="AI231" i="10"/>
  <c r="AJ231" i="10"/>
  <c r="AL231" i="10"/>
  <c r="AM231" i="10"/>
  <c r="AO231" i="10"/>
  <c r="B232" i="10"/>
  <c r="C232" i="10"/>
  <c r="D232" i="10"/>
  <c r="E232" i="10"/>
  <c r="F232" i="10"/>
  <c r="G232" i="10"/>
  <c r="H232" i="10"/>
  <c r="I232" i="10"/>
  <c r="J232" i="10"/>
  <c r="L232" i="10"/>
  <c r="O232" i="10"/>
  <c r="P232" i="10"/>
  <c r="Q232" i="10"/>
  <c r="R232" i="10"/>
  <c r="S232" i="10"/>
  <c r="T232" i="10"/>
  <c r="U232" i="10"/>
  <c r="V232" i="10"/>
  <c r="W232" i="10"/>
  <c r="X232" i="10"/>
  <c r="Y232" i="10"/>
  <c r="Z232" i="10"/>
  <c r="AA232" i="10"/>
  <c r="AB232" i="10"/>
  <c r="AD232" i="10"/>
  <c r="AE232" i="10"/>
  <c r="AF232" i="10"/>
  <c r="AG232" i="10"/>
  <c r="AH232" i="10"/>
  <c r="AI232" i="10"/>
  <c r="AJ232" i="10"/>
  <c r="AL232" i="10"/>
  <c r="AM232" i="10"/>
  <c r="AO232" i="10"/>
  <c r="B233" i="10"/>
  <c r="C233" i="10"/>
  <c r="D233" i="10"/>
  <c r="E233" i="10"/>
  <c r="F233" i="10"/>
  <c r="G233" i="10"/>
  <c r="H233" i="10"/>
  <c r="I233" i="10"/>
  <c r="J233" i="10"/>
  <c r="L233" i="10"/>
  <c r="O233" i="10"/>
  <c r="P233" i="10"/>
  <c r="Q233" i="10"/>
  <c r="R233" i="10"/>
  <c r="S233" i="10"/>
  <c r="T233" i="10"/>
  <c r="U233" i="10"/>
  <c r="V233" i="10"/>
  <c r="W233" i="10"/>
  <c r="X233" i="10"/>
  <c r="Y233" i="10"/>
  <c r="Z233" i="10"/>
  <c r="AA233" i="10"/>
  <c r="AB233" i="10"/>
  <c r="AD233" i="10"/>
  <c r="AE233" i="10"/>
  <c r="AF233" i="10"/>
  <c r="AG233" i="10"/>
  <c r="AH233" i="10"/>
  <c r="AI233" i="10"/>
  <c r="AJ233" i="10"/>
  <c r="AL233" i="10"/>
  <c r="AM233" i="10"/>
  <c r="AO233" i="10"/>
  <c r="B234" i="10"/>
  <c r="C234" i="10"/>
  <c r="D234" i="10"/>
  <c r="H234" i="10"/>
  <c r="L234" i="10"/>
  <c r="O234" i="10"/>
  <c r="P234" i="10"/>
  <c r="Q234" i="10"/>
  <c r="R234" i="10"/>
  <c r="S234" i="10"/>
  <c r="T234" i="10"/>
  <c r="U234" i="10"/>
  <c r="V234" i="10"/>
  <c r="W234" i="10"/>
  <c r="X234" i="10"/>
  <c r="Y234" i="10"/>
  <c r="Z234" i="10"/>
  <c r="AA234" i="10"/>
  <c r="AB234" i="10"/>
  <c r="AD234" i="10"/>
  <c r="AE234" i="10"/>
  <c r="AF234" i="10"/>
  <c r="AG234" i="10"/>
  <c r="AH234" i="10"/>
  <c r="AI234" i="10"/>
  <c r="AJ234" i="10"/>
  <c r="AK234" i="10"/>
  <c r="AL234" i="10"/>
  <c r="AO234" i="10"/>
  <c r="B235" i="10"/>
  <c r="C235" i="10"/>
  <c r="D235" i="10"/>
  <c r="L235" i="10"/>
  <c r="O235" i="10"/>
  <c r="P235" i="10"/>
  <c r="Q235" i="10"/>
  <c r="R235" i="10"/>
  <c r="S235" i="10"/>
  <c r="T235" i="10"/>
  <c r="U235" i="10"/>
  <c r="V235" i="10"/>
  <c r="W235" i="10"/>
  <c r="X235" i="10"/>
  <c r="Y235" i="10"/>
  <c r="Z235" i="10"/>
  <c r="AA235" i="10"/>
  <c r="AB235" i="10"/>
  <c r="AD235" i="10"/>
  <c r="AE235" i="10"/>
  <c r="AF235" i="10"/>
  <c r="AG235" i="10"/>
  <c r="AH235" i="10"/>
  <c r="AI235" i="10"/>
  <c r="AJ235" i="10"/>
  <c r="AK235" i="10"/>
  <c r="AL235" i="10"/>
  <c r="AO235" i="10"/>
  <c r="B236" i="10"/>
  <c r="C236" i="10"/>
  <c r="D236" i="10"/>
  <c r="L236" i="10"/>
  <c r="O236" i="10"/>
  <c r="P236" i="10"/>
  <c r="Q236" i="10"/>
  <c r="R236" i="10"/>
  <c r="S236" i="10"/>
  <c r="T236" i="10"/>
  <c r="U236" i="10"/>
  <c r="V236" i="10"/>
  <c r="W236" i="10"/>
  <c r="X236" i="10"/>
  <c r="Y236" i="10"/>
  <c r="Z236" i="10"/>
  <c r="AA236" i="10"/>
  <c r="AB236" i="10"/>
  <c r="AD236" i="10"/>
  <c r="AE236" i="10"/>
  <c r="AF236" i="10"/>
  <c r="AG236" i="10"/>
  <c r="AH236" i="10"/>
  <c r="AI236" i="10"/>
  <c r="AJ236" i="10"/>
  <c r="AK236" i="10"/>
  <c r="AL236" i="10"/>
  <c r="AO236" i="10"/>
  <c r="B237" i="10"/>
  <c r="C237" i="10"/>
  <c r="D237" i="10"/>
  <c r="H237" i="10"/>
  <c r="L237" i="10"/>
  <c r="O237" i="10"/>
  <c r="P237" i="10"/>
  <c r="Q237" i="10"/>
  <c r="R237" i="10"/>
  <c r="S237" i="10"/>
  <c r="T237" i="10"/>
  <c r="U237" i="10"/>
  <c r="V237" i="10"/>
  <c r="W237" i="10"/>
  <c r="X237" i="10"/>
  <c r="Y237" i="10"/>
  <c r="Z237" i="10"/>
  <c r="AA237" i="10"/>
  <c r="AB237" i="10"/>
  <c r="AD237" i="10"/>
  <c r="AE237" i="10"/>
  <c r="AF237" i="10"/>
  <c r="AG237" i="10"/>
  <c r="AH237" i="10"/>
  <c r="AI237" i="10"/>
  <c r="AJ237" i="10"/>
  <c r="AK237" i="10"/>
  <c r="AL237" i="10"/>
  <c r="AO237" i="10"/>
  <c r="B238" i="10"/>
  <c r="C238" i="10"/>
  <c r="D238" i="10"/>
  <c r="L238" i="10"/>
  <c r="O238" i="10"/>
  <c r="P238" i="10"/>
  <c r="Q238" i="10"/>
  <c r="R238" i="10"/>
  <c r="S238" i="10"/>
  <c r="T238" i="10"/>
  <c r="U238" i="10"/>
  <c r="V238" i="10"/>
  <c r="W238" i="10"/>
  <c r="X238" i="10"/>
  <c r="Y238" i="10"/>
  <c r="Z238" i="10"/>
  <c r="AA238" i="10"/>
  <c r="AB238" i="10"/>
  <c r="AD238" i="10"/>
  <c r="AE238" i="10"/>
  <c r="AF238" i="10"/>
  <c r="AG238" i="10"/>
  <c r="AH238" i="10"/>
  <c r="AI238" i="10"/>
  <c r="AJ238" i="10"/>
  <c r="AK238" i="10"/>
  <c r="AL238" i="10"/>
  <c r="AO238" i="10"/>
  <c r="B239" i="10"/>
  <c r="C239" i="10"/>
  <c r="D239" i="10"/>
  <c r="L239" i="10"/>
  <c r="O239" i="10"/>
  <c r="P239" i="10"/>
  <c r="Q239" i="10"/>
  <c r="R239" i="10"/>
  <c r="S239" i="10"/>
  <c r="T239" i="10"/>
  <c r="U239" i="10"/>
  <c r="V239" i="10"/>
  <c r="W239" i="10"/>
  <c r="X239" i="10"/>
  <c r="Y239" i="10"/>
  <c r="Z239" i="10"/>
  <c r="AA239" i="10"/>
  <c r="AB239" i="10"/>
  <c r="AD239" i="10"/>
  <c r="AE239" i="10"/>
  <c r="AF239" i="10"/>
  <c r="AG239" i="10"/>
  <c r="AH239" i="10"/>
  <c r="AI239" i="10"/>
  <c r="AJ239" i="10"/>
  <c r="AK239" i="10"/>
  <c r="AL239" i="10"/>
  <c r="AO239" i="10"/>
  <c r="B240" i="10"/>
  <c r="C240" i="10"/>
  <c r="D240" i="10"/>
  <c r="H240" i="10"/>
  <c r="L240" i="10"/>
  <c r="O240" i="10"/>
  <c r="P240" i="10"/>
  <c r="Q240" i="10"/>
  <c r="R240" i="10"/>
  <c r="S240" i="10"/>
  <c r="T240" i="10"/>
  <c r="U240" i="10"/>
  <c r="V240" i="10"/>
  <c r="W240" i="10"/>
  <c r="X240" i="10"/>
  <c r="Y240" i="10"/>
  <c r="Z240" i="10"/>
  <c r="AA240" i="10"/>
  <c r="AB240" i="10"/>
  <c r="AD240" i="10"/>
  <c r="AE240" i="10"/>
  <c r="AF240" i="10"/>
  <c r="AG240" i="10"/>
  <c r="AH240" i="10"/>
  <c r="AI240" i="10"/>
  <c r="AJ240" i="10"/>
  <c r="AK240" i="10"/>
  <c r="AL240" i="10"/>
  <c r="AO240" i="10"/>
  <c r="B241" i="10"/>
  <c r="C241" i="10"/>
  <c r="D241" i="10"/>
  <c r="L241" i="10"/>
  <c r="O241" i="10"/>
  <c r="P241" i="10"/>
  <c r="Q241" i="10"/>
  <c r="R241" i="10"/>
  <c r="S241" i="10"/>
  <c r="T241" i="10"/>
  <c r="U241" i="10"/>
  <c r="V241" i="10"/>
  <c r="W241" i="10"/>
  <c r="X241" i="10"/>
  <c r="Y241" i="10"/>
  <c r="Z241" i="10"/>
  <c r="AA241" i="10"/>
  <c r="AB241" i="10"/>
  <c r="AD241" i="10"/>
  <c r="AE241" i="10"/>
  <c r="AF241" i="10"/>
  <c r="AG241" i="10"/>
  <c r="AH241" i="10"/>
  <c r="AI241" i="10"/>
  <c r="AJ241" i="10"/>
  <c r="AK241" i="10"/>
  <c r="AL241" i="10"/>
  <c r="AO241" i="10"/>
  <c r="B242" i="10"/>
  <c r="C242" i="10"/>
  <c r="D242" i="10"/>
  <c r="L242" i="10"/>
  <c r="O242" i="10"/>
  <c r="P242" i="10"/>
  <c r="Q242" i="10"/>
  <c r="R242" i="10"/>
  <c r="S242" i="10"/>
  <c r="T242" i="10"/>
  <c r="U242" i="10"/>
  <c r="V242" i="10"/>
  <c r="W242" i="10"/>
  <c r="X242" i="10"/>
  <c r="Y242" i="10"/>
  <c r="Z242" i="10"/>
  <c r="AA242" i="10"/>
  <c r="AB242" i="10"/>
  <c r="AD242" i="10"/>
  <c r="AE242" i="10"/>
  <c r="AF242" i="10"/>
  <c r="AG242" i="10"/>
  <c r="AH242" i="10"/>
  <c r="AI242" i="10"/>
  <c r="AJ242" i="10"/>
  <c r="AK242" i="10"/>
  <c r="AL242" i="10"/>
  <c r="AO242" i="10"/>
  <c r="B243" i="10"/>
  <c r="C243" i="10"/>
  <c r="D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S243" i="10"/>
  <c r="T243" i="10"/>
  <c r="U243" i="10"/>
  <c r="V243" i="10"/>
  <c r="W243" i="10"/>
  <c r="X243" i="10"/>
  <c r="Y243" i="10"/>
  <c r="Z243" i="10"/>
  <c r="AA243" i="10"/>
  <c r="AB243" i="10"/>
  <c r="AC243" i="10"/>
  <c r="AD243" i="10"/>
  <c r="AE243" i="10"/>
  <c r="AF243" i="10"/>
  <c r="AG243" i="10"/>
  <c r="AH243" i="10"/>
  <c r="AI243" i="10"/>
  <c r="AJ243" i="10"/>
  <c r="AK243" i="10"/>
  <c r="AL243" i="10"/>
  <c r="AM243" i="10"/>
  <c r="AO243" i="10"/>
  <c r="B244" i="10"/>
  <c r="C244" i="10"/>
  <c r="D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U244" i="10"/>
  <c r="V244" i="10"/>
  <c r="W244" i="10"/>
  <c r="X244" i="10"/>
  <c r="Y244" i="10"/>
  <c r="Z244" i="10"/>
  <c r="AA244" i="10"/>
  <c r="AB244" i="10"/>
  <c r="AC244" i="10"/>
  <c r="AD244" i="10"/>
  <c r="AE244" i="10"/>
  <c r="AF244" i="10"/>
  <c r="AG244" i="10"/>
  <c r="AH244" i="10"/>
  <c r="AI244" i="10"/>
  <c r="AJ244" i="10"/>
  <c r="AK244" i="10"/>
  <c r="AL244" i="10"/>
  <c r="AM244" i="10"/>
  <c r="AO244" i="10"/>
  <c r="B245" i="10"/>
  <c r="C245" i="10"/>
  <c r="D245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S245" i="10"/>
  <c r="T245" i="10"/>
  <c r="U245" i="10"/>
  <c r="V245" i="10"/>
  <c r="W245" i="10"/>
  <c r="X245" i="10"/>
  <c r="Y245" i="10"/>
  <c r="Z245" i="10"/>
  <c r="AA245" i="10"/>
  <c r="AB245" i="10"/>
  <c r="AC245" i="10"/>
  <c r="AD245" i="10"/>
  <c r="AE245" i="10"/>
  <c r="AF245" i="10"/>
  <c r="AG245" i="10"/>
  <c r="AH245" i="10"/>
  <c r="AI245" i="10"/>
  <c r="AJ245" i="10"/>
  <c r="AK245" i="10"/>
  <c r="AL245" i="10"/>
  <c r="AM245" i="10"/>
  <c r="AO245" i="10"/>
  <c r="B246" i="10"/>
  <c r="C246" i="10"/>
  <c r="D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R246" i="10"/>
  <c r="S246" i="10"/>
  <c r="T246" i="10"/>
  <c r="U246" i="10"/>
  <c r="V246" i="10"/>
  <c r="W246" i="10"/>
  <c r="X246" i="10"/>
  <c r="Y246" i="10"/>
  <c r="Z246" i="10"/>
  <c r="AA246" i="10"/>
  <c r="AB246" i="10"/>
  <c r="AC246" i="10"/>
  <c r="AD246" i="10"/>
  <c r="AE246" i="10"/>
  <c r="AF246" i="10"/>
  <c r="AG246" i="10"/>
  <c r="AH246" i="10"/>
  <c r="AI246" i="10"/>
  <c r="AJ246" i="10"/>
  <c r="AK246" i="10"/>
  <c r="AL246" i="10"/>
  <c r="AM246" i="10"/>
  <c r="AO246" i="10"/>
  <c r="B247" i="10"/>
  <c r="C247" i="10"/>
  <c r="D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S247" i="10"/>
  <c r="T247" i="10"/>
  <c r="U247" i="10"/>
  <c r="V247" i="10"/>
  <c r="W247" i="10"/>
  <c r="X247" i="10"/>
  <c r="Y247" i="10"/>
  <c r="Z247" i="10"/>
  <c r="AA247" i="10"/>
  <c r="AB247" i="10"/>
  <c r="AC247" i="10"/>
  <c r="AD247" i="10"/>
  <c r="AE247" i="10"/>
  <c r="AF247" i="10"/>
  <c r="AG247" i="10"/>
  <c r="AH247" i="10"/>
  <c r="AI247" i="10"/>
  <c r="AJ247" i="10"/>
  <c r="AK247" i="10"/>
  <c r="AL247" i="10"/>
  <c r="AM247" i="10"/>
  <c r="AO247" i="10"/>
  <c r="B248" i="10"/>
  <c r="C248" i="10"/>
  <c r="D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R248" i="10"/>
  <c r="S248" i="10"/>
  <c r="T248" i="10"/>
  <c r="U248" i="10"/>
  <c r="V248" i="10"/>
  <c r="W248" i="10"/>
  <c r="X248" i="10"/>
  <c r="Y248" i="10"/>
  <c r="Z248" i="10"/>
  <c r="AA248" i="10"/>
  <c r="AB248" i="10"/>
  <c r="AC248" i="10"/>
  <c r="AD248" i="10"/>
  <c r="AE248" i="10"/>
  <c r="AF248" i="10"/>
  <c r="AG248" i="10"/>
  <c r="AH248" i="10"/>
  <c r="AI248" i="10"/>
  <c r="AJ248" i="10"/>
  <c r="AK248" i="10"/>
  <c r="AL248" i="10"/>
  <c r="AM248" i="10"/>
  <c r="AO248" i="10"/>
  <c r="B249" i="10"/>
  <c r="C249" i="10"/>
  <c r="D249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R249" i="10"/>
  <c r="S249" i="10"/>
  <c r="T249" i="10"/>
  <c r="U249" i="10"/>
  <c r="V249" i="10"/>
  <c r="W249" i="10"/>
  <c r="X249" i="10"/>
  <c r="Y249" i="10"/>
  <c r="Z249" i="10"/>
  <c r="AA249" i="10"/>
  <c r="AB249" i="10"/>
  <c r="AC249" i="10"/>
  <c r="AD249" i="10"/>
  <c r="AE249" i="10"/>
  <c r="AF249" i="10"/>
  <c r="AG249" i="10"/>
  <c r="AH249" i="10"/>
  <c r="AI249" i="10"/>
  <c r="AJ249" i="10"/>
  <c r="AK249" i="10"/>
  <c r="AL249" i="10"/>
  <c r="AM249" i="10"/>
  <c r="AO249" i="10"/>
  <c r="B250" i="10"/>
  <c r="C250" i="10"/>
  <c r="D250" i="10"/>
  <c r="F250" i="10"/>
  <c r="G250" i="10"/>
  <c r="H250" i="10"/>
  <c r="I250" i="10"/>
  <c r="J250" i="10"/>
  <c r="L250" i="10"/>
  <c r="M250" i="10"/>
  <c r="N250" i="10"/>
  <c r="O250" i="10"/>
  <c r="P250" i="10"/>
  <c r="Q250" i="10"/>
  <c r="R250" i="10"/>
  <c r="S250" i="10"/>
  <c r="T250" i="10"/>
  <c r="U250" i="10"/>
  <c r="V250" i="10"/>
  <c r="W250" i="10"/>
  <c r="X250" i="10"/>
  <c r="Y250" i="10"/>
  <c r="Z250" i="10"/>
  <c r="AA250" i="10"/>
  <c r="AB250" i="10"/>
  <c r="AC250" i="10"/>
  <c r="AD250" i="10"/>
  <c r="AE250" i="10"/>
  <c r="AF250" i="10"/>
  <c r="AG250" i="10"/>
  <c r="AH250" i="10"/>
  <c r="AI250" i="10"/>
  <c r="AJ250" i="10"/>
  <c r="AK250" i="10"/>
  <c r="AL250" i="10"/>
  <c r="AO250" i="10"/>
  <c r="B251" i="10"/>
  <c r="C251" i="10"/>
  <c r="F251" i="10"/>
  <c r="G251" i="10"/>
  <c r="H251" i="10"/>
  <c r="I251" i="10"/>
  <c r="J251" i="10"/>
  <c r="L251" i="10"/>
  <c r="M251" i="10"/>
  <c r="N251" i="10"/>
  <c r="O251" i="10"/>
  <c r="P251" i="10"/>
  <c r="Q251" i="10"/>
  <c r="R251" i="10"/>
  <c r="S251" i="10"/>
  <c r="T251" i="10"/>
  <c r="U251" i="10"/>
  <c r="V251" i="10"/>
  <c r="W251" i="10"/>
  <c r="X251" i="10"/>
  <c r="Y251" i="10"/>
  <c r="Z251" i="10"/>
  <c r="AA251" i="10"/>
  <c r="AB251" i="10"/>
  <c r="AC251" i="10"/>
  <c r="AD251" i="10"/>
  <c r="AE251" i="10"/>
  <c r="AF251" i="10"/>
  <c r="AG251" i="10"/>
  <c r="AH251" i="10"/>
  <c r="AI251" i="10"/>
  <c r="AJ251" i="10"/>
  <c r="AK251" i="10"/>
  <c r="AL251" i="10"/>
  <c r="AO251" i="10"/>
  <c r="B252" i="10"/>
  <c r="C252" i="10"/>
  <c r="F252" i="10"/>
  <c r="G252" i="10"/>
  <c r="H252" i="10"/>
  <c r="I252" i="10"/>
  <c r="J252" i="10"/>
  <c r="L252" i="10"/>
  <c r="M252" i="10"/>
  <c r="N252" i="10"/>
  <c r="O252" i="10"/>
  <c r="P252" i="10"/>
  <c r="Q252" i="10"/>
  <c r="R252" i="10"/>
  <c r="S252" i="10"/>
  <c r="T252" i="10"/>
  <c r="U252" i="10"/>
  <c r="V252" i="10"/>
  <c r="W252" i="10"/>
  <c r="X252" i="10"/>
  <c r="Y252" i="10"/>
  <c r="Z252" i="10"/>
  <c r="AA252" i="10"/>
  <c r="AB252" i="10"/>
  <c r="AC252" i="10"/>
  <c r="AD252" i="10"/>
  <c r="AE252" i="10"/>
  <c r="AF252" i="10"/>
  <c r="AG252" i="10"/>
  <c r="AH252" i="10"/>
  <c r="AI252" i="10"/>
  <c r="AJ252" i="10"/>
  <c r="AK252" i="10"/>
  <c r="AL252" i="10"/>
  <c r="AO252" i="10"/>
  <c r="B253" i="10"/>
  <c r="C253" i="10"/>
  <c r="F253" i="10"/>
  <c r="G253" i="10"/>
  <c r="H253" i="10"/>
  <c r="I253" i="10"/>
  <c r="J253" i="10"/>
  <c r="L253" i="10"/>
  <c r="M253" i="10"/>
  <c r="N253" i="10"/>
  <c r="O253" i="10"/>
  <c r="P253" i="10"/>
  <c r="Q253" i="10"/>
  <c r="R253" i="10"/>
  <c r="S253" i="10"/>
  <c r="T253" i="10"/>
  <c r="U253" i="10"/>
  <c r="V253" i="10"/>
  <c r="W253" i="10"/>
  <c r="X253" i="10"/>
  <c r="Y253" i="10"/>
  <c r="Z253" i="10"/>
  <c r="AA253" i="10"/>
  <c r="AB253" i="10"/>
  <c r="AC253" i="10"/>
  <c r="AD253" i="10"/>
  <c r="AE253" i="10"/>
  <c r="AF253" i="10"/>
  <c r="AG253" i="10"/>
  <c r="AH253" i="10"/>
  <c r="AI253" i="10"/>
  <c r="AJ253" i="10"/>
  <c r="AK253" i="10"/>
  <c r="AL253" i="10"/>
  <c r="AO253" i="10"/>
  <c r="B254" i="10"/>
  <c r="C254" i="10"/>
  <c r="F254" i="10"/>
  <c r="G254" i="10"/>
  <c r="H254" i="10"/>
  <c r="I254" i="10"/>
  <c r="J254" i="10"/>
  <c r="L254" i="10"/>
  <c r="M254" i="10"/>
  <c r="N254" i="10"/>
  <c r="O254" i="10"/>
  <c r="P254" i="10"/>
  <c r="Q254" i="10"/>
  <c r="R254" i="10"/>
  <c r="S254" i="10"/>
  <c r="T254" i="10"/>
  <c r="U254" i="10"/>
  <c r="V254" i="10"/>
  <c r="W254" i="10"/>
  <c r="X254" i="10"/>
  <c r="Y254" i="10"/>
  <c r="Z254" i="10"/>
  <c r="AA254" i="10"/>
  <c r="AB254" i="10"/>
  <c r="AC254" i="10"/>
  <c r="AD254" i="10"/>
  <c r="AE254" i="10"/>
  <c r="AF254" i="10"/>
  <c r="AG254" i="10"/>
  <c r="AH254" i="10"/>
  <c r="AI254" i="10"/>
  <c r="AJ254" i="10"/>
  <c r="AK254" i="10"/>
  <c r="AL254" i="10"/>
  <c r="AO254" i="10"/>
  <c r="B255" i="10"/>
  <c r="C255" i="10"/>
  <c r="F255" i="10"/>
  <c r="G255" i="10"/>
  <c r="H255" i="10"/>
  <c r="I255" i="10"/>
  <c r="J255" i="10"/>
  <c r="L255" i="10"/>
  <c r="M255" i="10"/>
  <c r="N255" i="10"/>
  <c r="O255" i="10"/>
  <c r="P255" i="10"/>
  <c r="Q255" i="10"/>
  <c r="R255" i="10"/>
  <c r="S255" i="10"/>
  <c r="T255" i="10"/>
  <c r="U255" i="10"/>
  <c r="V255" i="10"/>
  <c r="W255" i="10"/>
  <c r="X255" i="10"/>
  <c r="Y255" i="10"/>
  <c r="Z255" i="10"/>
  <c r="AA255" i="10"/>
  <c r="AB255" i="10"/>
  <c r="AC255" i="10"/>
  <c r="AD255" i="10"/>
  <c r="AE255" i="10"/>
  <c r="AF255" i="10"/>
  <c r="AG255" i="10"/>
  <c r="AH255" i="10"/>
  <c r="AI255" i="10"/>
  <c r="AJ255" i="10"/>
  <c r="AK255" i="10"/>
  <c r="AL255" i="10"/>
  <c r="AO255" i="10"/>
  <c r="B256" i="10"/>
  <c r="C256" i="10"/>
  <c r="D256" i="10"/>
  <c r="K256" i="10"/>
  <c r="L256" i="10"/>
  <c r="M256" i="10"/>
  <c r="N256" i="10"/>
  <c r="O256" i="10"/>
  <c r="P256" i="10"/>
  <c r="Q256" i="10"/>
  <c r="R256" i="10"/>
  <c r="S256" i="10"/>
  <c r="T256" i="10"/>
  <c r="U256" i="10"/>
  <c r="V256" i="10"/>
  <c r="W256" i="10"/>
  <c r="X256" i="10"/>
  <c r="Y256" i="10"/>
  <c r="Z256" i="10"/>
  <c r="AA256" i="10"/>
  <c r="AB256" i="10"/>
  <c r="AD256" i="10"/>
  <c r="AE256" i="10"/>
  <c r="AF256" i="10"/>
  <c r="AG256" i="10"/>
  <c r="AI256" i="10"/>
  <c r="AJ256" i="10"/>
  <c r="AK256" i="10"/>
  <c r="AL256" i="10"/>
  <c r="AO256" i="10"/>
  <c r="B257" i="10"/>
  <c r="C257" i="10"/>
  <c r="D257" i="10"/>
  <c r="K257" i="10"/>
  <c r="L257" i="10"/>
  <c r="M257" i="10"/>
  <c r="N257" i="10"/>
  <c r="O257" i="10"/>
  <c r="P257" i="10"/>
  <c r="Q257" i="10"/>
  <c r="R257" i="10"/>
  <c r="S257" i="10"/>
  <c r="T257" i="10"/>
  <c r="U257" i="10"/>
  <c r="V257" i="10"/>
  <c r="W257" i="10"/>
  <c r="X257" i="10"/>
  <c r="Y257" i="10"/>
  <c r="Z257" i="10"/>
  <c r="AA257" i="10"/>
  <c r="AB257" i="10"/>
  <c r="AD257" i="10"/>
  <c r="AE257" i="10"/>
  <c r="AF257" i="10"/>
  <c r="AG257" i="10"/>
  <c r="AH257" i="10"/>
  <c r="AI257" i="10"/>
  <c r="AJ257" i="10"/>
  <c r="AK257" i="10"/>
  <c r="AL257" i="10"/>
  <c r="AO257" i="10"/>
  <c r="B258" i="10"/>
  <c r="C258" i="10"/>
  <c r="D258" i="10"/>
  <c r="H258" i="10"/>
  <c r="K258" i="10"/>
  <c r="L258" i="10"/>
  <c r="M258" i="10"/>
  <c r="N258" i="10"/>
  <c r="O258" i="10"/>
  <c r="P258" i="10"/>
  <c r="Q258" i="10"/>
  <c r="R258" i="10"/>
  <c r="S258" i="10"/>
  <c r="T258" i="10"/>
  <c r="U258" i="10"/>
  <c r="V258" i="10"/>
  <c r="W258" i="10"/>
  <c r="X258" i="10"/>
  <c r="Y258" i="10"/>
  <c r="Z258" i="10"/>
  <c r="AA258" i="10"/>
  <c r="AB258" i="10"/>
  <c r="AD258" i="10"/>
  <c r="AE258" i="10"/>
  <c r="AF258" i="10"/>
  <c r="AG258" i="10"/>
  <c r="AH258" i="10"/>
  <c r="AI258" i="10"/>
  <c r="AJ258" i="10"/>
  <c r="AK258" i="10"/>
  <c r="AL258" i="10"/>
  <c r="AO258" i="10"/>
  <c r="B259" i="10"/>
  <c r="C259" i="10"/>
  <c r="D259" i="10"/>
  <c r="K259" i="10"/>
  <c r="L259" i="10"/>
  <c r="M259" i="10"/>
  <c r="N259" i="10"/>
  <c r="O259" i="10"/>
  <c r="P259" i="10"/>
  <c r="Q259" i="10"/>
  <c r="R259" i="10"/>
  <c r="S259" i="10"/>
  <c r="T259" i="10"/>
  <c r="U259" i="10"/>
  <c r="V259" i="10"/>
  <c r="W259" i="10"/>
  <c r="X259" i="10"/>
  <c r="Y259" i="10"/>
  <c r="Z259" i="10"/>
  <c r="AA259" i="10"/>
  <c r="AB259" i="10"/>
  <c r="AD259" i="10"/>
  <c r="AE259" i="10"/>
  <c r="AF259" i="10"/>
  <c r="AG259" i="10"/>
  <c r="AH259" i="10"/>
  <c r="AI259" i="10"/>
  <c r="AJ259" i="10"/>
  <c r="AK259" i="10"/>
  <c r="AL259" i="10"/>
  <c r="AO259" i="10"/>
  <c r="B260" i="10"/>
  <c r="C260" i="10"/>
  <c r="D260" i="10"/>
  <c r="K260" i="10"/>
  <c r="L260" i="10"/>
  <c r="M260" i="10"/>
  <c r="N260" i="10"/>
  <c r="O260" i="10"/>
  <c r="P260" i="10"/>
  <c r="Q260" i="10"/>
  <c r="R260" i="10"/>
  <c r="S260" i="10"/>
  <c r="T260" i="10"/>
  <c r="U260" i="10"/>
  <c r="V260" i="10"/>
  <c r="W260" i="10"/>
  <c r="X260" i="10"/>
  <c r="Y260" i="10"/>
  <c r="Z260" i="10"/>
  <c r="AA260" i="10"/>
  <c r="AB260" i="10"/>
  <c r="AD260" i="10"/>
  <c r="AE260" i="10"/>
  <c r="AF260" i="10"/>
  <c r="AG260" i="10"/>
  <c r="AH260" i="10"/>
  <c r="AI260" i="10"/>
  <c r="AJ260" i="10"/>
  <c r="AK260" i="10"/>
  <c r="AL260" i="10"/>
  <c r="AO260" i="10"/>
  <c r="B261" i="10"/>
  <c r="C261" i="10"/>
  <c r="D261" i="10"/>
  <c r="E261" i="10"/>
  <c r="H261" i="10"/>
  <c r="K261" i="10"/>
  <c r="L261" i="10"/>
  <c r="M261" i="10"/>
  <c r="N261" i="10"/>
  <c r="O261" i="10"/>
  <c r="P261" i="10"/>
  <c r="Q261" i="10"/>
  <c r="R261" i="10"/>
  <c r="S261" i="10"/>
  <c r="T261" i="10"/>
  <c r="U261" i="10"/>
  <c r="V261" i="10"/>
  <c r="W261" i="10"/>
  <c r="X261" i="10"/>
  <c r="Y261" i="10"/>
  <c r="Z261" i="10"/>
  <c r="AA261" i="10"/>
  <c r="AB261" i="10"/>
  <c r="AD261" i="10"/>
  <c r="AE261" i="10"/>
  <c r="AF261" i="10"/>
  <c r="AG261" i="10"/>
  <c r="AH261" i="10"/>
  <c r="AJ261" i="10"/>
  <c r="AL261" i="10"/>
  <c r="AO261" i="10"/>
  <c r="B262" i="10"/>
  <c r="C262" i="10"/>
  <c r="D262" i="10"/>
  <c r="E262" i="10"/>
  <c r="K262" i="10"/>
  <c r="L262" i="10"/>
  <c r="M262" i="10"/>
  <c r="N262" i="10"/>
  <c r="O262" i="10"/>
  <c r="P262" i="10"/>
  <c r="Q262" i="10"/>
  <c r="R262" i="10"/>
  <c r="S262" i="10"/>
  <c r="T262" i="10"/>
  <c r="U262" i="10"/>
  <c r="V262" i="10"/>
  <c r="W262" i="10"/>
  <c r="X262" i="10"/>
  <c r="Y262" i="10"/>
  <c r="Z262" i="10"/>
  <c r="AA262" i="10"/>
  <c r="AB262" i="10"/>
  <c r="AD262" i="10"/>
  <c r="AE262" i="10"/>
  <c r="AF262" i="10"/>
  <c r="AG262" i="10"/>
  <c r="AH262" i="10"/>
  <c r="AJ262" i="10"/>
  <c r="AL262" i="10"/>
  <c r="AO262" i="10"/>
  <c r="B263" i="10"/>
  <c r="C263" i="10"/>
  <c r="D263" i="10"/>
  <c r="E263" i="10"/>
  <c r="K263" i="10"/>
  <c r="L263" i="10"/>
  <c r="M263" i="10"/>
  <c r="N263" i="10"/>
  <c r="O263" i="10"/>
  <c r="P263" i="10"/>
  <c r="Q263" i="10"/>
  <c r="R263" i="10"/>
  <c r="S263" i="10"/>
  <c r="T263" i="10"/>
  <c r="U263" i="10"/>
  <c r="V263" i="10"/>
  <c r="W263" i="10"/>
  <c r="X263" i="10"/>
  <c r="Y263" i="10"/>
  <c r="Z263" i="10"/>
  <c r="AA263" i="10"/>
  <c r="AB263" i="10"/>
  <c r="AD263" i="10"/>
  <c r="AE263" i="10"/>
  <c r="AF263" i="10"/>
  <c r="AG263" i="10"/>
  <c r="AH263" i="10"/>
  <c r="AJ263" i="10"/>
  <c r="AL263" i="10"/>
  <c r="AO263" i="10"/>
  <c r="B264" i="10"/>
  <c r="C264" i="10"/>
  <c r="D264" i="10"/>
  <c r="E264" i="10"/>
  <c r="H264" i="10"/>
  <c r="K264" i="10"/>
  <c r="L264" i="10"/>
  <c r="M264" i="10"/>
  <c r="N264" i="10"/>
  <c r="O264" i="10"/>
  <c r="P264" i="10"/>
  <c r="Q264" i="10"/>
  <c r="R264" i="10"/>
  <c r="S264" i="10"/>
  <c r="T264" i="10"/>
  <c r="U264" i="10"/>
  <c r="V264" i="10"/>
  <c r="W264" i="10"/>
  <c r="X264" i="10"/>
  <c r="Y264" i="10"/>
  <c r="Z264" i="10"/>
  <c r="AA264" i="10"/>
  <c r="AB264" i="10"/>
  <c r="AD264" i="10"/>
  <c r="AE264" i="10"/>
  <c r="AF264" i="10"/>
  <c r="AG264" i="10"/>
  <c r="AH264" i="10"/>
  <c r="AJ264" i="10"/>
  <c r="AL264" i="10"/>
  <c r="AO264" i="10"/>
  <c r="B265" i="10"/>
  <c r="C265" i="10"/>
  <c r="D265" i="10"/>
  <c r="E265" i="10"/>
  <c r="K265" i="10"/>
  <c r="L265" i="10"/>
  <c r="M265" i="10"/>
  <c r="N265" i="10"/>
  <c r="O265" i="10"/>
  <c r="P265" i="10"/>
  <c r="Q265" i="10"/>
  <c r="R265" i="10"/>
  <c r="S265" i="10"/>
  <c r="T265" i="10"/>
  <c r="U265" i="10"/>
  <c r="V265" i="10"/>
  <c r="W265" i="10"/>
  <c r="X265" i="10"/>
  <c r="Y265" i="10"/>
  <c r="Z265" i="10"/>
  <c r="AA265" i="10"/>
  <c r="AB265" i="10"/>
  <c r="AD265" i="10"/>
  <c r="AE265" i="10"/>
  <c r="AF265" i="10"/>
  <c r="AG265" i="10"/>
  <c r="AH265" i="10"/>
  <c r="AJ265" i="10"/>
  <c r="AL265" i="10"/>
  <c r="AO265" i="10"/>
  <c r="B266" i="10"/>
  <c r="C266" i="10"/>
  <c r="D266" i="10"/>
  <c r="E266" i="10"/>
  <c r="K266" i="10"/>
  <c r="L266" i="10"/>
  <c r="M266" i="10"/>
  <c r="N266" i="10"/>
  <c r="O266" i="10"/>
  <c r="P266" i="10"/>
  <c r="Q266" i="10"/>
  <c r="R266" i="10"/>
  <c r="S266" i="10"/>
  <c r="T266" i="10"/>
  <c r="U266" i="10"/>
  <c r="V266" i="10"/>
  <c r="W266" i="10"/>
  <c r="X266" i="10"/>
  <c r="Y266" i="10"/>
  <c r="Z266" i="10"/>
  <c r="AA266" i="10"/>
  <c r="AB266" i="10"/>
  <c r="AD266" i="10"/>
  <c r="AE266" i="10"/>
  <c r="AF266" i="10"/>
  <c r="AG266" i="10"/>
  <c r="AH266" i="10"/>
  <c r="AJ266" i="10"/>
  <c r="AL266" i="10"/>
  <c r="AO266" i="10"/>
  <c r="B267" i="10"/>
  <c r="C267" i="10"/>
  <c r="D267" i="10"/>
  <c r="E267" i="10"/>
  <c r="H267" i="10"/>
  <c r="K267" i="10"/>
  <c r="L267" i="10"/>
  <c r="M267" i="10"/>
  <c r="N267" i="10"/>
  <c r="O267" i="10"/>
  <c r="P267" i="10"/>
  <c r="Q267" i="10"/>
  <c r="R267" i="10"/>
  <c r="S267" i="10"/>
  <c r="T267" i="10"/>
  <c r="U267" i="10"/>
  <c r="V267" i="10"/>
  <c r="W267" i="10"/>
  <c r="X267" i="10"/>
  <c r="Y267" i="10"/>
  <c r="Z267" i="10"/>
  <c r="AA267" i="10"/>
  <c r="AB267" i="10"/>
  <c r="AC267" i="10"/>
  <c r="AD267" i="10"/>
  <c r="AE267" i="10"/>
  <c r="AF267" i="10"/>
  <c r="AG267" i="10"/>
  <c r="AH267" i="10"/>
  <c r="AJ267" i="10"/>
  <c r="AL267" i="10"/>
  <c r="AO267" i="10"/>
  <c r="B268" i="10"/>
  <c r="C268" i="10"/>
  <c r="D268" i="10"/>
  <c r="E268" i="10"/>
  <c r="K268" i="10"/>
  <c r="L268" i="10"/>
  <c r="M268" i="10"/>
  <c r="N268" i="10"/>
  <c r="O268" i="10"/>
  <c r="P268" i="10"/>
  <c r="Q268" i="10"/>
  <c r="R268" i="10"/>
  <c r="S268" i="10"/>
  <c r="T268" i="10"/>
  <c r="U268" i="10"/>
  <c r="V268" i="10"/>
  <c r="W268" i="10"/>
  <c r="X268" i="10"/>
  <c r="Y268" i="10"/>
  <c r="Z268" i="10"/>
  <c r="AA268" i="10"/>
  <c r="AB268" i="10"/>
  <c r="AC268" i="10"/>
  <c r="AD268" i="10"/>
  <c r="AE268" i="10"/>
  <c r="AF268" i="10"/>
  <c r="AG268" i="10"/>
  <c r="AH268" i="10"/>
  <c r="AJ268" i="10"/>
  <c r="AL268" i="10"/>
  <c r="AO268" i="10"/>
  <c r="B269" i="10"/>
  <c r="C269" i="10"/>
  <c r="D269" i="10"/>
  <c r="E269" i="10"/>
  <c r="K269" i="10"/>
  <c r="L269" i="10"/>
  <c r="M269" i="10"/>
  <c r="N269" i="10"/>
  <c r="O269" i="10"/>
  <c r="P269" i="10"/>
  <c r="Q269" i="10"/>
  <c r="R269" i="10"/>
  <c r="S269" i="10"/>
  <c r="T269" i="10"/>
  <c r="U269" i="10"/>
  <c r="V269" i="10"/>
  <c r="W269" i="10"/>
  <c r="X269" i="10"/>
  <c r="Y269" i="10"/>
  <c r="Z269" i="10"/>
  <c r="AA269" i="10"/>
  <c r="AB269" i="10"/>
  <c r="AC269" i="10"/>
  <c r="AD269" i="10"/>
  <c r="AE269" i="10"/>
  <c r="AF269" i="10"/>
  <c r="AG269" i="10"/>
  <c r="AH269" i="10"/>
  <c r="AJ269" i="10"/>
  <c r="AL269" i="10"/>
  <c r="AO269" i="10"/>
  <c r="B270" i="10"/>
  <c r="C270" i="10"/>
  <c r="D270" i="10"/>
  <c r="E270" i="10"/>
  <c r="H270" i="10"/>
  <c r="K270" i="10"/>
  <c r="L270" i="10"/>
  <c r="M270" i="10"/>
  <c r="N270" i="10"/>
  <c r="O270" i="10"/>
  <c r="P270" i="10"/>
  <c r="Q270" i="10"/>
  <c r="R270" i="10"/>
  <c r="S270" i="10"/>
  <c r="T270" i="10"/>
  <c r="U270" i="10"/>
  <c r="V270" i="10"/>
  <c r="W270" i="10"/>
  <c r="X270" i="10"/>
  <c r="Y270" i="10"/>
  <c r="Z270" i="10"/>
  <c r="AA270" i="10"/>
  <c r="AB270" i="10"/>
  <c r="AC270" i="10"/>
  <c r="AD270" i="10"/>
  <c r="AE270" i="10"/>
  <c r="AF270" i="10"/>
  <c r="AG270" i="10"/>
  <c r="AH270" i="10"/>
  <c r="AJ270" i="10"/>
  <c r="AL270" i="10"/>
  <c r="AO270" i="10"/>
  <c r="B271" i="10"/>
  <c r="C271" i="10"/>
  <c r="D271" i="10"/>
  <c r="E271" i="10"/>
  <c r="K271" i="10"/>
  <c r="L271" i="10"/>
  <c r="M271" i="10"/>
  <c r="N271" i="10"/>
  <c r="O271" i="10"/>
  <c r="P271" i="10"/>
  <c r="Q271" i="10"/>
  <c r="R271" i="10"/>
  <c r="S271" i="10"/>
  <c r="T271" i="10"/>
  <c r="U271" i="10"/>
  <c r="V271" i="10"/>
  <c r="W271" i="10"/>
  <c r="X271" i="10"/>
  <c r="Y271" i="10"/>
  <c r="Z271" i="10"/>
  <c r="AA271" i="10"/>
  <c r="AB271" i="10"/>
  <c r="AD271" i="10"/>
  <c r="AE271" i="10"/>
  <c r="AF271" i="10"/>
  <c r="AG271" i="10"/>
  <c r="AH271" i="10"/>
  <c r="AJ271" i="10"/>
  <c r="AL271" i="10"/>
  <c r="AO271" i="10"/>
  <c r="B272" i="10"/>
  <c r="C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S272" i="10"/>
  <c r="T272" i="10"/>
  <c r="U272" i="10"/>
  <c r="V272" i="10"/>
  <c r="W272" i="10"/>
  <c r="X272" i="10"/>
  <c r="Y272" i="10"/>
  <c r="Z272" i="10"/>
  <c r="AA272" i="10"/>
  <c r="AB272" i="10"/>
  <c r="AC272" i="10"/>
  <c r="AD272" i="10"/>
  <c r="AE272" i="10"/>
  <c r="AF272" i="10"/>
  <c r="AG272" i="10"/>
  <c r="AH272" i="10"/>
  <c r="AI272" i="10"/>
  <c r="AJ272" i="10"/>
  <c r="AK272" i="10"/>
  <c r="AL272" i="10"/>
  <c r="AO272" i="10"/>
  <c r="B273" i="10"/>
  <c r="C273" i="10"/>
  <c r="E273" i="10"/>
  <c r="F273" i="10"/>
  <c r="G273" i="10"/>
  <c r="H273" i="10"/>
  <c r="I273" i="10"/>
  <c r="J273" i="10"/>
  <c r="K273" i="10"/>
  <c r="L273" i="10"/>
  <c r="M273" i="10"/>
  <c r="N273" i="10"/>
  <c r="O273" i="10"/>
  <c r="P273" i="10"/>
  <c r="Q273" i="10"/>
  <c r="R273" i="10"/>
  <c r="S273" i="10"/>
  <c r="T273" i="10"/>
  <c r="U273" i="10"/>
  <c r="V273" i="10"/>
  <c r="W273" i="10"/>
  <c r="X273" i="10"/>
  <c r="Y273" i="10"/>
  <c r="Z273" i="10"/>
  <c r="AA273" i="10"/>
  <c r="AB273" i="10"/>
  <c r="AC273" i="10"/>
  <c r="AD273" i="10"/>
  <c r="AE273" i="10"/>
  <c r="AF273" i="10"/>
  <c r="AG273" i="10"/>
  <c r="AH273" i="10"/>
  <c r="AI273" i="10"/>
  <c r="AJ273" i="10"/>
  <c r="AK273" i="10"/>
  <c r="AL273" i="10"/>
  <c r="AO273" i="10"/>
  <c r="B274" i="10"/>
  <c r="C274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R274" i="10"/>
  <c r="S274" i="10"/>
  <c r="T274" i="10"/>
  <c r="U274" i="10"/>
  <c r="V274" i="10"/>
  <c r="W274" i="10"/>
  <c r="X274" i="10"/>
  <c r="Y274" i="10"/>
  <c r="Z274" i="10"/>
  <c r="AA274" i="10"/>
  <c r="AB274" i="10"/>
  <c r="AC274" i="10"/>
  <c r="AD274" i="10"/>
  <c r="AE274" i="10"/>
  <c r="AF274" i="10"/>
  <c r="AG274" i="10"/>
  <c r="AH274" i="10"/>
  <c r="AI274" i="10"/>
  <c r="AJ274" i="10"/>
  <c r="AK274" i="10"/>
  <c r="AL274" i="10"/>
  <c r="AO274" i="10"/>
  <c r="B275" i="10"/>
  <c r="C275" i="10"/>
  <c r="E275" i="10"/>
  <c r="F275" i="10"/>
  <c r="G275" i="10"/>
  <c r="H275" i="10"/>
  <c r="I275" i="10"/>
  <c r="J275" i="10"/>
  <c r="K275" i="10"/>
  <c r="L275" i="10"/>
  <c r="M275" i="10"/>
  <c r="N275" i="10"/>
  <c r="O275" i="10"/>
  <c r="P275" i="10"/>
  <c r="Q275" i="10"/>
  <c r="R275" i="10"/>
  <c r="S275" i="10"/>
  <c r="T275" i="10"/>
  <c r="U275" i="10"/>
  <c r="V275" i="10"/>
  <c r="W275" i="10"/>
  <c r="X275" i="10"/>
  <c r="Y275" i="10"/>
  <c r="Z275" i="10"/>
  <c r="AA275" i="10"/>
  <c r="AB275" i="10"/>
  <c r="AC275" i="10"/>
  <c r="AD275" i="10"/>
  <c r="AE275" i="10"/>
  <c r="AF275" i="10"/>
  <c r="AG275" i="10"/>
  <c r="AH275" i="10"/>
  <c r="AI275" i="10"/>
  <c r="AJ275" i="10"/>
  <c r="AK275" i="10"/>
  <c r="AL275" i="10"/>
  <c r="AO275" i="10"/>
  <c r="B276" i="10"/>
  <c r="C276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S276" i="10"/>
  <c r="T276" i="10"/>
  <c r="U276" i="10"/>
  <c r="V276" i="10"/>
  <c r="W276" i="10"/>
  <c r="X276" i="10"/>
  <c r="Y276" i="10"/>
  <c r="Z276" i="10"/>
  <c r="AA276" i="10"/>
  <c r="AB276" i="10"/>
  <c r="AC276" i="10"/>
  <c r="AD276" i="10"/>
  <c r="AE276" i="10"/>
  <c r="AF276" i="10"/>
  <c r="AG276" i="10"/>
  <c r="AH276" i="10"/>
  <c r="AI276" i="10"/>
  <c r="AJ276" i="10"/>
  <c r="AK276" i="10"/>
  <c r="AL276" i="10"/>
  <c r="AO276" i="10"/>
  <c r="B277" i="10"/>
  <c r="C277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Q277" i="10"/>
  <c r="R277" i="10"/>
  <c r="S277" i="10"/>
  <c r="T277" i="10"/>
  <c r="U277" i="10"/>
  <c r="V277" i="10"/>
  <c r="W277" i="10"/>
  <c r="X277" i="10"/>
  <c r="Y277" i="10"/>
  <c r="Z277" i="10"/>
  <c r="AA277" i="10"/>
  <c r="AB277" i="10"/>
  <c r="AC277" i="10"/>
  <c r="AD277" i="10"/>
  <c r="AE277" i="10"/>
  <c r="AF277" i="10"/>
  <c r="AG277" i="10"/>
  <c r="AH277" i="10"/>
  <c r="AI277" i="10"/>
  <c r="AJ277" i="10"/>
  <c r="AK277" i="10"/>
  <c r="AL277" i="10"/>
  <c r="AO277" i="10"/>
  <c r="B278" i="10"/>
  <c r="C278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Q278" i="10"/>
  <c r="R278" i="10"/>
  <c r="S278" i="10"/>
  <c r="T278" i="10"/>
  <c r="U278" i="10"/>
  <c r="V278" i="10"/>
  <c r="W278" i="10"/>
  <c r="X278" i="10"/>
  <c r="Y278" i="10"/>
  <c r="Z278" i="10"/>
  <c r="AA278" i="10"/>
  <c r="AB278" i="10"/>
  <c r="AC278" i="10"/>
  <c r="AD278" i="10"/>
  <c r="AE278" i="10"/>
  <c r="AF278" i="10"/>
  <c r="AG278" i="10"/>
  <c r="AH278" i="10"/>
  <c r="AI278" i="10"/>
  <c r="AJ278" i="10"/>
  <c r="AK278" i="10"/>
  <c r="AL278" i="10"/>
  <c r="AO278" i="10"/>
  <c r="B279" i="10"/>
  <c r="C279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Q279" i="10"/>
  <c r="R279" i="10"/>
  <c r="S279" i="10"/>
  <c r="T279" i="10"/>
  <c r="U279" i="10"/>
  <c r="V279" i="10"/>
  <c r="W279" i="10"/>
  <c r="X279" i="10"/>
  <c r="Y279" i="10"/>
  <c r="Z279" i="10"/>
  <c r="AA279" i="10"/>
  <c r="AB279" i="10"/>
  <c r="AC279" i="10"/>
  <c r="AD279" i="10"/>
  <c r="AE279" i="10"/>
  <c r="AF279" i="10"/>
  <c r="AG279" i="10"/>
  <c r="AH279" i="10"/>
  <c r="AJ279" i="10"/>
  <c r="AK279" i="10"/>
  <c r="AL279" i="10"/>
  <c r="AM279" i="10"/>
  <c r="AN279" i="10"/>
  <c r="AO279" i="10"/>
  <c r="B280" i="10"/>
  <c r="C280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R280" i="10"/>
  <c r="S280" i="10"/>
  <c r="T280" i="10"/>
  <c r="U280" i="10"/>
  <c r="V280" i="10"/>
  <c r="W280" i="10"/>
  <c r="X280" i="10"/>
  <c r="Y280" i="10"/>
  <c r="Z280" i="10"/>
  <c r="AA280" i="10"/>
  <c r="AB280" i="10"/>
  <c r="AC280" i="10"/>
  <c r="AD280" i="10"/>
  <c r="AE280" i="10"/>
  <c r="AF280" i="10"/>
  <c r="AG280" i="10"/>
  <c r="AH280" i="10"/>
  <c r="AJ280" i="10"/>
  <c r="AK280" i="10"/>
  <c r="AL280" i="10"/>
  <c r="AM280" i="10"/>
  <c r="AN280" i="10"/>
  <c r="AO280" i="10"/>
  <c r="B281" i="10"/>
  <c r="C281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Q281" i="10"/>
  <c r="R281" i="10"/>
  <c r="S281" i="10"/>
  <c r="T281" i="10"/>
  <c r="U281" i="10"/>
  <c r="V281" i="10"/>
  <c r="W281" i="10"/>
  <c r="X281" i="10"/>
  <c r="Y281" i="10"/>
  <c r="Z281" i="10"/>
  <c r="AA281" i="10"/>
  <c r="AB281" i="10"/>
  <c r="AC281" i="10"/>
  <c r="AD281" i="10"/>
  <c r="AE281" i="10"/>
  <c r="AF281" i="10"/>
  <c r="AG281" i="10"/>
  <c r="AH281" i="10"/>
  <c r="AJ281" i="10"/>
  <c r="AK281" i="10"/>
  <c r="AL281" i="10"/>
  <c r="AM281" i="10"/>
  <c r="AN281" i="10"/>
  <c r="AO281" i="10"/>
  <c r="B282" i="10"/>
  <c r="C282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Q282" i="10"/>
  <c r="R282" i="10"/>
  <c r="S282" i="10"/>
  <c r="T282" i="10"/>
  <c r="U282" i="10"/>
  <c r="V282" i="10"/>
  <c r="W282" i="10"/>
  <c r="X282" i="10"/>
  <c r="Y282" i="10"/>
  <c r="Z282" i="10"/>
  <c r="AA282" i="10"/>
  <c r="AB282" i="10"/>
  <c r="AC282" i="10"/>
  <c r="AD282" i="10"/>
  <c r="AE282" i="10"/>
  <c r="AF282" i="10"/>
  <c r="AG282" i="10"/>
  <c r="AH282" i="10"/>
  <c r="AJ282" i="10"/>
  <c r="AK282" i="10"/>
  <c r="AL282" i="10"/>
  <c r="AM282" i="10"/>
  <c r="AN282" i="10"/>
  <c r="AO282" i="10"/>
  <c r="B283" i="10"/>
  <c r="C283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Q283" i="10"/>
  <c r="R283" i="10"/>
  <c r="S283" i="10"/>
  <c r="T283" i="10"/>
  <c r="U283" i="10"/>
  <c r="V283" i="10"/>
  <c r="W283" i="10"/>
  <c r="X283" i="10"/>
  <c r="Y283" i="10"/>
  <c r="Z283" i="10"/>
  <c r="AA283" i="10"/>
  <c r="AB283" i="10"/>
  <c r="AC283" i="10"/>
  <c r="AD283" i="10"/>
  <c r="AE283" i="10"/>
  <c r="AF283" i="10"/>
  <c r="AG283" i="10"/>
  <c r="AH283" i="10"/>
  <c r="AJ283" i="10"/>
  <c r="AK283" i="10"/>
  <c r="AL283" i="10"/>
  <c r="AM283" i="10"/>
  <c r="AN283" i="10"/>
  <c r="AO283" i="10"/>
  <c r="B284" i="10"/>
  <c r="C284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Q284" i="10"/>
  <c r="R284" i="10"/>
  <c r="S284" i="10"/>
  <c r="T284" i="10"/>
  <c r="U284" i="10"/>
  <c r="V284" i="10"/>
  <c r="W284" i="10"/>
  <c r="X284" i="10"/>
  <c r="Y284" i="10"/>
  <c r="Z284" i="10"/>
  <c r="AA284" i="10"/>
  <c r="AB284" i="10"/>
  <c r="AC284" i="10"/>
  <c r="AD284" i="10"/>
  <c r="AE284" i="10"/>
  <c r="AF284" i="10"/>
  <c r="AG284" i="10"/>
  <c r="AH284" i="10"/>
  <c r="AJ284" i="10"/>
  <c r="AK284" i="10"/>
  <c r="AL284" i="10"/>
  <c r="AM284" i="10"/>
  <c r="AN284" i="10"/>
  <c r="AO284" i="10"/>
  <c r="B285" i="10"/>
  <c r="C285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Q285" i="10"/>
  <c r="R285" i="10"/>
  <c r="S285" i="10"/>
  <c r="T285" i="10"/>
  <c r="U285" i="10"/>
  <c r="V285" i="10"/>
  <c r="W285" i="10"/>
  <c r="X285" i="10"/>
  <c r="Y285" i="10"/>
  <c r="Z285" i="10"/>
  <c r="AA285" i="10"/>
  <c r="AB285" i="10"/>
  <c r="AC285" i="10"/>
  <c r="AD285" i="10"/>
  <c r="AE285" i="10"/>
  <c r="AF285" i="10"/>
  <c r="AG285" i="10"/>
  <c r="AH285" i="10"/>
  <c r="AJ285" i="10"/>
  <c r="AK285" i="10"/>
  <c r="AL285" i="10"/>
  <c r="AM285" i="10"/>
  <c r="AN285" i="10"/>
  <c r="AO285" i="10"/>
  <c r="B286" i="10"/>
  <c r="C286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Q286" i="10"/>
  <c r="R286" i="10"/>
  <c r="S286" i="10"/>
  <c r="T286" i="10"/>
  <c r="U286" i="10"/>
  <c r="V286" i="10"/>
  <c r="W286" i="10"/>
  <c r="X286" i="10"/>
  <c r="Y286" i="10"/>
  <c r="Z286" i="10"/>
  <c r="AA286" i="10"/>
  <c r="AB286" i="10"/>
  <c r="AC286" i="10"/>
  <c r="AD286" i="10"/>
  <c r="AE286" i="10"/>
  <c r="AF286" i="10"/>
  <c r="AG286" i="10"/>
  <c r="AH286" i="10"/>
  <c r="AJ286" i="10"/>
  <c r="AK286" i="10"/>
  <c r="AL286" i="10"/>
  <c r="AM286" i="10"/>
  <c r="AN286" i="10"/>
  <c r="AO286" i="10"/>
  <c r="B287" i="10"/>
  <c r="C287" i="10"/>
  <c r="D287" i="10"/>
  <c r="E287" i="10"/>
  <c r="F287" i="10"/>
  <c r="G287" i="10"/>
  <c r="H287" i="10"/>
  <c r="I287" i="10"/>
  <c r="J287" i="10"/>
  <c r="K287" i="10"/>
  <c r="L287" i="10"/>
  <c r="M287" i="10"/>
  <c r="N287" i="10"/>
  <c r="O287" i="10"/>
  <c r="P287" i="10"/>
  <c r="Q287" i="10"/>
  <c r="R287" i="10"/>
  <c r="S287" i="10"/>
  <c r="T287" i="10"/>
  <c r="U287" i="10"/>
  <c r="V287" i="10"/>
  <c r="W287" i="10"/>
  <c r="X287" i="10"/>
  <c r="Y287" i="10"/>
  <c r="Z287" i="10"/>
  <c r="AA287" i="10"/>
  <c r="AB287" i="10"/>
  <c r="AC287" i="10"/>
  <c r="AD287" i="10"/>
  <c r="AE287" i="10"/>
  <c r="AF287" i="10"/>
  <c r="AG287" i="10"/>
  <c r="AH287" i="10"/>
  <c r="AJ287" i="10"/>
  <c r="AK287" i="10"/>
  <c r="AL287" i="10"/>
  <c r="AM287" i="10"/>
  <c r="AN287" i="10"/>
  <c r="AO287" i="10"/>
  <c r="B288" i="10"/>
  <c r="C288" i="10"/>
  <c r="D288" i="10"/>
  <c r="E288" i="10"/>
  <c r="F288" i="10"/>
  <c r="G288" i="10"/>
  <c r="H288" i="10"/>
  <c r="I288" i="10"/>
  <c r="J288" i="10"/>
  <c r="K288" i="10"/>
  <c r="L288" i="10"/>
  <c r="M288" i="10"/>
  <c r="N288" i="10"/>
  <c r="O288" i="10"/>
  <c r="P288" i="10"/>
  <c r="Q288" i="10"/>
  <c r="R288" i="10"/>
  <c r="S288" i="10"/>
  <c r="T288" i="10"/>
  <c r="U288" i="10"/>
  <c r="V288" i="10"/>
  <c r="W288" i="10"/>
  <c r="X288" i="10"/>
  <c r="Y288" i="10"/>
  <c r="Z288" i="10"/>
  <c r="AA288" i="10"/>
  <c r="AB288" i="10"/>
  <c r="AC288" i="10"/>
  <c r="AD288" i="10"/>
  <c r="AE288" i="10"/>
  <c r="AF288" i="10"/>
  <c r="AG288" i="10"/>
  <c r="AH288" i="10"/>
  <c r="AJ288" i="10"/>
  <c r="AK288" i="10"/>
  <c r="AL288" i="10"/>
  <c r="AM288" i="10"/>
  <c r="AN288" i="10"/>
  <c r="AO288" i="10"/>
  <c r="B289" i="10"/>
  <c r="C289" i="10"/>
  <c r="D289" i="10"/>
  <c r="E289" i="10"/>
  <c r="F289" i="10"/>
  <c r="G289" i="10"/>
  <c r="H289" i="10"/>
  <c r="I289" i="10"/>
  <c r="L289" i="10"/>
  <c r="O289" i="10"/>
  <c r="P289" i="10"/>
  <c r="Q289" i="10"/>
  <c r="R289" i="10"/>
  <c r="S289" i="10"/>
  <c r="T289" i="10"/>
  <c r="U289" i="10"/>
  <c r="V289" i="10"/>
  <c r="W289" i="10"/>
  <c r="X289" i="10"/>
  <c r="Y289" i="10"/>
  <c r="Z289" i="10"/>
  <c r="AA289" i="10"/>
  <c r="AB289" i="10"/>
  <c r="AC289" i="10"/>
  <c r="AD289" i="10"/>
  <c r="AE289" i="10"/>
  <c r="AF289" i="10"/>
  <c r="AG289" i="10"/>
  <c r="AI289" i="10"/>
  <c r="AJ289" i="10"/>
  <c r="AK289" i="10"/>
  <c r="AL289" i="10"/>
  <c r="AO289" i="10"/>
  <c r="B290" i="10"/>
  <c r="C290" i="10"/>
  <c r="D290" i="10"/>
  <c r="E290" i="10"/>
  <c r="F290" i="10"/>
  <c r="G290" i="10"/>
  <c r="H290" i="10"/>
  <c r="I290" i="10"/>
  <c r="L290" i="10"/>
  <c r="O290" i="10"/>
  <c r="P290" i="10"/>
  <c r="Q290" i="10"/>
  <c r="R290" i="10"/>
  <c r="S290" i="10"/>
  <c r="T290" i="10"/>
  <c r="U290" i="10"/>
  <c r="V290" i="10"/>
  <c r="W290" i="10"/>
  <c r="X290" i="10"/>
  <c r="Y290" i="10"/>
  <c r="Z290" i="10"/>
  <c r="AA290" i="10"/>
  <c r="AB290" i="10"/>
  <c r="AC290" i="10"/>
  <c r="AD290" i="10"/>
  <c r="AE290" i="10"/>
  <c r="AF290" i="10"/>
  <c r="AG290" i="10"/>
  <c r="AI290" i="10"/>
  <c r="AJ290" i="10"/>
  <c r="AK290" i="10"/>
  <c r="AL290" i="10"/>
  <c r="AO290" i="10"/>
  <c r="B291" i="10"/>
  <c r="C291" i="10"/>
  <c r="D291" i="10"/>
  <c r="E291" i="10"/>
  <c r="F291" i="10"/>
  <c r="G291" i="10"/>
  <c r="H291" i="10"/>
  <c r="I291" i="10"/>
  <c r="L291" i="10"/>
  <c r="O291" i="10"/>
  <c r="P291" i="10"/>
  <c r="Q291" i="10"/>
  <c r="R291" i="10"/>
  <c r="S291" i="10"/>
  <c r="T291" i="10"/>
  <c r="U291" i="10"/>
  <c r="V291" i="10"/>
  <c r="W291" i="10"/>
  <c r="X291" i="10"/>
  <c r="Y291" i="10"/>
  <c r="Z291" i="10"/>
  <c r="AA291" i="10"/>
  <c r="AB291" i="10"/>
  <c r="AC291" i="10"/>
  <c r="AD291" i="10"/>
  <c r="AE291" i="10"/>
  <c r="AF291" i="10"/>
  <c r="AG291" i="10"/>
  <c r="AI291" i="10"/>
  <c r="AJ291" i="10"/>
  <c r="AK291" i="10"/>
  <c r="AL291" i="10"/>
  <c r="AO291" i="10"/>
  <c r="B292" i="10"/>
  <c r="C292" i="10"/>
  <c r="D292" i="10"/>
  <c r="E292" i="10"/>
  <c r="F292" i="10"/>
  <c r="G292" i="10"/>
  <c r="H292" i="10"/>
  <c r="I292" i="10"/>
  <c r="L292" i="10"/>
  <c r="O292" i="10"/>
  <c r="P292" i="10"/>
  <c r="Q292" i="10"/>
  <c r="R292" i="10"/>
  <c r="S292" i="10"/>
  <c r="T292" i="10"/>
  <c r="U292" i="10"/>
  <c r="V292" i="10"/>
  <c r="W292" i="10"/>
  <c r="X292" i="10"/>
  <c r="Y292" i="10"/>
  <c r="Z292" i="10"/>
  <c r="AA292" i="10"/>
  <c r="AB292" i="10"/>
  <c r="AC292" i="10"/>
  <c r="AD292" i="10"/>
  <c r="AE292" i="10"/>
  <c r="AF292" i="10"/>
  <c r="AG292" i="10"/>
  <c r="AI292" i="10"/>
  <c r="AJ292" i="10"/>
  <c r="AK292" i="10"/>
  <c r="AL292" i="10"/>
  <c r="AO292" i="10"/>
  <c r="B293" i="10"/>
  <c r="C293" i="10"/>
  <c r="D293" i="10"/>
  <c r="E293" i="10"/>
  <c r="F293" i="10"/>
  <c r="G293" i="10"/>
  <c r="H293" i="10"/>
  <c r="I293" i="10"/>
  <c r="L293" i="10"/>
  <c r="O293" i="10"/>
  <c r="P293" i="10"/>
  <c r="Q293" i="10"/>
  <c r="R293" i="10"/>
  <c r="S293" i="10"/>
  <c r="T293" i="10"/>
  <c r="U293" i="10"/>
  <c r="V293" i="10"/>
  <c r="W293" i="10"/>
  <c r="X293" i="10"/>
  <c r="Y293" i="10"/>
  <c r="Z293" i="10"/>
  <c r="AA293" i="10"/>
  <c r="AB293" i="10"/>
  <c r="AC293" i="10"/>
  <c r="AD293" i="10"/>
  <c r="AE293" i="10"/>
  <c r="AF293" i="10"/>
  <c r="AG293" i="10"/>
  <c r="AI293" i="10"/>
  <c r="AJ293" i="10"/>
  <c r="AK293" i="10"/>
  <c r="AL293" i="10"/>
  <c r="AO293" i="10"/>
  <c r="B294" i="10"/>
  <c r="C294" i="10"/>
  <c r="D294" i="10"/>
  <c r="E294" i="10"/>
  <c r="F294" i="10"/>
  <c r="G294" i="10"/>
  <c r="H294" i="10"/>
  <c r="I294" i="10"/>
  <c r="L294" i="10"/>
  <c r="O294" i="10"/>
  <c r="P294" i="10"/>
  <c r="Q294" i="10"/>
  <c r="R294" i="10"/>
  <c r="S294" i="10"/>
  <c r="T294" i="10"/>
  <c r="U294" i="10"/>
  <c r="V294" i="10"/>
  <c r="W294" i="10"/>
  <c r="X294" i="10"/>
  <c r="Y294" i="10"/>
  <c r="Z294" i="10"/>
  <c r="AA294" i="10"/>
  <c r="AB294" i="10"/>
  <c r="AC294" i="10"/>
  <c r="AD294" i="10"/>
  <c r="AE294" i="10"/>
  <c r="AF294" i="10"/>
  <c r="AG294" i="10"/>
  <c r="AI294" i="10"/>
  <c r="AJ294" i="10"/>
  <c r="AK294" i="10"/>
  <c r="AL294" i="10"/>
  <c r="AO294" i="10"/>
  <c r="B295" i="10"/>
  <c r="C295" i="10"/>
  <c r="D295" i="10"/>
  <c r="E295" i="10"/>
  <c r="F295" i="10"/>
  <c r="G295" i="10"/>
  <c r="H295" i="10"/>
  <c r="I295" i="10"/>
  <c r="L295" i="10"/>
  <c r="O295" i="10"/>
  <c r="P295" i="10"/>
  <c r="Q295" i="10"/>
  <c r="R295" i="10"/>
  <c r="S295" i="10"/>
  <c r="T295" i="10"/>
  <c r="U295" i="10"/>
  <c r="V295" i="10"/>
  <c r="W295" i="10"/>
  <c r="X295" i="10"/>
  <c r="Y295" i="10"/>
  <c r="Z295" i="10"/>
  <c r="AA295" i="10"/>
  <c r="AB295" i="10"/>
  <c r="AC295" i="10"/>
  <c r="AD295" i="10"/>
  <c r="AE295" i="10"/>
  <c r="AF295" i="10"/>
  <c r="AG295" i="10"/>
  <c r="AI295" i="10"/>
  <c r="AJ295" i="10"/>
  <c r="AK295" i="10"/>
  <c r="AL295" i="10"/>
  <c r="AO295" i="10"/>
  <c r="B296" i="10"/>
  <c r="C296" i="10"/>
  <c r="D296" i="10"/>
  <c r="E296" i="10"/>
  <c r="F296" i="10"/>
  <c r="G296" i="10"/>
  <c r="H296" i="10"/>
  <c r="I296" i="10"/>
  <c r="L296" i="10"/>
  <c r="O296" i="10"/>
  <c r="P296" i="10"/>
  <c r="Q296" i="10"/>
  <c r="R296" i="10"/>
  <c r="S296" i="10"/>
  <c r="T296" i="10"/>
  <c r="U296" i="10"/>
  <c r="V296" i="10"/>
  <c r="W296" i="10"/>
  <c r="X296" i="10"/>
  <c r="Y296" i="10"/>
  <c r="Z296" i="10"/>
  <c r="AA296" i="10"/>
  <c r="AB296" i="10"/>
  <c r="AC296" i="10"/>
  <c r="AD296" i="10"/>
  <c r="AE296" i="10"/>
  <c r="AF296" i="10"/>
  <c r="AG296" i="10"/>
  <c r="AI296" i="10"/>
  <c r="AJ296" i="10"/>
  <c r="AK296" i="10"/>
  <c r="AL296" i="10"/>
  <c r="AO296" i="10"/>
  <c r="B297" i="10"/>
  <c r="C297" i="10"/>
  <c r="D297" i="10"/>
  <c r="E297" i="10"/>
  <c r="F297" i="10"/>
  <c r="G297" i="10"/>
  <c r="H297" i="10"/>
  <c r="I297" i="10"/>
  <c r="L297" i="10"/>
  <c r="O297" i="10"/>
  <c r="P297" i="10"/>
  <c r="Q297" i="10"/>
  <c r="R297" i="10"/>
  <c r="S297" i="10"/>
  <c r="T297" i="10"/>
  <c r="U297" i="10"/>
  <c r="V297" i="10"/>
  <c r="W297" i="10"/>
  <c r="X297" i="10"/>
  <c r="Y297" i="10"/>
  <c r="Z297" i="10"/>
  <c r="AA297" i="10"/>
  <c r="AB297" i="10"/>
  <c r="AC297" i="10"/>
  <c r="AD297" i="10"/>
  <c r="AE297" i="10"/>
  <c r="AF297" i="10"/>
  <c r="AG297" i="10"/>
  <c r="AI297" i="10"/>
  <c r="AJ297" i="10"/>
  <c r="AK297" i="10"/>
  <c r="AL297" i="10"/>
  <c r="AO297" i="10"/>
  <c r="B298" i="10"/>
  <c r="C298" i="10"/>
  <c r="D298" i="10"/>
  <c r="E298" i="10"/>
  <c r="F298" i="10"/>
  <c r="G298" i="10"/>
  <c r="H298" i="10"/>
  <c r="I298" i="10"/>
  <c r="L298" i="10"/>
  <c r="O298" i="10"/>
  <c r="P298" i="10"/>
  <c r="Q298" i="10"/>
  <c r="R298" i="10"/>
  <c r="S298" i="10"/>
  <c r="T298" i="10"/>
  <c r="U298" i="10"/>
  <c r="V298" i="10"/>
  <c r="W298" i="10"/>
  <c r="X298" i="10"/>
  <c r="Y298" i="10"/>
  <c r="Z298" i="10"/>
  <c r="AA298" i="10"/>
  <c r="AB298" i="10"/>
  <c r="AC298" i="10"/>
  <c r="AD298" i="10"/>
  <c r="AE298" i="10"/>
  <c r="AF298" i="10"/>
  <c r="AG298" i="10"/>
  <c r="AI298" i="10"/>
  <c r="AJ298" i="10"/>
  <c r="AK298" i="10"/>
  <c r="AL298" i="10"/>
  <c r="AO298" i="10"/>
  <c r="B299" i="10"/>
  <c r="C299" i="10"/>
  <c r="D299" i="10"/>
  <c r="E299" i="10"/>
  <c r="F299" i="10"/>
  <c r="G299" i="10"/>
  <c r="H299" i="10"/>
  <c r="I299" i="10"/>
  <c r="L299" i="10"/>
  <c r="O299" i="10"/>
  <c r="P299" i="10"/>
  <c r="Q299" i="10"/>
  <c r="R299" i="10"/>
  <c r="S299" i="10"/>
  <c r="T299" i="10"/>
  <c r="U299" i="10"/>
  <c r="V299" i="10"/>
  <c r="W299" i="10"/>
  <c r="X299" i="10"/>
  <c r="Y299" i="10"/>
  <c r="Z299" i="10"/>
  <c r="AA299" i="10"/>
  <c r="AB299" i="10"/>
  <c r="AC299" i="10"/>
  <c r="AD299" i="10"/>
  <c r="AE299" i="10"/>
  <c r="AF299" i="10"/>
  <c r="AG299" i="10"/>
  <c r="AI299" i="10"/>
  <c r="AJ299" i="10"/>
  <c r="AK299" i="10"/>
  <c r="AL299" i="10"/>
  <c r="AO299" i="10"/>
  <c r="B300" i="10"/>
  <c r="C300" i="10"/>
  <c r="D300" i="10"/>
  <c r="E300" i="10"/>
  <c r="F300" i="10"/>
  <c r="G300" i="10"/>
  <c r="H300" i="10"/>
  <c r="I300" i="10"/>
  <c r="L300" i="10"/>
  <c r="O300" i="10"/>
  <c r="P300" i="10"/>
  <c r="Q300" i="10"/>
  <c r="R300" i="10"/>
  <c r="S300" i="10"/>
  <c r="T300" i="10"/>
  <c r="U300" i="10"/>
  <c r="V300" i="10"/>
  <c r="W300" i="10"/>
  <c r="X300" i="10"/>
  <c r="Y300" i="10"/>
  <c r="Z300" i="10"/>
  <c r="AA300" i="10"/>
  <c r="AB300" i="10"/>
  <c r="AC300" i="10"/>
  <c r="AD300" i="10"/>
  <c r="AE300" i="10"/>
  <c r="AF300" i="10"/>
  <c r="AG300" i="10"/>
  <c r="AI300" i="10"/>
  <c r="AJ300" i="10"/>
  <c r="AK300" i="10"/>
  <c r="AL300" i="10"/>
  <c r="AO300" i="10"/>
  <c r="B301" i="10"/>
  <c r="C301" i="10"/>
  <c r="D301" i="10"/>
  <c r="E301" i="10"/>
  <c r="F301" i="10"/>
  <c r="G301" i="10"/>
  <c r="H301" i="10"/>
  <c r="I301" i="10"/>
  <c r="L301" i="10"/>
  <c r="O301" i="10"/>
  <c r="P301" i="10"/>
  <c r="Q301" i="10"/>
  <c r="R301" i="10"/>
  <c r="S301" i="10"/>
  <c r="T301" i="10"/>
  <c r="U301" i="10"/>
  <c r="V301" i="10"/>
  <c r="W301" i="10"/>
  <c r="X301" i="10"/>
  <c r="Y301" i="10"/>
  <c r="Z301" i="10"/>
  <c r="AA301" i="10"/>
  <c r="AB301" i="10"/>
  <c r="AC301" i="10"/>
  <c r="AD301" i="10"/>
  <c r="AE301" i="10"/>
  <c r="AF301" i="10"/>
  <c r="AG301" i="10"/>
  <c r="AI301" i="10"/>
  <c r="AJ301" i="10"/>
  <c r="AK301" i="10"/>
  <c r="AL301" i="10"/>
  <c r="AO301" i="10"/>
  <c r="B302" i="10"/>
  <c r="C302" i="10"/>
  <c r="D302" i="10"/>
  <c r="E302" i="10"/>
  <c r="F302" i="10"/>
  <c r="G302" i="10"/>
  <c r="H302" i="10"/>
  <c r="I302" i="10"/>
  <c r="L302" i="10"/>
  <c r="O302" i="10"/>
  <c r="P302" i="10"/>
  <c r="Q302" i="10"/>
  <c r="R302" i="10"/>
  <c r="S302" i="10"/>
  <c r="T302" i="10"/>
  <c r="U302" i="10"/>
  <c r="V302" i="10"/>
  <c r="W302" i="10"/>
  <c r="X302" i="10"/>
  <c r="Y302" i="10"/>
  <c r="Z302" i="10"/>
  <c r="AA302" i="10"/>
  <c r="AB302" i="10"/>
  <c r="AC302" i="10"/>
  <c r="AD302" i="10"/>
  <c r="AE302" i="10"/>
  <c r="AF302" i="10"/>
  <c r="AG302" i="10"/>
  <c r="AI302" i="10"/>
  <c r="AJ302" i="10"/>
  <c r="AK302" i="10"/>
  <c r="AL302" i="10"/>
  <c r="AO302" i="10"/>
  <c r="B303" i="10"/>
  <c r="C303" i="10"/>
  <c r="D303" i="10"/>
  <c r="E303" i="10"/>
  <c r="F303" i="10"/>
  <c r="G303" i="10"/>
  <c r="H303" i="10"/>
  <c r="I303" i="10"/>
  <c r="L303" i="10"/>
  <c r="O303" i="10"/>
  <c r="P303" i="10"/>
  <c r="Q303" i="10"/>
  <c r="R303" i="10"/>
  <c r="S303" i="10"/>
  <c r="T303" i="10"/>
  <c r="U303" i="10"/>
  <c r="V303" i="10"/>
  <c r="W303" i="10"/>
  <c r="X303" i="10"/>
  <c r="Y303" i="10"/>
  <c r="Z303" i="10"/>
  <c r="AA303" i="10"/>
  <c r="AB303" i="10"/>
  <c r="AC303" i="10"/>
  <c r="AD303" i="10"/>
  <c r="AE303" i="10"/>
  <c r="AF303" i="10"/>
  <c r="AG303" i="10"/>
  <c r="AI303" i="10"/>
  <c r="AJ303" i="10"/>
  <c r="AK303" i="10"/>
  <c r="AL303" i="10"/>
  <c r="AO303" i="10"/>
  <c r="B304" i="10"/>
  <c r="C304" i="10"/>
  <c r="D304" i="10"/>
  <c r="E304" i="10"/>
  <c r="F304" i="10"/>
  <c r="G304" i="10"/>
  <c r="H304" i="10"/>
  <c r="I304" i="10"/>
  <c r="L304" i="10"/>
  <c r="O304" i="10"/>
  <c r="P304" i="10"/>
  <c r="Q304" i="10"/>
  <c r="R304" i="10"/>
  <c r="S304" i="10"/>
  <c r="T304" i="10"/>
  <c r="U304" i="10"/>
  <c r="V304" i="10"/>
  <c r="W304" i="10"/>
  <c r="X304" i="10"/>
  <c r="Y304" i="10"/>
  <c r="Z304" i="10"/>
  <c r="AA304" i="10"/>
  <c r="AB304" i="10"/>
  <c r="AC304" i="10"/>
  <c r="AD304" i="10"/>
  <c r="AE304" i="10"/>
  <c r="AF304" i="10"/>
  <c r="AG304" i="10"/>
  <c r="AI304" i="10"/>
  <c r="AJ304" i="10"/>
  <c r="AK304" i="10"/>
  <c r="AL304" i="10"/>
  <c r="AO304" i="10"/>
  <c r="B305" i="10"/>
  <c r="C305" i="10"/>
  <c r="F305" i="10"/>
  <c r="G305" i="10"/>
  <c r="H305" i="10"/>
  <c r="I305" i="10"/>
  <c r="J305" i="10"/>
  <c r="L305" i="10"/>
  <c r="O305" i="10"/>
  <c r="P305" i="10"/>
  <c r="Q305" i="10"/>
  <c r="R305" i="10"/>
  <c r="S305" i="10"/>
  <c r="T305" i="10"/>
  <c r="U305" i="10"/>
  <c r="V305" i="10"/>
  <c r="W305" i="10"/>
  <c r="X305" i="10"/>
  <c r="Y305" i="10"/>
  <c r="Z305" i="10"/>
  <c r="AA305" i="10"/>
  <c r="AB305" i="10"/>
  <c r="AC305" i="10"/>
  <c r="AD305" i="10"/>
  <c r="AE305" i="10"/>
  <c r="AF305" i="10"/>
  <c r="AG305" i="10"/>
  <c r="AI305" i="10"/>
  <c r="AJ305" i="10"/>
  <c r="AK305" i="10"/>
  <c r="AL305" i="10"/>
  <c r="AO305" i="10"/>
  <c r="B306" i="10"/>
  <c r="C306" i="10"/>
  <c r="F306" i="10"/>
  <c r="G306" i="10"/>
  <c r="H306" i="10"/>
  <c r="I306" i="10"/>
  <c r="J306" i="10"/>
  <c r="L306" i="10"/>
  <c r="O306" i="10"/>
  <c r="P306" i="10"/>
  <c r="Q306" i="10"/>
  <c r="R306" i="10"/>
  <c r="S306" i="10"/>
  <c r="T306" i="10"/>
  <c r="U306" i="10"/>
  <c r="V306" i="10"/>
  <c r="W306" i="10"/>
  <c r="X306" i="10"/>
  <c r="Y306" i="10"/>
  <c r="Z306" i="10"/>
  <c r="AA306" i="10"/>
  <c r="AB306" i="10"/>
  <c r="AC306" i="10"/>
  <c r="AD306" i="10"/>
  <c r="AE306" i="10"/>
  <c r="AF306" i="10"/>
  <c r="AG306" i="10"/>
  <c r="AH306" i="10"/>
  <c r="AI306" i="10"/>
  <c r="AJ306" i="10"/>
  <c r="AK306" i="10"/>
  <c r="AL306" i="10"/>
  <c r="AN306" i="10"/>
  <c r="AO306" i="10"/>
  <c r="B307" i="10"/>
  <c r="C307" i="10"/>
  <c r="D307" i="10"/>
  <c r="F307" i="10"/>
  <c r="G307" i="10"/>
  <c r="H307" i="10"/>
  <c r="I307" i="10"/>
  <c r="J307" i="10"/>
  <c r="L307" i="10"/>
  <c r="O307" i="10"/>
  <c r="P307" i="10"/>
  <c r="Q307" i="10"/>
  <c r="R307" i="10"/>
  <c r="S307" i="10"/>
  <c r="T307" i="10"/>
  <c r="U307" i="10"/>
  <c r="V307" i="10"/>
  <c r="W307" i="10"/>
  <c r="X307" i="10"/>
  <c r="Y307" i="10"/>
  <c r="Z307" i="10"/>
  <c r="AA307" i="10"/>
  <c r="AB307" i="10"/>
  <c r="AC307" i="10"/>
  <c r="AD307" i="10"/>
  <c r="AE307" i="10"/>
  <c r="AF307" i="10"/>
  <c r="AG307" i="10"/>
  <c r="AH307" i="10"/>
  <c r="AI307" i="10"/>
  <c r="AJ307" i="10"/>
  <c r="AK307" i="10"/>
  <c r="AL307" i="10"/>
  <c r="AN307" i="10"/>
  <c r="AO307" i="10"/>
  <c r="B308" i="10"/>
  <c r="C308" i="10"/>
  <c r="F308" i="10"/>
  <c r="G308" i="10"/>
  <c r="H308" i="10"/>
  <c r="I308" i="10"/>
  <c r="J308" i="10"/>
  <c r="L308" i="10"/>
  <c r="O308" i="10"/>
  <c r="P308" i="10"/>
  <c r="Q308" i="10"/>
  <c r="R308" i="10"/>
  <c r="S308" i="10"/>
  <c r="T308" i="10"/>
  <c r="U308" i="10"/>
  <c r="V308" i="10"/>
  <c r="W308" i="10"/>
  <c r="X308" i="10"/>
  <c r="Y308" i="10"/>
  <c r="Z308" i="10"/>
  <c r="AA308" i="10"/>
  <c r="AB308" i="10"/>
  <c r="AC308" i="10"/>
  <c r="AD308" i="10"/>
  <c r="AE308" i="10"/>
  <c r="AF308" i="10"/>
  <c r="AG308" i="10"/>
  <c r="AH308" i="10"/>
  <c r="AI308" i="10"/>
  <c r="AJ308" i="10"/>
  <c r="AK308" i="10"/>
  <c r="AL308" i="10"/>
  <c r="AN308" i="10"/>
  <c r="AO308" i="10"/>
  <c r="B309" i="10"/>
  <c r="C309" i="10"/>
  <c r="D309" i="10"/>
  <c r="E309" i="10"/>
  <c r="F309" i="10"/>
  <c r="G309" i="10"/>
  <c r="H309" i="10"/>
  <c r="I309" i="10"/>
  <c r="J309" i="10"/>
  <c r="L309" i="10"/>
  <c r="O309" i="10"/>
  <c r="P309" i="10"/>
  <c r="Q309" i="10"/>
  <c r="R309" i="10"/>
  <c r="S309" i="10"/>
  <c r="T309" i="10"/>
  <c r="U309" i="10"/>
  <c r="V309" i="10"/>
  <c r="W309" i="10"/>
  <c r="X309" i="10"/>
  <c r="Y309" i="10"/>
  <c r="Z309" i="10"/>
  <c r="AA309" i="10"/>
  <c r="AB309" i="10"/>
  <c r="AC309" i="10"/>
  <c r="AD309" i="10"/>
  <c r="AE309" i="10"/>
  <c r="AF309" i="10"/>
  <c r="AG309" i="10"/>
  <c r="AH309" i="10"/>
  <c r="AJ309" i="10"/>
  <c r="AK309" i="10"/>
  <c r="AL309" i="10"/>
  <c r="AO309" i="10"/>
  <c r="B310" i="10"/>
  <c r="C310" i="10"/>
  <c r="D310" i="10"/>
  <c r="E310" i="10"/>
  <c r="F310" i="10"/>
  <c r="G310" i="10"/>
  <c r="H310" i="10"/>
  <c r="I310" i="10"/>
  <c r="J310" i="10"/>
  <c r="L310" i="10"/>
  <c r="O310" i="10"/>
  <c r="P310" i="10"/>
  <c r="Q310" i="10"/>
  <c r="R310" i="10"/>
  <c r="S310" i="10"/>
  <c r="T310" i="10"/>
  <c r="U310" i="10"/>
  <c r="V310" i="10"/>
  <c r="W310" i="10"/>
  <c r="X310" i="10"/>
  <c r="Y310" i="10"/>
  <c r="Z310" i="10"/>
  <c r="AA310" i="10"/>
  <c r="AB310" i="10"/>
  <c r="AC310" i="10"/>
  <c r="AD310" i="10"/>
  <c r="AE310" i="10"/>
  <c r="AF310" i="10"/>
  <c r="AG310" i="10"/>
  <c r="AH310" i="10"/>
  <c r="AJ310" i="10"/>
  <c r="AK310" i="10"/>
  <c r="AL310" i="10"/>
  <c r="AO310" i="10"/>
  <c r="B311" i="10"/>
  <c r="C311" i="10"/>
  <c r="D311" i="10"/>
  <c r="E311" i="10"/>
  <c r="F311" i="10"/>
  <c r="G311" i="10"/>
  <c r="H311" i="10"/>
  <c r="I311" i="10"/>
  <c r="J311" i="10"/>
  <c r="L311" i="10"/>
  <c r="O311" i="10"/>
  <c r="P311" i="10"/>
  <c r="Q311" i="10"/>
  <c r="R311" i="10"/>
  <c r="S311" i="10"/>
  <c r="T311" i="10"/>
  <c r="U311" i="10"/>
  <c r="V311" i="10"/>
  <c r="W311" i="10"/>
  <c r="X311" i="10"/>
  <c r="Y311" i="10"/>
  <c r="Z311" i="10"/>
  <c r="AA311" i="10"/>
  <c r="AB311" i="10"/>
  <c r="AC311" i="10"/>
  <c r="AD311" i="10"/>
  <c r="AE311" i="10"/>
  <c r="AF311" i="10"/>
  <c r="AG311" i="10"/>
  <c r="AH311" i="10"/>
  <c r="AJ311" i="10"/>
  <c r="AK311" i="10"/>
  <c r="AL311" i="10"/>
  <c r="AO311" i="10"/>
  <c r="B312" i="10"/>
  <c r="C312" i="10"/>
  <c r="D312" i="10"/>
  <c r="F312" i="10"/>
  <c r="G312" i="10"/>
  <c r="H312" i="10"/>
  <c r="I312" i="10"/>
  <c r="J312" i="10"/>
  <c r="K312" i="10"/>
  <c r="L312" i="10"/>
  <c r="M312" i="10"/>
  <c r="N312" i="10"/>
  <c r="O312" i="10"/>
  <c r="P312" i="10"/>
  <c r="Q312" i="10"/>
  <c r="R312" i="10"/>
  <c r="S312" i="10"/>
  <c r="T312" i="10"/>
  <c r="U312" i="10"/>
  <c r="V312" i="10"/>
  <c r="W312" i="10"/>
  <c r="X312" i="10"/>
  <c r="Y312" i="10"/>
  <c r="Z312" i="10"/>
  <c r="AA312" i="10"/>
  <c r="AB312" i="10"/>
  <c r="AC312" i="10"/>
  <c r="AD312" i="10"/>
  <c r="AE312" i="10"/>
  <c r="AF312" i="10"/>
  <c r="AG312" i="10"/>
  <c r="AH312" i="10"/>
  <c r="AJ312" i="10"/>
  <c r="AK312" i="10"/>
  <c r="AL312" i="10"/>
  <c r="AO312" i="10"/>
  <c r="B313" i="10"/>
  <c r="C313" i="10"/>
  <c r="D313" i="10"/>
  <c r="F313" i="10"/>
  <c r="G313" i="10"/>
  <c r="H313" i="10"/>
  <c r="I313" i="10"/>
  <c r="J313" i="10"/>
  <c r="K313" i="10"/>
  <c r="L313" i="10"/>
  <c r="M313" i="10"/>
  <c r="N313" i="10"/>
  <c r="O313" i="10"/>
  <c r="P313" i="10"/>
  <c r="Q313" i="10"/>
  <c r="R313" i="10"/>
  <c r="S313" i="10"/>
  <c r="T313" i="10"/>
  <c r="U313" i="10"/>
  <c r="V313" i="10"/>
  <c r="W313" i="10"/>
  <c r="X313" i="10"/>
  <c r="Y313" i="10"/>
  <c r="Z313" i="10"/>
  <c r="AA313" i="10"/>
  <c r="AB313" i="10"/>
  <c r="AC313" i="10"/>
  <c r="AD313" i="10"/>
  <c r="AE313" i="10"/>
  <c r="AF313" i="10"/>
  <c r="AG313" i="10"/>
  <c r="AH313" i="10"/>
  <c r="AJ313" i="10"/>
  <c r="AK313" i="10"/>
  <c r="AL313" i="10"/>
  <c r="AO313" i="10"/>
  <c r="B314" i="10"/>
  <c r="C314" i="10"/>
  <c r="D314" i="10"/>
  <c r="F314" i="10"/>
  <c r="G314" i="10"/>
  <c r="H314" i="10"/>
  <c r="I314" i="10"/>
  <c r="J314" i="10"/>
  <c r="K314" i="10"/>
  <c r="L314" i="10"/>
  <c r="M314" i="10"/>
  <c r="N314" i="10"/>
  <c r="O314" i="10"/>
  <c r="P314" i="10"/>
  <c r="Q314" i="10"/>
  <c r="R314" i="10"/>
  <c r="S314" i="10"/>
  <c r="T314" i="10"/>
  <c r="U314" i="10"/>
  <c r="V314" i="10"/>
  <c r="W314" i="10"/>
  <c r="X314" i="10"/>
  <c r="Y314" i="10"/>
  <c r="Z314" i="10"/>
  <c r="AA314" i="10"/>
  <c r="AB314" i="10"/>
  <c r="AC314" i="10"/>
  <c r="AD314" i="10"/>
  <c r="AE314" i="10"/>
  <c r="AF314" i="10"/>
  <c r="AG314" i="10"/>
  <c r="AH314" i="10"/>
  <c r="AJ314" i="10"/>
  <c r="AK314" i="10"/>
  <c r="AL314" i="10"/>
  <c r="AO314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2" i="10"/>
  <c r="AI313" i="8"/>
  <c r="AI314" i="10" s="1"/>
  <c r="E313" i="8"/>
  <c r="E314" i="10" s="1"/>
  <c r="AI312" i="8"/>
  <c r="E312" i="8"/>
  <c r="E313" i="10" s="1"/>
  <c r="AI311" i="8"/>
  <c r="AI312" i="10" s="1"/>
  <c r="E311" i="8"/>
  <c r="E312" i="10" s="1"/>
  <c r="AI310" i="8"/>
  <c r="AM310" i="8" s="1"/>
  <c r="AM311" i="10" s="1"/>
  <c r="N310" i="8"/>
  <c r="N311" i="10" s="1"/>
  <c r="M310" i="8"/>
  <c r="M311" i="10" s="1"/>
  <c r="K310" i="8"/>
  <c r="K311" i="10" s="1"/>
  <c r="AI309" i="8"/>
  <c r="AM309" i="8" s="1"/>
  <c r="AM310" i="10" s="1"/>
  <c r="N309" i="8"/>
  <c r="N310" i="10" s="1"/>
  <c r="M309" i="8"/>
  <c r="M310" i="10" s="1"/>
  <c r="K309" i="8"/>
  <c r="K310" i="10" s="1"/>
  <c r="AI308" i="8"/>
  <c r="AM308" i="8" s="1"/>
  <c r="AM309" i="10" s="1"/>
  <c r="N308" i="8"/>
  <c r="N309" i="10" s="1"/>
  <c r="M308" i="8"/>
  <c r="M309" i="10" s="1"/>
  <c r="K308" i="8"/>
  <c r="K309" i="10" s="1"/>
  <c r="N307" i="8"/>
  <c r="N308" i="10" s="1"/>
  <c r="M307" i="8"/>
  <c r="M308" i="10" s="1"/>
  <c r="K307" i="8"/>
  <c r="K308" i="10" s="1"/>
  <c r="E307" i="8"/>
  <c r="AM307" i="8" s="1"/>
  <c r="AM308" i="10" s="1"/>
  <c r="N306" i="8"/>
  <c r="N307" i="10" s="1"/>
  <c r="M306" i="8"/>
  <c r="M307" i="10" s="1"/>
  <c r="K306" i="8"/>
  <c r="K307" i="10" s="1"/>
  <c r="E306" i="8"/>
  <c r="E307" i="10" s="1"/>
  <c r="N305" i="8"/>
  <c r="N306" i="10" s="1"/>
  <c r="M305" i="8"/>
  <c r="M306" i="10" s="1"/>
  <c r="K305" i="8"/>
  <c r="K306" i="10" s="1"/>
  <c r="E305" i="8"/>
  <c r="AM305" i="8" s="1"/>
  <c r="AM306" i="10" s="1"/>
  <c r="AH304" i="8"/>
  <c r="AH305" i="10" s="1"/>
  <c r="N304" i="8"/>
  <c r="N305" i="10" s="1"/>
  <c r="M304" i="8"/>
  <c r="M305" i="10" s="1"/>
  <c r="K304" i="8"/>
  <c r="K305" i="10" s="1"/>
  <c r="E304" i="8"/>
  <c r="AM304" i="8" s="1"/>
  <c r="AM305" i="10" s="1"/>
  <c r="AM303" i="8"/>
  <c r="AM304" i="10" s="1"/>
  <c r="AH303" i="8"/>
  <c r="AH304" i="10" s="1"/>
  <c r="N303" i="8"/>
  <c r="N304" i="10" s="1"/>
  <c r="M303" i="8"/>
  <c r="M304" i="10" s="1"/>
  <c r="K303" i="8"/>
  <c r="K304" i="10" s="1"/>
  <c r="J303" i="8"/>
  <c r="J304" i="10" s="1"/>
  <c r="AM302" i="8"/>
  <c r="AM303" i="10" s="1"/>
  <c r="AH302" i="8"/>
  <c r="AH303" i="10" s="1"/>
  <c r="N302" i="8"/>
  <c r="N303" i="10" s="1"/>
  <c r="M302" i="8"/>
  <c r="M303" i="10" s="1"/>
  <c r="K302" i="8"/>
  <c r="K303" i="10" s="1"/>
  <c r="J302" i="8"/>
  <c r="J303" i="10" s="1"/>
  <c r="AM301" i="8"/>
  <c r="AM302" i="10" s="1"/>
  <c r="AH301" i="8"/>
  <c r="AH302" i="10" s="1"/>
  <c r="N301" i="8"/>
  <c r="N302" i="10" s="1"/>
  <c r="M301" i="8"/>
  <c r="M302" i="10" s="1"/>
  <c r="K301" i="8"/>
  <c r="K302" i="10" s="1"/>
  <c r="J301" i="8"/>
  <c r="J302" i="10" s="1"/>
  <c r="AM300" i="8"/>
  <c r="AM301" i="10" s="1"/>
  <c r="AH300" i="8"/>
  <c r="AH301" i="10" s="1"/>
  <c r="N300" i="8"/>
  <c r="N301" i="10" s="1"/>
  <c r="M300" i="8"/>
  <c r="M301" i="10" s="1"/>
  <c r="K300" i="8"/>
  <c r="K301" i="10" s="1"/>
  <c r="J300" i="8"/>
  <c r="J301" i="10" s="1"/>
  <c r="AM299" i="8"/>
  <c r="AM300" i="10" s="1"/>
  <c r="AH299" i="8"/>
  <c r="AH300" i="10" s="1"/>
  <c r="N299" i="8"/>
  <c r="N300" i="10" s="1"/>
  <c r="M299" i="8"/>
  <c r="M300" i="10" s="1"/>
  <c r="K299" i="8"/>
  <c r="K300" i="10" s="1"/>
  <c r="J299" i="8"/>
  <c r="J300" i="10" s="1"/>
  <c r="AM298" i="8"/>
  <c r="AM299" i="10" s="1"/>
  <c r="AH298" i="8"/>
  <c r="AH299" i="10" s="1"/>
  <c r="N298" i="8"/>
  <c r="N299" i="10" s="1"/>
  <c r="M298" i="8"/>
  <c r="M299" i="10" s="1"/>
  <c r="K298" i="8"/>
  <c r="K299" i="10" s="1"/>
  <c r="J298" i="8"/>
  <c r="J299" i="10" s="1"/>
  <c r="AM297" i="8"/>
  <c r="AM298" i="10" s="1"/>
  <c r="AH297" i="8"/>
  <c r="AH298" i="10" s="1"/>
  <c r="N297" i="8"/>
  <c r="N298" i="10" s="1"/>
  <c r="M297" i="8"/>
  <c r="M298" i="10" s="1"/>
  <c r="K297" i="8"/>
  <c r="K298" i="10" s="1"/>
  <c r="J297" i="8"/>
  <c r="J298" i="10" s="1"/>
  <c r="AM296" i="8"/>
  <c r="AM297" i="10" s="1"/>
  <c r="AH296" i="8"/>
  <c r="AH297" i="10" s="1"/>
  <c r="N296" i="8"/>
  <c r="N297" i="10" s="1"/>
  <c r="M296" i="8"/>
  <c r="M297" i="10" s="1"/>
  <c r="K296" i="8"/>
  <c r="K297" i="10" s="1"/>
  <c r="J296" i="8"/>
  <c r="J297" i="10" s="1"/>
  <c r="AM295" i="8"/>
  <c r="AM296" i="10" s="1"/>
  <c r="AH295" i="8"/>
  <c r="AH296" i="10" s="1"/>
  <c r="N295" i="8"/>
  <c r="N296" i="10" s="1"/>
  <c r="M295" i="8"/>
  <c r="M296" i="10" s="1"/>
  <c r="K295" i="8"/>
  <c r="K296" i="10" s="1"/>
  <c r="J295" i="8"/>
  <c r="J296" i="10" s="1"/>
  <c r="AM294" i="8"/>
  <c r="AM295" i="10" s="1"/>
  <c r="AH294" i="8"/>
  <c r="AH295" i="10" s="1"/>
  <c r="N294" i="8"/>
  <c r="N295" i="10" s="1"/>
  <c r="M294" i="8"/>
  <c r="M295" i="10" s="1"/>
  <c r="K294" i="8"/>
  <c r="K295" i="10" s="1"/>
  <c r="J294" i="8"/>
  <c r="J295" i="10" s="1"/>
  <c r="AM293" i="8"/>
  <c r="AM294" i="10" s="1"/>
  <c r="AH293" i="8"/>
  <c r="AH294" i="10" s="1"/>
  <c r="N293" i="8"/>
  <c r="N294" i="10" s="1"/>
  <c r="M293" i="8"/>
  <c r="M294" i="10" s="1"/>
  <c r="K293" i="8"/>
  <c r="K294" i="10" s="1"/>
  <c r="J293" i="8"/>
  <c r="J294" i="10" s="1"/>
  <c r="AM292" i="8"/>
  <c r="AM293" i="10" s="1"/>
  <c r="AH292" i="8"/>
  <c r="AH293" i="10" s="1"/>
  <c r="N292" i="8"/>
  <c r="N293" i="10" s="1"/>
  <c r="M292" i="8"/>
  <c r="M293" i="10" s="1"/>
  <c r="K292" i="8"/>
  <c r="K293" i="10" s="1"/>
  <c r="J292" i="8"/>
  <c r="J293" i="10" s="1"/>
  <c r="AM291" i="8"/>
  <c r="AM292" i="10" s="1"/>
  <c r="AH291" i="8"/>
  <c r="AH292" i="10" s="1"/>
  <c r="N291" i="8"/>
  <c r="N292" i="10" s="1"/>
  <c r="M291" i="8"/>
  <c r="M292" i="10" s="1"/>
  <c r="K291" i="8"/>
  <c r="K292" i="10" s="1"/>
  <c r="J291" i="8"/>
  <c r="J292" i="10" s="1"/>
  <c r="AM290" i="8"/>
  <c r="AM291" i="10" s="1"/>
  <c r="AH290" i="8"/>
  <c r="AH291" i="10" s="1"/>
  <c r="N290" i="8"/>
  <c r="N291" i="10" s="1"/>
  <c r="M290" i="8"/>
  <c r="M291" i="10" s="1"/>
  <c r="K290" i="8"/>
  <c r="K291" i="10" s="1"/>
  <c r="J290" i="8"/>
  <c r="J291" i="10" s="1"/>
  <c r="AM289" i="8"/>
  <c r="AM290" i="10" s="1"/>
  <c r="AH289" i="8"/>
  <c r="AH290" i="10" s="1"/>
  <c r="N289" i="8"/>
  <c r="N290" i="10" s="1"/>
  <c r="M289" i="8"/>
  <c r="M290" i="10" s="1"/>
  <c r="K289" i="8"/>
  <c r="K290" i="10" s="1"/>
  <c r="J289" i="8"/>
  <c r="J290" i="10" s="1"/>
  <c r="AM288" i="8"/>
  <c r="AM289" i="10" s="1"/>
  <c r="AH288" i="8"/>
  <c r="AH289" i="10" s="1"/>
  <c r="N288" i="8"/>
  <c r="N289" i="10" s="1"/>
  <c r="M288" i="8"/>
  <c r="M289" i="10" s="1"/>
  <c r="K288" i="8"/>
  <c r="K289" i="10" s="1"/>
  <c r="J288" i="8"/>
  <c r="J289" i="10" s="1"/>
  <c r="AI287" i="8"/>
  <c r="AI288" i="10" s="1"/>
  <c r="AI286" i="8"/>
  <c r="AI287" i="10" s="1"/>
  <c r="AI285" i="8"/>
  <c r="AI286" i="10" s="1"/>
  <c r="AI284" i="8"/>
  <c r="AI285" i="10" s="1"/>
  <c r="AI283" i="8"/>
  <c r="AI284" i="10" s="1"/>
  <c r="AI282" i="8"/>
  <c r="AI283" i="10" s="1"/>
  <c r="AI281" i="8"/>
  <c r="AI282" i="10" s="1"/>
  <c r="AI280" i="8"/>
  <c r="AI281" i="10" s="1"/>
  <c r="AI279" i="8"/>
  <c r="AI280" i="10" s="1"/>
  <c r="AI278" i="8"/>
  <c r="AI279" i="10" s="1"/>
  <c r="AM277" i="8"/>
  <c r="AM278" i="10" s="1"/>
  <c r="AM276" i="8"/>
  <c r="AM277" i="10" s="1"/>
  <c r="AM275" i="8"/>
  <c r="AM276" i="10" s="1"/>
  <c r="AM274" i="8"/>
  <c r="AM275" i="10" s="1"/>
  <c r="AM273" i="8"/>
  <c r="AM274" i="10" s="1"/>
  <c r="AM272" i="8"/>
  <c r="AM273" i="10" s="1"/>
  <c r="AM271" i="8"/>
  <c r="AM272" i="10" s="1"/>
  <c r="AK270" i="8"/>
  <c r="AK271" i="10" s="1"/>
  <c r="AI270" i="8"/>
  <c r="AC270" i="8"/>
  <c r="AC271" i="10" s="1"/>
  <c r="J270" i="8"/>
  <c r="J271" i="10" s="1"/>
  <c r="I270" i="8"/>
  <c r="I271" i="10" s="1"/>
  <c r="H270" i="8"/>
  <c r="H271" i="10" s="1"/>
  <c r="G270" i="8"/>
  <c r="G271" i="10" s="1"/>
  <c r="F270" i="8"/>
  <c r="F271" i="10" s="1"/>
  <c r="AK269" i="8"/>
  <c r="AK270" i="10" s="1"/>
  <c r="AI269" i="8"/>
  <c r="AI270" i="10" s="1"/>
  <c r="J269" i="8"/>
  <c r="J270" i="10" s="1"/>
  <c r="I269" i="8"/>
  <c r="I270" i="10" s="1"/>
  <c r="H269" i="8"/>
  <c r="G269" i="8"/>
  <c r="G270" i="10" s="1"/>
  <c r="F269" i="8"/>
  <c r="F270" i="10" s="1"/>
  <c r="AK268" i="8"/>
  <c r="AI268" i="8"/>
  <c r="AI269" i="10" s="1"/>
  <c r="J268" i="8"/>
  <c r="J269" i="10" s="1"/>
  <c r="I268" i="8"/>
  <c r="I269" i="10" s="1"/>
  <c r="H268" i="8"/>
  <c r="H269" i="10" s="1"/>
  <c r="G268" i="8"/>
  <c r="G269" i="10" s="1"/>
  <c r="F268" i="8"/>
  <c r="F269" i="10" s="1"/>
  <c r="AK267" i="8"/>
  <c r="AK268" i="10" s="1"/>
  <c r="AI267" i="8"/>
  <c r="AI268" i="10" s="1"/>
  <c r="J267" i="8"/>
  <c r="J268" i="10" s="1"/>
  <c r="I267" i="8"/>
  <c r="I268" i="10" s="1"/>
  <c r="H267" i="8"/>
  <c r="H268" i="10" s="1"/>
  <c r="G267" i="8"/>
  <c r="G268" i="10" s="1"/>
  <c r="F267" i="8"/>
  <c r="F268" i="10" s="1"/>
  <c r="AK266" i="8"/>
  <c r="AK267" i="10" s="1"/>
  <c r="AI266" i="8"/>
  <c r="AI267" i="10" s="1"/>
  <c r="J266" i="8"/>
  <c r="J267" i="10" s="1"/>
  <c r="I266" i="8"/>
  <c r="I267" i="10" s="1"/>
  <c r="H266" i="8"/>
  <c r="G266" i="8"/>
  <c r="G267" i="10" s="1"/>
  <c r="F266" i="8"/>
  <c r="F267" i="10" s="1"/>
  <c r="AK265" i="8"/>
  <c r="AI265" i="8"/>
  <c r="AI266" i="10" s="1"/>
  <c r="AC265" i="8"/>
  <c r="AC266" i="10" s="1"/>
  <c r="J265" i="8"/>
  <c r="J266" i="10" s="1"/>
  <c r="I265" i="8"/>
  <c r="I266" i="10" s="1"/>
  <c r="H265" i="8"/>
  <c r="H266" i="10" s="1"/>
  <c r="G265" i="8"/>
  <c r="G266" i="10" s="1"/>
  <c r="F265" i="8"/>
  <c r="F266" i="10" s="1"/>
  <c r="AK264" i="8"/>
  <c r="AK265" i="10" s="1"/>
  <c r="AI264" i="8"/>
  <c r="AI265" i="10" s="1"/>
  <c r="AC264" i="8"/>
  <c r="AC265" i="10" s="1"/>
  <c r="J264" i="8"/>
  <c r="J265" i="10" s="1"/>
  <c r="I264" i="8"/>
  <c r="I265" i="10" s="1"/>
  <c r="H264" i="8"/>
  <c r="H265" i="10" s="1"/>
  <c r="G264" i="8"/>
  <c r="G265" i="10" s="1"/>
  <c r="F264" i="8"/>
  <c r="F265" i="10" s="1"/>
  <c r="AK263" i="8"/>
  <c r="AI263" i="8"/>
  <c r="AI264" i="10" s="1"/>
  <c r="AC263" i="8"/>
  <c r="AC264" i="10" s="1"/>
  <c r="J263" i="8"/>
  <c r="J264" i="10" s="1"/>
  <c r="I263" i="8"/>
  <c r="I264" i="10" s="1"/>
  <c r="H263" i="8"/>
  <c r="G263" i="8"/>
  <c r="G264" i="10" s="1"/>
  <c r="F263" i="8"/>
  <c r="F264" i="10" s="1"/>
  <c r="AK262" i="8"/>
  <c r="AI262" i="8"/>
  <c r="AI263" i="10" s="1"/>
  <c r="AC262" i="8"/>
  <c r="AC263" i="10" s="1"/>
  <c r="J262" i="8"/>
  <c r="J263" i="10" s="1"/>
  <c r="I262" i="8"/>
  <c r="I263" i="10" s="1"/>
  <c r="H262" i="8"/>
  <c r="H263" i="10" s="1"/>
  <c r="G262" i="8"/>
  <c r="G263" i="10" s="1"/>
  <c r="F262" i="8"/>
  <c r="F263" i="10" s="1"/>
  <c r="AK261" i="8"/>
  <c r="AK262" i="10" s="1"/>
  <c r="AI261" i="8"/>
  <c r="AI262" i="10" s="1"/>
  <c r="AC261" i="8"/>
  <c r="AC262" i="10" s="1"/>
  <c r="J261" i="8"/>
  <c r="J262" i="10" s="1"/>
  <c r="I261" i="8"/>
  <c r="I262" i="10" s="1"/>
  <c r="H261" i="8"/>
  <c r="H262" i="10" s="1"/>
  <c r="G261" i="8"/>
  <c r="G262" i="10" s="1"/>
  <c r="F261" i="8"/>
  <c r="F262" i="10" s="1"/>
  <c r="AK260" i="8"/>
  <c r="AK261" i="10" s="1"/>
  <c r="AI260" i="8"/>
  <c r="AI261" i="10" s="1"/>
  <c r="AC260" i="8"/>
  <c r="AC261" i="10" s="1"/>
  <c r="J260" i="8"/>
  <c r="J261" i="10" s="1"/>
  <c r="I260" i="8"/>
  <c r="I261" i="10" s="1"/>
  <c r="H260" i="8"/>
  <c r="G260" i="8"/>
  <c r="G261" i="10" s="1"/>
  <c r="F260" i="8"/>
  <c r="AC259" i="8"/>
  <c r="AC260" i="10" s="1"/>
  <c r="I259" i="8"/>
  <c r="I260" i="10" s="1"/>
  <c r="H259" i="8"/>
  <c r="H260" i="10" s="1"/>
  <c r="G259" i="8"/>
  <c r="G260" i="10" s="1"/>
  <c r="F259" i="8"/>
  <c r="F260" i="10" s="1"/>
  <c r="E259" i="8"/>
  <c r="AM259" i="8" s="1"/>
  <c r="AM260" i="10" s="1"/>
  <c r="AC258" i="8"/>
  <c r="AC259" i="10" s="1"/>
  <c r="I258" i="8"/>
  <c r="I259" i="10" s="1"/>
  <c r="H258" i="8"/>
  <c r="H259" i="10" s="1"/>
  <c r="G258" i="8"/>
  <c r="G259" i="10" s="1"/>
  <c r="F258" i="8"/>
  <c r="E258" i="8"/>
  <c r="AM258" i="8" s="1"/>
  <c r="AM259" i="10" s="1"/>
  <c r="AC257" i="8"/>
  <c r="AC258" i="10" s="1"/>
  <c r="I257" i="8"/>
  <c r="H257" i="8"/>
  <c r="G257" i="8"/>
  <c r="G258" i="10" s="1"/>
  <c r="F257" i="8"/>
  <c r="E257" i="8"/>
  <c r="AM257" i="8" s="1"/>
  <c r="AM258" i="10" s="1"/>
  <c r="AC256" i="8"/>
  <c r="AC257" i="10" s="1"/>
  <c r="I256" i="8"/>
  <c r="I257" i="10" s="1"/>
  <c r="H256" i="8"/>
  <c r="H257" i="10" s="1"/>
  <c r="G256" i="8"/>
  <c r="G257" i="10" s="1"/>
  <c r="F256" i="8"/>
  <c r="E256" i="8"/>
  <c r="AM256" i="8" s="1"/>
  <c r="AM257" i="10" s="1"/>
  <c r="AH255" i="8"/>
  <c r="I255" i="8"/>
  <c r="H255" i="8"/>
  <c r="H256" i="10" s="1"/>
  <c r="G255" i="8"/>
  <c r="G256" i="10" s="1"/>
  <c r="F255" i="8"/>
  <c r="E255" i="8"/>
  <c r="AM255" i="8" s="1"/>
  <c r="AM256" i="10" s="1"/>
  <c r="K254" i="8"/>
  <c r="E254" i="8" s="1"/>
  <c r="AM254" i="8" s="1"/>
  <c r="AM255" i="10" s="1"/>
  <c r="K253" i="8"/>
  <c r="E253" i="8" s="1"/>
  <c r="AM253" i="8" s="1"/>
  <c r="AM254" i="10" s="1"/>
  <c r="K252" i="8"/>
  <c r="E252" i="8" s="1"/>
  <c r="AM252" i="8" s="1"/>
  <c r="AM253" i="10" s="1"/>
  <c r="K251" i="8"/>
  <c r="E251" i="8" s="1"/>
  <c r="AM251" i="8" s="1"/>
  <c r="AM252" i="10" s="1"/>
  <c r="K250" i="8"/>
  <c r="E250" i="8" s="1"/>
  <c r="AM250" i="8" s="1"/>
  <c r="AM251" i="10" s="1"/>
  <c r="K249" i="8"/>
  <c r="E249" i="8" s="1"/>
  <c r="AM249" i="8" s="1"/>
  <c r="AM250" i="10" s="1"/>
  <c r="E248" i="8"/>
  <c r="E249" i="10" s="1"/>
  <c r="E247" i="8"/>
  <c r="E248" i="10" s="1"/>
  <c r="E246" i="8"/>
  <c r="E247" i="10" s="1"/>
  <c r="E245" i="8"/>
  <c r="E246" i="10" s="1"/>
  <c r="E244" i="8"/>
  <c r="E245" i="10" s="1"/>
  <c r="E243" i="8"/>
  <c r="E244" i="10" s="1"/>
  <c r="E242" i="8"/>
  <c r="E243" i="10" s="1"/>
  <c r="AC241" i="8"/>
  <c r="AC242" i="10" s="1"/>
  <c r="N241" i="8"/>
  <c r="N242" i="10" s="1"/>
  <c r="M241" i="8"/>
  <c r="M242" i="10" s="1"/>
  <c r="K241" i="8"/>
  <c r="K242" i="10" s="1"/>
  <c r="J241" i="8"/>
  <c r="J242" i="10" s="1"/>
  <c r="I241" i="8"/>
  <c r="I242" i="10" s="1"/>
  <c r="H241" i="8"/>
  <c r="H242" i="10" s="1"/>
  <c r="G241" i="8"/>
  <c r="G242" i="10" s="1"/>
  <c r="F241" i="8"/>
  <c r="E241" i="8"/>
  <c r="AM241" i="8" s="1"/>
  <c r="AM242" i="10" s="1"/>
  <c r="AC240" i="8"/>
  <c r="AC241" i="10" s="1"/>
  <c r="N240" i="8"/>
  <c r="N241" i="10" s="1"/>
  <c r="M240" i="8"/>
  <c r="M241" i="10" s="1"/>
  <c r="K240" i="8"/>
  <c r="K241" i="10" s="1"/>
  <c r="J240" i="8"/>
  <c r="J241" i="10" s="1"/>
  <c r="I240" i="8"/>
  <c r="I241" i="10" s="1"/>
  <c r="H240" i="8"/>
  <c r="H241" i="10" s="1"/>
  <c r="G240" i="8"/>
  <c r="E240" i="8" s="1"/>
  <c r="AM240" i="8" s="1"/>
  <c r="AM241" i="10" s="1"/>
  <c r="F240" i="8"/>
  <c r="AC239" i="8"/>
  <c r="AC240" i="10" s="1"/>
  <c r="N239" i="8"/>
  <c r="N240" i="10" s="1"/>
  <c r="M239" i="8"/>
  <c r="M240" i="10" s="1"/>
  <c r="K239" i="8"/>
  <c r="K240" i="10" s="1"/>
  <c r="J239" i="8"/>
  <c r="J240" i="10" s="1"/>
  <c r="I239" i="8"/>
  <c r="I240" i="10" s="1"/>
  <c r="H239" i="8"/>
  <c r="G239" i="8"/>
  <c r="E239" i="8" s="1"/>
  <c r="AM239" i="8" s="1"/>
  <c r="AM240" i="10" s="1"/>
  <c r="F239" i="8"/>
  <c r="AC238" i="8"/>
  <c r="AC239" i="10" s="1"/>
  <c r="N238" i="8"/>
  <c r="N239" i="10" s="1"/>
  <c r="M238" i="8"/>
  <c r="M239" i="10" s="1"/>
  <c r="K238" i="8"/>
  <c r="K239" i="10" s="1"/>
  <c r="J238" i="8"/>
  <c r="J239" i="10" s="1"/>
  <c r="I238" i="8"/>
  <c r="I239" i="10" s="1"/>
  <c r="H238" i="8"/>
  <c r="H239" i="10" s="1"/>
  <c r="G238" i="8"/>
  <c r="G239" i="10" s="1"/>
  <c r="F238" i="8"/>
  <c r="E238" i="8"/>
  <c r="AM238" i="8" s="1"/>
  <c r="AM239" i="10" s="1"/>
  <c r="AC237" i="8"/>
  <c r="AC238" i="10" s="1"/>
  <c r="N237" i="8"/>
  <c r="N238" i="10" s="1"/>
  <c r="M237" i="8"/>
  <c r="M238" i="10" s="1"/>
  <c r="K237" i="8"/>
  <c r="K238" i="10" s="1"/>
  <c r="J237" i="8"/>
  <c r="J238" i="10" s="1"/>
  <c r="I237" i="8"/>
  <c r="I238" i="10" s="1"/>
  <c r="H237" i="8"/>
  <c r="H238" i="10" s="1"/>
  <c r="G237" i="8"/>
  <c r="E237" i="8" s="1"/>
  <c r="AM237" i="8" s="1"/>
  <c r="AM238" i="10" s="1"/>
  <c r="F237" i="8"/>
  <c r="AC236" i="8"/>
  <c r="AC237" i="10" s="1"/>
  <c r="N236" i="8"/>
  <c r="N237" i="10" s="1"/>
  <c r="M236" i="8"/>
  <c r="M237" i="10" s="1"/>
  <c r="K236" i="8"/>
  <c r="K237" i="10" s="1"/>
  <c r="J236" i="8"/>
  <c r="J237" i="10" s="1"/>
  <c r="I236" i="8"/>
  <c r="I237" i="10" s="1"/>
  <c r="H236" i="8"/>
  <c r="G236" i="8"/>
  <c r="G237" i="10" s="1"/>
  <c r="F236" i="8"/>
  <c r="AC235" i="8"/>
  <c r="AC236" i="10" s="1"/>
  <c r="N235" i="8"/>
  <c r="N236" i="10" s="1"/>
  <c r="M235" i="8"/>
  <c r="M236" i="10" s="1"/>
  <c r="K235" i="8"/>
  <c r="K236" i="10" s="1"/>
  <c r="J235" i="8"/>
  <c r="J236" i="10" s="1"/>
  <c r="I235" i="8"/>
  <c r="I236" i="10" s="1"/>
  <c r="H235" i="8"/>
  <c r="H236" i="10" s="1"/>
  <c r="G235" i="8"/>
  <c r="G236" i="10" s="1"/>
  <c r="F235" i="8"/>
  <c r="E235" i="8"/>
  <c r="AM235" i="8" s="1"/>
  <c r="AM236" i="10" s="1"/>
  <c r="AC234" i="8"/>
  <c r="AC235" i="10" s="1"/>
  <c r="N234" i="8"/>
  <c r="N235" i="10" s="1"/>
  <c r="M234" i="8"/>
  <c r="M235" i="10" s="1"/>
  <c r="K234" i="8"/>
  <c r="K235" i="10" s="1"/>
  <c r="J234" i="8"/>
  <c r="J235" i="10" s="1"/>
  <c r="I234" i="8"/>
  <c r="I235" i="10" s="1"/>
  <c r="H234" i="8"/>
  <c r="H235" i="10" s="1"/>
  <c r="G234" i="8"/>
  <c r="E234" i="8" s="1"/>
  <c r="AM234" i="8" s="1"/>
  <c r="AM235" i="10" s="1"/>
  <c r="F234" i="8"/>
  <c r="AC233" i="8"/>
  <c r="AC234" i="10" s="1"/>
  <c r="N233" i="8"/>
  <c r="N234" i="10" s="1"/>
  <c r="M233" i="8"/>
  <c r="M234" i="10" s="1"/>
  <c r="K233" i="8"/>
  <c r="K234" i="10" s="1"/>
  <c r="J233" i="8"/>
  <c r="J234" i="10" s="1"/>
  <c r="I233" i="8"/>
  <c r="I234" i="10" s="1"/>
  <c r="H233" i="8"/>
  <c r="G233" i="8"/>
  <c r="E233" i="8" s="1"/>
  <c r="AM233" i="8" s="1"/>
  <c r="AM234" i="10" s="1"/>
  <c r="F233" i="8"/>
  <c r="AK232" i="8"/>
  <c r="AK233" i="10" s="1"/>
  <c r="AC232" i="8"/>
  <c r="AC233" i="10" s="1"/>
  <c r="N232" i="8"/>
  <c r="N233" i="10" s="1"/>
  <c r="M232" i="8"/>
  <c r="M233" i="10" s="1"/>
  <c r="K232" i="8"/>
  <c r="K233" i="10" s="1"/>
  <c r="AK231" i="8"/>
  <c r="AC231" i="8"/>
  <c r="AC232" i="10" s="1"/>
  <c r="N231" i="8"/>
  <c r="N232" i="10" s="1"/>
  <c r="M231" i="8"/>
  <c r="M232" i="10" s="1"/>
  <c r="K231" i="8"/>
  <c r="K232" i="10" s="1"/>
  <c r="AK230" i="8"/>
  <c r="AK231" i="10" s="1"/>
  <c r="AC230" i="8"/>
  <c r="AC231" i="10" s="1"/>
  <c r="N230" i="8"/>
  <c r="N231" i="10" s="1"/>
  <c r="M230" i="8"/>
  <c r="M231" i="10" s="1"/>
  <c r="K230" i="8"/>
  <c r="K231" i="10" s="1"/>
  <c r="AK229" i="8"/>
  <c r="AC229" i="8"/>
  <c r="AC230" i="10" s="1"/>
  <c r="N229" i="8"/>
  <c r="N230" i="10" s="1"/>
  <c r="M229" i="8"/>
  <c r="M230" i="10" s="1"/>
  <c r="K229" i="8"/>
  <c r="K230" i="10" s="1"/>
  <c r="AK228" i="8"/>
  <c r="AC228" i="8"/>
  <c r="AC229" i="10" s="1"/>
  <c r="N228" i="8"/>
  <c r="N229" i="10" s="1"/>
  <c r="M228" i="8"/>
  <c r="M229" i="10" s="1"/>
  <c r="K228" i="8"/>
  <c r="K229" i="10" s="1"/>
  <c r="AK227" i="8"/>
  <c r="AC227" i="8"/>
  <c r="AC228" i="10" s="1"/>
  <c r="N227" i="8"/>
  <c r="N228" i="10" s="1"/>
  <c r="M227" i="8"/>
  <c r="M228" i="10" s="1"/>
  <c r="K227" i="8"/>
  <c r="K228" i="10" s="1"/>
  <c r="AK226" i="8"/>
  <c r="AK227" i="10" s="1"/>
  <c r="AC226" i="8"/>
  <c r="AC227" i="10" s="1"/>
  <c r="N226" i="8"/>
  <c r="N227" i="10" s="1"/>
  <c r="M226" i="8"/>
  <c r="M227" i="10" s="1"/>
  <c r="K226" i="8"/>
  <c r="K227" i="10" s="1"/>
  <c r="AK225" i="8"/>
  <c r="AC225" i="8"/>
  <c r="AC226" i="10" s="1"/>
  <c r="N225" i="8"/>
  <c r="N226" i="10" s="1"/>
  <c r="M225" i="8"/>
  <c r="M226" i="10" s="1"/>
  <c r="K225" i="8"/>
  <c r="K226" i="10" s="1"/>
  <c r="AK224" i="8"/>
  <c r="AK225" i="10" s="1"/>
  <c r="AC224" i="8"/>
  <c r="N224" i="8"/>
  <c r="N225" i="10" s="1"/>
  <c r="M224" i="8"/>
  <c r="M225" i="10" s="1"/>
  <c r="K224" i="8"/>
  <c r="K225" i="10" s="1"/>
  <c r="AK223" i="8"/>
  <c r="AC223" i="8"/>
  <c r="AC224" i="10" s="1"/>
  <c r="N223" i="8"/>
  <c r="N224" i="10" s="1"/>
  <c r="M223" i="8"/>
  <c r="M224" i="10" s="1"/>
  <c r="K223" i="8"/>
  <c r="K224" i="10" s="1"/>
  <c r="AK222" i="8"/>
  <c r="AK223" i="10" s="1"/>
  <c r="AC222" i="8"/>
  <c r="AC223" i="10" s="1"/>
  <c r="N222" i="8"/>
  <c r="N223" i="10" s="1"/>
  <c r="M222" i="8"/>
  <c r="M223" i="10" s="1"/>
  <c r="K222" i="8"/>
  <c r="K223" i="10" s="1"/>
  <c r="AK221" i="8"/>
  <c r="AC221" i="8"/>
  <c r="AC222" i="10" s="1"/>
  <c r="N221" i="8"/>
  <c r="N222" i="10" s="1"/>
  <c r="M221" i="8"/>
  <c r="M222" i="10" s="1"/>
  <c r="K221" i="8"/>
  <c r="K222" i="10" s="1"/>
  <c r="AK220" i="8"/>
  <c r="AK221" i="10" s="1"/>
  <c r="AC220" i="8"/>
  <c r="AC221" i="10" s="1"/>
  <c r="N220" i="8"/>
  <c r="N221" i="10" s="1"/>
  <c r="M220" i="8"/>
  <c r="M221" i="10" s="1"/>
  <c r="K220" i="8"/>
  <c r="K221" i="10" s="1"/>
  <c r="AK219" i="8"/>
  <c r="AC219" i="8"/>
  <c r="AC220" i="10" s="1"/>
  <c r="N219" i="8"/>
  <c r="N220" i="10" s="1"/>
  <c r="M219" i="8"/>
  <c r="M220" i="10" s="1"/>
  <c r="K219" i="8"/>
  <c r="K220" i="10" s="1"/>
  <c r="AK218" i="8"/>
  <c r="AK219" i="10" s="1"/>
  <c r="AC218" i="8"/>
  <c r="AC219" i="10" s="1"/>
  <c r="N218" i="8"/>
  <c r="N219" i="10" s="1"/>
  <c r="M218" i="8"/>
  <c r="M219" i="10" s="1"/>
  <c r="K218" i="8"/>
  <c r="K219" i="10" s="1"/>
  <c r="AK217" i="8"/>
  <c r="AC217" i="8"/>
  <c r="AC218" i="10" s="1"/>
  <c r="N217" i="8"/>
  <c r="N218" i="10" s="1"/>
  <c r="M217" i="8"/>
  <c r="M218" i="10" s="1"/>
  <c r="K217" i="8"/>
  <c r="K218" i="10" s="1"/>
  <c r="AK216" i="8"/>
  <c r="AK217" i="10" s="1"/>
  <c r="AC216" i="8"/>
  <c r="AC217" i="10" s="1"/>
  <c r="N216" i="8"/>
  <c r="N217" i="10" s="1"/>
  <c r="M216" i="8"/>
  <c r="M217" i="10" s="1"/>
  <c r="K216" i="8"/>
  <c r="K217" i="10" s="1"/>
  <c r="AK215" i="8"/>
  <c r="AC215" i="8"/>
  <c r="AC216" i="10" s="1"/>
  <c r="N215" i="8"/>
  <c r="N216" i="10" s="1"/>
  <c r="M215" i="8"/>
  <c r="M216" i="10" s="1"/>
  <c r="K215" i="8"/>
  <c r="K216" i="10" s="1"/>
  <c r="AI214" i="8"/>
  <c r="AI215" i="10" s="1"/>
  <c r="N214" i="8"/>
  <c r="N215" i="10" s="1"/>
  <c r="M214" i="8"/>
  <c r="M215" i="10" s="1"/>
  <c r="K214" i="8"/>
  <c r="K215" i="10" s="1"/>
  <c r="E214" i="8"/>
  <c r="AI213" i="8"/>
  <c r="N213" i="8"/>
  <c r="N214" i="10" s="1"/>
  <c r="M213" i="8"/>
  <c r="M214" i="10" s="1"/>
  <c r="K213" i="8"/>
  <c r="K214" i="10" s="1"/>
  <c r="E213" i="8"/>
  <c r="E214" i="10" s="1"/>
  <c r="AI212" i="8"/>
  <c r="AI213" i="10" s="1"/>
  <c r="N212" i="8"/>
  <c r="N213" i="10" s="1"/>
  <c r="M212" i="8"/>
  <c r="M213" i="10" s="1"/>
  <c r="K212" i="8"/>
  <c r="K213" i="10" s="1"/>
  <c r="E212" i="8"/>
  <c r="AI211" i="8"/>
  <c r="N211" i="8"/>
  <c r="N212" i="10" s="1"/>
  <c r="M211" i="8"/>
  <c r="M212" i="10" s="1"/>
  <c r="K211" i="8"/>
  <c r="K212" i="10" s="1"/>
  <c r="E211" i="8"/>
  <c r="E212" i="10" s="1"/>
  <c r="AI210" i="8"/>
  <c r="AI211" i="10" s="1"/>
  <c r="N210" i="8"/>
  <c r="N211" i="10" s="1"/>
  <c r="M210" i="8"/>
  <c r="K210" i="8"/>
  <c r="K211" i="10" s="1"/>
  <c r="E210" i="8"/>
  <c r="AK209" i="8"/>
  <c r="AI209" i="8"/>
  <c r="N209" i="8"/>
  <c r="N210" i="10" s="1"/>
  <c r="M209" i="8"/>
  <c r="M210" i="10" s="1"/>
  <c r="K209" i="8"/>
  <c r="K210" i="10" s="1"/>
  <c r="E209" i="8"/>
  <c r="E210" i="10" s="1"/>
  <c r="AI208" i="8"/>
  <c r="N208" i="8"/>
  <c r="N209" i="10" s="1"/>
  <c r="M208" i="8"/>
  <c r="M209" i="10" s="1"/>
  <c r="K208" i="8"/>
  <c r="K209" i="10" s="1"/>
  <c r="E208" i="8"/>
  <c r="E209" i="10" s="1"/>
  <c r="N207" i="8"/>
  <c r="N208" i="10" s="1"/>
  <c r="M207" i="8"/>
  <c r="M208" i="10" s="1"/>
  <c r="K207" i="8"/>
  <c r="N206" i="8"/>
  <c r="N207" i="10" s="1"/>
  <c r="M206" i="8"/>
  <c r="M207" i="10" s="1"/>
  <c r="K206" i="8"/>
  <c r="K207" i="10" s="1"/>
  <c r="N205" i="8"/>
  <c r="N206" i="10" s="1"/>
  <c r="M205" i="8"/>
  <c r="M206" i="10" s="1"/>
  <c r="K205" i="8"/>
  <c r="N204" i="8"/>
  <c r="N205" i="10" s="1"/>
  <c r="M204" i="8"/>
  <c r="M205" i="10" s="1"/>
  <c r="K204" i="8"/>
  <c r="N203" i="8"/>
  <c r="N204" i="10" s="1"/>
  <c r="M203" i="8"/>
  <c r="M204" i="10" s="1"/>
  <c r="K203" i="8"/>
  <c r="K204" i="10" s="1"/>
  <c r="N202" i="8"/>
  <c r="N203" i="10" s="1"/>
  <c r="M202" i="8"/>
  <c r="M203" i="10" s="1"/>
  <c r="K202" i="8"/>
  <c r="N201" i="8"/>
  <c r="N202" i="10" s="1"/>
  <c r="M201" i="8"/>
  <c r="M202" i="10" s="1"/>
  <c r="K201" i="8"/>
  <c r="N200" i="8"/>
  <c r="N201" i="10" s="1"/>
  <c r="M200" i="8"/>
  <c r="M201" i="10" s="1"/>
  <c r="K200" i="8"/>
  <c r="K201" i="10" s="1"/>
  <c r="E200" i="8"/>
  <c r="E201" i="10" s="1"/>
  <c r="N199" i="8"/>
  <c r="N200" i="10" s="1"/>
  <c r="M199" i="8"/>
  <c r="M200" i="10" s="1"/>
  <c r="K199" i="8"/>
  <c r="AC198" i="8"/>
  <c r="AC199" i="10" s="1"/>
  <c r="J198" i="8"/>
  <c r="J199" i="10" s="1"/>
  <c r="I198" i="8"/>
  <c r="I199" i="10" s="1"/>
  <c r="H198" i="8"/>
  <c r="H199" i="10" s="1"/>
  <c r="G198" i="8"/>
  <c r="G199" i="10" s="1"/>
  <c r="F198" i="8"/>
  <c r="F199" i="10" s="1"/>
  <c r="AC197" i="8"/>
  <c r="AC198" i="10" s="1"/>
  <c r="J197" i="8"/>
  <c r="J198" i="10" s="1"/>
  <c r="I197" i="8"/>
  <c r="I198" i="10" s="1"/>
  <c r="H197" i="8"/>
  <c r="H198" i="10" s="1"/>
  <c r="G197" i="8"/>
  <c r="G198" i="10" s="1"/>
  <c r="F197" i="8"/>
  <c r="F198" i="10" s="1"/>
  <c r="AC196" i="8"/>
  <c r="AC197" i="10" s="1"/>
  <c r="J196" i="8"/>
  <c r="J197" i="10" s="1"/>
  <c r="I196" i="8"/>
  <c r="I197" i="10" s="1"/>
  <c r="H196" i="8"/>
  <c r="H197" i="10" s="1"/>
  <c r="G196" i="8"/>
  <c r="G197" i="10" s="1"/>
  <c r="F196" i="8"/>
  <c r="F197" i="10" s="1"/>
  <c r="AC195" i="8"/>
  <c r="AC196" i="10" s="1"/>
  <c r="J195" i="8"/>
  <c r="J196" i="10" s="1"/>
  <c r="I195" i="8"/>
  <c r="I196" i="10" s="1"/>
  <c r="H195" i="8"/>
  <c r="H196" i="10" s="1"/>
  <c r="G195" i="8"/>
  <c r="G196" i="10" s="1"/>
  <c r="F195" i="8"/>
  <c r="F196" i="10" s="1"/>
  <c r="AC194" i="8"/>
  <c r="AC195" i="10" s="1"/>
  <c r="J194" i="8"/>
  <c r="J195" i="10" s="1"/>
  <c r="I194" i="8"/>
  <c r="I195" i="10" s="1"/>
  <c r="H194" i="8"/>
  <c r="H195" i="10" s="1"/>
  <c r="G194" i="8"/>
  <c r="G195" i="10" s="1"/>
  <c r="F194" i="8"/>
  <c r="F195" i="10" s="1"/>
  <c r="AC193" i="8"/>
  <c r="AC194" i="10" s="1"/>
  <c r="J193" i="8"/>
  <c r="J194" i="10" s="1"/>
  <c r="I193" i="8"/>
  <c r="I194" i="10" s="1"/>
  <c r="H193" i="8"/>
  <c r="H194" i="10" s="1"/>
  <c r="G193" i="8"/>
  <c r="G194" i="10" s="1"/>
  <c r="F193" i="8"/>
  <c r="F194" i="10" s="1"/>
  <c r="AC192" i="8"/>
  <c r="AC193" i="10" s="1"/>
  <c r="J192" i="8"/>
  <c r="J193" i="10" s="1"/>
  <c r="I192" i="8"/>
  <c r="I193" i="10" s="1"/>
  <c r="H192" i="8"/>
  <c r="H193" i="10" s="1"/>
  <c r="G192" i="8"/>
  <c r="G193" i="10" s="1"/>
  <c r="F192" i="8"/>
  <c r="F193" i="10" s="1"/>
  <c r="AC191" i="8"/>
  <c r="AC192" i="10" s="1"/>
  <c r="J191" i="8"/>
  <c r="J192" i="10" s="1"/>
  <c r="I191" i="8"/>
  <c r="I192" i="10" s="1"/>
  <c r="H191" i="8"/>
  <c r="H192" i="10" s="1"/>
  <c r="G191" i="8"/>
  <c r="G192" i="10" s="1"/>
  <c r="F191" i="8"/>
  <c r="F192" i="10" s="1"/>
  <c r="AC190" i="8"/>
  <c r="AC191" i="10" s="1"/>
  <c r="J190" i="8"/>
  <c r="J191" i="10" s="1"/>
  <c r="I190" i="8"/>
  <c r="I191" i="10" s="1"/>
  <c r="H190" i="8"/>
  <c r="H191" i="10" s="1"/>
  <c r="G190" i="8"/>
  <c r="G191" i="10" s="1"/>
  <c r="F190" i="8"/>
  <c r="F191" i="10" s="1"/>
  <c r="AC189" i="8"/>
  <c r="AC190" i="10" s="1"/>
  <c r="J189" i="8"/>
  <c r="J190" i="10" s="1"/>
  <c r="I189" i="8"/>
  <c r="I190" i="10" s="1"/>
  <c r="H189" i="8"/>
  <c r="H190" i="10" s="1"/>
  <c r="G189" i="8"/>
  <c r="G190" i="10" s="1"/>
  <c r="F189" i="8"/>
  <c r="F190" i="10" s="1"/>
  <c r="AC188" i="8"/>
  <c r="J188" i="8"/>
  <c r="J189" i="10" s="1"/>
  <c r="I188" i="8"/>
  <c r="I189" i="10" s="1"/>
  <c r="H188" i="8"/>
  <c r="H189" i="10" s="1"/>
  <c r="G188" i="8"/>
  <c r="G189" i="10" s="1"/>
  <c r="F188" i="8"/>
  <c r="F189" i="10" s="1"/>
  <c r="AC187" i="8"/>
  <c r="AC188" i="10" s="1"/>
  <c r="J187" i="8"/>
  <c r="J188" i="10" s="1"/>
  <c r="I187" i="8"/>
  <c r="I188" i="10" s="1"/>
  <c r="H187" i="8"/>
  <c r="H188" i="10" s="1"/>
  <c r="G187" i="8"/>
  <c r="G188" i="10" s="1"/>
  <c r="F187" i="8"/>
  <c r="F188" i="10" s="1"/>
  <c r="AC186" i="8"/>
  <c r="AC187" i="10" s="1"/>
  <c r="J186" i="8"/>
  <c r="J187" i="10" s="1"/>
  <c r="I186" i="8"/>
  <c r="I187" i="10" s="1"/>
  <c r="H186" i="8"/>
  <c r="H187" i="10" s="1"/>
  <c r="G186" i="8"/>
  <c r="G187" i="10" s="1"/>
  <c r="F186" i="8"/>
  <c r="F187" i="10" s="1"/>
  <c r="AC185" i="8"/>
  <c r="AC186" i="10" s="1"/>
  <c r="J185" i="8"/>
  <c r="J186" i="10" s="1"/>
  <c r="I185" i="8"/>
  <c r="I186" i="10" s="1"/>
  <c r="H185" i="8"/>
  <c r="H186" i="10" s="1"/>
  <c r="G185" i="8"/>
  <c r="G186" i="10" s="1"/>
  <c r="F185" i="8"/>
  <c r="F186" i="10" s="1"/>
  <c r="AC184" i="8"/>
  <c r="AC185" i="10" s="1"/>
  <c r="J184" i="8"/>
  <c r="J185" i="10" s="1"/>
  <c r="I184" i="8"/>
  <c r="I185" i="10" s="1"/>
  <c r="H184" i="8"/>
  <c r="H185" i="10" s="1"/>
  <c r="G184" i="8"/>
  <c r="G185" i="10" s="1"/>
  <c r="F184" i="8"/>
  <c r="F185" i="10" s="1"/>
  <c r="AI183" i="8"/>
  <c r="J183" i="8"/>
  <c r="J184" i="10" s="1"/>
  <c r="I183" i="8"/>
  <c r="I184" i="10" s="1"/>
  <c r="H183" i="8"/>
  <c r="H184" i="10" s="1"/>
  <c r="G183" i="8"/>
  <c r="G184" i="10" s="1"/>
  <c r="F183" i="8"/>
  <c r="AI182" i="8"/>
  <c r="J182" i="8"/>
  <c r="J183" i="10" s="1"/>
  <c r="I182" i="8"/>
  <c r="I183" i="10" s="1"/>
  <c r="H182" i="8"/>
  <c r="H183" i="10" s="1"/>
  <c r="G182" i="8"/>
  <c r="G183" i="10" s="1"/>
  <c r="F182" i="8"/>
  <c r="AM181" i="8"/>
  <c r="AM182" i="10" s="1"/>
  <c r="J181" i="8"/>
  <c r="J182" i="10" s="1"/>
  <c r="I181" i="8"/>
  <c r="I182" i="10" s="1"/>
  <c r="H181" i="8"/>
  <c r="H182" i="10" s="1"/>
  <c r="G181" i="8"/>
  <c r="G182" i="10" s="1"/>
  <c r="F181" i="8"/>
  <c r="F182" i="10" s="1"/>
  <c r="AM180" i="8"/>
  <c r="AM181" i="10" s="1"/>
  <c r="J180" i="8"/>
  <c r="J181" i="10" s="1"/>
  <c r="I180" i="8"/>
  <c r="I181" i="10" s="1"/>
  <c r="H180" i="8"/>
  <c r="H181" i="10" s="1"/>
  <c r="G180" i="8"/>
  <c r="G181" i="10" s="1"/>
  <c r="F180" i="8"/>
  <c r="F181" i="10" s="1"/>
  <c r="AM179" i="8"/>
  <c r="AM180" i="10" s="1"/>
  <c r="J179" i="8"/>
  <c r="J180" i="10" s="1"/>
  <c r="I179" i="8"/>
  <c r="I180" i="10" s="1"/>
  <c r="H179" i="8"/>
  <c r="H180" i="10" s="1"/>
  <c r="G179" i="8"/>
  <c r="G180" i="10" s="1"/>
  <c r="F179" i="8"/>
  <c r="F180" i="10" s="1"/>
  <c r="AM178" i="8"/>
  <c r="AM179" i="10" s="1"/>
  <c r="J178" i="8"/>
  <c r="J179" i="10" s="1"/>
  <c r="I178" i="8"/>
  <c r="I179" i="10" s="1"/>
  <c r="H178" i="8"/>
  <c r="H179" i="10" s="1"/>
  <c r="G178" i="8"/>
  <c r="G179" i="10" s="1"/>
  <c r="F178" i="8"/>
  <c r="F179" i="10" s="1"/>
  <c r="AM177" i="8"/>
  <c r="AM178" i="10" s="1"/>
  <c r="J177" i="8"/>
  <c r="J178" i="10" s="1"/>
  <c r="I177" i="8"/>
  <c r="I178" i="10" s="1"/>
  <c r="H177" i="8"/>
  <c r="H178" i="10" s="1"/>
  <c r="G177" i="8"/>
  <c r="G178" i="10" s="1"/>
  <c r="F177" i="8"/>
  <c r="F178" i="10" s="1"/>
  <c r="AM176" i="8"/>
  <c r="AM177" i="10" s="1"/>
  <c r="J176" i="8"/>
  <c r="J177" i="10" s="1"/>
  <c r="I176" i="8"/>
  <c r="I177" i="10" s="1"/>
  <c r="H176" i="8"/>
  <c r="H177" i="10" s="1"/>
  <c r="G176" i="8"/>
  <c r="G177" i="10" s="1"/>
  <c r="F176" i="8"/>
  <c r="F177" i="10" s="1"/>
  <c r="AM175" i="8"/>
  <c r="AM176" i="10" s="1"/>
  <c r="J175" i="8"/>
  <c r="J176" i="10" s="1"/>
  <c r="I175" i="8"/>
  <c r="I176" i="10" s="1"/>
  <c r="H175" i="8"/>
  <c r="H176" i="10" s="1"/>
  <c r="G175" i="8"/>
  <c r="G176" i="10" s="1"/>
  <c r="F175" i="8"/>
  <c r="F176" i="10" s="1"/>
  <c r="AM174" i="8"/>
  <c r="AM175" i="10" s="1"/>
  <c r="J174" i="8"/>
  <c r="J175" i="10" s="1"/>
  <c r="I174" i="8"/>
  <c r="I175" i="10" s="1"/>
  <c r="H174" i="8"/>
  <c r="H175" i="10" s="1"/>
  <c r="G174" i="8"/>
  <c r="G175" i="10" s="1"/>
  <c r="F174" i="8"/>
  <c r="F175" i="10" s="1"/>
  <c r="AM173" i="8"/>
  <c r="AM174" i="10" s="1"/>
  <c r="J173" i="8"/>
  <c r="J174" i="10" s="1"/>
  <c r="I173" i="8"/>
  <c r="I174" i="10" s="1"/>
  <c r="H173" i="8"/>
  <c r="H174" i="10" s="1"/>
  <c r="G173" i="8"/>
  <c r="G174" i="10" s="1"/>
  <c r="F173" i="8"/>
  <c r="F174" i="10" s="1"/>
  <c r="AM172" i="8"/>
  <c r="AM173" i="10" s="1"/>
  <c r="J172" i="8"/>
  <c r="J173" i="10" s="1"/>
  <c r="I172" i="8"/>
  <c r="I173" i="10" s="1"/>
  <c r="H172" i="8"/>
  <c r="H173" i="10" s="1"/>
  <c r="G172" i="8"/>
  <c r="G173" i="10" s="1"/>
  <c r="F172" i="8"/>
  <c r="F173" i="10" s="1"/>
  <c r="E171" i="8"/>
  <c r="E170" i="8"/>
  <c r="AM170" i="8" s="1"/>
  <c r="AM171" i="10" s="1"/>
  <c r="E169" i="8"/>
  <c r="E168" i="8"/>
  <c r="AI167" i="8"/>
  <c r="AI166" i="8"/>
  <c r="AI165" i="8"/>
  <c r="AI164" i="8"/>
  <c r="AI163" i="8"/>
  <c r="AI162" i="8"/>
  <c r="V162" i="8"/>
  <c r="V163" i="10" s="1"/>
  <c r="AI161" i="8"/>
  <c r="AI162" i="10" s="1"/>
  <c r="V161" i="8"/>
  <c r="V162" i="10" s="1"/>
  <c r="AI160" i="8"/>
  <c r="V160" i="8"/>
  <c r="V161" i="10" s="1"/>
  <c r="AI159" i="8"/>
  <c r="AI160" i="10" s="1"/>
  <c r="V159" i="8"/>
  <c r="V160" i="10" s="1"/>
  <c r="AI158" i="8"/>
  <c r="V158" i="8"/>
  <c r="AM157" i="8"/>
  <c r="AM158" i="10" s="1"/>
  <c r="J157" i="8"/>
  <c r="J158" i="10" s="1"/>
  <c r="I157" i="8"/>
  <c r="I158" i="10" s="1"/>
  <c r="H157" i="8"/>
  <c r="H158" i="10" s="1"/>
  <c r="G157" i="8"/>
  <c r="G158" i="10" s="1"/>
  <c r="F157" i="8"/>
  <c r="F158" i="10" s="1"/>
  <c r="AM156" i="8"/>
  <c r="AM157" i="10" s="1"/>
  <c r="J156" i="8"/>
  <c r="J157" i="10" s="1"/>
  <c r="I156" i="8"/>
  <c r="I157" i="10" s="1"/>
  <c r="H156" i="8"/>
  <c r="H157" i="10" s="1"/>
  <c r="G156" i="8"/>
  <c r="G157" i="10" s="1"/>
  <c r="F156" i="8"/>
  <c r="F157" i="10" s="1"/>
  <c r="AM155" i="8"/>
  <c r="AM156" i="10" s="1"/>
  <c r="J155" i="8"/>
  <c r="J156" i="10" s="1"/>
  <c r="I155" i="8"/>
  <c r="I156" i="10" s="1"/>
  <c r="H155" i="8"/>
  <c r="H156" i="10" s="1"/>
  <c r="G155" i="8"/>
  <c r="G156" i="10" s="1"/>
  <c r="F155" i="8"/>
  <c r="F156" i="10" s="1"/>
  <c r="AM154" i="8"/>
  <c r="AM155" i="10" s="1"/>
  <c r="J154" i="8"/>
  <c r="J155" i="10" s="1"/>
  <c r="I154" i="8"/>
  <c r="I155" i="10" s="1"/>
  <c r="H154" i="8"/>
  <c r="H155" i="10" s="1"/>
  <c r="G154" i="8"/>
  <c r="G155" i="10" s="1"/>
  <c r="F154" i="8"/>
  <c r="F155" i="10" s="1"/>
  <c r="AM153" i="8"/>
  <c r="AM154" i="10" s="1"/>
  <c r="J153" i="8"/>
  <c r="J154" i="10" s="1"/>
  <c r="I153" i="8"/>
  <c r="I154" i="10" s="1"/>
  <c r="H153" i="8"/>
  <c r="H154" i="10" s="1"/>
  <c r="G153" i="8"/>
  <c r="G154" i="10" s="1"/>
  <c r="F153" i="8"/>
  <c r="F154" i="10" s="1"/>
  <c r="AM152" i="8"/>
  <c r="AM153" i="10" s="1"/>
  <c r="J152" i="8"/>
  <c r="J153" i="10" s="1"/>
  <c r="I152" i="8"/>
  <c r="I153" i="10" s="1"/>
  <c r="H152" i="8"/>
  <c r="H153" i="10" s="1"/>
  <c r="G152" i="8"/>
  <c r="G153" i="10" s="1"/>
  <c r="F152" i="8"/>
  <c r="F153" i="10" s="1"/>
  <c r="AM151" i="8"/>
  <c r="AM152" i="10" s="1"/>
  <c r="J151" i="8"/>
  <c r="J152" i="10" s="1"/>
  <c r="I151" i="8"/>
  <c r="I152" i="10" s="1"/>
  <c r="H151" i="8"/>
  <c r="H152" i="10" s="1"/>
  <c r="G151" i="8"/>
  <c r="G152" i="10" s="1"/>
  <c r="F151" i="8"/>
  <c r="F152" i="10" s="1"/>
  <c r="AM150" i="8"/>
  <c r="AM151" i="10" s="1"/>
  <c r="J150" i="8"/>
  <c r="J151" i="10" s="1"/>
  <c r="I150" i="8"/>
  <c r="I151" i="10" s="1"/>
  <c r="H150" i="8"/>
  <c r="H151" i="10" s="1"/>
  <c r="G150" i="8"/>
  <c r="G151" i="10" s="1"/>
  <c r="F150" i="8"/>
  <c r="F151" i="10" s="1"/>
  <c r="AM149" i="8"/>
  <c r="AM150" i="10" s="1"/>
  <c r="J149" i="8"/>
  <c r="J150" i="10" s="1"/>
  <c r="I149" i="8"/>
  <c r="I150" i="10" s="1"/>
  <c r="H149" i="8"/>
  <c r="H150" i="10" s="1"/>
  <c r="G149" i="8"/>
  <c r="G150" i="10" s="1"/>
  <c r="F149" i="8"/>
  <c r="F150" i="10" s="1"/>
  <c r="AM148" i="8"/>
  <c r="AM149" i="10" s="1"/>
  <c r="J148" i="8"/>
  <c r="J149" i="10" s="1"/>
  <c r="I148" i="8"/>
  <c r="I149" i="10" s="1"/>
  <c r="H148" i="8"/>
  <c r="H149" i="10" s="1"/>
  <c r="G148" i="8"/>
  <c r="G149" i="10" s="1"/>
  <c r="F148" i="8"/>
  <c r="F149" i="10" s="1"/>
  <c r="AM147" i="8"/>
  <c r="AM148" i="10" s="1"/>
  <c r="J147" i="8"/>
  <c r="J148" i="10" s="1"/>
  <c r="I147" i="8"/>
  <c r="I148" i="10" s="1"/>
  <c r="H147" i="8"/>
  <c r="H148" i="10" s="1"/>
  <c r="G147" i="8"/>
  <c r="G148" i="10" s="1"/>
  <c r="F147" i="8"/>
  <c r="F148" i="10" s="1"/>
  <c r="AM146" i="8"/>
  <c r="AM147" i="10" s="1"/>
  <c r="J146" i="8"/>
  <c r="J147" i="10" s="1"/>
  <c r="I146" i="8"/>
  <c r="I147" i="10" s="1"/>
  <c r="H146" i="8"/>
  <c r="H147" i="10" s="1"/>
  <c r="G146" i="8"/>
  <c r="G147" i="10" s="1"/>
  <c r="F146" i="8"/>
  <c r="F147" i="10" s="1"/>
  <c r="AM145" i="8"/>
  <c r="AM146" i="10" s="1"/>
  <c r="J145" i="8"/>
  <c r="J146" i="10" s="1"/>
  <c r="I145" i="8"/>
  <c r="I146" i="10" s="1"/>
  <c r="H145" i="8"/>
  <c r="H146" i="10" s="1"/>
  <c r="G145" i="8"/>
  <c r="G146" i="10" s="1"/>
  <c r="F145" i="8"/>
  <c r="F146" i="10" s="1"/>
  <c r="AM144" i="8"/>
  <c r="AM145" i="10" s="1"/>
  <c r="J144" i="8"/>
  <c r="J145" i="10" s="1"/>
  <c r="I144" i="8"/>
  <c r="I145" i="10" s="1"/>
  <c r="H144" i="8"/>
  <c r="H145" i="10" s="1"/>
  <c r="G144" i="8"/>
  <c r="G145" i="10" s="1"/>
  <c r="F144" i="8"/>
  <c r="F145" i="10" s="1"/>
  <c r="AM143" i="8"/>
  <c r="AM144" i="10" s="1"/>
  <c r="J143" i="8"/>
  <c r="J144" i="10" s="1"/>
  <c r="I143" i="8"/>
  <c r="I144" i="10" s="1"/>
  <c r="H143" i="8"/>
  <c r="H144" i="10" s="1"/>
  <c r="G143" i="8"/>
  <c r="G144" i="10" s="1"/>
  <c r="F143" i="8"/>
  <c r="F144" i="10" s="1"/>
  <c r="AM142" i="8"/>
  <c r="AM143" i="10" s="1"/>
  <c r="J142" i="8"/>
  <c r="J143" i="10" s="1"/>
  <c r="I142" i="8"/>
  <c r="I143" i="10" s="1"/>
  <c r="H142" i="8"/>
  <c r="H143" i="10" s="1"/>
  <c r="G142" i="8"/>
  <c r="G143" i="10" s="1"/>
  <c r="F142" i="8"/>
  <c r="F143" i="10" s="1"/>
  <c r="AM141" i="8"/>
  <c r="AM142" i="10" s="1"/>
  <c r="J141" i="8"/>
  <c r="J142" i="10" s="1"/>
  <c r="I141" i="8"/>
  <c r="I142" i="10" s="1"/>
  <c r="H141" i="8"/>
  <c r="H142" i="10" s="1"/>
  <c r="G141" i="8"/>
  <c r="G142" i="10" s="1"/>
  <c r="F141" i="8"/>
  <c r="F142" i="10" s="1"/>
  <c r="AM140" i="8"/>
  <c r="AM141" i="10" s="1"/>
  <c r="J140" i="8"/>
  <c r="J141" i="10" s="1"/>
  <c r="I140" i="8"/>
  <c r="I141" i="10" s="1"/>
  <c r="H140" i="8"/>
  <c r="H141" i="10" s="1"/>
  <c r="G140" i="8"/>
  <c r="G141" i="10" s="1"/>
  <c r="F140" i="8"/>
  <c r="F141" i="10" s="1"/>
  <c r="N139" i="8"/>
  <c r="N140" i="10" s="1"/>
  <c r="M139" i="8"/>
  <c r="M140" i="10" s="1"/>
  <c r="K139" i="8"/>
  <c r="F139" i="8"/>
  <c r="F140" i="10" s="1"/>
  <c r="N138" i="8"/>
  <c r="N139" i="10" s="1"/>
  <c r="M138" i="8"/>
  <c r="M139" i="10" s="1"/>
  <c r="K138" i="8"/>
  <c r="H138" i="8" s="1"/>
  <c r="H139" i="10" s="1"/>
  <c r="F138" i="8"/>
  <c r="F139" i="10" s="1"/>
  <c r="N137" i="8"/>
  <c r="N138" i="10" s="1"/>
  <c r="M137" i="8"/>
  <c r="M138" i="10" s="1"/>
  <c r="K137" i="8"/>
  <c r="J137" i="8" s="1"/>
  <c r="J138" i="10" s="1"/>
  <c r="F137" i="8"/>
  <c r="F138" i="10" s="1"/>
  <c r="N136" i="8"/>
  <c r="N137" i="10" s="1"/>
  <c r="M136" i="8"/>
  <c r="M137" i="10" s="1"/>
  <c r="K136" i="8"/>
  <c r="G136" i="8" s="1"/>
  <c r="J136" i="8"/>
  <c r="J137" i="10" s="1"/>
  <c r="H136" i="8"/>
  <c r="H137" i="10" s="1"/>
  <c r="N135" i="8"/>
  <c r="N136" i="10" s="1"/>
  <c r="M135" i="8"/>
  <c r="K135" i="8"/>
  <c r="I135" i="8" s="1"/>
  <c r="I136" i="10" s="1"/>
  <c r="J135" i="8"/>
  <c r="J136" i="10" s="1"/>
  <c r="G135" i="8"/>
  <c r="N134" i="8"/>
  <c r="N135" i="10" s="1"/>
  <c r="M134" i="8"/>
  <c r="M135" i="10" s="1"/>
  <c r="K134" i="8"/>
  <c r="N133" i="8"/>
  <c r="N134" i="10" s="1"/>
  <c r="M133" i="8"/>
  <c r="M134" i="10" s="1"/>
  <c r="K133" i="8"/>
  <c r="N132" i="8"/>
  <c r="N133" i="10" s="1"/>
  <c r="M132" i="8"/>
  <c r="M133" i="10" s="1"/>
  <c r="K132" i="8"/>
  <c r="F132" i="8" s="1"/>
  <c r="F133" i="10" s="1"/>
  <c r="AM131" i="8"/>
  <c r="AM132" i="10" s="1"/>
  <c r="J131" i="8"/>
  <c r="J132" i="10" s="1"/>
  <c r="I131" i="8"/>
  <c r="I132" i="10" s="1"/>
  <c r="H131" i="8"/>
  <c r="H132" i="10" s="1"/>
  <c r="G131" i="8"/>
  <c r="G132" i="10" s="1"/>
  <c r="F131" i="8"/>
  <c r="F132" i="10" s="1"/>
  <c r="AM130" i="8"/>
  <c r="AM131" i="10" s="1"/>
  <c r="J130" i="8"/>
  <c r="J131" i="10" s="1"/>
  <c r="I130" i="8"/>
  <c r="I131" i="10" s="1"/>
  <c r="H130" i="8"/>
  <c r="H131" i="10" s="1"/>
  <c r="G130" i="8"/>
  <c r="G131" i="10" s="1"/>
  <c r="F130" i="8"/>
  <c r="F131" i="10" s="1"/>
  <c r="AM129" i="8"/>
  <c r="AM130" i="10" s="1"/>
  <c r="J129" i="8"/>
  <c r="J130" i="10" s="1"/>
  <c r="I129" i="8"/>
  <c r="I130" i="10" s="1"/>
  <c r="H129" i="8"/>
  <c r="H130" i="10" s="1"/>
  <c r="G129" i="8"/>
  <c r="G130" i="10" s="1"/>
  <c r="F129" i="8"/>
  <c r="F130" i="10" s="1"/>
  <c r="AM128" i="8"/>
  <c r="AM129" i="10" s="1"/>
  <c r="J128" i="8"/>
  <c r="J129" i="10" s="1"/>
  <c r="I128" i="8"/>
  <c r="I129" i="10" s="1"/>
  <c r="H128" i="8"/>
  <c r="H129" i="10" s="1"/>
  <c r="G128" i="8"/>
  <c r="G129" i="10" s="1"/>
  <c r="F128" i="8"/>
  <c r="F129" i="10" s="1"/>
  <c r="AM127" i="8"/>
  <c r="AM128" i="10" s="1"/>
  <c r="J127" i="8"/>
  <c r="J128" i="10" s="1"/>
  <c r="I127" i="8"/>
  <c r="I128" i="10" s="1"/>
  <c r="H127" i="8"/>
  <c r="H128" i="10" s="1"/>
  <c r="G127" i="8"/>
  <c r="G128" i="10" s="1"/>
  <c r="F127" i="8"/>
  <c r="F128" i="10" s="1"/>
  <c r="AM126" i="8"/>
  <c r="AM127" i="10" s="1"/>
  <c r="J126" i="8"/>
  <c r="J127" i="10" s="1"/>
  <c r="I126" i="8"/>
  <c r="I127" i="10" s="1"/>
  <c r="H126" i="8"/>
  <c r="H127" i="10" s="1"/>
  <c r="G126" i="8"/>
  <c r="G127" i="10" s="1"/>
  <c r="F126" i="8"/>
  <c r="F127" i="10" s="1"/>
  <c r="AM125" i="8"/>
  <c r="AM126" i="10" s="1"/>
  <c r="J125" i="8"/>
  <c r="J126" i="10" s="1"/>
  <c r="I125" i="8"/>
  <c r="I126" i="10" s="1"/>
  <c r="H125" i="8"/>
  <c r="H126" i="10" s="1"/>
  <c r="G125" i="8"/>
  <c r="G126" i="10" s="1"/>
  <c r="F125" i="8"/>
  <c r="F126" i="10" s="1"/>
  <c r="AM124" i="8"/>
  <c r="AM125" i="10" s="1"/>
  <c r="J124" i="8"/>
  <c r="J125" i="10" s="1"/>
  <c r="I124" i="8"/>
  <c r="I125" i="10" s="1"/>
  <c r="H124" i="8"/>
  <c r="H125" i="10" s="1"/>
  <c r="G124" i="8"/>
  <c r="G125" i="10" s="1"/>
  <c r="F124" i="8"/>
  <c r="F125" i="10" s="1"/>
  <c r="AM123" i="8"/>
  <c r="AM124" i="10" s="1"/>
  <c r="J123" i="8"/>
  <c r="J124" i="10" s="1"/>
  <c r="I123" i="8"/>
  <c r="I124" i="10" s="1"/>
  <c r="H123" i="8"/>
  <c r="H124" i="10" s="1"/>
  <c r="G123" i="8"/>
  <c r="G124" i="10" s="1"/>
  <c r="F123" i="8"/>
  <c r="F124" i="10" s="1"/>
  <c r="M122" i="8"/>
  <c r="M123" i="10" s="1"/>
  <c r="K122" i="8"/>
  <c r="I122" i="8"/>
  <c r="I123" i="10" s="1"/>
  <c r="E122" i="8"/>
  <c r="E123" i="10" s="1"/>
  <c r="M121" i="8"/>
  <c r="M122" i="10" s="1"/>
  <c r="K121" i="8"/>
  <c r="E121" i="8"/>
  <c r="E122" i="10" s="1"/>
  <c r="M120" i="8"/>
  <c r="M121" i="10" s="1"/>
  <c r="K120" i="8"/>
  <c r="E120" i="8"/>
  <c r="E121" i="10" s="1"/>
  <c r="M119" i="8"/>
  <c r="M120" i="10" s="1"/>
  <c r="K119" i="8"/>
  <c r="E119" i="8"/>
  <c r="E120" i="10" s="1"/>
  <c r="AC118" i="8"/>
  <c r="AC119" i="10" s="1"/>
  <c r="J118" i="8"/>
  <c r="J119" i="10" s="1"/>
  <c r="I118" i="8"/>
  <c r="I119" i="10" s="1"/>
  <c r="H118" i="8"/>
  <c r="H119" i="10" s="1"/>
  <c r="G118" i="8"/>
  <c r="G119" i="10" s="1"/>
  <c r="F118" i="8"/>
  <c r="F119" i="10" s="1"/>
  <c r="AC117" i="8"/>
  <c r="AC118" i="10" s="1"/>
  <c r="J117" i="8"/>
  <c r="J118" i="10" s="1"/>
  <c r="I117" i="8"/>
  <c r="I118" i="10" s="1"/>
  <c r="H117" i="8"/>
  <c r="H118" i="10" s="1"/>
  <c r="G117" i="8"/>
  <c r="G118" i="10" s="1"/>
  <c r="F117" i="8"/>
  <c r="F118" i="10" s="1"/>
  <c r="AC116" i="8"/>
  <c r="AC117" i="10" s="1"/>
  <c r="J116" i="8"/>
  <c r="J117" i="10" s="1"/>
  <c r="I116" i="8"/>
  <c r="I117" i="10" s="1"/>
  <c r="H116" i="8"/>
  <c r="H117" i="10" s="1"/>
  <c r="G116" i="8"/>
  <c r="G117" i="10" s="1"/>
  <c r="F116" i="8"/>
  <c r="F117" i="10" s="1"/>
  <c r="AC115" i="8"/>
  <c r="AC116" i="10" s="1"/>
  <c r="J115" i="8"/>
  <c r="J116" i="10" s="1"/>
  <c r="I115" i="8"/>
  <c r="I116" i="10" s="1"/>
  <c r="H115" i="8"/>
  <c r="H116" i="10" s="1"/>
  <c r="G115" i="8"/>
  <c r="G116" i="10" s="1"/>
  <c r="F115" i="8"/>
  <c r="F116" i="10" s="1"/>
  <c r="AC114" i="8"/>
  <c r="AC115" i="10" s="1"/>
  <c r="J114" i="8"/>
  <c r="J115" i="10" s="1"/>
  <c r="I114" i="8"/>
  <c r="I115" i="10" s="1"/>
  <c r="H114" i="8"/>
  <c r="H115" i="10" s="1"/>
  <c r="G114" i="8"/>
  <c r="G115" i="10" s="1"/>
  <c r="F114" i="8"/>
  <c r="F115" i="10" s="1"/>
  <c r="AC113" i="8"/>
  <c r="AC114" i="10" s="1"/>
  <c r="J113" i="8"/>
  <c r="J114" i="10" s="1"/>
  <c r="I113" i="8"/>
  <c r="I114" i="10" s="1"/>
  <c r="H113" i="8"/>
  <c r="H114" i="10" s="1"/>
  <c r="G113" i="8"/>
  <c r="G114" i="10" s="1"/>
  <c r="F113" i="8"/>
  <c r="F114" i="10" s="1"/>
  <c r="AC112" i="8"/>
  <c r="AC113" i="10" s="1"/>
  <c r="J112" i="8"/>
  <c r="J113" i="10" s="1"/>
  <c r="I112" i="8"/>
  <c r="I113" i="10" s="1"/>
  <c r="H112" i="8"/>
  <c r="H113" i="10" s="1"/>
  <c r="G112" i="8"/>
  <c r="G113" i="10" s="1"/>
  <c r="F112" i="8"/>
  <c r="F113" i="10" s="1"/>
  <c r="AC111" i="8"/>
  <c r="AC112" i="10" s="1"/>
  <c r="J111" i="8"/>
  <c r="J112" i="10" s="1"/>
  <c r="I111" i="8"/>
  <c r="I112" i="10" s="1"/>
  <c r="H111" i="8"/>
  <c r="H112" i="10" s="1"/>
  <c r="G111" i="8"/>
  <c r="G112" i="10" s="1"/>
  <c r="F111" i="8"/>
  <c r="F112" i="10" s="1"/>
  <c r="AC110" i="8"/>
  <c r="AC111" i="10" s="1"/>
  <c r="J110" i="8"/>
  <c r="J111" i="10" s="1"/>
  <c r="I110" i="8"/>
  <c r="I111" i="10" s="1"/>
  <c r="H110" i="8"/>
  <c r="H111" i="10" s="1"/>
  <c r="G110" i="8"/>
  <c r="G111" i="10" s="1"/>
  <c r="F110" i="8"/>
  <c r="F111" i="10" s="1"/>
  <c r="AC109" i="8"/>
  <c r="AC110" i="10" s="1"/>
  <c r="J109" i="8"/>
  <c r="J110" i="10" s="1"/>
  <c r="I109" i="8"/>
  <c r="I110" i="10" s="1"/>
  <c r="H109" i="8"/>
  <c r="H110" i="10" s="1"/>
  <c r="G109" i="8"/>
  <c r="G110" i="10" s="1"/>
  <c r="F109" i="8"/>
  <c r="F110" i="10" s="1"/>
  <c r="AC108" i="8"/>
  <c r="AC109" i="10" s="1"/>
  <c r="J108" i="8"/>
  <c r="J109" i="10" s="1"/>
  <c r="I108" i="8"/>
  <c r="I109" i="10" s="1"/>
  <c r="H108" i="8"/>
  <c r="H109" i="10" s="1"/>
  <c r="G108" i="8"/>
  <c r="G109" i="10" s="1"/>
  <c r="F108" i="8"/>
  <c r="F109" i="10" s="1"/>
  <c r="AC107" i="8"/>
  <c r="AC108" i="10" s="1"/>
  <c r="J107" i="8"/>
  <c r="J108" i="10" s="1"/>
  <c r="I107" i="8"/>
  <c r="I108" i="10" s="1"/>
  <c r="H107" i="8"/>
  <c r="H108" i="10" s="1"/>
  <c r="G107" i="8"/>
  <c r="G108" i="10" s="1"/>
  <c r="F107" i="8"/>
  <c r="F108" i="10" s="1"/>
  <c r="AC106" i="8"/>
  <c r="AC107" i="10" s="1"/>
  <c r="J106" i="8"/>
  <c r="J107" i="10" s="1"/>
  <c r="I106" i="8"/>
  <c r="I107" i="10" s="1"/>
  <c r="H106" i="8"/>
  <c r="H107" i="10" s="1"/>
  <c r="G106" i="8"/>
  <c r="G107" i="10" s="1"/>
  <c r="F106" i="8"/>
  <c r="F107" i="10" s="1"/>
  <c r="AC105" i="8"/>
  <c r="AC106" i="10" s="1"/>
  <c r="J105" i="8"/>
  <c r="J106" i="10" s="1"/>
  <c r="I105" i="8"/>
  <c r="I106" i="10" s="1"/>
  <c r="H105" i="8"/>
  <c r="H106" i="10" s="1"/>
  <c r="G105" i="8"/>
  <c r="G106" i="10" s="1"/>
  <c r="F105" i="8"/>
  <c r="F106" i="10" s="1"/>
  <c r="AC104" i="8"/>
  <c r="AC105" i="10" s="1"/>
  <c r="J104" i="8"/>
  <c r="J105" i="10" s="1"/>
  <c r="I104" i="8"/>
  <c r="I105" i="10" s="1"/>
  <c r="H104" i="8"/>
  <c r="H105" i="10" s="1"/>
  <c r="G104" i="8"/>
  <c r="G105" i="10" s="1"/>
  <c r="F104" i="8"/>
  <c r="F105" i="10" s="1"/>
  <c r="AM103" i="8"/>
  <c r="AM104" i="10" s="1"/>
  <c r="J103" i="8"/>
  <c r="J104" i="10" s="1"/>
  <c r="I103" i="8"/>
  <c r="I104" i="10" s="1"/>
  <c r="H103" i="8"/>
  <c r="G103" i="8"/>
  <c r="G104" i="10" s="1"/>
  <c r="F103" i="8"/>
  <c r="F104" i="10" s="1"/>
  <c r="AM102" i="8"/>
  <c r="AM103" i="10" s="1"/>
  <c r="J102" i="8"/>
  <c r="J103" i="10" s="1"/>
  <c r="I102" i="8"/>
  <c r="I103" i="10" s="1"/>
  <c r="H102" i="8"/>
  <c r="H103" i="10" s="1"/>
  <c r="G102" i="8"/>
  <c r="G103" i="10" s="1"/>
  <c r="F102" i="8"/>
  <c r="F103" i="10" s="1"/>
  <c r="AM101" i="8"/>
  <c r="AM102" i="10" s="1"/>
  <c r="J101" i="8"/>
  <c r="J102" i="10" s="1"/>
  <c r="I101" i="8"/>
  <c r="I102" i="10" s="1"/>
  <c r="H101" i="8"/>
  <c r="H102" i="10" s="1"/>
  <c r="G101" i="8"/>
  <c r="G102" i="10" s="1"/>
  <c r="F101" i="8"/>
  <c r="F102" i="10" s="1"/>
  <c r="AM100" i="8"/>
  <c r="AM101" i="10" s="1"/>
  <c r="J100" i="8"/>
  <c r="J101" i="10" s="1"/>
  <c r="I100" i="8"/>
  <c r="I101" i="10" s="1"/>
  <c r="H100" i="8"/>
  <c r="H101" i="10" s="1"/>
  <c r="G100" i="8"/>
  <c r="G101" i="10" s="1"/>
  <c r="F100" i="8"/>
  <c r="F101" i="10" s="1"/>
  <c r="J99" i="8"/>
  <c r="J100" i="10" s="1"/>
  <c r="I99" i="8"/>
  <c r="I100" i="10" s="1"/>
  <c r="H99" i="8"/>
  <c r="H100" i="10" s="1"/>
  <c r="G99" i="8"/>
  <c r="F99" i="8"/>
  <c r="F100" i="10" s="1"/>
  <c r="AM98" i="8"/>
  <c r="AM99" i="10" s="1"/>
  <c r="J98" i="8"/>
  <c r="J99" i="10" s="1"/>
  <c r="I98" i="8"/>
  <c r="I99" i="10" s="1"/>
  <c r="H98" i="8"/>
  <c r="H99" i="10" s="1"/>
  <c r="G98" i="8"/>
  <c r="G99" i="10" s="1"/>
  <c r="F98" i="8"/>
  <c r="F99" i="10" s="1"/>
  <c r="AM97" i="8"/>
  <c r="AM98" i="10" s="1"/>
  <c r="J97" i="8"/>
  <c r="J98" i="10" s="1"/>
  <c r="I97" i="8"/>
  <c r="I98" i="10" s="1"/>
  <c r="H97" i="8"/>
  <c r="H98" i="10" s="1"/>
  <c r="G97" i="8"/>
  <c r="G98" i="10" s="1"/>
  <c r="F97" i="8"/>
  <c r="F98" i="10" s="1"/>
  <c r="AM96" i="8"/>
  <c r="AM97" i="10" s="1"/>
  <c r="J96" i="8"/>
  <c r="J97" i="10" s="1"/>
  <c r="I96" i="8"/>
  <c r="I97" i="10" s="1"/>
  <c r="H96" i="8"/>
  <c r="H97" i="10" s="1"/>
  <c r="G96" i="8"/>
  <c r="G97" i="10" s="1"/>
  <c r="F96" i="8"/>
  <c r="F97" i="10" s="1"/>
  <c r="J95" i="8"/>
  <c r="J96" i="10" s="1"/>
  <c r="I95" i="8"/>
  <c r="I96" i="10" s="1"/>
  <c r="H95" i="8"/>
  <c r="H96" i="10" s="1"/>
  <c r="G95" i="8"/>
  <c r="F95" i="8"/>
  <c r="F96" i="10" s="1"/>
  <c r="AM94" i="8"/>
  <c r="AM95" i="10" s="1"/>
  <c r="E94" i="8"/>
  <c r="E95" i="10" s="1"/>
  <c r="E93" i="8"/>
  <c r="E92" i="8"/>
  <c r="E91" i="8"/>
  <c r="AM90" i="8"/>
  <c r="AM91" i="10" s="1"/>
  <c r="AM89" i="8"/>
  <c r="AM90" i="10" s="1"/>
  <c r="AM88" i="8"/>
  <c r="AM89" i="10" s="1"/>
  <c r="AM87" i="8"/>
  <c r="AM88" i="10" s="1"/>
  <c r="M87" i="8"/>
  <c r="M88" i="10" s="1"/>
  <c r="L87" i="8"/>
  <c r="L88" i="10" s="1"/>
  <c r="K87" i="8"/>
  <c r="AM86" i="8"/>
  <c r="AM87" i="10" s="1"/>
  <c r="M86" i="8"/>
  <c r="M87" i="10" s="1"/>
  <c r="L86" i="8"/>
  <c r="L87" i="10" s="1"/>
  <c r="K86" i="8"/>
  <c r="K87" i="10" s="1"/>
  <c r="H86" i="8"/>
  <c r="H87" i="10" s="1"/>
  <c r="F86" i="8"/>
  <c r="F87" i="10" s="1"/>
  <c r="AM85" i="8"/>
  <c r="AM86" i="10" s="1"/>
  <c r="M85" i="8"/>
  <c r="M86" i="10" s="1"/>
  <c r="L85" i="8"/>
  <c r="L86" i="10" s="1"/>
  <c r="K85" i="8"/>
  <c r="G85" i="8"/>
  <c r="G86" i="10" s="1"/>
  <c r="AM84" i="8"/>
  <c r="AM85" i="10" s="1"/>
  <c r="M84" i="8"/>
  <c r="M85" i="10" s="1"/>
  <c r="L84" i="8"/>
  <c r="L85" i="10" s="1"/>
  <c r="K84" i="8"/>
  <c r="AM83" i="8"/>
  <c r="AM84" i="10" s="1"/>
  <c r="M83" i="8"/>
  <c r="M84" i="10" s="1"/>
  <c r="L83" i="8"/>
  <c r="L84" i="10" s="1"/>
  <c r="K83" i="8"/>
  <c r="AM82" i="8"/>
  <c r="AM83" i="10" s="1"/>
  <c r="M82" i="8"/>
  <c r="M83" i="10" s="1"/>
  <c r="L82" i="8"/>
  <c r="L83" i="10" s="1"/>
  <c r="K82" i="8"/>
  <c r="H82" i="8" s="1"/>
  <c r="H83" i="10" s="1"/>
  <c r="AM81" i="8"/>
  <c r="AM82" i="10" s="1"/>
  <c r="M81" i="8"/>
  <c r="M82" i="10" s="1"/>
  <c r="L81" i="8"/>
  <c r="L82" i="10" s="1"/>
  <c r="K81" i="8"/>
  <c r="G81" i="8" s="1"/>
  <c r="G82" i="10" s="1"/>
  <c r="AM80" i="8"/>
  <c r="AM81" i="10" s="1"/>
  <c r="M80" i="8"/>
  <c r="M81" i="10" s="1"/>
  <c r="L80" i="8"/>
  <c r="L81" i="10" s="1"/>
  <c r="K80" i="8"/>
  <c r="AM79" i="8"/>
  <c r="AM80" i="10" s="1"/>
  <c r="M79" i="8"/>
  <c r="M80" i="10" s="1"/>
  <c r="L79" i="8"/>
  <c r="L80" i="10" s="1"/>
  <c r="K79" i="8"/>
  <c r="AM78" i="8"/>
  <c r="AM79" i="10" s="1"/>
  <c r="M78" i="8"/>
  <c r="M79" i="10" s="1"/>
  <c r="L78" i="8"/>
  <c r="L79" i="10" s="1"/>
  <c r="K78" i="8"/>
  <c r="AM77" i="8"/>
  <c r="AM78" i="10" s="1"/>
  <c r="M77" i="8"/>
  <c r="M78" i="10" s="1"/>
  <c r="L77" i="8"/>
  <c r="L78" i="10" s="1"/>
  <c r="K77" i="8"/>
  <c r="G77" i="8" s="1"/>
  <c r="G78" i="10" s="1"/>
  <c r="AM76" i="8"/>
  <c r="AM77" i="10" s="1"/>
  <c r="M76" i="8"/>
  <c r="M77" i="10" s="1"/>
  <c r="L76" i="8"/>
  <c r="L77" i="10" s="1"/>
  <c r="K76" i="8"/>
  <c r="F76" i="8" s="1"/>
  <c r="F77" i="10" s="1"/>
  <c r="H76" i="8"/>
  <c r="H77" i="10" s="1"/>
  <c r="G76" i="8"/>
  <c r="G77" i="10" s="1"/>
  <c r="AM75" i="8"/>
  <c r="AM76" i="10" s="1"/>
  <c r="M75" i="8"/>
  <c r="M76" i="10" s="1"/>
  <c r="L75" i="8"/>
  <c r="L76" i="10" s="1"/>
  <c r="K75" i="8"/>
  <c r="AM74" i="8"/>
  <c r="AM75" i="10" s="1"/>
  <c r="M74" i="8"/>
  <c r="M75" i="10" s="1"/>
  <c r="L74" i="8"/>
  <c r="L75" i="10" s="1"/>
  <c r="K74" i="8"/>
  <c r="F74" i="8" s="1"/>
  <c r="F75" i="10" s="1"/>
  <c r="AM73" i="8"/>
  <c r="AM74" i="10" s="1"/>
  <c r="M73" i="8"/>
  <c r="M74" i="10" s="1"/>
  <c r="L73" i="8"/>
  <c r="L74" i="10" s="1"/>
  <c r="K73" i="8"/>
  <c r="AM72" i="8"/>
  <c r="AM73" i="10" s="1"/>
  <c r="M72" i="8"/>
  <c r="M73" i="10" s="1"/>
  <c r="L72" i="8"/>
  <c r="L73" i="10" s="1"/>
  <c r="K72" i="8"/>
  <c r="F72" i="8" s="1"/>
  <c r="F73" i="10" s="1"/>
  <c r="H72" i="8"/>
  <c r="H73" i="10" s="1"/>
  <c r="AM71" i="8"/>
  <c r="AM72" i="10" s="1"/>
  <c r="M71" i="8"/>
  <c r="M72" i="10" s="1"/>
  <c r="L71" i="8"/>
  <c r="L72" i="10" s="1"/>
  <c r="K71" i="8"/>
  <c r="AM70" i="8"/>
  <c r="AM71" i="10" s="1"/>
  <c r="M70" i="8"/>
  <c r="M71" i="10" s="1"/>
  <c r="L70" i="8"/>
  <c r="L71" i="10" s="1"/>
  <c r="K70" i="8"/>
  <c r="F70" i="8" s="1"/>
  <c r="F71" i="10" s="1"/>
  <c r="H70" i="8"/>
  <c r="H71" i="10" s="1"/>
  <c r="AM69" i="8"/>
  <c r="AM70" i="10" s="1"/>
  <c r="M69" i="8"/>
  <c r="M70" i="10" s="1"/>
  <c r="L69" i="8"/>
  <c r="L70" i="10" s="1"/>
  <c r="K69" i="8"/>
  <c r="AM68" i="8"/>
  <c r="AM69" i="10" s="1"/>
  <c r="M68" i="8"/>
  <c r="M69" i="10" s="1"/>
  <c r="L68" i="8"/>
  <c r="L69" i="10" s="1"/>
  <c r="K68" i="8"/>
  <c r="AM67" i="8"/>
  <c r="AM68" i="10" s="1"/>
  <c r="M67" i="8"/>
  <c r="M68" i="10" s="1"/>
  <c r="L67" i="8"/>
  <c r="L68" i="10" s="1"/>
  <c r="K67" i="8"/>
  <c r="AM66" i="8"/>
  <c r="AM67" i="10" s="1"/>
  <c r="M66" i="8"/>
  <c r="M67" i="10" s="1"/>
  <c r="L66" i="8"/>
  <c r="L67" i="10" s="1"/>
  <c r="K66" i="8"/>
  <c r="H66" i="8" s="1"/>
  <c r="H67" i="10" s="1"/>
  <c r="AM65" i="8"/>
  <c r="AM66" i="10" s="1"/>
  <c r="M65" i="8"/>
  <c r="M66" i="10" s="1"/>
  <c r="L65" i="8"/>
  <c r="L66" i="10" s="1"/>
  <c r="K65" i="8"/>
  <c r="AC64" i="8"/>
  <c r="AC65" i="10" s="1"/>
  <c r="J64" i="8"/>
  <c r="J65" i="10" s="1"/>
  <c r="I64" i="8"/>
  <c r="I65" i="10" s="1"/>
  <c r="H64" i="8"/>
  <c r="H65" i="10" s="1"/>
  <c r="G64" i="8"/>
  <c r="F64" i="8"/>
  <c r="F65" i="10" s="1"/>
  <c r="AC63" i="8"/>
  <c r="AC64" i="10" s="1"/>
  <c r="J63" i="8"/>
  <c r="J64" i="10" s="1"/>
  <c r="I63" i="8"/>
  <c r="I64" i="10" s="1"/>
  <c r="H63" i="8"/>
  <c r="H64" i="10" s="1"/>
  <c r="G63" i="8"/>
  <c r="F63" i="8"/>
  <c r="F64" i="10" s="1"/>
  <c r="AC62" i="8"/>
  <c r="AC63" i="10" s="1"/>
  <c r="J62" i="8"/>
  <c r="J63" i="10" s="1"/>
  <c r="I62" i="8"/>
  <c r="I63" i="10" s="1"/>
  <c r="H62" i="8"/>
  <c r="H63" i="10" s="1"/>
  <c r="G62" i="8"/>
  <c r="F62" i="8"/>
  <c r="F63" i="10" s="1"/>
  <c r="AC61" i="8"/>
  <c r="AC62" i="10" s="1"/>
  <c r="J61" i="8"/>
  <c r="J62" i="10" s="1"/>
  <c r="I61" i="8"/>
  <c r="I62" i="10" s="1"/>
  <c r="H61" i="8"/>
  <c r="H62" i="10" s="1"/>
  <c r="G61" i="8"/>
  <c r="F61" i="8"/>
  <c r="F62" i="10" s="1"/>
  <c r="AC60" i="8"/>
  <c r="AC61" i="10" s="1"/>
  <c r="J60" i="8"/>
  <c r="J61" i="10" s="1"/>
  <c r="I60" i="8"/>
  <c r="I61" i="10" s="1"/>
  <c r="H60" i="8"/>
  <c r="H61" i="10" s="1"/>
  <c r="G60" i="8"/>
  <c r="F60" i="8"/>
  <c r="F61" i="10" s="1"/>
  <c r="AC59" i="8"/>
  <c r="AC60" i="10" s="1"/>
  <c r="J59" i="8"/>
  <c r="J60" i="10" s="1"/>
  <c r="I59" i="8"/>
  <c r="I60" i="10" s="1"/>
  <c r="H59" i="8"/>
  <c r="H60" i="10" s="1"/>
  <c r="G59" i="8"/>
  <c r="F59" i="8"/>
  <c r="F60" i="10" s="1"/>
  <c r="AC58" i="8"/>
  <c r="AC59" i="10" s="1"/>
  <c r="J58" i="8"/>
  <c r="J59" i="10" s="1"/>
  <c r="I58" i="8"/>
  <c r="I59" i="10" s="1"/>
  <c r="H58" i="8"/>
  <c r="H59" i="10" s="1"/>
  <c r="G58" i="8"/>
  <c r="G59" i="10" s="1"/>
  <c r="F58" i="8"/>
  <c r="F59" i="10" s="1"/>
  <c r="E58" i="8"/>
  <c r="AC57" i="8"/>
  <c r="AC58" i="10" s="1"/>
  <c r="J57" i="8"/>
  <c r="J58" i="10" s="1"/>
  <c r="I57" i="8"/>
  <c r="I58" i="10" s="1"/>
  <c r="H57" i="8"/>
  <c r="H58" i="10" s="1"/>
  <c r="G57" i="8"/>
  <c r="G58" i="10" s="1"/>
  <c r="F57" i="8"/>
  <c r="F58" i="10" s="1"/>
  <c r="E57" i="8"/>
  <c r="AC56" i="8"/>
  <c r="AC57" i="10" s="1"/>
  <c r="J56" i="8"/>
  <c r="J57" i="10" s="1"/>
  <c r="I56" i="8"/>
  <c r="I57" i="10" s="1"/>
  <c r="H56" i="8"/>
  <c r="H57" i="10" s="1"/>
  <c r="G56" i="8"/>
  <c r="F56" i="8"/>
  <c r="F57" i="10" s="1"/>
  <c r="AC55" i="8"/>
  <c r="AC56" i="10" s="1"/>
  <c r="J55" i="8"/>
  <c r="J56" i="10" s="1"/>
  <c r="I55" i="8"/>
  <c r="I56" i="10" s="1"/>
  <c r="H55" i="8"/>
  <c r="H56" i="10" s="1"/>
  <c r="G55" i="8"/>
  <c r="G56" i="10" s="1"/>
  <c r="F55" i="8"/>
  <c r="F56" i="10" s="1"/>
  <c r="AC54" i="8"/>
  <c r="AC55" i="10" s="1"/>
  <c r="J54" i="8"/>
  <c r="J55" i="10" s="1"/>
  <c r="I54" i="8"/>
  <c r="I55" i="10" s="1"/>
  <c r="H54" i="8"/>
  <c r="H55" i="10" s="1"/>
  <c r="G54" i="8"/>
  <c r="G55" i="10" s="1"/>
  <c r="F54" i="8"/>
  <c r="F55" i="10" s="1"/>
  <c r="E54" i="8"/>
  <c r="AC53" i="8"/>
  <c r="AC54" i="10" s="1"/>
  <c r="J53" i="8"/>
  <c r="J54" i="10" s="1"/>
  <c r="I53" i="8"/>
  <c r="I54" i="10" s="1"/>
  <c r="H53" i="8"/>
  <c r="H54" i="10" s="1"/>
  <c r="G53" i="8"/>
  <c r="F53" i="8"/>
  <c r="F54" i="10" s="1"/>
  <c r="AC52" i="8"/>
  <c r="AC53" i="10" s="1"/>
  <c r="J52" i="8"/>
  <c r="J53" i="10" s="1"/>
  <c r="I52" i="8"/>
  <c r="I53" i="10" s="1"/>
  <c r="H52" i="8"/>
  <c r="H53" i="10" s="1"/>
  <c r="G52" i="8"/>
  <c r="F52" i="8"/>
  <c r="F53" i="10" s="1"/>
  <c r="AC51" i="8"/>
  <c r="AC52" i="10" s="1"/>
  <c r="J51" i="8"/>
  <c r="J52" i="10" s="1"/>
  <c r="I51" i="8"/>
  <c r="I52" i="10" s="1"/>
  <c r="H51" i="8"/>
  <c r="H52" i="10" s="1"/>
  <c r="G51" i="8"/>
  <c r="F51" i="8"/>
  <c r="F52" i="10" s="1"/>
  <c r="AC50" i="8"/>
  <c r="AC51" i="10" s="1"/>
  <c r="J50" i="8"/>
  <c r="J51" i="10" s="1"/>
  <c r="I50" i="8"/>
  <c r="I51" i="10" s="1"/>
  <c r="H50" i="8"/>
  <c r="H51" i="10" s="1"/>
  <c r="G50" i="8"/>
  <c r="F50" i="8"/>
  <c r="F51" i="10" s="1"/>
  <c r="AC49" i="8"/>
  <c r="AC50" i="10" s="1"/>
  <c r="J49" i="8"/>
  <c r="J50" i="10" s="1"/>
  <c r="I49" i="8"/>
  <c r="I50" i="10" s="1"/>
  <c r="H49" i="8"/>
  <c r="H50" i="10" s="1"/>
  <c r="G49" i="8"/>
  <c r="F49" i="8"/>
  <c r="F50" i="10" s="1"/>
  <c r="AC48" i="8"/>
  <c r="AC49" i="10" s="1"/>
  <c r="J48" i="8"/>
  <c r="J49" i="10" s="1"/>
  <c r="I48" i="8"/>
  <c r="I49" i="10" s="1"/>
  <c r="H48" i="8"/>
  <c r="H49" i="10" s="1"/>
  <c r="G48" i="8"/>
  <c r="F48" i="8"/>
  <c r="F49" i="10" s="1"/>
  <c r="AC47" i="8"/>
  <c r="AC48" i="10" s="1"/>
  <c r="J47" i="8"/>
  <c r="J48" i="10" s="1"/>
  <c r="I47" i="8"/>
  <c r="H47" i="8"/>
  <c r="H48" i="10" s="1"/>
  <c r="G47" i="8"/>
  <c r="F47" i="8"/>
  <c r="F48" i="10" s="1"/>
  <c r="AC46" i="8"/>
  <c r="AC47" i="10" s="1"/>
  <c r="J46" i="8"/>
  <c r="J47" i="10" s="1"/>
  <c r="I46" i="8"/>
  <c r="I47" i="10" s="1"/>
  <c r="H46" i="8"/>
  <c r="H47" i="10" s="1"/>
  <c r="G46" i="8"/>
  <c r="G47" i="10" s="1"/>
  <c r="F46" i="8"/>
  <c r="F47" i="10" s="1"/>
  <c r="AC45" i="8"/>
  <c r="AC46" i="10" s="1"/>
  <c r="N45" i="8"/>
  <c r="N46" i="10" s="1"/>
  <c r="M45" i="8"/>
  <c r="M46" i="10" s="1"/>
  <c r="K45" i="8"/>
  <c r="K46" i="10" s="1"/>
  <c r="E45" i="8"/>
  <c r="E46" i="10" s="1"/>
  <c r="AC44" i="8"/>
  <c r="AC45" i="10" s="1"/>
  <c r="N44" i="8"/>
  <c r="N45" i="10" s="1"/>
  <c r="M44" i="8"/>
  <c r="M45" i="10" s="1"/>
  <c r="K44" i="8"/>
  <c r="K45" i="10" s="1"/>
  <c r="E44" i="8"/>
  <c r="E45" i="10" s="1"/>
  <c r="AC43" i="8"/>
  <c r="AC44" i="10" s="1"/>
  <c r="N43" i="8"/>
  <c r="N44" i="10" s="1"/>
  <c r="M43" i="8"/>
  <c r="M44" i="10" s="1"/>
  <c r="K43" i="8"/>
  <c r="K44" i="10" s="1"/>
  <c r="E43" i="8"/>
  <c r="E44" i="10" s="1"/>
  <c r="AC42" i="8"/>
  <c r="AC43" i="10" s="1"/>
  <c r="N42" i="8"/>
  <c r="N43" i="10" s="1"/>
  <c r="M42" i="8"/>
  <c r="M43" i="10" s="1"/>
  <c r="K42" i="8"/>
  <c r="K43" i="10" s="1"/>
  <c r="E42" i="8"/>
  <c r="E43" i="10" s="1"/>
  <c r="AC41" i="8"/>
  <c r="AC42" i="10" s="1"/>
  <c r="N41" i="8"/>
  <c r="N42" i="10" s="1"/>
  <c r="M41" i="8"/>
  <c r="M42" i="10" s="1"/>
  <c r="K41" i="8"/>
  <c r="K42" i="10" s="1"/>
  <c r="E41" i="8"/>
  <c r="E42" i="10" s="1"/>
  <c r="AC40" i="8"/>
  <c r="AC41" i="10" s="1"/>
  <c r="N40" i="8"/>
  <c r="N41" i="10" s="1"/>
  <c r="M40" i="8"/>
  <c r="M41" i="10" s="1"/>
  <c r="K40" i="8"/>
  <c r="K41" i="10" s="1"/>
  <c r="E40" i="8"/>
  <c r="E41" i="10" s="1"/>
  <c r="AC39" i="8"/>
  <c r="AC40" i="10" s="1"/>
  <c r="N39" i="8"/>
  <c r="N40" i="10" s="1"/>
  <c r="M39" i="8"/>
  <c r="M40" i="10" s="1"/>
  <c r="K39" i="8"/>
  <c r="K40" i="10" s="1"/>
  <c r="E39" i="8"/>
  <c r="E40" i="10" s="1"/>
  <c r="AC38" i="8"/>
  <c r="AC39" i="10" s="1"/>
  <c r="N38" i="8"/>
  <c r="N39" i="10" s="1"/>
  <c r="M38" i="8"/>
  <c r="M39" i="10" s="1"/>
  <c r="K38" i="8"/>
  <c r="K39" i="10" s="1"/>
  <c r="E38" i="8"/>
  <c r="E39" i="10" s="1"/>
  <c r="AC37" i="8"/>
  <c r="AC38" i="10" s="1"/>
  <c r="N37" i="8"/>
  <c r="N38" i="10" s="1"/>
  <c r="M37" i="8"/>
  <c r="M38" i="10" s="1"/>
  <c r="K37" i="8"/>
  <c r="K38" i="10" s="1"/>
  <c r="E37" i="8"/>
  <c r="E38" i="10" s="1"/>
  <c r="AC36" i="8"/>
  <c r="AC37" i="10" s="1"/>
  <c r="N36" i="8"/>
  <c r="N37" i="10" s="1"/>
  <c r="M36" i="8"/>
  <c r="M37" i="10" s="1"/>
  <c r="K36" i="8"/>
  <c r="K37" i="10" s="1"/>
  <c r="E36" i="8"/>
  <c r="E37" i="10" s="1"/>
  <c r="AC35" i="8"/>
  <c r="AC36" i="10" s="1"/>
  <c r="N35" i="8"/>
  <c r="N36" i="10" s="1"/>
  <c r="M35" i="8"/>
  <c r="M36" i="10" s="1"/>
  <c r="K35" i="8"/>
  <c r="K36" i="10" s="1"/>
  <c r="E35" i="8"/>
  <c r="E36" i="10" s="1"/>
  <c r="AC34" i="8"/>
  <c r="AC35" i="10" s="1"/>
  <c r="N34" i="8"/>
  <c r="N35" i="10" s="1"/>
  <c r="M34" i="8"/>
  <c r="M35" i="10" s="1"/>
  <c r="K34" i="8"/>
  <c r="K35" i="10" s="1"/>
  <c r="E34" i="8"/>
  <c r="E35" i="10" s="1"/>
  <c r="AC33" i="8"/>
  <c r="AC34" i="10" s="1"/>
  <c r="N33" i="8"/>
  <c r="N34" i="10" s="1"/>
  <c r="M33" i="8"/>
  <c r="M34" i="10" s="1"/>
  <c r="K33" i="8"/>
  <c r="K34" i="10" s="1"/>
  <c r="E33" i="8"/>
  <c r="E34" i="10" s="1"/>
  <c r="AC32" i="8"/>
  <c r="AC33" i="10" s="1"/>
  <c r="N32" i="8"/>
  <c r="M32" i="8"/>
  <c r="K32" i="8"/>
  <c r="K33" i="10" s="1"/>
  <c r="E32" i="8"/>
  <c r="E33" i="10" s="1"/>
  <c r="AC31" i="8"/>
  <c r="AC32" i="10" s="1"/>
  <c r="J31" i="8"/>
  <c r="J32" i="10" s="1"/>
  <c r="I31" i="8"/>
  <c r="I32" i="10" s="1"/>
  <c r="H31" i="8"/>
  <c r="H32" i="10" s="1"/>
  <c r="G31" i="8"/>
  <c r="G32" i="10" s="1"/>
  <c r="F31" i="8"/>
  <c r="AC30" i="8"/>
  <c r="AC31" i="10" s="1"/>
  <c r="J30" i="8"/>
  <c r="J31" i="10" s="1"/>
  <c r="I30" i="8"/>
  <c r="I31" i="10" s="1"/>
  <c r="H30" i="8"/>
  <c r="H31" i="10" s="1"/>
  <c r="G30" i="8"/>
  <c r="G31" i="10" s="1"/>
  <c r="F30" i="8"/>
  <c r="AC29" i="8"/>
  <c r="AC30" i="10" s="1"/>
  <c r="K29" i="8"/>
  <c r="I29" i="8"/>
  <c r="I30" i="10" s="1"/>
  <c r="AC28" i="8"/>
  <c r="AC29" i="10" s="1"/>
  <c r="J28" i="8"/>
  <c r="J29" i="10" s="1"/>
  <c r="I28" i="8"/>
  <c r="I29" i="10" s="1"/>
  <c r="H28" i="8"/>
  <c r="H29" i="10" s="1"/>
  <c r="G28" i="8"/>
  <c r="G29" i="10" s="1"/>
  <c r="F28" i="8"/>
  <c r="AC27" i="8"/>
  <c r="AC28" i="10" s="1"/>
  <c r="K27" i="8"/>
  <c r="I27" i="8"/>
  <c r="I28" i="10" s="1"/>
  <c r="AC26" i="8"/>
  <c r="AC27" i="10" s="1"/>
  <c r="J26" i="8"/>
  <c r="J27" i="10" s="1"/>
  <c r="I26" i="8"/>
  <c r="I27" i="10" s="1"/>
  <c r="H26" i="8"/>
  <c r="H27" i="10" s="1"/>
  <c r="G26" i="8"/>
  <c r="G27" i="10" s="1"/>
  <c r="F26" i="8"/>
  <c r="AC25" i="8"/>
  <c r="AC26" i="10" s="1"/>
  <c r="K25" i="8"/>
  <c r="AC24" i="8"/>
  <c r="AC25" i="10" s="1"/>
  <c r="J24" i="8"/>
  <c r="J25" i="10" s="1"/>
  <c r="I24" i="8"/>
  <c r="I25" i="10" s="1"/>
  <c r="G24" i="8"/>
  <c r="G25" i="10" s="1"/>
  <c r="F24" i="8"/>
  <c r="F25" i="10" s="1"/>
  <c r="AC23" i="8"/>
  <c r="AC24" i="10" s="1"/>
  <c r="J23" i="8"/>
  <c r="J24" i="10" s="1"/>
  <c r="I23" i="8"/>
  <c r="I24" i="10" s="1"/>
  <c r="G23" i="8"/>
  <c r="G24" i="10" s="1"/>
  <c r="F23" i="8"/>
  <c r="F24" i="10" s="1"/>
  <c r="AC22" i="8"/>
  <c r="AC23" i="10" s="1"/>
  <c r="K22" i="8"/>
  <c r="AC21" i="8"/>
  <c r="AC22" i="10" s="1"/>
  <c r="G21" i="8"/>
  <c r="G22" i="10" s="1"/>
  <c r="F21" i="8"/>
  <c r="AC20" i="8"/>
  <c r="AC21" i="10" s="1"/>
  <c r="G20" i="8"/>
  <c r="G21" i="10" s="1"/>
  <c r="F20" i="8"/>
  <c r="AC19" i="8"/>
  <c r="AC20" i="10" s="1"/>
  <c r="G19" i="8"/>
  <c r="G20" i="10" s="1"/>
  <c r="F19" i="8"/>
  <c r="AC18" i="8"/>
  <c r="AC19" i="10" s="1"/>
  <c r="K18" i="8"/>
  <c r="AC17" i="8"/>
  <c r="AC18" i="10" s="1"/>
  <c r="G17" i="8"/>
  <c r="G18" i="10" s="1"/>
  <c r="F17" i="8"/>
  <c r="AC16" i="8"/>
  <c r="AC17" i="10" s="1"/>
  <c r="G16" i="8"/>
  <c r="G17" i="10" s="1"/>
  <c r="F16" i="8"/>
  <c r="AC15" i="8"/>
  <c r="AC16" i="10" s="1"/>
  <c r="G15" i="8"/>
  <c r="G16" i="10" s="1"/>
  <c r="F15" i="8"/>
  <c r="AC14" i="8"/>
  <c r="AC15" i="10" s="1"/>
  <c r="G14" i="8"/>
  <c r="G15" i="10" s="1"/>
  <c r="F14" i="8"/>
  <c r="AC13" i="8"/>
  <c r="AC14" i="10" s="1"/>
  <c r="G13" i="8"/>
  <c r="G14" i="10" s="1"/>
  <c r="F13" i="8"/>
  <c r="AC12" i="8"/>
  <c r="AC13" i="10" s="1"/>
  <c r="G12" i="8"/>
  <c r="G13" i="10" s="1"/>
  <c r="F12" i="8"/>
  <c r="F13" i="10" s="1"/>
  <c r="AC11" i="8"/>
  <c r="AC12" i="10" s="1"/>
  <c r="G11" i="8"/>
  <c r="G12" i="10" s="1"/>
  <c r="F11" i="8"/>
  <c r="F12" i="10" s="1"/>
  <c r="AC10" i="8"/>
  <c r="AC11" i="10" s="1"/>
  <c r="G10" i="8"/>
  <c r="G11" i="10" s="1"/>
  <c r="F10" i="8"/>
  <c r="AC9" i="8"/>
  <c r="AC10" i="10" s="1"/>
  <c r="G9" i="8"/>
  <c r="G10" i="10" s="1"/>
  <c r="F9" i="8"/>
  <c r="AC8" i="8"/>
  <c r="K8" i="8"/>
  <c r="AN7" i="8"/>
  <c r="AN8" i="10" s="1"/>
  <c r="L7" i="8"/>
  <c r="F7" i="8"/>
  <c r="F8" i="10" s="1"/>
  <c r="E7" i="8"/>
  <c r="E8" i="10" s="1"/>
  <c r="AN6" i="8"/>
  <c r="AN7" i="10" s="1"/>
  <c r="L6" i="8"/>
  <c r="L7" i="10" s="1"/>
  <c r="I6" i="8"/>
  <c r="I7" i="10" s="1"/>
  <c r="H6" i="8"/>
  <c r="H7" i="10" s="1"/>
  <c r="F6" i="8"/>
  <c r="F7" i="10" s="1"/>
  <c r="E6" i="8"/>
  <c r="E7" i="10" s="1"/>
  <c r="AN5" i="8"/>
  <c r="AN6" i="10" s="1"/>
  <c r="L5" i="8"/>
  <c r="J5" i="8"/>
  <c r="J6" i="10" s="1"/>
  <c r="F5" i="8"/>
  <c r="F6" i="10" s="1"/>
  <c r="E5" i="8"/>
  <c r="E6" i="10" s="1"/>
  <c r="AN4" i="8"/>
  <c r="AN5" i="10" s="1"/>
  <c r="L4" i="8"/>
  <c r="J4" i="8"/>
  <c r="J5" i="10" s="1"/>
  <c r="E4" i="8"/>
  <c r="E5" i="10" s="1"/>
  <c r="AN3" i="8"/>
  <c r="AN4" i="10" s="1"/>
  <c r="L3" i="8"/>
  <c r="J3" i="8" s="1"/>
  <c r="J4" i="10" s="1"/>
  <c r="H3" i="8"/>
  <c r="H4" i="10" s="1"/>
  <c r="E3" i="8"/>
  <c r="E4" i="10" s="1"/>
  <c r="AN2" i="8"/>
  <c r="L2" i="8"/>
  <c r="K2" i="8" s="1"/>
  <c r="E2" i="8"/>
  <c r="D307" i="8"/>
  <c r="D308" i="10" s="1"/>
  <c r="D306" i="8"/>
  <c r="D305" i="8"/>
  <c r="D306" i="10" s="1"/>
  <c r="D304" i="8"/>
  <c r="D305" i="10" s="1"/>
  <c r="D277" i="8"/>
  <c r="D278" i="10" s="1"/>
  <c r="D274" i="8"/>
  <c r="D275" i="10" s="1"/>
  <c r="D273" i="8"/>
  <c r="D272" i="8"/>
  <c r="D273" i="10" s="1"/>
  <c r="D271" i="8"/>
  <c r="D272" i="10" s="1"/>
  <c r="D254" i="8"/>
  <c r="D255" i="10" s="1"/>
  <c r="D253" i="8"/>
  <c r="D254" i="10" s="1"/>
  <c r="D252" i="8"/>
  <c r="D253" i="10" s="1"/>
  <c r="D251" i="8"/>
  <c r="D252" i="10" s="1"/>
  <c r="D250" i="8"/>
  <c r="D251" i="10" s="1"/>
  <c r="D249" i="8"/>
  <c r="D213" i="8"/>
  <c r="D214" i="10" s="1"/>
  <c r="D198" i="8"/>
  <c r="D199" i="10" s="1"/>
  <c r="D197" i="8"/>
  <c r="D198" i="10" s="1"/>
  <c r="D196" i="8"/>
  <c r="D197" i="10" s="1"/>
  <c r="D195" i="8"/>
  <c r="D196" i="10" s="1"/>
  <c r="D194" i="8"/>
  <c r="D195" i="10" s="1"/>
  <c r="D193" i="8"/>
  <c r="D194" i="10" s="1"/>
  <c r="D192" i="8"/>
  <c r="D193" i="10" s="1"/>
  <c r="D191" i="8"/>
  <c r="D192" i="10" s="1"/>
  <c r="D190" i="8"/>
  <c r="D191" i="10" s="1"/>
  <c r="D189" i="8"/>
  <c r="D190" i="10" s="1"/>
  <c r="D188" i="8"/>
  <c r="D189" i="10" s="1"/>
  <c r="D187" i="8"/>
  <c r="D188" i="10" s="1"/>
  <c r="D186" i="8"/>
  <c r="D187" i="10" s="1"/>
  <c r="D185" i="8"/>
  <c r="D186" i="10" s="1"/>
  <c r="D184" i="8"/>
  <c r="D185" i="10" s="1"/>
  <c r="D171" i="8"/>
  <c r="D172" i="10" s="1"/>
  <c r="D87" i="8"/>
  <c r="D88" i="10" s="1"/>
  <c r="D86" i="8"/>
  <c r="D87" i="10" s="1"/>
  <c r="D85" i="8"/>
  <c r="D86" i="10" s="1"/>
  <c r="D84" i="8"/>
  <c r="D85" i="10" s="1"/>
  <c r="D83" i="8"/>
  <c r="D84" i="10" s="1"/>
  <c r="D82" i="8"/>
  <c r="D83" i="10" s="1"/>
  <c r="D81" i="8"/>
  <c r="D82" i="10" s="1"/>
  <c r="D80" i="8"/>
  <c r="D81" i="10" s="1"/>
  <c r="D79" i="8"/>
  <c r="D80" i="10" s="1"/>
  <c r="D78" i="8"/>
  <c r="D79" i="10" s="1"/>
  <c r="D77" i="8"/>
  <c r="D78" i="10" s="1"/>
  <c r="D76" i="8"/>
  <c r="D77" i="10" s="1"/>
  <c r="D75" i="8"/>
  <c r="D76" i="10" s="1"/>
  <c r="D74" i="8"/>
  <c r="D75" i="10" s="1"/>
  <c r="D73" i="8"/>
  <c r="D74" i="10" s="1"/>
  <c r="D72" i="8"/>
  <c r="D73" i="10" s="1"/>
  <c r="D71" i="8"/>
  <c r="D72" i="10" s="1"/>
  <c r="D70" i="8"/>
  <c r="D71" i="10" s="1"/>
  <c r="D69" i="8"/>
  <c r="D70" i="10" s="1"/>
  <c r="D68" i="8"/>
  <c r="D69" i="10" s="1"/>
  <c r="D67" i="8"/>
  <c r="D68" i="10" s="1"/>
  <c r="D66" i="8"/>
  <c r="D67" i="10" s="1"/>
  <c r="D65" i="8"/>
  <c r="D66" i="10" s="1"/>
  <c r="D60" i="8"/>
  <c r="D61" i="10" s="1"/>
  <c r="D59" i="8"/>
  <c r="D60" i="10" s="1"/>
  <c r="D58" i="8"/>
  <c r="D59" i="10" s="1"/>
  <c r="D57" i="8"/>
  <c r="D58" i="10" s="1"/>
  <c r="D56" i="8"/>
  <c r="D57" i="10" s="1"/>
  <c r="D55" i="8"/>
  <c r="D56" i="10" s="1"/>
  <c r="D54" i="8"/>
  <c r="D55" i="10" s="1"/>
  <c r="D53" i="8"/>
  <c r="D54" i="10" s="1"/>
  <c r="D52" i="8"/>
  <c r="D53" i="10" s="1"/>
  <c r="D51" i="8"/>
  <c r="D52" i="10" s="1"/>
  <c r="D50" i="8"/>
  <c r="D51" i="10" s="1"/>
  <c r="D49" i="8"/>
  <c r="D50" i="10" s="1"/>
  <c r="D48" i="8"/>
  <c r="D49" i="10" s="1"/>
  <c r="D47" i="8"/>
  <c r="D48" i="10" s="1"/>
  <c r="D46" i="8"/>
  <c r="D47" i="10" s="1"/>
  <c r="D45" i="8"/>
  <c r="D46" i="10" s="1"/>
  <c r="D44" i="8"/>
  <c r="D45" i="10" s="1"/>
  <c r="D43" i="8"/>
  <c r="D44" i="10" s="1"/>
  <c r="D42" i="8"/>
  <c r="D43" i="10" s="1"/>
  <c r="D41" i="8"/>
  <c r="D42" i="10" s="1"/>
  <c r="D40" i="8"/>
  <c r="D41" i="10" s="1"/>
  <c r="D39" i="8"/>
  <c r="D40" i="10" s="1"/>
  <c r="D38" i="8"/>
  <c r="D39" i="10" s="1"/>
  <c r="D37" i="8"/>
  <c r="D38" i="10" s="1"/>
  <c r="D36" i="8"/>
  <c r="D37" i="10" s="1"/>
  <c r="D35" i="8"/>
  <c r="D36" i="10" s="1"/>
  <c r="D34" i="8"/>
  <c r="D35" i="10" s="1"/>
  <c r="D33" i="8"/>
  <c r="D34" i="10" s="1"/>
  <c r="D32" i="8"/>
  <c r="D319" i="10" s="1"/>
  <c r="E136" i="8" l="1"/>
  <c r="G137" i="10"/>
  <c r="J2" i="8"/>
  <c r="K316" i="10"/>
  <c r="K318" i="10"/>
  <c r="K3" i="10"/>
  <c r="K315" i="10"/>
  <c r="K317" i="10"/>
  <c r="K319" i="10"/>
  <c r="I2" i="8"/>
  <c r="H4" i="8"/>
  <c r="H5" i="10" s="1"/>
  <c r="L5" i="10"/>
  <c r="J6" i="8"/>
  <c r="J7" i="10" s="1"/>
  <c r="F11" i="10"/>
  <c r="J27" i="8"/>
  <c r="J28" i="10" s="1"/>
  <c r="K28" i="10"/>
  <c r="F66" i="8"/>
  <c r="F67" i="10" s="1"/>
  <c r="I78" i="8"/>
  <c r="I79" i="10" s="1"/>
  <c r="K79" i="10"/>
  <c r="F85" i="8"/>
  <c r="F86" i="10" s="1"/>
  <c r="K86" i="10"/>
  <c r="I87" i="8"/>
  <c r="I88" i="10" s="1"/>
  <c r="K88" i="10"/>
  <c r="E99" i="8"/>
  <c r="G100" i="10"/>
  <c r="AM159" i="8"/>
  <c r="AM160" i="10" s="1"/>
  <c r="AM167" i="8"/>
  <c r="AM168" i="10" s="1"/>
  <c r="AI168" i="10"/>
  <c r="E203" i="8"/>
  <c r="E204" i="10" s="1"/>
  <c r="AM214" i="8"/>
  <c r="AM215" i="10" s="1"/>
  <c r="E215" i="10"/>
  <c r="E236" i="8"/>
  <c r="AM306" i="8"/>
  <c r="AM307" i="10" s="1"/>
  <c r="AM312" i="8"/>
  <c r="AM313" i="10" s="1"/>
  <c r="AI311" i="10"/>
  <c r="K254" i="10"/>
  <c r="K251" i="10"/>
  <c r="G240" i="10"/>
  <c r="G234" i="10"/>
  <c r="AK229" i="10"/>
  <c r="AK220" i="10"/>
  <c r="E171" i="10"/>
  <c r="J22" i="8"/>
  <c r="J23" i="10" s="1"/>
  <c r="K23" i="10"/>
  <c r="M319" i="10"/>
  <c r="M316" i="10"/>
  <c r="M33" i="10"/>
  <c r="M315" i="10"/>
  <c r="M317" i="10"/>
  <c r="M318" i="10"/>
  <c r="E56" i="8"/>
  <c r="G57" i="10"/>
  <c r="AM58" i="8"/>
  <c r="AM59" i="10" s="1"/>
  <c r="E59" i="10"/>
  <c r="I71" i="8"/>
  <c r="I72" i="10" s="1"/>
  <c r="K72" i="10"/>
  <c r="E95" i="8"/>
  <c r="G96" i="10"/>
  <c r="G138" i="8"/>
  <c r="K139" i="10"/>
  <c r="AM168" i="8"/>
  <c r="AM169" i="10" s="1"/>
  <c r="E169" i="10"/>
  <c r="AM211" i="8"/>
  <c r="AM212" i="10" s="1"/>
  <c r="AI212" i="10"/>
  <c r="AM268" i="8"/>
  <c r="AM269" i="10" s="1"/>
  <c r="F261" i="10"/>
  <c r="F258" i="10"/>
  <c r="F240" i="10"/>
  <c r="F237" i="10"/>
  <c r="F234" i="10"/>
  <c r="AK228" i="10"/>
  <c r="I80" i="8"/>
  <c r="I81" i="10" s="1"/>
  <c r="K81" i="10"/>
  <c r="F15" i="10"/>
  <c r="G18" i="8"/>
  <c r="G19" i="10" s="1"/>
  <c r="K19" i="10"/>
  <c r="F29" i="10"/>
  <c r="N319" i="10"/>
  <c r="N318" i="10"/>
  <c r="N33" i="10"/>
  <c r="N315" i="10"/>
  <c r="N317" i="10"/>
  <c r="N316" i="10"/>
  <c r="I66" i="8"/>
  <c r="I67" i="10" s="1"/>
  <c r="K67" i="10"/>
  <c r="J120" i="8"/>
  <c r="J121" i="10" s="1"/>
  <c r="K121" i="10"/>
  <c r="J134" i="8"/>
  <c r="J135" i="10" s="1"/>
  <c r="K135" i="10"/>
  <c r="AM160" i="8"/>
  <c r="AM161" i="10" s="1"/>
  <c r="AI161" i="10"/>
  <c r="AM169" i="8"/>
  <c r="AM170" i="10" s="1"/>
  <c r="E170" i="10"/>
  <c r="E207" i="8"/>
  <c r="E208" i="10" s="1"/>
  <c r="K208" i="10"/>
  <c r="AM209" i="8"/>
  <c r="AM210" i="10" s="1"/>
  <c r="AI210" i="10"/>
  <c r="AM212" i="8"/>
  <c r="AM213" i="10" s="1"/>
  <c r="E306" i="10"/>
  <c r="E258" i="10"/>
  <c r="E255" i="10"/>
  <c r="E252" i="10"/>
  <c r="E240" i="10"/>
  <c r="E234" i="10"/>
  <c r="AK232" i="10"/>
  <c r="F18" i="10"/>
  <c r="E50" i="8"/>
  <c r="G51" i="10"/>
  <c r="I68" i="8"/>
  <c r="I69" i="10" s="1"/>
  <c r="K69" i="10"/>
  <c r="L319" i="10"/>
  <c r="L316" i="10"/>
  <c r="L318" i="10"/>
  <c r="L3" i="10"/>
  <c r="L315" i="10"/>
  <c r="L317" i="10"/>
  <c r="AN3" i="10"/>
  <c r="J25" i="8"/>
  <c r="J26" i="10" s="1"/>
  <c r="K26" i="10"/>
  <c r="E60" i="8"/>
  <c r="G61" i="10"/>
  <c r="E62" i="8"/>
  <c r="G63" i="10"/>
  <c r="E64" i="8"/>
  <c r="G65" i="10"/>
  <c r="F69" i="8"/>
  <c r="F70" i="10" s="1"/>
  <c r="K70" i="10"/>
  <c r="I76" i="8"/>
  <c r="I77" i="10" s="1"/>
  <c r="K77" i="10"/>
  <c r="I83" i="8"/>
  <c r="I84" i="10" s="1"/>
  <c r="K84" i="10"/>
  <c r="F136" i="8"/>
  <c r="F137" i="10" s="1"/>
  <c r="K137" i="10"/>
  <c r="AK319" i="10"/>
  <c r="AK315" i="10"/>
  <c r="AK317" i="10"/>
  <c r="AK316" i="10"/>
  <c r="AK318" i="10"/>
  <c r="AK210" i="10"/>
  <c r="J255" i="8"/>
  <c r="J256" i="10" s="1"/>
  <c r="J257" i="8"/>
  <c r="J258" i="10" s="1"/>
  <c r="AM313" i="8"/>
  <c r="AM314" i="10" s="1"/>
  <c r="E48" i="8"/>
  <c r="G49" i="10"/>
  <c r="F20" i="10"/>
  <c r="I74" i="8"/>
  <c r="I75" i="10" s="1"/>
  <c r="K75" i="10"/>
  <c r="I79" i="8"/>
  <c r="I80" i="10" s="1"/>
  <c r="K80" i="10"/>
  <c r="F81" i="8"/>
  <c r="F82" i="10" s="1"/>
  <c r="K82" i="10"/>
  <c r="AM171" i="8"/>
  <c r="AM172" i="10" s="1"/>
  <c r="E172" i="10"/>
  <c r="AM183" i="8"/>
  <c r="AM184" i="10" s="1"/>
  <c r="AI184" i="10"/>
  <c r="E204" i="8"/>
  <c r="E205" i="10" s="1"/>
  <c r="K205" i="10"/>
  <c r="AM210" i="8"/>
  <c r="AM211" i="10" s="1"/>
  <c r="E211" i="10"/>
  <c r="AC255" i="8"/>
  <c r="AC256" i="10" s="1"/>
  <c r="AH317" i="10"/>
  <c r="AH316" i="10"/>
  <c r="AH318" i="10"/>
  <c r="AH319" i="10"/>
  <c r="AH315" i="10"/>
  <c r="AM265" i="8"/>
  <c r="AM266" i="10" s="1"/>
  <c r="AM270" i="8"/>
  <c r="AM271" i="10" s="1"/>
  <c r="AI313" i="10"/>
  <c r="AI310" i="10"/>
  <c r="AI271" i="10"/>
  <c r="K253" i="10"/>
  <c r="K250" i="10"/>
  <c r="AK226" i="10"/>
  <c r="F14" i="10"/>
  <c r="I133" i="8"/>
  <c r="I134" i="10" s="1"/>
  <c r="K134" i="10"/>
  <c r="F3" i="8"/>
  <c r="F4" i="10" s="1"/>
  <c r="I5" i="8"/>
  <c r="I6" i="10" s="1"/>
  <c r="L6" i="10"/>
  <c r="H7" i="8"/>
  <c r="H8" i="10" s="1"/>
  <c r="L8" i="10"/>
  <c r="F16" i="10"/>
  <c r="F27" i="10"/>
  <c r="F32" i="10"/>
  <c r="E47" i="8"/>
  <c r="G48" i="10"/>
  <c r="E49" i="8"/>
  <c r="G50" i="10"/>
  <c r="E51" i="8"/>
  <c r="G52" i="10"/>
  <c r="E53" i="8"/>
  <c r="G54" i="10"/>
  <c r="E55" i="8"/>
  <c r="G86" i="8"/>
  <c r="G87" i="10" s="1"/>
  <c r="G121" i="8"/>
  <c r="G122" i="10" s="1"/>
  <c r="K122" i="10"/>
  <c r="F135" i="8"/>
  <c r="F136" i="10" s="1"/>
  <c r="I139" i="8"/>
  <c r="I140" i="10" s="1"/>
  <c r="K140" i="10"/>
  <c r="AM161" i="8"/>
  <c r="AM162" i="10" s="1"/>
  <c r="F183" i="10"/>
  <c r="AK224" i="10"/>
  <c r="F257" i="10"/>
  <c r="AH256" i="10"/>
  <c r="F242" i="10"/>
  <c r="F239" i="10"/>
  <c r="F236" i="10"/>
  <c r="F184" i="10"/>
  <c r="E199" i="8"/>
  <c r="E200" i="10" s="1"/>
  <c r="K200" i="10"/>
  <c r="AM57" i="8"/>
  <c r="AM58" i="10" s="1"/>
  <c r="E58" i="10"/>
  <c r="I67" i="8"/>
  <c r="I68" i="10" s="1"/>
  <c r="K68" i="10"/>
  <c r="G132" i="8"/>
  <c r="K133" i="10"/>
  <c r="E135" i="8"/>
  <c r="G136" i="10"/>
  <c r="E201" i="8"/>
  <c r="E202" i="10" s="1"/>
  <c r="K202" i="10"/>
  <c r="AK222" i="10"/>
  <c r="E308" i="10"/>
  <c r="E305" i="10"/>
  <c r="AK264" i="10"/>
  <c r="E260" i="10"/>
  <c r="E257" i="10"/>
  <c r="I256" i="10"/>
  <c r="E254" i="10"/>
  <c r="E251" i="10"/>
  <c r="E242" i="10"/>
  <c r="E239" i="10"/>
  <c r="E236" i="10"/>
  <c r="I119" i="8"/>
  <c r="I120" i="10" s="1"/>
  <c r="K120" i="10"/>
  <c r="G8" i="8"/>
  <c r="G9" i="10" s="1"/>
  <c r="K9" i="10"/>
  <c r="F21" i="10"/>
  <c r="I72" i="8"/>
  <c r="I73" i="10" s="1"/>
  <c r="K73" i="10"/>
  <c r="I84" i="8"/>
  <c r="I85" i="10" s="1"/>
  <c r="K85" i="10"/>
  <c r="I86" i="8"/>
  <c r="I87" i="10" s="1"/>
  <c r="AM91" i="8"/>
  <c r="AM92" i="10" s="1"/>
  <c r="E92" i="10"/>
  <c r="AM162" i="8"/>
  <c r="AM163" i="10" s="1"/>
  <c r="AI163" i="10"/>
  <c r="E205" i="8"/>
  <c r="E206" i="10" s="1"/>
  <c r="K206" i="10"/>
  <c r="F31" i="10"/>
  <c r="F73" i="8"/>
  <c r="F74" i="10" s="1"/>
  <c r="K74" i="10"/>
  <c r="AM213" i="8"/>
  <c r="AM214" i="10" s="1"/>
  <c r="AI214" i="10"/>
  <c r="AC316" i="10"/>
  <c r="AC9" i="10"/>
  <c r="AC318" i="10"/>
  <c r="AC315" i="10"/>
  <c r="AC319" i="10"/>
  <c r="F17" i="10"/>
  <c r="F65" i="8"/>
  <c r="F66" i="10" s="1"/>
  <c r="K66" i="10"/>
  <c r="I75" i="8"/>
  <c r="I76" i="10" s="1"/>
  <c r="K76" i="10"/>
  <c r="F77" i="8"/>
  <c r="F78" i="10" s="1"/>
  <c r="K78" i="10"/>
  <c r="F80" i="8"/>
  <c r="F81" i="10" s="1"/>
  <c r="F82" i="8"/>
  <c r="F83" i="10" s="1"/>
  <c r="AM92" i="8"/>
  <c r="AM93" i="10" s="1"/>
  <c r="E93" i="10"/>
  <c r="I137" i="8"/>
  <c r="I138" i="10" s="1"/>
  <c r="K138" i="10"/>
  <c r="V319" i="10"/>
  <c r="V316" i="10"/>
  <c r="V318" i="10"/>
  <c r="V159" i="10"/>
  <c r="V315" i="10"/>
  <c r="V317" i="10"/>
  <c r="AM163" i="8"/>
  <c r="AM164" i="10" s="1"/>
  <c r="AI164" i="10"/>
  <c r="AK218" i="10"/>
  <c r="AI309" i="10"/>
  <c r="K255" i="10"/>
  <c r="K252" i="10"/>
  <c r="G241" i="10"/>
  <c r="G238" i="10"/>
  <c r="G235" i="10"/>
  <c r="E213" i="10"/>
  <c r="D315" i="10"/>
  <c r="D317" i="10"/>
  <c r="D316" i="10"/>
  <c r="D318" i="10"/>
  <c r="D33" i="10"/>
  <c r="E3" i="10"/>
  <c r="E52" i="8"/>
  <c r="G53" i="10"/>
  <c r="AM166" i="8"/>
  <c r="AM167" i="10" s="1"/>
  <c r="AI167" i="10"/>
  <c r="G3" i="8"/>
  <c r="G4" i="10" s="1"/>
  <c r="L4" i="10"/>
  <c r="G6" i="8"/>
  <c r="G7" i="10" s="1"/>
  <c r="F10" i="10"/>
  <c r="J29" i="8"/>
  <c r="J30" i="10" s="1"/>
  <c r="K30" i="10"/>
  <c r="E46" i="8"/>
  <c r="E59" i="8"/>
  <c r="G60" i="10"/>
  <c r="E61" i="8"/>
  <c r="G62" i="10"/>
  <c r="E63" i="8"/>
  <c r="G64" i="10"/>
  <c r="I70" i="8"/>
  <c r="I71" i="10" s="1"/>
  <c r="K71" i="10"/>
  <c r="G80" i="8"/>
  <c r="G81" i="10" s="1"/>
  <c r="AM93" i="8"/>
  <c r="AM94" i="10" s="1"/>
  <c r="E94" i="10"/>
  <c r="J122" i="8"/>
  <c r="J123" i="10" s="1"/>
  <c r="K123" i="10"/>
  <c r="F133" i="8"/>
  <c r="F134" i="10" s="1"/>
  <c r="H135" i="8"/>
  <c r="H136" i="10" s="1"/>
  <c r="K136" i="10"/>
  <c r="AM158" i="8"/>
  <c r="AM159" i="10" s="1"/>
  <c r="AI315" i="10"/>
  <c r="AI317" i="10"/>
  <c r="AI316" i="10"/>
  <c r="AI318" i="10"/>
  <c r="AI319" i="10"/>
  <c r="AI159" i="10"/>
  <c r="AM164" i="8"/>
  <c r="AM165" i="10" s="1"/>
  <c r="AI165" i="10"/>
  <c r="E202" i="8"/>
  <c r="E203" i="10" s="1"/>
  <c r="K203" i="10"/>
  <c r="AM208" i="8"/>
  <c r="AM209" i="10" s="1"/>
  <c r="AI209" i="10"/>
  <c r="AK216" i="10"/>
  <c r="AM311" i="8"/>
  <c r="AM312" i="10" s="1"/>
  <c r="F259" i="10"/>
  <c r="F256" i="10"/>
  <c r="F241" i="10"/>
  <c r="F238" i="10"/>
  <c r="F235" i="10"/>
  <c r="G82" i="8"/>
  <c r="G83" i="10" s="1"/>
  <c r="K83" i="10"/>
  <c r="F22" i="10"/>
  <c r="AM54" i="8"/>
  <c r="AM55" i="10" s="1"/>
  <c r="E55" i="10"/>
  <c r="F68" i="8"/>
  <c r="F69" i="10" s="1"/>
  <c r="H80" i="8"/>
  <c r="H81" i="10" s="1"/>
  <c r="I82" i="8"/>
  <c r="I83" i="10" s="1"/>
  <c r="J133" i="8"/>
  <c r="J134" i="10" s="1"/>
  <c r="AM165" i="8"/>
  <c r="AM166" i="10" s="1"/>
  <c r="AI166" i="10"/>
  <c r="AM182" i="8"/>
  <c r="AM183" i="10" s="1"/>
  <c r="AI183" i="10"/>
  <c r="E206" i="8"/>
  <c r="E207" i="10" s="1"/>
  <c r="AK269" i="10"/>
  <c r="AK266" i="10"/>
  <c r="AK263" i="10"/>
  <c r="E259" i="10"/>
  <c r="I258" i="10"/>
  <c r="E256" i="10"/>
  <c r="E253" i="10"/>
  <c r="E250" i="10"/>
  <c r="E241" i="10"/>
  <c r="E238" i="10"/>
  <c r="E235" i="10"/>
  <c r="AK230" i="10"/>
  <c r="I3" i="8"/>
  <c r="I4" i="10" s="1"/>
  <c r="H5" i="8"/>
  <c r="H6" i="10" s="1"/>
  <c r="G72" i="8"/>
  <c r="G73" i="10" s="1"/>
  <c r="H74" i="8"/>
  <c r="H75" i="10" s="1"/>
  <c r="J76" i="8"/>
  <c r="J77" i="10" s="1"/>
  <c r="J256" i="8"/>
  <c r="J257" i="10" s="1"/>
  <c r="I7" i="8"/>
  <c r="I8" i="10" s="1"/>
  <c r="G68" i="8"/>
  <c r="G69" i="10" s="1"/>
  <c r="F121" i="8"/>
  <c r="H139" i="8"/>
  <c r="H140" i="10" s="1"/>
  <c r="J7" i="8"/>
  <c r="J8" i="10" s="1"/>
  <c r="H68" i="8"/>
  <c r="H121" i="8"/>
  <c r="H122" i="10" s="1"/>
  <c r="J139" i="8"/>
  <c r="J140" i="10" s="1"/>
  <c r="F119" i="8"/>
  <c r="F134" i="8"/>
  <c r="F135" i="10" s="1"/>
  <c r="F4" i="8"/>
  <c r="F5" i="10" s="1"/>
  <c r="H119" i="8"/>
  <c r="H120" i="10" s="1"/>
  <c r="H132" i="8"/>
  <c r="H133" i="10" s="1"/>
  <c r="G134" i="8"/>
  <c r="AM260" i="8"/>
  <c r="AM261" i="10" s="1"/>
  <c r="J258" i="8"/>
  <c r="J259" i="10" s="1"/>
  <c r="I4" i="8"/>
  <c r="I5" i="10" s="1"/>
  <c r="F27" i="8"/>
  <c r="G73" i="8"/>
  <c r="G74" i="10" s="1"/>
  <c r="F84" i="8"/>
  <c r="F85" i="10" s="1"/>
  <c r="J119" i="8"/>
  <c r="J120" i="10" s="1"/>
  <c r="H134" i="8"/>
  <c r="H135" i="10" s="1"/>
  <c r="AM263" i="8"/>
  <c r="AM264" i="10" s="1"/>
  <c r="AM266" i="8"/>
  <c r="AM267" i="10" s="1"/>
  <c r="G27" i="8"/>
  <c r="G28" i="10" s="1"/>
  <c r="G84" i="8"/>
  <c r="I134" i="8"/>
  <c r="I135" i="10" s="1"/>
  <c r="I25" i="8"/>
  <c r="I26" i="10" s="1"/>
  <c r="H27" i="8"/>
  <c r="H28" i="10" s="1"/>
  <c r="G69" i="8"/>
  <c r="G70" i="10" s="1"/>
  <c r="H84" i="8"/>
  <c r="H85" i="10" s="1"/>
  <c r="J259" i="8"/>
  <c r="J260" i="10" s="1"/>
  <c r="F78" i="8"/>
  <c r="F79" i="10" s="1"/>
  <c r="G65" i="8"/>
  <c r="G66" i="10" s="1"/>
  <c r="H78" i="8"/>
  <c r="H79" i="10" s="1"/>
  <c r="I120" i="8"/>
  <c r="I121" i="10" s="1"/>
  <c r="H133" i="8"/>
  <c r="H134" i="10" s="1"/>
  <c r="I136" i="8"/>
  <c r="I137" i="10" s="1"/>
  <c r="AM262" i="8"/>
  <c r="AM263" i="10" s="1"/>
  <c r="G4" i="8"/>
  <c r="G5" i="10" s="1"/>
  <c r="G7" i="8"/>
  <c r="G8" i="10" s="1"/>
  <c r="F18" i="8"/>
  <c r="F25" i="8"/>
  <c r="H65" i="8"/>
  <c r="H66" i="10" s="1"/>
  <c r="H69" i="8"/>
  <c r="H70" i="10" s="1"/>
  <c r="H73" i="8"/>
  <c r="H74" i="10" s="1"/>
  <c r="H77" i="8"/>
  <c r="H78" i="10" s="1"/>
  <c r="H81" i="8"/>
  <c r="H82" i="10" s="1"/>
  <c r="H85" i="8"/>
  <c r="H86" i="10" s="1"/>
  <c r="F120" i="8"/>
  <c r="I121" i="8"/>
  <c r="I122" i="10" s="1"/>
  <c r="I132" i="8"/>
  <c r="I133" i="10" s="1"/>
  <c r="G137" i="8"/>
  <c r="I138" i="8"/>
  <c r="I139" i="10" s="1"/>
  <c r="AM261" i="8"/>
  <c r="AM262" i="10" s="1"/>
  <c r="G25" i="8"/>
  <c r="G26" i="10" s="1"/>
  <c r="I65" i="8"/>
  <c r="I69" i="8"/>
  <c r="I70" i="10" s="1"/>
  <c r="I73" i="8"/>
  <c r="I77" i="8"/>
  <c r="I78" i="10" s="1"/>
  <c r="I81" i="8"/>
  <c r="I85" i="8"/>
  <c r="I86" i="10" s="1"/>
  <c r="G120" i="8"/>
  <c r="G121" i="10" s="1"/>
  <c r="J121" i="8"/>
  <c r="J122" i="10" s="1"/>
  <c r="J132" i="8"/>
  <c r="J133" i="10" s="1"/>
  <c r="H137" i="8"/>
  <c r="H138" i="10" s="1"/>
  <c r="J138" i="8"/>
  <c r="J139" i="10" s="1"/>
  <c r="H25" i="8"/>
  <c r="H26" i="10" s="1"/>
  <c r="H120" i="8"/>
  <c r="H121" i="10" s="1"/>
  <c r="F67" i="8"/>
  <c r="F68" i="10" s="1"/>
  <c r="F71" i="8"/>
  <c r="F72" i="10" s="1"/>
  <c r="F75" i="8"/>
  <c r="F76" i="10" s="1"/>
  <c r="F79" i="8"/>
  <c r="F80" i="10" s="1"/>
  <c r="F83" i="8"/>
  <c r="F84" i="10" s="1"/>
  <c r="F87" i="8"/>
  <c r="F88" i="10" s="1"/>
  <c r="G119" i="8"/>
  <c r="G120" i="10" s="1"/>
  <c r="AM269" i="8"/>
  <c r="AM270" i="10" s="1"/>
  <c r="F22" i="8"/>
  <c r="G67" i="8"/>
  <c r="G68" i="10" s="1"/>
  <c r="G71" i="8"/>
  <c r="G72" i="10" s="1"/>
  <c r="G75" i="8"/>
  <c r="G76" i="10" s="1"/>
  <c r="G79" i="8"/>
  <c r="G80" i="10" s="1"/>
  <c r="G83" i="8"/>
  <c r="G84" i="10" s="1"/>
  <c r="G87" i="8"/>
  <c r="G88" i="10" s="1"/>
  <c r="F2" i="8"/>
  <c r="G22" i="8"/>
  <c r="G23" i="10" s="1"/>
  <c r="F29" i="8"/>
  <c r="H67" i="8"/>
  <c r="H68" i="10" s="1"/>
  <c r="H71" i="8"/>
  <c r="H72" i="10" s="1"/>
  <c r="H75" i="8"/>
  <c r="H76" i="10" s="1"/>
  <c r="H79" i="8"/>
  <c r="H80" i="10" s="1"/>
  <c r="H83" i="8"/>
  <c r="H87" i="8"/>
  <c r="F122" i="8"/>
  <c r="AM264" i="8"/>
  <c r="AM265" i="10" s="1"/>
  <c r="G2" i="8"/>
  <c r="F8" i="8"/>
  <c r="I22" i="8"/>
  <c r="I23" i="10" s="1"/>
  <c r="G29" i="8"/>
  <c r="G30" i="10" s="1"/>
  <c r="G122" i="8"/>
  <c r="G123" i="10" s="1"/>
  <c r="H2" i="8"/>
  <c r="G5" i="8"/>
  <c r="G6" i="10" s="1"/>
  <c r="H29" i="8"/>
  <c r="H30" i="10" s="1"/>
  <c r="G66" i="8"/>
  <c r="G70" i="8"/>
  <c r="G74" i="8"/>
  <c r="G78" i="8"/>
  <c r="H122" i="8"/>
  <c r="H123" i="10" s="1"/>
  <c r="G133" i="8"/>
  <c r="G139" i="8"/>
  <c r="AM267" i="8"/>
  <c r="AM268" i="10" s="1"/>
  <c r="AM49" i="8" l="1"/>
  <c r="AM50" i="10" s="1"/>
  <c r="E50" i="10"/>
  <c r="J68" i="8"/>
  <c r="J69" i="10" s="1"/>
  <c r="H69" i="10"/>
  <c r="AM48" i="8"/>
  <c r="AM49" i="10" s="1"/>
  <c r="E49" i="10"/>
  <c r="AM60" i="8"/>
  <c r="AM61" i="10" s="1"/>
  <c r="E61" i="10"/>
  <c r="AM95" i="8"/>
  <c r="AM96" i="10" s="1"/>
  <c r="E96" i="10"/>
  <c r="F121" i="10"/>
  <c r="F9" i="10"/>
  <c r="G3" i="10"/>
  <c r="G315" i="10"/>
  <c r="G317" i="10"/>
  <c r="G319" i="10"/>
  <c r="G316" i="10"/>
  <c r="G318" i="10"/>
  <c r="AM47" i="8"/>
  <c r="AM48" i="10" s="1"/>
  <c r="E48" i="10"/>
  <c r="AM236" i="8"/>
  <c r="AM237" i="10" s="1"/>
  <c r="E237" i="10"/>
  <c r="I318" i="10"/>
  <c r="I315" i="10"/>
  <c r="I317" i="10"/>
  <c r="I319" i="10"/>
  <c r="I316" i="10"/>
  <c r="I3" i="10"/>
  <c r="E139" i="8"/>
  <c r="G140" i="10"/>
  <c r="E133" i="8"/>
  <c r="G134" i="10"/>
  <c r="J73" i="8"/>
  <c r="J74" i="10" s="1"/>
  <c r="I74" i="10"/>
  <c r="J80" i="8"/>
  <c r="J81" i="10" s="1"/>
  <c r="AM135" i="8"/>
  <c r="AM136" i="10" s="1"/>
  <c r="E136" i="10"/>
  <c r="F3" i="10"/>
  <c r="F317" i="10"/>
  <c r="F319" i="10"/>
  <c r="F316" i="10"/>
  <c r="F318" i="10"/>
  <c r="J81" i="8"/>
  <c r="J82" i="10" s="1"/>
  <c r="I82" i="10"/>
  <c r="J78" i="8"/>
  <c r="J79" i="10" s="1"/>
  <c r="G79" i="10"/>
  <c r="J74" i="8"/>
  <c r="J75" i="10" s="1"/>
  <c r="G75" i="10"/>
  <c r="F123" i="10"/>
  <c r="J84" i="8"/>
  <c r="J85" i="10" s="1"/>
  <c r="G85" i="10"/>
  <c r="E134" i="8"/>
  <c r="G135" i="10"/>
  <c r="J70" i="8"/>
  <c r="J71" i="10" s="1"/>
  <c r="G71" i="10"/>
  <c r="J65" i="8"/>
  <c r="J66" i="10" s="1"/>
  <c r="I66" i="10"/>
  <c r="F122" i="10"/>
  <c r="E132" i="8"/>
  <c r="G133" i="10"/>
  <c r="J87" i="8"/>
  <c r="J88" i="10" s="1"/>
  <c r="H88" i="10"/>
  <c r="J66" i="8"/>
  <c r="J67" i="10" s="1"/>
  <c r="G67" i="10"/>
  <c r="J83" i="8"/>
  <c r="J84" i="10" s="1"/>
  <c r="H84" i="10"/>
  <c r="J72" i="8"/>
  <c r="J73" i="10" s="1"/>
  <c r="AM63" i="8"/>
  <c r="AM64" i="10" s="1"/>
  <c r="E64" i="10"/>
  <c r="AC317" i="10"/>
  <c r="AM55" i="8"/>
  <c r="AM56" i="10" s="1"/>
  <c r="E56" i="10"/>
  <c r="F26" i="10"/>
  <c r="AM50" i="8"/>
  <c r="AM51" i="10" s="1"/>
  <c r="E51" i="10"/>
  <c r="AM56" i="8"/>
  <c r="AM57" i="10" s="1"/>
  <c r="E57" i="10"/>
  <c r="J86" i="8"/>
  <c r="J87" i="10" s="1"/>
  <c r="AM53" i="8"/>
  <c r="AM54" i="10" s="1"/>
  <c r="E54" i="10"/>
  <c r="F28" i="10"/>
  <c r="F23" i="10"/>
  <c r="E137" i="8"/>
  <c r="G138" i="10"/>
  <c r="F120" i="10"/>
  <c r="AM64" i="8"/>
  <c r="AM65" i="10" s="1"/>
  <c r="E65" i="10"/>
  <c r="J3" i="10"/>
  <c r="AM61" i="8"/>
  <c r="AM62" i="10" s="1"/>
  <c r="E62" i="10"/>
  <c r="AM52" i="8"/>
  <c r="AM53" i="10" s="1"/>
  <c r="E53" i="10"/>
  <c r="AM51" i="8"/>
  <c r="AM52" i="10" s="1"/>
  <c r="E52" i="10"/>
  <c r="F19" i="10"/>
  <c r="H3" i="10"/>
  <c r="H319" i="10"/>
  <c r="H316" i="10"/>
  <c r="H318" i="10"/>
  <c r="H315" i="10"/>
  <c r="H317" i="10"/>
  <c r="J82" i="8"/>
  <c r="J83" i="10" s="1"/>
  <c r="AM59" i="8"/>
  <c r="AM60" i="10" s="1"/>
  <c r="E60" i="10"/>
  <c r="F30" i="10"/>
  <c r="AM46" i="8"/>
  <c r="E47" i="10"/>
  <c r="AM62" i="8"/>
  <c r="AM63" i="10" s="1"/>
  <c r="E63" i="10"/>
  <c r="E138" i="8"/>
  <c r="E318" i="10" s="1"/>
  <c r="G139" i="10"/>
  <c r="AM99" i="8"/>
  <c r="AM100" i="10" s="1"/>
  <c r="E100" i="10"/>
  <c r="AM136" i="8"/>
  <c r="AM137" i="10" s="1"/>
  <c r="E137" i="10"/>
  <c r="J71" i="8"/>
  <c r="J72" i="10" s="1"/>
  <c r="J67" i="8"/>
  <c r="J68" i="10" s="1"/>
  <c r="J75" i="8"/>
  <c r="J76" i="10" s="1"/>
  <c r="J79" i="8"/>
  <c r="J80" i="10" s="1"/>
  <c r="J69" i="8"/>
  <c r="J70" i="10" s="1"/>
  <c r="J85" i="8"/>
  <c r="J86" i="10" s="1"/>
  <c r="J77" i="8"/>
  <c r="J78" i="10" s="1"/>
  <c r="E317" i="10" l="1"/>
  <c r="AM134" i="8"/>
  <c r="AM135" i="10" s="1"/>
  <c r="E135" i="10"/>
  <c r="AM133" i="8"/>
  <c r="AM134" i="10" s="1"/>
  <c r="E134" i="10"/>
  <c r="AM137" i="8"/>
  <c r="AM138" i="10" s="1"/>
  <c r="E138" i="10"/>
  <c r="AM139" i="8"/>
  <c r="AM140" i="10" s="1"/>
  <c r="E140" i="10"/>
  <c r="AM132" i="8"/>
  <c r="AM133" i="10" s="1"/>
  <c r="E133" i="10"/>
  <c r="E316" i="10"/>
  <c r="J319" i="10"/>
  <c r="J315" i="10"/>
  <c r="E319" i="10"/>
  <c r="J317" i="10"/>
  <c r="J318" i="10"/>
  <c r="J316" i="10"/>
  <c r="E315" i="10"/>
  <c r="AM47" i="10"/>
  <c r="AM316" i="10"/>
  <c r="AM315" i="10"/>
  <c r="AM138" i="8"/>
  <c r="AM139" i="10" s="1"/>
  <c r="E139" i="10"/>
  <c r="AI184" i="1"/>
  <c r="M122" i="1"/>
  <c r="M123" i="1"/>
  <c r="M124" i="1"/>
  <c r="M121" i="1"/>
  <c r="K122" i="1"/>
  <c r="K123" i="1"/>
  <c r="K124" i="1"/>
  <c r="K121" i="1"/>
  <c r="E315" i="1"/>
  <c r="E314" i="1"/>
  <c r="E313" i="1"/>
  <c r="AI315" i="1"/>
  <c r="AI314" i="1"/>
  <c r="AI313" i="1"/>
  <c r="AK262" i="1"/>
  <c r="AI311" i="1"/>
  <c r="AM311" i="1" s="1"/>
  <c r="AI312" i="1"/>
  <c r="AM312" i="1" s="1"/>
  <c r="AI310" i="1"/>
  <c r="AM310" i="1" s="1"/>
  <c r="K311" i="1"/>
  <c r="M311" i="1"/>
  <c r="N311" i="1"/>
  <c r="K312" i="1"/>
  <c r="M312" i="1"/>
  <c r="N312" i="1"/>
  <c r="N310" i="1"/>
  <c r="M310" i="1"/>
  <c r="K310" i="1"/>
  <c r="N309" i="1"/>
  <c r="M309" i="1"/>
  <c r="K309" i="1"/>
  <c r="E309" i="1"/>
  <c r="AM309" i="1" s="1"/>
  <c r="D309" i="1"/>
  <c r="N308" i="1"/>
  <c r="M308" i="1"/>
  <c r="K308" i="1"/>
  <c r="E308" i="1"/>
  <c r="AM308" i="1" s="1"/>
  <c r="D308" i="1"/>
  <c r="N307" i="1"/>
  <c r="M307" i="1"/>
  <c r="K307" i="1"/>
  <c r="E307" i="1"/>
  <c r="AM307" i="1" s="1"/>
  <c r="D307" i="1"/>
  <c r="AH306" i="1"/>
  <c r="D306" i="1"/>
  <c r="E306" i="1"/>
  <c r="AM306" i="1" s="1"/>
  <c r="N306" i="1"/>
  <c r="M306" i="1"/>
  <c r="M305" i="1"/>
  <c r="K306" i="1"/>
  <c r="K305" i="1"/>
  <c r="AM317" i="10" l="1"/>
  <c r="AM319" i="10"/>
  <c r="AM318" i="10"/>
  <c r="AM313" i="1"/>
  <c r="AM314" i="1"/>
  <c r="AM315" i="1"/>
  <c r="AM302" i="1"/>
  <c r="AM301" i="1"/>
  <c r="AM299" i="1"/>
  <c r="AM297" i="1"/>
  <c r="AM296" i="1"/>
  <c r="AM295" i="1"/>
  <c r="AM294" i="1"/>
  <c r="AM291" i="1"/>
  <c r="AM292" i="1"/>
  <c r="AM293" i="1"/>
  <c r="AM298" i="1"/>
  <c r="AM300" i="1"/>
  <c r="AM303" i="1"/>
  <c r="AM304" i="1"/>
  <c r="AM305" i="1"/>
  <c r="AM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290" i="1"/>
  <c r="N304" i="1"/>
  <c r="M304" i="1"/>
  <c r="K304" i="1"/>
  <c r="N305" i="1"/>
  <c r="N303" i="1"/>
  <c r="M303" i="1"/>
  <c r="K303" i="1"/>
  <c r="N301" i="1"/>
  <c r="M301" i="1"/>
  <c r="K301" i="1"/>
  <c r="N300" i="1"/>
  <c r="M300" i="1"/>
  <c r="K300" i="1"/>
  <c r="N299" i="1"/>
  <c r="M299" i="1"/>
  <c r="K299" i="1"/>
  <c r="N297" i="1"/>
  <c r="M297" i="1"/>
  <c r="K297" i="1"/>
  <c r="N296" i="1"/>
  <c r="M296" i="1"/>
  <c r="K296" i="1"/>
  <c r="N295" i="1"/>
  <c r="M295" i="1"/>
  <c r="K295" i="1"/>
  <c r="N293" i="1"/>
  <c r="M293" i="1"/>
  <c r="K293" i="1"/>
  <c r="N292" i="1"/>
  <c r="M292" i="1"/>
  <c r="K292" i="1"/>
  <c r="N291" i="1"/>
  <c r="M291" i="1"/>
  <c r="K291" i="1"/>
  <c r="N302" i="1"/>
  <c r="N298" i="1"/>
  <c r="N294" i="1"/>
  <c r="N290" i="1"/>
  <c r="M302" i="1"/>
  <c r="M298" i="1"/>
  <c r="M294" i="1"/>
  <c r="M290" i="1"/>
  <c r="K302" i="1"/>
  <c r="K298" i="1"/>
  <c r="K294" i="1"/>
  <c r="K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290" i="1"/>
  <c r="AI281" i="1"/>
  <c r="AI282" i="1"/>
  <c r="AI283" i="1"/>
  <c r="AI284" i="1"/>
  <c r="AI285" i="1"/>
  <c r="AI286" i="1"/>
  <c r="AI287" i="1"/>
  <c r="AI288" i="1"/>
  <c r="AI289" i="1"/>
  <c r="AI280" i="1"/>
  <c r="AM273" i="1"/>
  <c r="AM274" i="1"/>
  <c r="AM275" i="1"/>
  <c r="AM276" i="1"/>
  <c r="AM277" i="1"/>
  <c r="AM278" i="1"/>
  <c r="AM279" i="1"/>
  <c r="D273" i="1"/>
  <c r="D274" i="1"/>
  <c r="D279" i="1"/>
  <c r="D276" i="1"/>
  <c r="D275" i="1"/>
  <c r="AK272" i="1"/>
  <c r="AK271" i="1"/>
  <c r="AK270" i="1"/>
  <c r="AK269" i="1"/>
  <c r="AK268" i="1"/>
  <c r="AK267" i="1"/>
  <c r="F268" i="1"/>
  <c r="G268" i="1"/>
  <c r="H268" i="1"/>
  <c r="I268" i="1"/>
  <c r="J268" i="1"/>
  <c r="AI268" i="1"/>
  <c r="F269" i="1"/>
  <c r="G269" i="1"/>
  <c r="H269" i="1"/>
  <c r="I269" i="1"/>
  <c r="J269" i="1"/>
  <c r="AI269" i="1"/>
  <c r="F270" i="1"/>
  <c r="G270" i="1"/>
  <c r="H270" i="1"/>
  <c r="I270" i="1"/>
  <c r="J270" i="1"/>
  <c r="AI270" i="1"/>
  <c r="F271" i="1"/>
  <c r="G271" i="1"/>
  <c r="H271" i="1"/>
  <c r="I271" i="1"/>
  <c r="J271" i="1"/>
  <c r="AI271" i="1"/>
  <c r="F272" i="1"/>
  <c r="G272" i="1"/>
  <c r="H272" i="1"/>
  <c r="I272" i="1"/>
  <c r="J272" i="1"/>
  <c r="AC272" i="1"/>
  <c r="AI272" i="1"/>
  <c r="AM272" i="1" l="1"/>
  <c r="AM271" i="1"/>
  <c r="AM270" i="1"/>
  <c r="AM269" i="1"/>
  <c r="AM268" i="1"/>
  <c r="AI267" i="1"/>
  <c r="AM267" i="1" s="1"/>
  <c r="AC266" i="1"/>
  <c r="AC267" i="1"/>
  <c r="J267" i="1"/>
  <c r="I267" i="1"/>
  <c r="H267" i="1"/>
  <c r="G267" i="1"/>
  <c r="F267" i="1"/>
  <c r="AI263" i="1"/>
  <c r="AI264" i="1"/>
  <c r="AI265" i="1"/>
  <c r="AI266" i="1"/>
  <c r="AI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AK266" i="1"/>
  <c r="AK265" i="1"/>
  <c r="AK264" i="1"/>
  <c r="AK263" i="1"/>
  <c r="AC263" i="1"/>
  <c r="AC264" i="1"/>
  <c r="AC265" i="1"/>
  <c r="AC262" i="1"/>
  <c r="J262" i="1"/>
  <c r="I262" i="1"/>
  <c r="H262" i="1"/>
  <c r="G262" i="1"/>
  <c r="F262" i="1"/>
  <c r="E258" i="1"/>
  <c r="AM258" i="1" s="1"/>
  <c r="E259" i="1"/>
  <c r="AM259" i="1" s="1"/>
  <c r="E260" i="1"/>
  <c r="AM260" i="1" s="1"/>
  <c r="E261" i="1"/>
  <c r="AM261" i="1" s="1"/>
  <c r="E257" i="1"/>
  <c r="AM257" i="1" s="1"/>
  <c r="E246" i="1"/>
  <c r="E247" i="1"/>
  <c r="E248" i="1"/>
  <c r="E249" i="1"/>
  <c r="E250" i="1"/>
  <c r="E244" i="1"/>
  <c r="E245" i="1"/>
  <c r="AC258" i="1"/>
  <c r="AC259" i="1"/>
  <c r="AC260" i="1"/>
  <c r="AC261" i="1"/>
  <c r="AH257" i="1"/>
  <c r="AC257" i="1" s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I257" i="1"/>
  <c r="H257" i="1"/>
  <c r="G257" i="1"/>
  <c r="F257" i="1"/>
  <c r="AM266" i="1" l="1"/>
  <c r="AM265" i="1"/>
  <c r="J259" i="1"/>
  <c r="AM263" i="1"/>
  <c r="J258" i="1"/>
  <c r="AM264" i="1"/>
  <c r="AM262" i="1"/>
  <c r="J257" i="1"/>
  <c r="J261" i="1"/>
  <c r="J260" i="1"/>
  <c r="E10" i="1"/>
  <c r="F199" i="1" l="1"/>
  <c r="G199" i="1"/>
  <c r="H199" i="1"/>
  <c r="I199" i="1"/>
  <c r="J199" i="1"/>
  <c r="F200" i="1"/>
  <c r="G200" i="1"/>
  <c r="H200" i="1"/>
  <c r="I200" i="1"/>
  <c r="J200" i="1"/>
  <c r="J198" i="1"/>
  <c r="I198" i="1"/>
  <c r="H198" i="1"/>
  <c r="G198" i="1"/>
  <c r="F198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J194" i="1"/>
  <c r="I194" i="1"/>
  <c r="H194" i="1"/>
  <c r="G194" i="1"/>
  <c r="F194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J190" i="1"/>
  <c r="I190" i="1"/>
  <c r="H190" i="1"/>
  <c r="G190" i="1"/>
  <c r="F190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J186" i="1"/>
  <c r="I186" i="1"/>
  <c r="H186" i="1"/>
  <c r="G186" i="1"/>
  <c r="F186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J174" i="1"/>
  <c r="I174" i="1"/>
  <c r="H174" i="1"/>
  <c r="G174" i="1"/>
  <c r="F174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J142" i="1"/>
  <c r="I142" i="1"/>
  <c r="H142" i="1"/>
  <c r="G142" i="1"/>
  <c r="F142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J125" i="1"/>
  <c r="I125" i="1"/>
  <c r="H125" i="1"/>
  <c r="G125" i="1"/>
  <c r="F125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19" i="1"/>
  <c r="G119" i="1"/>
  <c r="H119" i="1"/>
  <c r="I119" i="1"/>
  <c r="J119" i="1"/>
  <c r="F120" i="1"/>
  <c r="G120" i="1"/>
  <c r="H120" i="1"/>
  <c r="I120" i="1"/>
  <c r="J120" i="1"/>
  <c r="J118" i="1"/>
  <c r="I118" i="1"/>
  <c r="H118" i="1"/>
  <c r="G118" i="1"/>
  <c r="F118" i="1"/>
  <c r="F116" i="1"/>
  <c r="G116" i="1"/>
  <c r="H116" i="1"/>
  <c r="I116" i="1"/>
  <c r="J116" i="1"/>
  <c r="F117" i="1"/>
  <c r="G117" i="1"/>
  <c r="H117" i="1"/>
  <c r="I117" i="1"/>
  <c r="J117" i="1"/>
  <c r="J115" i="1"/>
  <c r="I115" i="1"/>
  <c r="H115" i="1"/>
  <c r="G115" i="1"/>
  <c r="F115" i="1"/>
  <c r="F113" i="1"/>
  <c r="G113" i="1"/>
  <c r="H113" i="1"/>
  <c r="I113" i="1"/>
  <c r="J113" i="1"/>
  <c r="F114" i="1"/>
  <c r="G114" i="1"/>
  <c r="H114" i="1"/>
  <c r="I114" i="1"/>
  <c r="J114" i="1"/>
  <c r="J112" i="1"/>
  <c r="I112" i="1"/>
  <c r="H112" i="1"/>
  <c r="G112" i="1"/>
  <c r="F112" i="1"/>
  <c r="F110" i="1"/>
  <c r="G110" i="1"/>
  <c r="H110" i="1"/>
  <c r="I110" i="1"/>
  <c r="J110" i="1"/>
  <c r="F111" i="1"/>
  <c r="G111" i="1"/>
  <c r="H111" i="1"/>
  <c r="I111" i="1"/>
  <c r="J111" i="1"/>
  <c r="J109" i="1"/>
  <c r="I109" i="1"/>
  <c r="H109" i="1"/>
  <c r="G109" i="1"/>
  <c r="F109" i="1"/>
  <c r="F107" i="1"/>
  <c r="G107" i="1"/>
  <c r="H107" i="1"/>
  <c r="I107" i="1"/>
  <c r="J107" i="1"/>
  <c r="F108" i="1"/>
  <c r="G108" i="1"/>
  <c r="H108" i="1"/>
  <c r="I108" i="1"/>
  <c r="J108" i="1"/>
  <c r="J106" i="1"/>
  <c r="I106" i="1"/>
  <c r="H106" i="1"/>
  <c r="G106" i="1"/>
  <c r="F106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J101" i="1"/>
  <c r="I101" i="1"/>
  <c r="H101" i="1"/>
  <c r="G101" i="1"/>
  <c r="F101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G97" i="1"/>
  <c r="H97" i="1"/>
  <c r="I97" i="1"/>
  <c r="J97" i="1"/>
  <c r="F97" i="1"/>
  <c r="J66" i="1"/>
  <c r="I66" i="1"/>
  <c r="H66" i="1"/>
  <c r="G66" i="1"/>
  <c r="F66" i="1"/>
  <c r="J65" i="1"/>
  <c r="I65" i="1"/>
  <c r="H65" i="1"/>
  <c r="G65" i="1"/>
  <c r="F65" i="1"/>
  <c r="J64" i="1"/>
  <c r="I64" i="1"/>
  <c r="H64" i="1"/>
  <c r="G64" i="1"/>
  <c r="F64" i="1"/>
  <c r="J63" i="1"/>
  <c r="I63" i="1"/>
  <c r="H63" i="1"/>
  <c r="G63" i="1"/>
  <c r="F63" i="1"/>
  <c r="J62" i="1"/>
  <c r="I62" i="1"/>
  <c r="H62" i="1"/>
  <c r="G62" i="1"/>
  <c r="F62" i="1"/>
  <c r="J61" i="1"/>
  <c r="I61" i="1"/>
  <c r="H61" i="1"/>
  <c r="G61" i="1"/>
  <c r="F61" i="1"/>
  <c r="J60" i="1"/>
  <c r="I60" i="1"/>
  <c r="H60" i="1"/>
  <c r="G60" i="1"/>
  <c r="F60" i="1"/>
  <c r="J59" i="1"/>
  <c r="I59" i="1"/>
  <c r="H59" i="1"/>
  <c r="G59" i="1"/>
  <c r="F59" i="1"/>
  <c r="J58" i="1"/>
  <c r="I58" i="1"/>
  <c r="H58" i="1"/>
  <c r="G58" i="1"/>
  <c r="F58" i="1"/>
  <c r="J57" i="1"/>
  <c r="I57" i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J54" i="1"/>
  <c r="I54" i="1"/>
  <c r="H54" i="1"/>
  <c r="G54" i="1"/>
  <c r="F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9" i="1"/>
  <c r="I49" i="1"/>
  <c r="H49" i="1"/>
  <c r="G49" i="1"/>
  <c r="F49" i="1"/>
  <c r="J48" i="1"/>
  <c r="I48" i="1"/>
  <c r="H48" i="1"/>
  <c r="G48" i="1"/>
  <c r="F48" i="1"/>
  <c r="J33" i="1"/>
  <c r="I33" i="1"/>
  <c r="H33" i="1"/>
  <c r="G33" i="1"/>
  <c r="F33" i="1"/>
  <c r="J32" i="1"/>
  <c r="I32" i="1"/>
  <c r="H32" i="1"/>
  <c r="G32" i="1"/>
  <c r="F32" i="1"/>
  <c r="J30" i="1"/>
  <c r="I30" i="1"/>
  <c r="H30" i="1"/>
  <c r="G30" i="1"/>
  <c r="F30" i="1"/>
  <c r="J28" i="1"/>
  <c r="I28" i="1"/>
  <c r="H28" i="1"/>
  <c r="G28" i="1"/>
  <c r="F28" i="1"/>
  <c r="F25" i="1"/>
  <c r="G25" i="1"/>
  <c r="I25" i="1"/>
  <c r="J25" i="1"/>
  <c r="F26" i="1"/>
  <c r="G26" i="1"/>
  <c r="I26" i="1"/>
  <c r="J26" i="1"/>
  <c r="F21" i="1"/>
  <c r="G21" i="1"/>
  <c r="F22" i="1"/>
  <c r="G22" i="1"/>
  <c r="F23" i="1"/>
  <c r="G23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D252" i="1" l="1"/>
  <c r="K252" i="1"/>
  <c r="E252" i="1" s="1"/>
  <c r="D253" i="1"/>
  <c r="K253" i="1"/>
  <c r="E253" i="1" s="1"/>
  <c r="D254" i="1"/>
  <c r="K254" i="1"/>
  <c r="E254" i="1" s="1"/>
  <c r="D255" i="1"/>
  <c r="K255" i="1"/>
  <c r="E255" i="1" s="1"/>
  <c r="D256" i="1"/>
  <c r="K256" i="1"/>
  <c r="E256" i="1" s="1"/>
  <c r="K251" i="1"/>
  <c r="E251" i="1" s="1"/>
  <c r="D251" i="1"/>
  <c r="AM251" i="1" l="1"/>
  <c r="AM256" i="1"/>
  <c r="AM255" i="1"/>
  <c r="AM254" i="1"/>
  <c r="AM253" i="1"/>
  <c r="AM252" i="1"/>
  <c r="AC235" i="1" l="1"/>
  <c r="AC236" i="1"/>
  <c r="AC237" i="1"/>
  <c r="AC238" i="1"/>
  <c r="AC239" i="1"/>
  <c r="AC240" i="1"/>
  <c r="AC241" i="1"/>
  <c r="AC242" i="1"/>
  <c r="AC243" i="1"/>
  <c r="N243" i="1"/>
  <c r="M243" i="1"/>
  <c r="K243" i="1"/>
  <c r="J243" i="1"/>
  <c r="I243" i="1"/>
  <c r="H243" i="1"/>
  <c r="G243" i="1"/>
  <c r="E243" i="1" s="1"/>
  <c r="AM243" i="1" s="1"/>
  <c r="F243" i="1"/>
  <c r="N242" i="1"/>
  <c r="M242" i="1"/>
  <c r="K242" i="1"/>
  <c r="J242" i="1"/>
  <c r="I242" i="1"/>
  <c r="H242" i="1"/>
  <c r="G242" i="1"/>
  <c r="E242" i="1" s="1"/>
  <c r="AM242" i="1" s="1"/>
  <c r="F242" i="1"/>
  <c r="N241" i="1"/>
  <c r="M241" i="1"/>
  <c r="K241" i="1"/>
  <c r="J241" i="1"/>
  <c r="I241" i="1"/>
  <c r="H241" i="1"/>
  <c r="G241" i="1"/>
  <c r="E241" i="1" s="1"/>
  <c r="AM241" i="1" s="1"/>
  <c r="F241" i="1"/>
  <c r="N240" i="1"/>
  <c r="M240" i="1"/>
  <c r="K240" i="1"/>
  <c r="J240" i="1"/>
  <c r="I240" i="1"/>
  <c r="H240" i="1"/>
  <c r="G240" i="1"/>
  <c r="E240" i="1" s="1"/>
  <c r="AM240" i="1" s="1"/>
  <c r="F240" i="1"/>
  <c r="N239" i="1"/>
  <c r="M239" i="1"/>
  <c r="K239" i="1"/>
  <c r="J239" i="1"/>
  <c r="I239" i="1"/>
  <c r="H239" i="1"/>
  <c r="G239" i="1"/>
  <c r="E239" i="1" s="1"/>
  <c r="AM239" i="1" s="1"/>
  <c r="F239" i="1"/>
  <c r="N238" i="1"/>
  <c r="M238" i="1"/>
  <c r="K238" i="1"/>
  <c r="J238" i="1"/>
  <c r="I238" i="1"/>
  <c r="H238" i="1"/>
  <c r="G238" i="1"/>
  <c r="E238" i="1" s="1"/>
  <c r="AM238" i="1" s="1"/>
  <c r="F238" i="1"/>
  <c r="N237" i="1"/>
  <c r="M237" i="1"/>
  <c r="K237" i="1"/>
  <c r="J237" i="1"/>
  <c r="I237" i="1"/>
  <c r="H237" i="1"/>
  <c r="G237" i="1"/>
  <c r="E237" i="1" s="1"/>
  <c r="AM237" i="1" s="1"/>
  <c r="F237" i="1"/>
  <c r="N236" i="1"/>
  <c r="M236" i="1"/>
  <c r="K236" i="1"/>
  <c r="J236" i="1"/>
  <c r="I236" i="1"/>
  <c r="H236" i="1"/>
  <c r="G236" i="1"/>
  <c r="E236" i="1" s="1"/>
  <c r="AM236" i="1" s="1"/>
  <c r="F236" i="1"/>
  <c r="K235" i="1" l="1"/>
  <c r="M235" i="1"/>
  <c r="N235" i="1"/>
  <c r="F235" i="1"/>
  <c r="G235" i="1"/>
  <c r="E235" i="1" s="1"/>
  <c r="AM235" i="1" s="1"/>
  <c r="H235" i="1"/>
  <c r="I235" i="1"/>
  <c r="J235" i="1"/>
  <c r="AK218" i="1" l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17" i="1"/>
  <c r="N234" i="1" l="1"/>
  <c r="M234" i="1"/>
  <c r="K234" i="1"/>
  <c r="N232" i="1"/>
  <c r="M232" i="1"/>
  <c r="K232" i="1"/>
  <c r="N231" i="1"/>
  <c r="M231" i="1"/>
  <c r="K231" i="1"/>
  <c r="N230" i="1"/>
  <c r="M230" i="1"/>
  <c r="K230" i="1"/>
  <c r="N229" i="1"/>
  <c r="M229" i="1"/>
  <c r="K229" i="1"/>
  <c r="N228" i="1"/>
  <c r="M228" i="1"/>
  <c r="K228" i="1"/>
  <c r="N227" i="1"/>
  <c r="M227" i="1"/>
  <c r="K227" i="1"/>
  <c r="K219" i="1"/>
  <c r="M219" i="1"/>
  <c r="N219" i="1"/>
  <c r="K220" i="1"/>
  <c r="M220" i="1"/>
  <c r="N220" i="1"/>
  <c r="K221" i="1"/>
  <c r="M221" i="1"/>
  <c r="N221" i="1"/>
  <c r="K222" i="1"/>
  <c r="M222" i="1"/>
  <c r="N222" i="1"/>
  <c r="K223" i="1"/>
  <c r="M223" i="1"/>
  <c r="N223" i="1"/>
  <c r="K224" i="1"/>
  <c r="M224" i="1"/>
  <c r="N224" i="1"/>
  <c r="K225" i="1"/>
  <c r="M225" i="1"/>
  <c r="N225" i="1"/>
  <c r="N218" i="1"/>
  <c r="M218" i="1"/>
  <c r="K218" i="1"/>
  <c r="N226" i="1"/>
  <c r="M226" i="1"/>
  <c r="K226" i="1"/>
  <c r="K217" i="1"/>
  <c r="K233" i="1"/>
  <c r="N233" i="1"/>
  <c r="N217" i="1"/>
  <c r="M233" i="1"/>
  <c r="M217" i="1"/>
  <c r="K213" i="1"/>
  <c r="K214" i="1"/>
  <c r="K215" i="1"/>
  <c r="AI211" i="1"/>
  <c r="AI212" i="1"/>
  <c r="AI213" i="1"/>
  <c r="AI214" i="1"/>
  <c r="AI215" i="1"/>
  <c r="AI216" i="1"/>
  <c r="AI210" i="1"/>
  <c r="AI185" i="1"/>
  <c r="D215" i="1"/>
  <c r="N216" i="1"/>
  <c r="M216" i="1"/>
  <c r="K216" i="1"/>
  <c r="E216" i="1"/>
  <c r="N215" i="1"/>
  <c r="M215" i="1"/>
  <c r="E215" i="1"/>
  <c r="N214" i="1"/>
  <c r="M214" i="1"/>
  <c r="E214" i="1"/>
  <c r="N213" i="1"/>
  <c r="M213" i="1"/>
  <c r="E213" i="1"/>
  <c r="N212" i="1"/>
  <c r="M212" i="1"/>
  <c r="K212" i="1"/>
  <c r="E212" i="1"/>
  <c r="N211" i="1"/>
  <c r="M211" i="1"/>
  <c r="K211" i="1"/>
  <c r="E211" i="1"/>
  <c r="E210" i="1"/>
  <c r="AM210" i="1" s="1"/>
  <c r="AK211" i="1"/>
  <c r="K210" i="1"/>
  <c r="M210" i="1"/>
  <c r="N210" i="1"/>
  <c r="AM215" i="1" l="1"/>
  <c r="AM214" i="1"/>
  <c r="AM216" i="1"/>
  <c r="AM213" i="1"/>
  <c r="AM212" i="1"/>
  <c r="AM211" i="1"/>
  <c r="N209" i="1"/>
  <c r="M209" i="1"/>
  <c r="K209" i="1"/>
  <c r="N208" i="1"/>
  <c r="M208" i="1"/>
  <c r="K208" i="1"/>
  <c r="N206" i="1"/>
  <c r="M206" i="1"/>
  <c r="K206" i="1"/>
  <c r="N205" i="1"/>
  <c r="M205" i="1"/>
  <c r="K205" i="1"/>
  <c r="N203" i="1"/>
  <c r="M203" i="1"/>
  <c r="K203" i="1"/>
  <c r="E203" i="1"/>
  <c r="N202" i="1"/>
  <c r="M202" i="1"/>
  <c r="K202" i="1"/>
  <c r="E208" i="1" l="1"/>
  <c r="E209" i="1"/>
  <c r="E202" i="1"/>
  <c r="E206" i="1"/>
  <c r="E205" i="1"/>
  <c r="E38" i="1"/>
  <c r="E65" i="1"/>
  <c r="E93" i="1"/>
  <c r="N207" i="1"/>
  <c r="N204" i="1"/>
  <c r="N201" i="1"/>
  <c r="M207" i="1"/>
  <c r="M204" i="1"/>
  <c r="M201" i="1"/>
  <c r="K207" i="1"/>
  <c r="K204" i="1"/>
  <c r="K201" i="1"/>
  <c r="AC197" i="1"/>
  <c r="AC196" i="1"/>
  <c r="AC195" i="1"/>
  <c r="AC194" i="1"/>
  <c r="D197" i="1"/>
  <c r="D196" i="1"/>
  <c r="D195" i="1"/>
  <c r="D194" i="1"/>
  <c r="D200" i="1"/>
  <c r="D199" i="1"/>
  <c r="D198" i="1"/>
  <c r="AC200" i="1"/>
  <c r="AC199" i="1"/>
  <c r="AC198" i="1"/>
  <c r="E204" i="1" l="1"/>
  <c r="E201" i="1"/>
  <c r="E207" i="1"/>
  <c r="AC187" i="1"/>
  <c r="AC188" i="1"/>
  <c r="AC189" i="1"/>
  <c r="AC190" i="1"/>
  <c r="AC191" i="1"/>
  <c r="AC192" i="1"/>
  <c r="AC193" i="1"/>
  <c r="AC186" i="1"/>
  <c r="D191" i="1"/>
  <c r="D192" i="1"/>
  <c r="D193" i="1"/>
  <c r="D189" i="1"/>
  <c r="D188" i="1"/>
  <c r="D187" i="1"/>
  <c r="D190" i="1"/>
  <c r="D186" i="1"/>
  <c r="AM185" i="1" l="1"/>
  <c r="AM174" i="1"/>
  <c r="AM175" i="1"/>
  <c r="AM176" i="1"/>
  <c r="AM177" i="1"/>
  <c r="AM178" i="1"/>
  <c r="AM179" i="1"/>
  <c r="AM180" i="1"/>
  <c r="AM181" i="1"/>
  <c r="AM182" i="1"/>
  <c r="AM183" i="1"/>
  <c r="AM184" i="1" l="1"/>
  <c r="D173" i="1" l="1"/>
  <c r="E173" i="1"/>
  <c r="AM173" i="1" s="1"/>
  <c r="E172" i="1"/>
  <c r="AM172" i="1" s="1"/>
  <c r="E171" i="1"/>
  <c r="AM171" i="1" s="1"/>
  <c r="E170" i="1"/>
  <c r="AM170" i="1" s="1"/>
  <c r="AI165" i="1"/>
  <c r="AM165" i="1" s="1"/>
  <c r="AI166" i="1"/>
  <c r="AM166" i="1" s="1"/>
  <c r="AI167" i="1"/>
  <c r="AM167" i="1" s="1"/>
  <c r="AI168" i="1"/>
  <c r="AM168" i="1" s="1"/>
  <c r="AI169" i="1"/>
  <c r="AM169" i="1" s="1"/>
  <c r="V160" i="1"/>
  <c r="AI161" i="1" l="1"/>
  <c r="AM161" i="1" s="1"/>
  <c r="AI162" i="1"/>
  <c r="AM162" i="1" s="1"/>
  <c r="AI163" i="1"/>
  <c r="AM163" i="1" s="1"/>
  <c r="AI164" i="1"/>
  <c r="AM164" i="1" s="1"/>
  <c r="AI160" i="1"/>
  <c r="AM160" i="1" s="1"/>
  <c r="V161" i="1"/>
  <c r="V162" i="1"/>
  <c r="V163" i="1"/>
  <c r="V164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K136" i="1"/>
  <c r="M136" i="1"/>
  <c r="N136" i="1"/>
  <c r="K137" i="1"/>
  <c r="M137" i="1"/>
  <c r="N137" i="1"/>
  <c r="K138" i="1"/>
  <c r="M138" i="1"/>
  <c r="N138" i="1"/>
  <c r="K139" i="1"/>
  <c r="M139" i="1"/>
  <c r="N139" i="1"/>
  <c r="K140" i="1"/>
  <c r="M140" i="1"/>
  <c r="N140" i="1"/>
  <c r="K141" i="1"/>
  <c r="M141" i="1"/>
  <c r="N141" i="1"/>
  <c r="N135" i="1"/>
  <c r="M135" i="1"/>
  <c r="K135" i="1"/>
  <c r="E122" i="1"/>
  <c r="E123" i="1"/>
  <c r="E124" i="1"/>
  <c r="E121" i="1"/>
  <c r="E44" i="1"/>
  <c r="E45" i="1"/>
  <c r="E46" i="1"/>
  <c r="E47" i="1"/>
  <c r="E43" i="1"/>
  <c r="E42" i="1"/>
  <c r="E35" i="1"/>
  <c r="E36" i="1"/>
  <c r="E37" i="1"/>
  <c r="E39" i="1"/>
  <c r="E40" i="1"/>
  <c r="E41" i="1"/>
  <c r="E34" i="1"/>
  <c r="K45" i="1"/>
  <c r="M45" i="1"/>
  <c r="N45" i="1"/>
  <c r="K46" i="1"/>
  <c r="M46" i="1"/>
  <c r="N46" i="1"/>
  <c r="K47" i="1"/>
  <c r="M47" i="1"/>
  <c r="N47" i="1"/>
  <c r="N44" i="1"/>
  <c r="M44" i="1"/>
  <c r="K44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N43" i="1"/>
  <c r="M43" i="1"/>
  <c r="K43" i="1"/>
  <c r="K37" i="1"/>
  <c r="M37" i="1"/>
  <c r="N37" i="1"/>
  <c r="K38" i="1"/>
  <c r="M38" i="1"/>
  <c r="N38" i="1"/>
  <c r="K39" i="1"/>
  <c r="M39" i="1"/>
  <c r="N39" i="1"/>
  <c r="K40" i="1"/>
  <c r="M40" i="1"/>
  <c r="N40" i="1"/>
  <c r="K41" i="1"/>
  <c r="M41" i="1"/>
  <c r="N41" i="1"/>
  <c r="K42" i="1"/>
  <c r="M42" i="1"/>
  <c r="N42" i="1"/>
  <c r="N36" i="1"/>
  <c r="M36" i="1"/>
  <c r="K36" i="1"/>
  <c r="N35" i="1"/>
  <c r="M35" i="1"/>
  <c r="K35" i="1"/>
  <c r="N34" i="1"/>
  <c r="M34" i="1"/>
  <c r="K34" i="1"/>
  <c r="I135" i="1" l="1"/>
  <c r="H135" i="1"/>
  <c r="J135" i="1"/>
  <c r="F135" i="1"/>
  <c r="G135" i="1"/>
  <c r="F139" i="1"/>
  <c r="G139" i="1"/>
  <c r="H139" i="1"/>
  <c r="I139" i="1"/>
  <c r="J139" i="1"/>
  <c r="F136" i="1"/>
  <c r="G136" i="1"/>
  <c r="H136" i="1"/>
  <c r="I136" i="1"/>
  <c r="J136" i="1"/>
  <c r="I86" i="1"/>
  <c r="F86" i="1"/>
  <c r="G86" i="1"/>
  <c r="H86" i="1"/>
  <c r="I74" i="1"/>
  <c r="F74" i="1"/>
  <c r="G74" i="1"/>
  <c r="H74" i="1"/>
  <c r="H75" i="1"/>
  <c r="G75" i="1"/>
  <c r="I75" i="1"/>
  <c r="F75" i="1"/>
  <c r="F85" i="1"/>
  <c r="G85" i="1"/>
  <c r="H85" i="1"/>
  <c r="I85" i="1"/>
  <c r="F73" i="1"/>
  <c r="G73" i="1"/>
  <c r="H73" i="1"/>
  <c r="I73" i="1"/>
  <c r="I89" i="1"/>
  <c r="F89" i="1"/>
  <c r="G89" i="1"/>
  <c r="H89" i="1"/>
  <c r="F87" i="1"/>
  <c r="G87" i="1"/>
  <c r="H87" i="1"/>
  <c r="I87" i="1"/>
  <c r="F84" i="1"/>
  <c r="G84" i="1"/>
  <c r="H84" i="1"/>
  <c r="I84" i="1"/>
  <c r="H72" i="1"/>
  <c r="I72" i="1"/>
  <c r="G72" i="1"/>
  <c r="F72" i="1"/>
  <c r="F141" i="1"/>
  <c r="G141" i="1"/>
  <c r="E141" i="1" s="1"/>
  <c r="H141" i="1"/>
  <c r="I141" i="1"/>
  <c r="J141" i="1"/>
  <c r="F138" i="1"/>
  <c r="G138" i="1"/>
  <c r="H138" i="1"/>
  <c r="I138" i="1"/>
  <c r="J138" i="1"/>
  <c r="F76" i="1"/>
  <c r="G76" i="1"/>
  <c r="H76" i="1"/>
  <c r="I76" i="1"/>
  <c r="G83" i="1"/>
  <c r="F83" i="1"/>
  <c r="I83" i="1"/>
  <c r="H83" i="1"/>
  <c r="I71" i="1"/>
  <c r="F71" i="1"/>
  <c r="G71" i="1"/>
  <c r="H71" i="1"/>
  <c r="I67" i="1"/>
  <c r="H67" i="1"/>
  <c r="G67" i="1"/>
  <c r="F67" i="1"/>
  <c r="F77" i="1"/>
  <c r="H77" i="1"/>
  <c r="G77" i="1"/>
  <c r="I77" i="1"/>
  <c r="F88" i="1"/>
  <c r="G88" i="1"/>
  <c r="H88" i="1"/>
  <c r="I88" i="1"/>
  <c r="F82" i="1"/>
  <c r="G82" i="1"/>
  <c r="H82" i="1"/>
  <c r="I82" i="1"/>
  <c r="F70" i="1"/>
  <c r="G70" i="1"/>
  <c r="H70" i="1"/>
  <c r="I70" i="1"/>
  <c r="G78" i="1"/>
  <c r="H78" i="1"/>
  <c r="I78" i="1"/>
  <c r="F78" i="1"/>
  <c r="F81" i="1"/>
  <c r="G81" i="1"/>
  <c r="H81" i="1"/>
  <c r="I81" i="1"/>
  <c r="F79" i="1"/>
  <c r="G79" i="1"/>
  <c r="H79" i="1"/>
  <c r="I79" i="1"/>
  <c r="H69" i="1"/>
  <c r="I69" i="1"/>
  <c r="G69" i="1"/>
  <c r="F69" i="1"/>
  <c r="I80" i="1"/>
  <c r="F80" i="1"/>
  <c r="G80" i="1"/>
  <c r="H80" i="1"/>
  <c r="F68" i="1"/>
  <c r="G68" i="1"/>
  <c r="H68" i="1"/>
  <c r="I68" i="1"/>
  <c r="H140" i="1"/>
  <c r="I140" i="1"/>
  <c r="J140" i="1"/>
  <c r="G140" i="1"/>
  <c r="F140" i="1"/>
  <c r="F137" i="1"/>
  <c r="H137" i="1"/>
  <c r="J137" i="1"/>
  <c r="G137" i="1"/>
  <c r="I137" i="1"/>
  <c r="AM126" i="1"/>
  <c r="AM127" i="1"/>
  <c r="AM128" i="1"/>
  <c r="AM129" i="1"/>
  <c r="AM130" i="1"/>
  <c r="AM131" i="1"/>
  <c r="AM132" i="1"/>
  <c r="AM133" i="1"/>
  <c r="AM125" i="1"/>
  <c r="J87" i="1" l="1"/>
  <c r="E139" i="1"/>
  <c r="AM139" i="1" s="1"/>
  <c r="E138" i="1"/>
  <c r="AM138" i="1" s="1"/>
  <c r="E135" i="1"/>
  <c r="AM135" i="1" s="1"/>
  <c r="E136" i="1"/>
  <c r="AM136" i="1" s="1"/>
  <c r="E137" i="1"/>
  <c r="AM137" i="1" s="1"/>
  <c r="E140" i="1"/>
  <c r="AM140" i="1" s="1"/>
  <c r="J68" i="1"/>
  <c r="J79" i="1"/>
  <c r="J81" i="1"/>
  <c r="J76" i="1"/>
  <c r="J82" i="1"/>
  <c r="J89" i="1"/>
  <c r="J75" i="1"/>
  <c r="J88" i="1"/>
  <c r="AM141" i="1"/>
  <c r="J71" i="1"/>
  <c r="J80" i="1"/>
  <c r="J78" i="1"/>
  <c r="J70" i="1"/>
  <c r="J84" i="1"/>
  <c r="J67" i="1"/>
  <c r="J69" i="1"/>
  <c r="J86" i="1"/>
  <c r="J83" i="1"/>
  <c r="J74" i="1"/>
  <c r="J85" i="1"/>
  <c r="J72" i="1"/>
  <c r="J77" i="1"/>
  <c r="J73" i="1"/>
  <c r="K31" i="1"/>
  <c r="K29" i="1"/>
  <c r="K27" i="1"/>
  <c r="L8" i="1"/>
  <c r="K24" i="1"/>
  <c r="K20" i="1"/>
  <c r="K10" i="1"/>
  <c r="G20" i="1" l="1"/>
  <c r="F20" i="1"/>
  <c r="F8" i="1"/>
  <c r="G8" i="1"/>
  <c r="H8" i="1"/>
  <c r="I8" i="1"/>
  <c r="J8" i="1"/>
  <c r="G27" i="1"/>
  <c r="I27" i="1"/>
  <c r="H27" i="1"/>
  <c r="F27" i="1"/>
  <c r="J27" i="1"/>
  <c r="F10" i="1"/>
  <c r="G10" i="1"/>
  <c r="I24" i="1"/>
  <c r="J24" i="1"/>
  <c r="G24" i="1"/>
  <c r="F24" i="1"/>
  <c r="J29" i="1"/>
  <c r="I29" i="1"/>
  <c r="G29" i="1"/>
  <c r="H29" i="1"/>
  <c r="F29" i="1"/>
  <c r="F31" i="1"/>
  <c r="J31" i="1"/>
  <c r="I31" i="1"/>
  <c r="H31" i="1"/>
  <c r="G31" i="1"/>
  <c r="AM90" i="1"/>
  <c r="AM91" i="1"/>
  <c r="AM92" i="1"/>
  <c r="AM98" i="1"/>
  <c r="AM99" i="1"/>
  <c r="AM100" i="1"/>
  <c r="AM102" i="1"/>
  <c r="AM103" i="1"/>
  <c r="AM104" i="1"/>
  <c r="AM105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67" i="1"/>
  <c r="AN9" i="1"/>
  <c r="AN8" i="1"/>
  <c r="AN7" i="1"/>
  <c r="AN6" i="1"/>
  <c r="AN5" i="1"/>
  <c r="AN4" i="1"/>
  <c r="AC106" i="1" l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E96" i="1" l="1"/>
  <c r="AM96" i="1" s="1"/>
  <c r="E95" i="1"/>
  <c r="AM95" i="1" s="1"/>
  <c r="E94" i="1"/>
  <c r="AM94" i="1" s="1"/>
  <c r="E48" i="1" l="1"/>
  <c r="AM48" i="1" s="1"/>
  <c r="E49" i="1"/>
  <c r="AM49" i="1" s="1"/>
  <c r="E50" i="1"/>
  <c r="AM50" i="1" s="1"/>
  <c r="E51" i="1"/>
  <c r="AM51" i="1" s="1"/>
  <c r="E52" i="1"/>
  <c r="AM52" i="1" s="1"/>
  <c r="E53" i="1"/>
  <c r="AM53" i="1" s="1"/>
  <c r="E54" i="1"/>
  <c r="AM54" i="1" s="1"/>
  <c r="E55" i="1"/>
  <c r="AM55" i="1" s="1"/>
  <c r="E56" i="1"/>
  <c r="AM56" i="1" s="1"/>
  <c r="E57" i="1"/>
  <c r="AM57" i="1" s="1"/>
  <c r="E58" i="1"/>
  <c r="AM58" i="1" s="1"/>
  <c r="E59" i="1"/>
  <c r="AM59" i="1" s="1"/>
  <c r="E60" i="1"/>
  <c r="AM60" i="1" s="1"/>
  <c r="E61" i="1"/>
  <c r="AM61" i="1" s="1"/>
  <c r="E62" i="1"/>
  <c r="AM62" i="1" s="1"/>
  <c r="E63" i="1"/>
  <c r="AM63" i="1" s="1"/>
  <c r="E64" i="1"/>
  <c r="AM64" i="1" s="1"/>
  <c r="AM65" i="1"/>
  <c r="E66" i="1"/>
  <c r="AM66" i="1" s="1"/>
  <c r="E101" i="1"/>
  <c r="AM101" i="1" s="1"/>
  <c r="E97" i="1"/>
  <c r="AM97" i="1" s="1"/>
  <c r="AM93" i="1"/>
  <c r="M89" i="1" l="1"/>
  <c r="L89" i="1"/>
  <c r="D89" i="1"/>
  <c r="M88" i="1"/>
  <c r="L88" i="1"/>
  <c r="D88" i="1"/>
  <c r="M87" i="1"/>
  <c r="L87" i="1"/>
  <c r="D87" i="1"/>
  <c r="M86" i="1"/>
  <c r="L86" i="1"/>
  <c r="D86" i="1"/>
  <c r="M85" i="1"/>
  <c r="L85" i="1"/>
  <c r="D85" i="1"/>
  <c r="M84" i="1"/>
  <c r="L84" i="1"/>
  <c r="D84" i="1"/>
  <c r="M83" i="1"/>
  <c r="L83" i="1"/>
  <c r="D83" i="1"/>
  <c r="M82" i="1"/>
  <c r="L82" i="1"/>
  <c r="D82" i="1"/>
  <c r="D68" i="1" l="1"/>
  <c r="L68" i="1"/>
  <c r="M68" i="1"/>
  <c r="D69" i="1"/>
  <c r="L69" i="1"/>
  <c r="M69" i="1"/>
  <c r="D70" i="1"/>
  <c r="L70" i="1"/>
  <c r="M70" i="1"/>
  <c r="D71" i="1"/>
  <c r="L71" i="1"/>
  <c r="M71" i="1"/>
  <c r="D72" i="1"/>
  <c r="L72" i="1"/>
  <c r="M72" i="1"/>
  <c r="D73" i="1"/>
  <c r="L73" i="1"/>
  <c r="M73" i="1"/>
  <c r="D74" i="1"/>
  <c r="L74" i="1"/>
  <c r="M74" i="1"/>
  <c r="D75" i="1"/>
  <c r="L75" i="1"/>
  <c r="M75" i="1"/>
  <c r="D76" i="1"/>
  <c r="L76" i="1"/>
  <c r="M76" i="1"/>
  <c r="D77" i="1"/>
  <c r="L77" i="1"/>
  <c r="M77" i="1"/>
  <c r="D78" i="1"/>
  <c r="L78" i="1"/>
  <c r="M78" i="1"/>
  <c r="D79" i="1"/>
  <c r="L79" i="1"/>
  <c r="M79" i="1"/>
  <c r="D80" i="1"/>
  <c r="L80" i="1"/>
  <c r="M80" i="1"/>
  <c r="D81" i="1"/>
  <c r="L81" i="1"/>
  <c r="M81" i="1"/>
  <c r="M67" i="1"/>
  <c r="L67" i="1"/>
  <c r="D67" i="1"/>
  <c r="AC64" i="1"/>
  <c r="AC65" i="1"/>
  <c r="AC66" i="1"/>
  <c r="AC63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48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34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48" i="1"/>
  <c r="AC35" i="1" l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34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10" i="1"/>
  <c r="B5" i="5"/>
  <c r="B6" i="5"/>
  <c r="B7" i="5"/>
  <c r="B8" i="5"/>
  <c r="E5" i="1"/>
  <c r="L5" i="1"/>
  <c r="E6" i="1"/>
  <c r="L6" i="1"/>
  <c r="E7" i="1"/>
  <c r="L7" i="1"/>
  <c r="E8" i="1"/>
  <c r="E9" i="1"/>
  <c r="L9" i="1"/>
  <c r="E4" i="1"/>
  <c r="L4" i="1"/>
  <c r="AN25" i="1"/>
  <c r="AN302" i="8" l="1"/>
  <c r="AN303" i="10" s="1"/>
  <c r="AN290" i="8"/>
  <c r="AN291" i="10" s="1"/>
  <c r="AN250" i="8"/>
  <c r="AN251" i="10" s="1"/>
  <c r="AN244" i="8"/>
  <c r="AN245" i="10" s="1"/>
  <c r="AN309" i="8"/>
  <c r="AN310" i="10" s="1"/>
  <c r="AN295" i="8"/>
  <c r="AN296" i="10" s="1"/>
  <c r="AN274" i="8"/>
  <c r="AN275" i="10" s="1"/>
  <c r="AN312" i="8"/>
  <c r="AN313" i="10" s="1"/>
  <c r="AN300" i="8"/>
  <c r="AN301" i="10" s="1"/>
  <c r="AN288" i="8"/>
  <c r="AN289" i="10" s="1"/>
  <c r="AN249" i="8"/>
  <c r="AN250" i="10" s="1"/>
  <c r="AN243" i="8"/>
  <c r="AN244" i="10" s="1"/>
  <c r="AN293" i="8"/>
  <c r="AN294" i="10" s="1"/>
  <c r="AN273" i="8"/>
  <c r="AN274" i="10" s="1"/>
  <c r="AN12" i="8"/>
  <c r="AN13" i="10" s="1"/>
  <c r="AN298" i="8"/>
  <c r="AN299" i="10" s="1"/>
  <c r="AN254" i="8"/>
  <c r="AN255" i="10" s="1"/>
  <c r="AN248" i="8"/>
  <c r="AN249" i="10" s="1"/>
  <c r="AN242" i="8"/>
  <c r="AN243" i="10" s="1"/>
  <c r="AN230" i="8"/>
  <c r="AN231" i="10" s="1"/>
  <c r="AN311" i="8"/>
  <c r="AN312" i="10" s="1"/>
  <c r="AN303" i="8"/>
  <c r="AN304" i="10" s="1"/>
  <c r="AN291" i="8"/>
  <c r="AN292" i="10" s="1"/>
  <c r="AN272" i="8"/>
  <c r="AN273" i="10" s="1"/>
  <c r="AN23" i="8"/>
  <c r="AN24" i="10" s="1"/>
  <c r="AN308" i="8"/>
  <c r="AN309" i="10" s="1"/>
  <c r="AN296" i="8"/>
  <c r="AN297" i="10" s="1"/>
  <c r="AN253" i="8"/>
  <c r="AN254" i="10" s="1"/>
  <c r="AN247" i="8"/>
  <c r="AN248" i="10" s="1"/>
  <c r="AN11" i="8"/>
  <c r="AN12" i="10" s="1"/>
  <c r="AN299" i="8"/>
  <c r="AN300" i="10" s="1"/>
  <c r="AN301" i="8"/>
  <c r="AN302" i="10" s="1"/>
  <c r="AN289" i="8"/>
  <c r="AN290" i="10" s="1"/>
  <c r="AN277" i="8"/>
  <c r="AN278" i="10" s="1"/>
  <c r="AN271" i="8"/>
  <c r="AN272" i="10" s="1"/>
  <c r="AN218" i="8"/>
  <c r="AN219" i="10" s="1"/>
  <c r="AN276" i="8"/>
  <c r="AN277" i="10" s="1"/>
  <c r="AN310" i="8"/>
  <c r="AN311" i="10" s="1"/>
  <c r="AN294" i="8"/>
  <c r="AN295" i="10" s="1"/>
  <c r="AN252" i="8"/>
  <c r="AN253" i="10" s="1"/>
  <c r="AN246" i="8"/>
  <c r="AN247" i="10" s="1"/>
  <c r="AN220" i="8"/>
  <c r="AN221" i="10" s="1"/>
  <c r="AN292" i="8"/>
  <c r="AN293" i="10" s="1"/>
  <c r="AN251" i="8"/>
  <c r="AN252" i="10" s="1"/>
  <c r="AN245" i="8"/>
  <c r="AN246" i="10" s="1"/>
  <c r="AN313" i="8"/>
  <c r="AN314" i="10" s="1"/>
  <c r="AN304" i="8"/>
  <c r="AN305" i="10" s="1"/>
  <c r="AN297" i="8"/>
  <c r="AN298" i="10" s="1"/>
  <c r="AN275" i="8"/>
  <c r="AN276" i="10" s="1"/>
  <c r="AN224" i="8"/>
  <c r="AN225" i="10" s="1"/>
  <c r="AN24" i="8"/>
  <c r="AN25" i="10" s="1"/>
  <c r="AN259" i="8"/>
  <c r="AN260" i="10" s="1"/>
  <c r="AN231" i="8"/>
  <c r="AN232" i="10" s="1"/>
  <c r="AN239" i="8"/>
  <c r="AN240" i="10" s="1"/>
  <c r="AN10" i="8"/>
  <c r="AN11" i="10" s="1"/>
  <c r="AN216" i="8"/>
  <c r="AN217" i="10" s="1"/>
  <c r="AN13" i="8"/>
  <c r="AN14" i="10" s="1"/>
  <c r="AN232" i="8"/>
  <c r="AN233" i="10" s="1"/>
  <c r="AN16" i="8"/>
  <c r="AN17" i="10" s="1"/>
  <c r="AN261" i="8"/>
  <c r="AN262" i="10" s="1"/>
  <c r="AN270" i="8"/>
  <c r="AN271" i="10" s="1"/>
  <c r="AN14" i="8"/>
  <c r="AN15" i="10" s="1"/>
  <c r="AN19" i="8"/>
  <c r="AN20" i="10" s="1"/>
  <c r="AN264" i="8"/>
  <c r="AN265" i="10" s="1"/>
  <c r="AN229" i="8"/>
  <c r="AN230" i="10" s="1"/>
  <c r="AN228" i="8"/>
  <c r="AN229" i="10" s="1"/>
  <c r="AN17" i="8"/>
  <c r="AN18" i="10" s="1"/>
  <c r="AN31" i="8"/>
  <c r="AN32" i="10" s="1"/>
  <c r="AN30" i="8"/>
  <c r="AN31" i="10" s="1"/>
  <c r="AN215" i="8"/>
  <c r="AN216" i="10" s="1"/>
  <c r="AN235" i="8"/>
  <c r="AN236" i="10" s="1"/>
  <c r="AN219" i="8"/>
  <c r="AN220" i="10" s="1"/>
  <c r="AN227" i="8"/>
  <c r="AN228" i="10" s="1"/>
  <c r="AN241" i="8"/>
  <c r="AN242" i="10" s="1"/>
  <c r="AN234" i="8"/>
  <c r="AN235" i="10" s="1"/>
  <c r="AN255" i="8"/>
  <c r="AN256" i="10" s="1"/>
  <c r="AN183" i="8"/>
  <c r="AN184" i="10" s="1"/>
  <c r="AN221" i="8"/>
  <c r="AN222" i="10" s="1"/>
  <c r="AN21" i="8"/>
  <c r="AN22" i="10" s="1"/>
  <c r="AN267" i="8"/>
  <c r="AN268" i="10" s="1"/>
  <c r="AN269" i="8"/>
  <c r="AN270" i="10" s="1"/>
  <c r="AN256" i="8"/>
  <c r="AN257" i="10" s="1"/>
  <c r="AN257" i="8"/>
  <c r="AN258" i="10" s="1"/>
  <c r="AN263" i="8"/>
  <c r="AN264" i="10" s="1"/>
  <c r="AN258" i="8"/>
  <c r="AN259" i="10" s="1"/>
  <c r="AN265" i="8"/>
  <c r="AN266" i="10" s="1"/>
  <c r="AN260" i="8"/>
  <c r="AN261" i="10" s="1"/>
  <c r="AN236" i="8"/>
  <c r="AN237" i="10" s="1"/>
  <c r="AN222" i="8"/>
  <c r="AN223" i="10" s="1"/>
  <c r="AN28" i="8"/>
  <c r="AN29" i="10" s="1"/>
  <c r="AN182" i="8"/>
  <c r="AN183" i="10" s="1"/>
  <c r="AN226" i="8"/>
  <c r="AN227" i="10" s="1"/>
  <c r="AN266" i="8"/>
  <c r="AN267" i="10" s="1"/>
  <c r="AN225" i="8"/>
  <c r="AN226" i="10" s="1"/>
  <c r="AN262" i="8"/>
  <c r="AN263" i="10" s="1"/>
  <c r="AN9" i="8"/>
  <c r="AN10" i="10" s="1"/>
  <c r="AN238" i="8"/>
  <c r="AN239" i="10" s="1"/>
  <c r="AN240" i="8"/>
  <c r="AN241" i="10" s="1"/>
  <c r="AN15" i="8"/>
  <c r="AN16" i="10" s="1"/>
  <c r="AN223" i="8"/>
  <c r="AN224" i="10" s="1"/>
  <c r="AN233" i="8"/>
  <c r="AN234" i="10" s="1"/>
  <c r="AN268" i="8"/>
  <c r="AN269" i="10" s="1"/>
  <c r="AN217" i="8"/>
  <c r="AN218" i="10" s="1"/>
  <c r="AN237" i="8"/>
  <c r="AN238" i="10" s="1"/>
  <c r="AN26" i="8"/>
  <c r="AN27" i="10" s="1"/>
  <c r="AN20" i="8"/>
  <c r="AN21" i="10" s="1"/>
  <c r="AN8" i="8"/>
  <c r="AN121" i="8"/>
  <c r="AN122" i="10" s="1"/>
  <c r="AN27" i="8"/>
  <c r="AN28" i="10" s="1"/>
  <c r="AN122" i="8"/>
  <c r="AN123" i="10" s="1"/>
  <c r="AN22" i="8"/>
  <c r="AN23" i="10" s="1"/>
  <c r="AN25" i="8"/>
  <c r="AN26" i="10" s="1"/>
  <c r="AN29" i="8"/>
  <c r="AN30" i="10" s="1"/>
  <c r="AN18" i="8"/>
  <c r="AN19" i="10" s="1"/>
  <c r="AN120" i="8"/>
  <c r="AN121" i="10" s="1"/>
  <c r="AN119" i="8"/>
  <c r="AN120" i="10" s="1"/>
  <c r="AN311" i="1"/>
  <c r="AN312" i="1"/>
  <c r="AN310" i="1"/>
  <c r="AN313" i="1"/>
  <c r="AN306" i="1"/>
  <c r="AN314" i="1"/>
  <c r="AN315" i="1"/>
  <c r="AN298" i="1"/>
  <c r="AN290" i="1"/>
  <c r="AN279" i="1"/>
  <c r="AN299" i="1"/>
  <c r="AN291" i="1"/>
  <c r="AN300" i="1"/>
  <c r="AN292" i="1"/>
  <c r="AN301" i="1"/>
  <c r="AN297" i="1"/>
  <c r="AN302" i="1"/>
  <c r="AN303" i="1"/>
  <c r="AN274" i="1"/>
  <c r="AN277" i="1"/>
  <c r="AN293" i="1"/>
  <c r="AN273" i="1"/>
  <c r="AN294" i="1"/>
  <c r="AN295" i="1"/>
  <c r="AN275" i="1"/>
  <c r="AN276" i="1"/>
  <c r="AN305" i="1"/>
  <c r="AN278" i="1"/>
  <c r="AN296" i="1"/>
  <c r="AN304" i="1"/>
  <c r="AN270" i="1"/>
  <c r="AN269" i="1"/>
  <c r="AN272" i="1"/>
  <c r="AN268" i="1"/>
  <c r="AN271" i="1"/>
  <c r="AN260" i="1"/>
  <c r="AN259" i="1"/>
  <c r="AN265" i="1"/>
  <c r="AN262" i="1"/>
  <c r="AN263" i="1"/>
  <c r="AN267" i="1"/>
  <c r="AN258" i="1"/>
  <c r="AN264" i="1"/>
  <c r="AN266" i="1"/>
  <c r="AN261" i="1"/>
  <c r="AN257" i="1"/>
  <c r="AN251" i="1"/>
  <c r="AN255" i="1"/>
  <c r="AN252" i="1"/>
  <c r="AN253" i="1"/>
  <c r="AN256" i="1"/>
  <c r="AN254" i="1"/>
  <c r="AN250" i="1"/>
  <c r="AN244" i="1"/>
  <c r="AN245" i="1"/>
  <c r="AN246" i="1"/>
  <c r="AN248" i="1"/>
  <c r="AN249" i="1"/>
  <c r="AN247" i="1"/>
  <c r="AN243" i="1"/>
  <c r="AN237" i="1"/>
  <c r="AN238" i="1"/>
  <c r="AN239" i="1"/>
  <c r="AN241" i="1"/>
  <c r="AN236" i="1"/>
  <c r="AN240" i="1"/>
  <c r="AN242" i="1"/>
  <c r="AN235" i="1"/>
  <c r="AN226" i="1"/>
  <c r="AN218" i="1"/>
  <c r="AN227" i="1"/>
  <c r="AN223" i="1"/>
  <c r="AN231" i="1"/>
  <c r="AN230" i="1"/>
  <c r="AN225" i="1"/>
  <c r="AN224" i="1"/>
  <c r="AN221" i="1"/>
  <c r="AN229" i="1"/>
  <c r="AN220" i="1"/>
  <c r="AN234" i="1"/>
  <c r="AN233" i="1"/>
  <c r="AN232" i="1"/>
  <c r="AN219" i="1"/>
  <c r="AN228" i="1"/>
  <c r="AN222" i="1"/>
  <c r="AN217" i="1"/>
  <c r="AN185" i="1"/>
  <c r="AN184" i="1"/>
  <c r="AN19" i="1"/>
  <c r="AN20" i="1"/>
  <c r="AN123" i="1"/>
  <c r="AN11" i="1"/>
  <c r="AN32" i="1"/>
  <c r="AN17" i="1"/>
  <c r="AN122" i="1"/>
  <c r="AN22" i="1"/>
  <c r="AN13" i="1"/>
  <c r="AN21" i="1"/>
  <c r="AN23" i="1"/>
  <c r="AN26" i="1"/>
  <c r="AN15" i="1"/>
  <c r="AN18" i="1"/>
  <c r="AN124" i="1"/>
  <c r="AN28" i="1"/>
  <c r="AN16" i="1"/>
  <c r="AN12" i="1"/>
  <c r="AN30" i="1"/>
  <c r="AN14" i="1"/>
  <c r="AN33" i="1"/>
  <c r="AN10" i="1"/>
  <c r="AN31" i="1"/>
  <c r="AN29" i="1"/>
  <c r="AN27" i="1"/>
  <c r="AN24" i="1"/>
  <c r="F6" i="1"/>
  <c r="G6" i="1"/>
  <c r="H6" i="1"/>
  <c r="I6" i="1"/>
  <c r="J6" i="1"/>
  <c r="J7" i="1"/>
  <c r="G7" i="1"/>
  <c r="I7" i="1"/>
  <c r="F7" i="1"/>
  <c r="H7" i="1"/>
  <c r="H5" i="1"/>
  <c r="I5" i="1"/>
  <c r="J5" i="1"/>
  <c r="G5" i="1"/>
  <c r="F5" i="1"/>
  <c r="I9" i="1"/>
  <c r="F9" i="1"/>
  <c r="G9" i="1"/>
  <c r="H9" i="1"/>
  <c r="J9" i="1"/>
  <c r="K4" i="1"/>
  <c r="M134" i="1"/>
  <c r="K134" i="1"/>
  <c r="N134" i="1"/>
  <c r="AN319" i="10" l="1"/>
  <c r="AN315" i="10"/>
  <c r="AN318" i="10"/>
  <c r="AN317" i="10"/>
  <c r="AN316" i="10"/>
  <c r="AN9" i="10"/>
  <c r="F134" i="1"/>
  <c r="G134" i="1"/>
  <c r="I134" i="1"/>
  <c r="J134" i="1"/>
  <c r="H134" i="1"/>
  <c r="I4" i="1"/>
  <c r="H4" i="1"/>
  <c r="G4" i="1"/>
  <c r="J4" i="1"/>
  <c r="F4" i="1"/>
  <c r="E134" i="1" l="1"/>
  <c r="AM134" i="1" s="1"/>
  <c r="H121" i="1"/>
  <c r="J121" i="1"/>
  <c r="I121" i="1"/>
  <c r="G121" i="1"/>
  <c r="F121" i="1"/>
  <c r="AN121" i="1" s="1"/>
</calcChain>
</file>

<file path=xl/sharedStrings.xml><?xml version="1.0" encoding="utf-8"?>
<sst xmlns="http://schemas.openxmlformats.org/spreadsheetml/2006/main" count="10587" uniqueCount="337">
  <si>
    <t>ER</t>
  </si>
  <si>
    <t>Reactor Type</t>
  </si>
  <si>
    <t>Scale</t>
  </si>
  <si>
    <t>Notes</t>
  </si>
  <si>
    <t>Ultimate Analysis</t>
  </si>
  <si>
    <t>Proximate Analysis</t>
  </si>
  <si>
    <t>Gasifying agent</t>
  </si>
  <si>
    <t>Gas Composition</t>
  </si>
  <si>
    <t>Gasifier Conditions and Information</t>
  </si>
  <si>
    <t>Other information and notes</t>
  </si>
  <si>
    <t>Yield and Process Efficiency</t>
  </si>
  <si>
    <t>Catalyst</t>
  </si>
  <si>
    <t>C</t>
  </si>
  <si>
    <t>H</t>
  </si>
  <si>
    <t>S</t>
  </si>
  <si>
    <t>-</t>
  </si>
  <si>
    <t>O</t>
  </si>
  <si>
    <t>N</t>
  </si>
  <si>
    <t>Lignocellulosic Composition</t>
  </si>
  <si>
    <t>Operation (Batch/Continuous)</t>
  </si>
  <si>
    <t>Temperature [°C]</t>
  </si>
  <si>
    <t>Inputs</t>
  </si>
  <si>
    <t>Outputs</t>
  </si>
  <si>
    <t>Other</t>
  </si>
  <si>
    <t>ID</t>
  </si>
  <si>
    <t>Carbon fraction in CO</t>
  </si>
  <si>
    <t>Carbon fraction in CO2</t>
  </si>
  <si>
    <t>Carbon fraction in CH4</t>
  </si>
  <si>
    <t>Density CO</t>
  </si>
  <si>
    <t>kg/m3</t>
  </si>
  <si>
    <t>Density CO2</t>
  </si>
  <si>
    <t>Density CH4</t>
  </si>
  <si>
    <t>Feedstock information</t>
  </si>
  <si>
    <t>air</t>
  </si>
  <si>
    <t>bubbling fluidised bed</t>
  </si>
  <si>
    <t>solid recovered fuel</t>
  </si>
  <si>
    <t>Residence time [min]</t>
  </si>
  <si>
    <t>Bed material</t>
  </si>
  <si>
    <t>olivine</t>
  </si>
  <si>
    <t>continuous</t>
  </si>
  <si>
    <t>Shape</t>
  </si>
  <si>
    <t>Type</t>
  </si>
  <si>
    <t>pellets</t>
  </si>
  <si>
    <t>Particle size [mm]</t>
  </si>
  <si>
    <t>5x30</t>
  </si>
  <si>
    <t>Arena, Fuel 2014, 117, 528-536</t>
  </si>
  <si>
    <t>pilot-scale (400 kW_th)</t>
  </si>
  <si>
    <t>pilot-scale (500 kW_th)</t>
  </si>
  <si>
    <t>Arena, Waste Management 2010, 30, 1212-1219</t>
  </si>
  <si>
    <t>dolomite</t>
  </si>
  <si>
    <t>Irregular</t>
  </si>
  <si>
    <t>1.5x4</t>
  </si>
  <si>
    <t>5x2</t>
  </si>
  <si>
    <t>7x1</t>
  </si>
  <si>
    <t>2x5</t>
  </si>
  <si>
    <t>refuse derived fuel</t>
  </si>
  <si>
    <t>plastics</t>
  </si>
  <si>
    <t>Required data:</t>
  </si>
  <si>
    <t>Value</t>
  </si>
  <si>
    <t>Units</t>
  </si>
  <si>
    <t>Density C2H4</t>
  </si>
  <si>
    <t>Carbon fraction in C2H4</t>
  </si>
  <si>
    <t>Lahijani, Bioresource Technology 2011, 102, 2068-2076</t>
  </si>
  <si>
    <t>palm empty fruit bunch</t>
  </si>
  <si>
    <t>air-blown fluidised bed</t>
  </si>
  <si>
    <t>pilot-scale</t>
  </si>
  <si>
    <t>sawdust</t>
  </si>
  <si>
    <t>fibres</t>
  </si>
  <si>
    <t>Estimation of LHV of feedstock from HHV</t>
  </si>
  <si>
    <t>MJ/kg</t>
  </si>
  <si>
    <t>Enthalpy of vaporisation of water</t>
  </si>
  <si>
    <t>Estimation of Carbon Conversion Efficiency (CCE) (alternative method)</t>
  </si>
  <si>
    <t>Lv, Bioresource Technology 2004, 95, 95-101</t>
  </si>
  <si>
    <t>silica sand</t>
  </si>
  <si>
    <t>pine saw dust</t>
  </si>
  <si>
    <t>atmospheric</t>
  </si>
  <si>
    <t>Ash [%db]</t>
  </si>
  <si>
    <t>Volatile Matter [%db]</t>
  </si>
  <si>
    <t>Fixed carbon  [%db]</t>
  </si>
  <si>
    <t>fluidised bed</t>
  </si>
  <si>
    <t>small-scale (smaller than pilot)</t>
  </si>
  <si>
    <t>air + steam</t>
  </si>
  <si>
    <t>dust</t>
  </si>
  <si>
    <t>LHV feedstock estimated from HHV; N2 content calculated by difference; CGE estimated using equation (hence some values &gt;100%); average particle size taken</t>
  </si>
  <si>
    <t>de Andres, Fuel Processing Technology 2011, 92, 433-440</t>
  </si>
  <si>
    <t>sewage sludge</t>
  </si>
  <si>
    <t>laboratory scale</t>
  </si>
  <si>
    <t>spherical aggregate</t>
  </si>
  <si>
    <t>Moisture [%wb]</t>
  </si>
  <si>
    <t>Average feedstock composition used when range given; oxygen content calculated by difference; yields converted from daf to non-daf; CGE not the one quoted in paper but rather calculated as defined in this work</t>
  </si>
  <si>
    <t>Kaewluan, Fuel Processing Technology 2011, 92, 671-677</t>
  </si>
  <si>
    <t>10x5</t>
  </si>
  <si>
    <t>10x5, 30</t>
  </si>
  <si>
    <t>chips</t>
  </si>
  <si>
    <t>chips, uniform</t>
  </si>
  <si>
    <t>100 kW_th</t>
  </si>
  <si>
    <t>Gas yield [Nm3/kg wb]</t>
  </si>
  <si>
    <t>Converting gas composition from N2 free basis to including N2</t>
  </si>
  <si>
    <t>MJ/m3</t>
  </si>
  <si>
    <t>LHV - CH4</t>
  </si>
  <si>
    <t>LHV - CO</t>
  </si>
  <si>
    <t>LHV - H2</t>
  </si>
  <si>
    <t>LHV - C2H4</t>
  </si>
  <si>
    <t>HHV - CO</t>
  </si>
  <si>
    <t>HHV - CH4</t>
  </si>
  <si>
    <t>HHV - H2</t>
  </si>
  <si>
    <t>HHV - C2H4</t>
  </si>
  <si>
    <t>LHV [MJ/kg wb]</t>
  </si>
  <si>
    <t>Sarker, Energy Conversion and Management, 2015, 103, 801-813</t>
  </si>
  <si>
    <t>birch woodchips</t>
  </si>
  <si>
    <t>poplar woodchips</t>
  </si>
  <si>
    <t>oak woodchips</t>
  </si>
  <si>
    <t>spruce woodchips</t>
  </si>
  <si>
    <t>willow woodchips</t>
  </si>
  <si>
    <t>fixed-bed downdraft</t>
  </si>
  <si>
    <t>batch</t>
  </si>
  <si>
    <t>CGE [%] (wb)</t>
  </si>
  <si>
    <t>CCE [%] (wb)</t>
  </si>
  <si>
    <t>Char yield [g/kg wb]</t>
  </si>
  <si>
    <t>alfalfa</t>
  </si>
  <si>
    <t>25x6</t>
  </si>
  <si>
    <t>Sarker, Energy Conversion and Management, 2015, 91, 451-458</t>
  </si>
  <si>
    <t>Structural composition taken as average; C2H6 treated as C2H4; Temperature taken as average</t>
  </si>
  <si>
    <t>N2 [vol.% db]</t>
  </si>
  <si>
    <t>H2 [vol.% db]</t>
  </si>
  <si>
    <t>CO [vol.% db]</t>
  </si>
  <si>
    <t>CO2 [vol.% db]</t>
  </si>
  <si>
    <t>CH4 [vol.% db]</t>
  </si>
  <si>
    <t>LHV [MJ/Nm3 db]</t>
  </si>
  <si>
    <t>Tar [g/Nm3 db]</t>
  </si>
  <si>
    <t>Density H2</t>
  </si>
  <si>
    <t>rubber woodchip</t>
  </si>
  <si>
    <t>rubber woodchip (90%) + shredded rubber waste (10%)</t>
  </si>
  <si>
    <t>rubber woodchip (80%) + shredded rubber waste (20%)</t>
  </si>
  <si>
    <t>Cellulose [%db]</t>
  </si>
  <si>
    <t>Hemicellulose [%db]</t>
  </si>
  <si>
    <t>Lignin [%db]</t>
  </si>
  <si>
    <t>rice husk</t>
  </si>
  <si>
    <t>Mansaray, Biomass and Bioenergy 1999, 17, 315-332</t>
  </si>
  <si>
    <t>as received, uniform</t>
  </si>
  <si>
    <t>alumina sand</t>
  </si>
  <si>
    <t>127 kW</t>
  </si>
  <si>
    <t>Loha, J Renew and Sust Energy 2013, 5, 043111</t>
  </si>
  <si>
    <t>as received</t>
  </si>
  <si>
    <t>slightly above atmospheric</t>
  </si>
  <si>
    <t>Bariateri, Waste Biomass Valor 2010, 1, 283-291</t>
  </si>
  <si>
    <t>oxygen</t>
  </si>
  <si>
    <t>birch wood</t>
  </si>
  <si>
    <t>CO</t>
  </si>
  <si>
    <t>CO2</t>
  </si>
  <si>
    <t>H2</t>
  </si>
  <si>
    <t>CH4</t>
  </si>
  <si>
    <t>alumina (10% feedstock weight)</t>
  </si>
  <si>
    <t>alumina (15% feedstock weight)</t>
  </si>
  <si>
    <t>alumina</t>
  </si>
  <si>
    <t>C2Hn</t>
  </si>
  <si>
    <t>quartz sand</t>
  </si>
  <si>
    <t>municipal solid waste</t>
  </si>
  <si>
    <t>fixed-bed</t>
  </si>
  <si>
    <t>particles</t>
  </si>
  <si>
    <t>NiO/g-Al2O3</t>
  </si>
  <si>
    <t>steam</t>
  </si>
  <si>
    <t>Luo, Energy 2012, 44, 391-395</t>
  </si>
  <si>
    <t>LHV calculated from gas composition; higher hydrocarbons treated as C2H4; CGE calculated using equation; some of tar yields and char yields estimated from figure; steam/biomass ratio calcualted from steam/carbon ratio</t>
  </si>
  <si>
    <t>NiO/g-Al2O4</t>
  </si>
  <si>
    <t>NiO/g-Al2O5</t>
  </si>
  <si>
    <t>NiO/g-Al2O6</t>
  </si>
  <si>
    <t>NiO/g-Al2O7</t>
  </si>
  <si>
    <t>NiO/g-Al2O8</t>
  </si>
  <si>
    <t>palm kernel shell</t>
  </si>
  <si>
    <t>calcium oxide</t>
  </si>
  <si>
    <t>Steam/Biomass [wt/wt]</t>
  </si>
  <si>
    <t>calcium oxide (0.5 wt/wt) + nickel (0.1 wt/wt)</t>
  </si>
  <si>
    <t>calcium oxide (1 wt/wt) + nickel (0.1 wt/wt)</t>
  </si>
  <si>
    <t>calcium oxide (1.5 wt/wt) + nickel (0.1 wt/wt)</t>
  </si>
  <si>
    <t>N2 content calculated by difference; CGE estimated using equation (hence some values &gt;100%); average particle size taken</t>
  </si>
  <si>
    <t xml:space="preserve">Converting syngas yield to Nm3/kg </t>
  </si>
  <si>
    <t>Density N2</t>
  </si>
  <si>
    <t>Wang, Int. J. Hydrog 2012, 37, 6503-6510</t>
  </si>
  <si>
    <t>NiO/MD</t>
  </si>
  <si>
    <t>C2Hn [vol.% db]</t>
  </si>
  <si>
    <t>NiO/γ-Al2O3</t>
  </si>
  <si>
    <t>pistachio shell</t>
  </si>
  <si>
    <t>walnut shell</t>
  </si>
  <si>
    <t>Karatas, Fuel 2018, 214, 285-292</t>
  </si>
  <si>
    <t>laboratory scale (20 kW_th)</t>
  </si>
  <si>
    <t>Syngas composition had to be read from graphs; LHV for some runs calculated from equation given in paper</t>
  </si>
  <si>
    <t>Syngas composition had to be read from graphs; N2 content estimated by difference assuming O2 amount in gas is negligible; average values used when two runs conducted to assess repeatability</t>
  </si>
  <si>
    <t>pine wood</t>
  </si>
  <si>
    <t>seed corn</t>
  </si>
  <si>
    <t>12.7x6.25</t>
  </si>
  <si>
    <t xml:space="preserve">Huynh, Fuel 2013, 103, 987-996 </t>
  </si>
  <si>
    <t>oak + maple wood (50/50)</t>
  </si>
  <si>
    <t>pilot-scale (~800kW)</t>
  </si>
  <si>
    <t>Operating Pressure [kPa]</t>
  </si>
  <si>
    <t>limestone</t>
  </si>
  <si>
    <t>N2</t>
  </si>
  <si>
    <t xml:space="preserve">oxygen-enriched air + steam </t>
  </si>
  <si>
    <t>Huynh, Fuel 2013, 103, 987-996</t>
  </si>
  <si>
    <t>Feedstock and Syngas composition converted to dry basis where necessary; feedstock LHV estimated with formula based on composition, no distinction made between amount of oxygen in enriched air</t>
  </si>
  <si>
    <t>pinewood waste</t>
  </si>
  <si>
    <t>conical spouted bed</t>
  </si>
  <si>
    <t>Erkiaga, Chem. Eng. J. 2014, 237, 259-267</t>
  </si>
  <si>
    <t>Ruoppolo, Waste Management 2012, 32, 724-732</t>
  </si>
  <si>
    <t>6x20</t>
  </si>
  <si>
    <t>olive husk</t>
  </si>
  <si>
    <t>polyethylene (80 wt.%)/pine wood sawdust (20 wt.%)</t>
  </si>
  <si>
    <t>quartzite sand</t>
  </si>
  <si>
    <t>20-60</t>
  </si>
  <si>
    <t xml:space="preserve">γ-alumina </t>
  </si>
  <si>
    <t>Nickel (5.5 wt.%)</t>
  </si>
  <si>
    <t>Khan, Energy Convers. Manag. 2014, 87, 1224-1230</t>
  </si>
  <si>
    <t>Huili Liu, J. Nat. Gas Chem. 2012, 21, 374-380</t>
  </si>
  <si>
    <t>pine sawdust</t>
  </si>
  <si>
    <t>updraft</t>
  </si>
  <si>
    <t>Gai, Int. J. Hydrog 2012, 37, 4935-4944</t>
  </si>
  <si>
    <t>corn straw</t>
  </si>
  <si>
    <t>bench-scale</t>
  </si>
  <si>
    <t>Average particle size was estimated; Feedstock LHV converted to wb; reduction zone temperature considered as reference temperature; CCE estimated using equation - some values seem unrealistically high (even &gt;100%)</t>
  </si>
  <si>
    <t>Narváez, Ind. Eng. Chem. Res. 1996, 35, 2110-2120</t>
  </si>
  <si>
    <t>LHV of feedstock converted to wb; Gas yield convert to wb; CGE and CCE calculated using equations</t>
  </si>
  <si>
    <t>Collection of data and parameters used for the estimation of missing values</t>
  </si>
  <si>
    <t>C [%daf]</t>
  </si>
  <si>
    <t>H [%daf]</t>
  </si>
  <si>
    <t>N [%daf]</t>
  </si>
  <si>
    <t>S [%daf]</t>
  </si>
  <si>
    <t>O [%daf]</t>
  </si>
  <si>
    <t>Feedstock and Syngas composition converted to appropriate basis where necessary; feedstock LHV estimated with formula based on composition, no distinction made between amount of oxygen in enriched air</t>
  </si>
  <si>
    <t>Some feedstock properties were converted to appropriate basis, feedstock LHV converted from given HHV, gas yields converted to Nm3/kg, LHV of syngas estimated from gas composition</t>
  </si>
  <si>
    <t>Some feedstock properties were converted to appropriate basis, LHV of Syngas converted to units in database by assuming remaining fraction of syngas is N2; gas yield calculated from given CGE; CCE estimated using equation</t>
  </si>
  <si>
    <t>Elemental and proximate analysis converted to appropriate basis where necessary; CGE and CCE calculated using equation - some values seem unrealistically high (even &gt;100%); N2 content of Syngas estimated by difference</t>
  </si>
  <si>
    <t>Baratieri, Waste Biomass Valor 2010, 1, 283-291</t>
  </si>
  <si>
    <t>Yin, Bioresour. Technol. 2012, 119,15-21</t>
  </si>
  <si>
    <t>pieces</t>
  </si>
  <si>
    <t>slightly below atmospheric</t>
  </si>
  <si>
    <t>LHV of feedstock converted to wb; ultimate analysis converte to daf; oxidation temperature used as reference temperature; Tar and dust concentration taken as tar concentration; CCE estimated using equation - some values seem unrealistically high (even &gt;100%)</t>
  </si>
  <si>
    <t>Song, Biomass Bioenergy 2012, 36, 258-267</t>
  </si>
  <si>
    <t>interconnected fluidised bed</t>
  </si>
  <si>
    <t>peach prunings</t>
  </si>
  <si>
    <t>Ultimate analysis converted to daf basis; gas yield converted to wb; LHV of syngas estimated from composition; N2 content of syngas estimated by difference; Gas yield estimated from H2 yield for some values; CCE and CGE estimated using equation - some values seem unrealistically high (even &gt;100%)</t>
  </si>
  <si>
    <t>vine pruning</t>
  </si>
  <si>
    <t>wood pellets</t>
  </si>
  <si>
    <t>corn cobs</t>
  </si>
  <si>
    <t>350 kw_th</t>
  </si>
  <si>
    <t>Average particle size estimated from particle size distribution; Approximate gasifier temperature estimated from Mazhkoo et al., Energy Conversion and Management (2021), 231, 113826; CGE and CCE calculated using equations</t>
  </si>
  <si>
    <t>Biagini, Bioresource Technology 2016, 201, 156-165</t>
  </si>
  <si>
    <t>Dutta,Energy Procedia 2014, 54, 21-34</t>
  </si>
  <si>
    <t>bamboo</t>
  </si>
  <si>
    <t>gulmohar</t>
  </si>
  <si>
    <t>neem</t>
  </si>
  <si>
    <t>dimaru</t>
  </si>
  <si>
    <t>sisham</t>
  </si>
  <si>
    <t>Only extreme cases considered as variations between experimental runs was small; LHV of Syngas estimated using equation</t>
  </si>
  <si>
    <t>Herguido, Ind. Eng. Chem. Res. 1992, 31, 1274-1282</t>
  </si>
  <si>
    <t>slightly above atmospheric (1.1atm)</t>
  </si>
  <si>
    <t>cereal straw</t>
  </si>
  <si>
    <t>pine wood chips</t>
  </si>
  <si>
    <t>thistles</t>
  </si>
  <si>
    <t>non-uniform</t>
  </si>
  <si>
    <t>2x5x10</t>
  </si>
  <si>
    <t xml:space="preserve">Feedstock Oxygen content calculated by difference; Feedstock LHV converted to wet basis; Proximate analysis converted to dry basis; Gas, tar, and char yield converted to appropriate units </t>
  </si>
  <si>
    <t>feed_type</t>
  </si>
  <si>
    <t>feed_shape</t>
  </si>
  <si>
    <t>feed_particle_size</t>
  </si>
  <si>
    <t>feed_LHV</t>
  </si>
  <si>
    <t>feed_ash</t>
  </si>
  <si>
    <t>feed_moisture</t>
  </si>
  <si>
    <t>feed_VM</t>
  </si>
  <si>
    <t>feed_FC</t>
  </si>
  <si>
    <t>feed_cellulose</t>
  </si>
  <si>
    <t>feed_hemicellulose</t>
  </si>
  <si>
    <t>feed_lignin</t>
  </si>
  <si>
    <t>temperature</t>
  </si>
  <si>
    <t>operating_condition</t>
  </si>
  <si>
    <t>operating_pressure</t>
  </si>
  <si>
    <t>residence_time</t>
  </si>
  <si>
    <t>steam_biomass_ratio</t>
  </si>
  <si>
    <t>gasifying_agent</t>
  </si>
  <si>
    <t>reactor_type</t>
  </si>
  <si>
    <t>bed_material</t>
  </si>
  <si>
    <t>catalyst</t>
  </si>
  <si>
    <t>scale</t>
  </si>
  <si>
    <t>gas_LHV</t>
  </si>
  <si>
    <t>gas_tar</t>
  </si>
  <si>
    <t>gas_yield</t>
  </si>
  <si>
    <t>char_yield</t>
  </si>
  <si>
    <t>CGE</t>
  </si>
  <si>
    <t>CCE</t>
  </si>
  <si>
    <t>herbaceous biomass</t>
  </si>
  <si>
    <t>woody biomass</t>
  </si>
  <si>
    <t>other</t>
  </si>
  <si>
    <t>NaN</t>
  </si>
  <si>
    <t>fixed bed</t>
  </si>
  <si>
    <t>pilot</t>
  </si>
  <si>
    <t>lab</t>
  </si>
  <si>
    <t>silica</t>
  </si>
  <si>
    <t xml:space="preserve">alumina </t>
  </si>
  <si>
    <t>wood residue</t>
  </si>
  <si>
    <t>Fremaux, Energy Convers. Manag. 2015, 91, 427-432</t>
  </si>
  <si>
    <t>Fremaux, Energy Convers. Manag. 2015, 91, 427-433</t>
  </si>
  <si>
    <t>Fremaux, Energy Convers. Manag. 2015, 91, 427-434</t>
  </si>
  <si>
    <t>Fremaux, Energy Convers. Manag. 2015, 91, 427-435</t>
  </si>
  <si>
    <t>Feedstock Oxygen content calculated by difference; Feedstock LHV converted to wet basis; Proximate analysis converted to dry basis; CGE AND CCE calculated using equations  - some values seem unrealistically high (even &gt;100%)</t>
  </si>
  <si>
    <t>Zhang, Fuel 2017, 188, 628-635</t>
  </si>
  <si>
    <t>dual fluidised bed</t>
  </si>
  <si>
    <t>100 kW</t>
  </si>
  <si>
    <t>Zhang, Fuel 2017, 188, 628-636</t>
  </si>
  <si>
    <t>Zhang, Fuel 2017, 188, 628-637</t>
  </si>
  <si>
    <t>Gas yield converted to wb; LHV of syngas estimated from composition;  CCE and CGE estimated using equation</t>
  </si>
  <si>
    <t>palm shells</t>
  </si>
  <si>
    <t>rotary kiln</t>
  </si>
  <si>
    <t>Iovane, BIOMASS BIOENERG 2013, 56, 423-431</t>
  </si>
  <si>
    <t>Ultimate and proximate basis converted to correct basis; Structural composition taken as average; C2H6 treated as C2H4; Temperature taken as average</t>
  </si>
  <si>
    <t>Reference: HEATING VALUE OF GASES FROM BIOMASS GASIFICATION Report prepared for: IEA Bioenergy Agreement, Task 20 - Thermal Gasification of Biomass Lars Waldheim, Torbjörn Nilsson TPS Termiska Processer AB May 2001</t>
  </si>
  <si>
    <t>Average taken for chemical properties of fuel and converted to appropriate basis where necessary</t>
  </si>
  <si>
    <t>Average taken for some of fuel properties; Gas yield calculated based on other available data (specific energy and LHV syngas) given in paper; N estimated by difference; CCE estimated by equation (hence some values &gt;1)</t>
  </si>
  <si>
    <t>N2 content calculated by difference; LHV and HHV assumed to be the same for syngas due to low moisture content; LHV feedstock estimated from HHV ; average particle size used</t>
  </si>
  <si>
    <t>LHV of feedstock calculated from HHV; VM and fixed carbon calculated for mixtures; ultimate analysis converted to daf basis; N2 free syngas converted to non-N2 free composition to fit into dataset (oxygen content for some of parameters was estimated); Syngas HHV converted to LHV; C2Hn treated as C2H4; some tar yields interpolated from graph</t>
  </si>
  <si>
    <t>Average values used for a lot of outputs - original study quotes uncertainties involved for most of these variables; tar yield given as tar + liquid yield but used as tar yield for this study; N2 calculated by difference; average ER used</t>
  </si>
  <si>
    <t>Higher hydrocarbons treated as C2H4; Syngas LHV estimated from HHV; CGE calculated using equation</t>
  </si>
  <si>
    <t xml:space="preserve">Feedstock LHV estimated from HHV; Gas yield converted to wet basis; CGE calculated </t>
  </si>
  <si>
    <t>No distinction made between different dolomite catalysts; higher hydrocarbons treated as C2H4; CGE calculated using equation</t>
  </si>
  <si>
    <t>Introduction</t>
  </si>
  <si>
    <t>Assumptions</t>
  </si>
  <si>
    <t>Reference</t>
  </si>
  <si>
    <t>Copy of clean data</t>
  </si>
  <si>
    <t>Min</t>
  </si>
  <si>
    <t>Max</t>
  </si>
  <si>
    <t>Mean</t>
  </si>
  <si>
    <t>Std</t>
  </si>
  <si>
    <t>Samples</t>
  </si>
  <si>
    <t xml:space="preserve">(v)     Cold gas efficiency (CGE) and carbon conversion efficiency (CCE) were calculated where necessary. Hence some efficiencies &gt;100% were obtained. </t>
  </si>
  <si>
    <t>(iii)     The quoted particle size refers to the lowest dimension of the particle (e.g. a pellet of 2x2x10 mm would be quoted as 2 mm).</t>
  </si>
  <si>
    <t>(iv)     All higher order hydrocarbons (C2Hn) in the Syngas are treated as C2H4, as C2H4 is the dominant species.</t>
  </si>
  <si>
    <t>(ii)     The feedstock's LHV was calculated from the feedstocks HHV where necessary.</t>
  </si>
  <si>
    <t>(i)      Parameters were converted to the basis used in the data set (e.g. ultimate composition data given as wet basis (wb) would be converted to dry ash-free basis (daf) to fit in with the rest of the data set).</t>
  </si>
  <si>
    <t>This data set has been used to develop the Machine Learning (ML) models described in [insert refrence with doi].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</si>
</sst>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KMs&quot;"/>
    <numFmt numFmtId="165" formatCode="0.000"/>
  </numFmts>
  <fonts count="12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rgb="FF2E2E2E"/>
      <name val="Arial"/>
      <family val="2"/>
    </font>
    <font>
      <sz val="14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rgb="FFEBEBEB"/>
      </top>
      <bottom/>
      <diagonal/>
    </border>
    <border>
      <left/>
      <right/>
      <top style="medium">
        <color rgb="FFEBEBEB"/>
      </top>
      <bottom style="medium">
        <color rgb="FFEBEBEB"/>
      </bottom>
      <diagonal/>
    </border>
  </borders>
  <cellStyleXfs count="1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1" fillId="11" borderId="0" applyNumberFormat="0" applyBorder="0" applyAlignment="0" applyProtection="0"/>
  </cellStyleXfs>
  <cellXfs count="51">
    <xf numFmtId="0" fontId="0" fillId="0" borderId="0" xfId="0"/>
    <xf numFmtId="0" fontId="9" fillId="9" borderId="0" xfId="8" applyFont="1" applyAlignment="1">
      <alignment horizontal="center"/>
    </xf>
    <xf numFmtId="0" fontId="9" fillId="3" borderId="0" xfId="2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2" fontId="9" fillId="0" borderId="0" xfId="0" applyNumberFormat="1" applyFont="1" applyAlignment="1">
      <alignment horizontal="center"/>
    </xf>
    <xf numFmtId="0" fontId="9" fillId="0" borderId="0" xfId="0" applyFont="1"/>
    <xf numFmtId="164" fontId="9" fillId="0" borderId="0" xfId="0" applyNumberFormat="1" applyFont="1" applyAlignment="1">
      <alignment horizontal="center"/>
    </xf>
    <xf numFmtId="0" fontId="9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/>
    <xf numFmtId="0" fontId="9" fillId="0" borderId="0" xfId="0" applyFont="1" applyAlignment="1">
      <alignment horizontal="left"/>
    </xf>
    <xf numFmtId="0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9" fillId="6" borderId="0" xfId="5" applyFont="1"/>
    <xf numFmtId="0" fontId="0" fillId="0" borderId="0" xfId="0" applyAlignment="1">
      <alignment horizontal="left"/>
    </xf>
    <xf numFmtId="2" fontId="9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10" fillId="0" borderId="4" xfId="0" applyNumberFormat="1" applyFont="1" applyBorder="1" applyAlignment="1">
      <alignment horizontal="center" vertical="center" wrapText="1"/>
    </xf>
    <xf numFmtId="2" fontId="9" fillId="0" borderId="0" xfId="0" quotePrefix="1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 vertical="center" wrapText="1"/>
    </xf>
    <xf numFmtId="0" fontId="5" fillId="0" borderId="2" xfId="10" applyAlignment="1"/>
    <xf numFmtId="0" fontId="0" fillId="0" borderId="0" xfId="0" applyAlignment="1">
      <alignment wrapText="1"/>
    </xf>
    <xf numFmtId="0" fontId="2" fillId="9" borderId="0" xfId="8"/>
    <xf numFmtId="0" fontId="2" fillId="9" borderId="0" xfId="8" applyAlignment="1">
      <alignment horizontal="center"/>
    </xf>
    <xf numFmtId="0" fontId="1" fillId="11" borderId="0" xfId="12"/>
    <xf numFmtId="0" fontId="1" fillId="11" borderId="0" xfId="12" applyAlignment="1">
      <alignment horizontal="center"/>
    </xf>
    <xf numFmtId="0" fontId="2" fillId="10" borderId="0" xfId="9"/>
    <xf numFmtId="0" fontId="2" fillId="10" borderId="0" xfId="9" applyAlignment="1">
      <alignment horizontal="center"/>
    </xf>
    <xf numFmtId="0" fontId="3" fillId="8" borderId="0" xfId="7"/>
    <xf numFmtId="0" fontId="3" fillId="8" borderId="0" xfId="7" applyAlignment="1">
      <alignment horizontal="center"/>
    </xf>
    <xf numFmtId="0" fontId="2" fillId="10" borderId="0" xfId="9" applyAlignment="1">
      <alignment horizontal="left"/>
    </xf>
    <xf numFmtId="2" fontId="2" fillId="9" borderId="0" xfId="8" applyNumberFormat="1" applyAlignment="1">
      <alignment horizontal="center"/>
    </xf>
    <xf numFmtId="2" fontId="1" fillId="11" borderId="0" xfId="12" applyNumberFormat="1" applyAlignment="1">
      <alignment horizontal="center"/>
    </xf>
    <xf numFmtId="2" fontId="2" fillId="10" borderId="0" xfId="9" applyNumberFormat="1" applyAlignment="1">
      <alignment horizontal="center"/>
    </xf>
    <xf numFmtId="2" fontId="2" fillId="10" borderId="0" xfId="9" applyNumberFormat="1"/>
    <xf numFmtId="165" fontId="0" fillId="0" borderId="0" xfId="0" applyNumberForma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7" fillId="5" borderId="0" xfId="4" applyFont="1" applyAlignment="1">
      <alignment horizontal="center"/>
    </xf>
    <xf numFmtId="0" fontId="7" fillId="8" borderId="0" xfId="7" applyFont="1" applyAlignment="1">
      <alignment horizont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11" fillId="5" borderId="0" xfId="4" applyFont="1" applyAlignment="1">
      <alignment horizontal="center" vertical="center"/>
    </xf>
    <xf numFmtId="0" fontId="8" fillId="10" borderId="0" xfId="9" applyFont="1" applyAlignment="1">
      <alignment horizontal="center"/>
    </xf>
    <xf numFmtId="0" fontId="8" fillId="4" borderId="0" xfId="3" applyFont="1" applyAlignment="1">
      <alignment horizontal="center"/>
    </xf>
    <xf numFmtId="0" fontId="6" fillId="0" borderId="3" xfId="11" applyAlignment="1">
      <alignment horizontal="center"/>
    </xf>
  </cellXfs>
  <cellStyles count="13">
    <cellStyle name="20% - Accent2" xfId="2" builtinId="34"/>
    <cellStyle name="20% - Accent3" xfId="5" builtinId="38"/>
    <cellStyle name="20% - Accent6" xfId="8" builtinId="50"/>
    <cellStyle name="40% - Accent6" xfId="12" builtinId="51"/>
    <cellStyle name="60% - Accent2" xfId="3" builtinId="36"/>
    <cellStyle name="60% - Accent3" xfId="6" builtinId="40"/>
    <cellStyle name="60% - Accent6" xfId="9" builtinId="52"/>
    <cellStyle name="Accent2" xfId="1" builtinId="33"/>
    <cellStyle name="Accent3" xfId="4" builtinId="37"/>
    <cellStyle name="Accent6" xfId="7" builtinId="49"/>
    <cellStyle name="Heading 1" xfId="10" builtinId="16"/>
    <cellStyle name="Heading 2" xfId="11" builtinId="17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0</xdr:colOff>
      <xdr:row>319</xdr:row>
      <xdr:rowOff>0</xdr:rowOff>
    </xdr:from>
    <xdr:to>
      <xdr:col>42</xdr:col>
      <xdr:colOff>85725</xdr:colOff>
      <xdr:row>319</xdr:row>
      <xdr:rowOff>85725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DB0AB39-9AA8-43A1-BB25-442649C5DCD1}"/>
            </a:ext>
          </a:extLst>
        </xdr:cNvPr>
        <xdr:cNvSpPr>
          <a:spLocks noChangeAspect="1" noChangeArrowheads="1"/>
        </xdr:cNvSpPr>
      </xdr:nvSpPr>
      <xdr:spPr bwMode="auto">
        <a:xfrm>
          <a:off x="10045700" y="75895200"/>
          <a:ext cx="8572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1DBD-2FDB-4F42-A0A3-E80713F5AD33}">
  <dimension ref="A1:AO313"/>
  <sheetViews>
    <sheetView zoomScale="80" zoomScaleNormal="80" workbookViewId="0">
      <selection activeCell="Y207" sqref="Y207:Y214"/>
    </sheetView>
  </sheetViews>
  <sheetFormatPr defaultRowHeight="14" x14ac:dyDescent="0.3"/>
  <cols>
    <col min="1" max="1" width="8.58203125" style="16"/>
    <col min="2" max="2" width="18.5" bestFit="1" customWidth="1"/>
    <col min="3" max="3" width="11.25" bestFit="1" customWidth="1"/>
    <col min="4" max="4" width="16.5" bestFit="1" customWidth="1"/>
    <col min="5" max="5" width="8.83203125" bestFit="1" customWidth="1"/>
    <col min="12" max="12" width="12.5" bestFit="1" customWidth="1"/>
    <col min="15" max="15" width="12.5" bestFit="1" customWidth="1"/>
    <col min="16" max="16" width="16.58203125" bestFit="1" customWidth="1"/>
    <col min="17" max="17" width="9.5" bestFit="1" customWidth="1"/>
    <col min="18" max="18" width="10.75" bestFit="1" customWidth="1"/>
    <col min="19" max="20" width="16.75" bestFit="1" customWidth="1"/>
    <col min="21" max="21" width="13.5" bestFit="1" customWidth="1"/>
    <col min="22" max="22" width="18.75" bestFit="1" customWidth="1"/>
    <col min="24" max="24" width="14.58203125" bestFit="1" customWidth="1"/>
    <col min="25" max="25" width="11.75" bestFit="1" customWidth="1"/>
    <col min="26" max="26" width="11.33203125" bestFit="1" customWidth="1"/>
    <col min="38" max="38" width="9.08203125" bestFit="1" customWidth="1"/>
    <col min="41" max="41" width="55.5" style="16" bestFit="1" customWidth="1"/>
  </cols>
  <sheetData>
    <row r="1" spans="1:41" x14ac:dyDescent="0.3">
      <c r="A1" s="16" t="s">
        <v>24</v>
      </c>
      <c r="B1" s="9" t="s">
        <v>261</v>
      </c>
      <c r="C1" s="9" t="s">
        <v>262</v>
      </c>
      <c r="D1" s="9" t="s">
        <v>263</v>
      </c>
      <c r="E1" s="9" t="s">
        <v>264</v>
      </c>
      <c r="F1" s="9" t="s">
        <v>12</v>
      </c>
      <c r="G1" s="9" t="s">
        <v>13</v>
      </c>
      <c r="H1" s="9" t="s">
        <v>17</v>
      </c>
      <c r="I1" s="9" t="s">
        <v>14</v>
      </c>
      <c r="J1" s="9" t="s">
        <v>16</v>
      </c>
      <c r="K1" s="9" t="s">
        <v>265</v>
      </c>
      <c r="L1" s="9" t="s">
        <v>266</v>
      </c>
      <c r="M1" s="9" t="s">
        <v>267</v>
      </c>
      <c r="N1" s="9" t="s">
        <v>268</v>
      </c>
      <c r="O1" s="9" t="s">
        <v>269</v>
      </c>
      <c r="P1" s="9" t="s">
        <v>270</v>
      </c>
      <c r="Q1" s="9" t="s">
        <v>271</v>
      </c>
      <c r="R1" s="9" t="s">
        <v>272</v>
      </c>
      <c r="S1" s="9" t="s">
        <v>273</v>
      </c>
      <c r="T1" s="9" t="s">
        <v>274</v>
      </c>
      <c r="U1" s="9" t="s">
        <v>275</v>
      </c>
      <c r="V1" s="9" t="s">
        <v>276</v>
      </c>
      <c r="W1" s="9" t="s">
        <v>0</v>
      </c>
      <c r="X1" s="9" t="s">
        <v>277</v>
      </c>
      <c r="Y1" s="9" t="s">
        <v>278</v>
      </c>
      <c r="Z1" s="9" t="s">
        <v>279</v>
      </c>
      <c r="AA1" s="9" t="s">
        <v>280</v>
      </c>
      <c r="AB1" s="9" t="s">
        <v>281</v>
      </c>
      <c r="AC1" s="9" t="s">
        <v>196</v>
      </c>
      <c r="AD1" s="9" t="s">
        <v>150</v>
      </c>
      <c r="AE1" s="9" t="s">
        <v>148</v>
      </c>
      <c r="AF1" s="9" t="s">
        <v>149</v>
      </c>
      <c r="AG1" s="9" t="s">
        <v>151</v>
      </c>
      <c r="AH1" s="9" t="s">
        <v>155</v>
      </c>
      <c r="AI1" s="9" t="s">
        <v>282</v>
      </c>
      <c r="AJ1" s="9" t="s">
        <v>283</v>
      </c>
      <c r="AK1" s="9" t="s">
        <v>284</v>
      </c>
      <c r="AL1" s="9" t="s">
        <v>285</v>
      </c>
      <c r="AM1" s="9" t="s">
        <v>286</v>
      </c>
      <c r="AN1" s="9" t="s">
        <v>287</v>
      </c>
      <c r="AO1" s="16" t="s">
        <v>324</v>
      </c>
    </row>
    <row r="2" spans="1:41" x14ac:dyDescent="0.3">
      <c r="A2" s="11">
        <v>1</v>
      </c>
      <c r="B2" s="7" t="s">
        <v>157</v>
      </c>
      <c r="C2" s="7" t="s">
        <v>42</v>
      </c>
      <c r="D2" s="5">
        <v>5</v>
      </c>
      <c r="E2" s="5">
        <f t="shared" ref="E2:E7" si="0">(18.6+20.3)/2</f>
        <v>19.450000000000003</v>
      </c>
      <c r="F2" s="5">
        <f t="shared" ref="F2:F7" si="1">((45.4+41.2)/2)*(100/(100-K2-L2))</f>
        <v>59.392196990063809</v>
      </c>
      <c r="G2" s="5">
        <f t="shared" ref="G2:G7" si="2">6.25*(100/(100-K2-L2))</f>
        <v>8.5727767017990502</v>
      </c>
      <c r="H2" s="5">
        <f t="shared" ref="H2:H7" si="3">0.68*(100/(100-K2-L2))</f>
        <v>0.93271810515573661</v>
      </c>
      <c r="I2" s="5">
        <f t="shared" ref="I2:I7" si="4">0.2*(100/(100-K2-L2))</f>
        <v>0.2743288544575696</v>
      </c>
      <c r="J2" s="5">
        <f t="shared" ref="J2:J7" si="5">((22.9+24.2)/2)*(100/(100-K2-L2))</f>
        <v>32.302222612378813</v>
      </c>
      <c r="K2" s="5">
        <f>((20.4+18.5)/2)*((100+L2)/100)</f>
        <v>20.694800000000001</v>
      </c>
      <c r="L2" s="5">
        <f t="shared" ref="L2:L7" si="6">(9.1+3.7)/2</f>
        <v>6.4</v>
      </c>
      <c r="M2" s="5" t="s">
        <v>291</v>
      </c>
      <c r="N2" s="5" t="s">
        <v>291</v>
      </c>
      <c r="O2" s="5" t="s">
        <v>291</v>
      </c>
      <c r="P2" s="5" t="s">
        <v>291</v>
      </c>
      <c r="Q2" s="5" t="s">
        <v>291</v>
      </c>
      <c r="R2" s="5">
        <v>849</v>
      </c>
      <c r="S2" s="5" t="s">
        <v>39</v>
      </c>
      <c r="T2" s="5" t="s">
        <v>291</v>
      </c>
      <c r="U2" s="5">
        <v>120</v>
      </c>
      <c r="V2" s="5" t="s">
        <v>291</v>
      </c>
      <c r="W2" s="5">
        <v>0.25600000000000001</v>
      </c>
      <c r="X2" s="5" t="s">
        <v>33</v>
      </c>
      <c r="Y2" s="5" t="s">
        <v>79</v>
      </c>
      <c r="Z2" s="5" t="s">
        <v>38</v>
      </c>
      <c r="AA2" s="5">
        <v>1</v>
      </c>
      <c r="AB2" s="5" t="s">
        <v>293</v>
      </c>
      <c r="AC2" s="5">
        <v>61.77</v>
      </c>
      <c r="AD2" s="5">
        <v>8.48</v>
      </c>
      <c r="AE2" s="5">
        <v>9.74</v>
      </c>
      <c r="AF2" s="5">
        <v>13.36</v>
      </c>
      <c r="AG2" s="5">
        <v>4.18</v>
      </c>
      <c r="AH2" s="5">
        <v>2.19</v>
      </c>
      <c r="AI2" s="5">
        <v>5.39</v>
      </c>
      <c r="AJ2" s="5">
        <v>73</v>
      </c>
      <c r="AK2" s="5">
        <v>1.62</v>
      </c>
      <c r="AL2" s="5" t="s">
        <v>291</v>
      </c>
      <c r="AM2" s="5">
        <v>53</v>
      </c>
      <c r="AN2" s="5">
        <f>100*0.7</f>
        <v>70</v>
      </c>
      <c r="AO2" s="11" t="s">
        <v>45</v>
      </c>
    </row>
    <row r="3" spans="1:41" x14ac:dyDescent="0.3">
      <c r="A3" s="11">
        <v>2</v>
      </c>
      <c r="B3" s="7" t="s">
        <v>157</v>
      </c>
      <c r="C3" s="7" t="s">
        <v>42</v>
      </c>
      <c r="D3" s="5">
        <v>5</v>
      </c>
      <c r="E3" s="5">
        <f t="shared" si="0"/>
        <v>19.450000000000003</v>
      </c>
      <c r="F3" s="5">
        <f t="shared" si="1"/>
        <v>59.392196990063809</v>
      </c>
      <c r="G3" s="5">
        <f t="shared" si="2"/>
        <v>8.5727767017990502</v>
      </c>
      <c r="H3" s="5">
        <f t="shared" si="3"/>
        <v>0.93271810515573661</v>
      </c>
      <c r="I3" s="5">
        <f t="shared" si="4"/>
        <v>0.2743288544575696</v>
      </c>
      <c r="J3" s="5">
        <f t="shared" si="5"/>
        <v>32.302222612378813</v>
      </c>
      <c r="K3" s="5">
        <v>20.694800000000001</v>
      </c>
      <c r="L3" s="5">
        <f t="shared" si="6"/>
        <v>6.4</v>
      </c>
      <c r="M3" s="5" t="s">
        <v>291</v>
      </c>
      <c r="N3" s="5" t="s">
        <v>291</v>
      </c>
      <c r="O3" s="5" t="s">
        <v>291</v>
      </c>
      <c r="P3" s="5" t="s">
        <v>291</v>
      </c>
      <c r="Q3" s="5" t="s">
        <v>291</v>
      </c>
      <c r="R3" s="5">
        <v>852</v>
      </c>
      <c r="S3" s="5" t="s">
        <v>39</v>
      </c>
      <c r="T3" s="5" t="s">
        <v>291</v>
      </c>
      <c r="U3" s="5">
        <v>120</v>
      </c>
      <c r="V3" s="5" t="s">
        <v>291</v>
      </c>
      <c r="W3" s="5">
        <v>0.255</v>
      </c>
      <c r="X3" s="5" t="s">
        <v>33</v>
      </c>
      <c r="Y3" s="5" t="s">
        <v>79</v>
      </c>
      <c r="Z3" s="5" t="s">
        <v>38</v>
      </c>
      <c r="AA3" s="5">
        <v>1</v>
      </c>
      <c r="AB3" s="5" t="s">
        <v>293</v>
      </c>
      <c r="AC3" s="5">
        <v>60.64</v>
      </c>
      <c r="AD3" s="5">
        <v>7.11</v>
      </c>
      <c r="AE3" s="5">
        <v>8.98</v>
      </c>
      <c r="AF3" s="5">
        <v>15.69</v>
      </c>
      <c r="AG3" s="5">
        <v>4.2</v>
      </c>
      <c r="AH3" s="5">
        <v>2.72</v>
      </c>
      <c r="AI3" s="5">
        <v>5.6520000000000001</v>
      </c>
      <c r="AJ3" s="5">
        <v>47</v>
      </c>
      <c r="AK3" s="5">
        <v>1.73</v>
      </c>
      <c r="AL3" s="5" t="s">
        <v>291</v>
      </c>
      <c r="AM3" s="5">
        <v>56.000000000000007</v>
      </c>
      <c r="AN3" s="5">
        <f>100*0.8</f>
        <v>80</v>
      </c>
      <c r="AO3" s="11" t="s">
        <v>45</v>
      </c>
    </row>
    <row r="4" spans="1:41" x14ac:dyDescent="0.3">
      <c r="A4" s="11">
        <v>3</v>
      </c>
      <c r="B4" s="7" t="s">
        <v>157</v>
      </c>
      <c r="C4" s="7" t="s">
        <v>42</v>
      </c>
      <c r="D4" s="5">
        <v>5</v>
      </c>
      <c r="E4" s="5">
        <f t="shared" si="0"/>
        <v>19.450000000000003</v>
      </c>
      <c r="F4" s="5">
        <f t="shared" si="1"/>
        <v>59.392196990063809</v>
      </c>
      <c r="G4" s="5">
        <f t="shared" si="2"/>
        <v>8.5727767017990502</v>
      </c>
      <c r="H4" s="5">
        <f t="shared" si="3"/>
        <v>0.93271810515573661</v>
      </c>
      <c r="I4" s="5">
        <f t="shared" si="4"/>
        <v>0.2743288544575696</v>
      </c>
      <c r="J4" s="5">
        <f t="shared" si="5"/>
        <v>32.302222612378813</v>
      </c>
      <c r="K4" s="5">
        <v>20.694800000000001</v>
      </c>
      <c r="L4" s="5">
        <f t="shared" si="6"/>
        <v>6.4</v>
      </c>
      <c r="M4" s="5" t="s">
        <v>291</v>
      </c>
      <c r="N4" s="5" t="s">
        <v>291</v>
      </c>
      <c r="O4" s="5" t="s">
        <v>291</v>
      </c>
      <c r="P4" s="5" t="s">
        <v>291</v>
      </c>
      <c r="Q4" s="5" t="s">
        <v>291</v>
      </c>
      <c r="R4" s="5">
        <v>869</v>
      </c>
      <c r="S4" s="5" t="s">
        <v>39</v>
      </c>
      <c r="T4" s="5" t="s">
        <v>291</v>
      </c>
      <c r="U4" s="5">
        <v>120</v>
      </c>
      <c r="V4" s="5" t="s">
        <v>291</v>
      </c>
      <c r="W4" s="5">
        <v>0.27200000000000002</v>
      </c>
      <c r="X4" s="5" t="s">
        <v>33</v>
      </c>
      <c r="Y4" s="5" t="s">
        <v>79</v>
      </c>
      <c r="Z4" s="5" t="s">
        <v>38</v>
      </c>
      <c r="AA4" s="5">
        <v>1</v>
      </c>
      <c r="AB4" s="5" t="s">
        <v>293</v>
      </c>
      <c r="AC4" s="5">
        <v>61.67</v>
      </c>
      <c r="AD4" s="5">
        <v>8.44</v>
      </c>
      <c r="AE4" s="5">
        <v>10.47</v>
      </c>
      <c r="AF4" s="5">
        <v>12.28</v>
      </c>
      <c r="AG4" s="5">
        <v>4.57</v>
      </c>
      <c r="AH4" s="5">
        <v>2.14</v>
      </c>
      <c r="AI4" s="5">
        <v>5.55</v>
      </c>
      <c r="AJ4" s="5">
        <v>58</v>
      </c>
      <c r="AK4" s="5">
        <v>1.72</v>
      </c>
      <c r="AL4" s="5" t="s">
        <v>291</v>
      </c>
      <c r="AM4" s="5">
        <v>57.999999999999993</v>
      </c>
      <c r="AN4" s="5">
        <f>100*0.75</f>
        <v>75</v>
      </c>
      <c r="AO4" s="11" t="s">
        <v>45</v>
      </c>
    </row>
    <row r="5" spans="1:41" x14ac:dyDescent="0.3">
      <c r="A5" s="11">
        <v>4</v>
      </c>
      <c r="B5" s="7" t="s">
        <v>157</v>
      </c>
      <c r="C5" s="7" t="s">
        <v>42</v>
      </c>
      <c r="D5" s="5">
        <v>5</v>
      </c>
      <c r="E5" s="5">
        <f t="shared" si="0"/>
        <v>19.450000000000003</v>
      </c>
      <c r="F5" s="5">
        <f t="shared" si="1"/>
        <v>59.392196990063809</v>
      </c>
      <c r="G5" s="5">
        <f t="shared" si="2"/>
        <v>8.5727767017990502</v>
      </c>
      <c r="H5" s="5">
        <f t="shared" si="3"/>
        <v>0.93271810515573661</v>
      </c>
      <c r="I5" s="5">
        <f t="shared" si="4"/>
        <v>0.2743288544575696</v>
      </c>
      <c r="J5" s="5">
        <f t="shared" si="5"/>
        <v>32.302222612378813</v>
      </c>
      <c r="K5" s="5">
        <v>20.694800000000001</v>
      </c>
      <c r="L5" s="5">
        <f t="shared" si="6"/>
        <v>6.4</v>
      </c>
      <c r="M5" s="5" t="s">
        <v>291</v>
      </c>
      <c r="N5" s="5" t="s">
        <v>291</v>
      </c>
      <c r="O5" s="5" t="s">
        <v>291</v>
      </c>
      <c r="P5" s="5" t="s">
        <v>291</v>
      </c>
      <c r="Q5" s="5" t="s">
        <v>291</v>
      </c>
      <c r="R5" s="5">
        <v>879</v>
      </c>
      <c r="S5" s="5" t="s">
        <v>39</v>
      </c>
      <c r="T5" s="5" t="s">
        <v>291</v>
      </c>
      <c r="U5" s="5">
        <v>120</v>
      </c>
      <c r="V5" s="5" t="s">
        <v>291</v>
      </c>
      <c r="W5" s="5">
        <v>0.30199999999999999</v>
      </c>
      <c r="X5" s="5" t="s">
        <v>33</v>
      </c>
      <c r="Y5" s="5" t="s">
        <v>79</v>
      </c>
      <c r="Z5" s="5" t="s">
        <v>38</v>
      </c>
      <c r="AA5" s="5">
        <v>1</v>
      </c>
      <c r="AB5" s="5" t="s">
        <v>293</v>
      </c>
      <c r="AC5" s="5">
        <v>61.86</v>
      </c>
      <c r="AD5" s="5">
        <v>8.24</v>
      </c>
      <c r="AE5" s="5">
        <v>10.4</v>
      </c>
      <c r="AF5" s="5">
        <v>12.83</v>
      </c>
      <c r="AG5" s="5">
        <v>4.3499999999999996</v>
      </c>
      <c r="AH5" s="5">
        <v>2.0499999999999998</v>
      </c>
      <c r="AI5" s="5">
        <v>5.16</v>
      </c>
      <c r="AJ5" s="5">
        <v>39</v>
      </c>
      <c r="AK5" s="5">
        <v>1.91</v>
      </c>
      <c r="AL5" s="5" t="s">
        <v>291</v>
      </c>
      <c r="AM5" s="17">
        <v>61</v>
      </c>
      <c r="AN5" s="5">
        <f>100*0.81</f>
        <v>81</v>
      </c>
      <c r="AO5" s="11" t="s">
        <v>45</v>
      </c>
    </row>
    <row r="6" spans="1:41" x14ac:dyDescent="0.3">
      <c r="A6" s="11">
        <v>5</v>
      </c>
      <c r="B6" s="7" t="s">
        <v>157</v>
      </c>
      <c r="C6" s="7" t="s">
        <v>42</v>
      </c>
      <c r="D6" s="5">
        <v>5</v>
      </c>
      <c r="E6" s="5">
        <f t="shared" si="0"/>
        <v>19.450000000000003</v>
      </c>
      <c r="F6" s="5">
        <f t="shared" si="1"/>
        <v>59.392196990063809</v>
      </c>
      <c r="G6" s="5">
        <f t="shared" si="2"/>
        <v>8.5727767017990502</v>
      </c>
      <c r="H6" s="5">
        <f t="shared" si="3"/>
        <v>0.93271810515573661</v>
      </c>
      <c r="I6" s="5">
        <f t="shared" si="4"/>
        <v>0.2743288544575696</v>
      </c>
      <c r="J6" s="5">
        <f t="shared" si="5"/>
        <v>32.302222612378813</v>
      </c>
      <c r="K6" s="5">
        <v>20.694800000000001</v>
      </c>
      <c r="L6" s="5">
        <f t="shared" si="6"/>
        <v>6.4</v>
      </c>
      <c r="M6" s="5" t="s">
        <v>291</v>
      </c>
      <c r="N6" s="5" t="s">
        <v>291</v>
      </c>
      <c r="O6" s="5" t="s">
        <v>291</v>
      </c>
      <c r="P6" s="5" t="s">
        <v>291</v>
      </c>
      <c r="Q6" s="5" t="s">
        <v>291</v>
      </c>
      <c r="R6" s="5">
        <v>898</v>
      </c>
      <c r="S6" s="5" t="s">
        <v>39</v>
      </c>
      <c r="T6" s="5" t="s">
        <v>291</v>
      </c>
      <c r="U6" s="5">
        <v>120</v>
      </c>
      <c r="V6" s="5" t="s">
        <v>291</v>
      </c>
      <c r="W6" s="5">
        <v>0.318</v>
      </c>
      <c r="X6" s="5" t="s">
        <v>33</v>
      </c>
      <c r="Y6" s="5" t="s">
        <v>79</v>
      </c>
      <c r="Z6" s="5" t="s">
        <v>38</v>
      </c>
      <c r="AA6" s="5">
        <v>1</v>
      </c>
      <c r="AB6" s="5" t="s">
        <v>293</v>
      </c>
      <c r="AC6" s="5">
        <v>60.66</v>
      </c>
      <c r="AD6" s="5">
        <v>7.08</v>
      </c>
      <c r="AE6" s="5">
        <v>12.73</v>
      </c>
      <c r="AF6" s="5">
        <v>14.04</v>
      </c>
      <c r="AG6" s="5">
        <v>3.33</v>
      </c>
      <c r="AH6" s="5">
        <v>1.78</v>
      </c>
      <c r="AI6" s="5">
        <v>4.91</v>
      </c>
      <c r="AJ6" s="5">
        <v>5</v>
      </c>
      <c r="AK6" s="5">
        <v>2.04</v>
      </c>
      <c r="AL6" s="5" t="s">
        <v>291</v>
      </c>
      <c r="AM6" s="5">
        <v>61</v>
      </c>
      <c r="AN6" s="5">
        <f>100*0.92</f>
        <v>92</v>
      </c>
      <c r="AO6" s="11" t="s">
        <v>45</v>
      </c>
    </row>
    <row r="7" spans="1:41" x14ac:dyDescent="0.3">
      <c r="A7" s="11">
        <v>6</v>
      </c>
      <c r="B7" s="7" t="s">
        <v>157</v>
      </c>
      <c r="C7" s="7" t="s">
        <v>42</v>
      </c>
      <c r="D7" s="5">
        <v>5</v>
      </c>
      <c r="E7" s="5">
        <f t="shared" si="0"/>
        <v>19.450000000000003</v>
      </c>
      <c r="F7" s="5">
        <f t="shared" si="1"/>
        <v>59.392196990063809</v>
      </c>
      <c r="G7" s="5">
        <f t="shared" si="2"/>
        <v>8.5727767017990502</v>
      </c>
      <c r="H7" s="5">
        <f t="shared" si="3"/>
        <v>0.93271810515573661</v>
      </c>
      <c r="I7" s="5">
        <f t="shared" si="4"/>
        <v>0.2743288544575696</v>
      </c>
      <c r="J7" s="5">
        <f t="shared" si="5"/>
        <v>32.302222612378813</v>
      </c>
      <c r="K7" s="5">
        <v>20.694800000000001</v>
      </c>
      <c r="L7" s="5">
        <f t="shared" si="6"/>
        <v>6.4</v>
      </c>
      <c r="M7" s="5" t="s">
        <v>291</v>
      </c>
      <c r="N7" s="5" t="s">
        <v>291</v>
      </c>
      <c r="O7" s="5" t="s">
        <v>291</v>
      </c>
      <c r="P7" s="5" t="s">
        <v>291</v>
      </c>
      <c r="Q7" s="5" t="s">
        <v>291</v>
      </c>
      <c r="R7" s="5">
        <v>932</v>
      </c>
      <c r="S7" s="5" t="s">
        <v>39</v>
      </c>
      <c r="T7" s="5" t="s">
        <v>291</v>
      </c>
      <c r="U7" s="5">
        <v>120</v>
      </c>
      <c r="V7" s="5" t="s">
        <v>291</v>
      </c>
      <c r="W7" s="5">
        <v>0.33200000000000002</v>
      </c>
      <c r="X7" s="5" t="s">
        <v>33</v>
      </c>
      <c r="Y7" s="5" t="s">
        <v>79</v>
      </c>
      <c r="Z7" s="5" t="s">
        <v>38</v>
      </c>
      <c r="AA7" s="5">
        <v>1</v>
      </c>
      <c r="AB7" s="5" t="s">
        <v>293</v>
      </c>
      <c r="AC7" s="5">
        <v>64.61</v>
      </c>
      <c r="AD7" s="5">
        <v>7.68</v>
      </c>
      <c r="AE7" s="5">
        <v>10.58</v>
      </c>
      <c r="AF7" s="5">
        <v>11.66</v>
      </c>
      <c r="AG7" s="5">
        <v>3.78</v>
      </c>
      <c r="AH7" s="5">
        <v>1.27</v>
      </c>
      <c r="AI7" s="5">
        <v>4.6900000000000004</v>
      </c>
      <c r="AJ7" s="5">
        <v>42</v>
      </c>
      <c r="AK7" s="5">
        <v>2</v>
      </c>
      <c r="AL7" s="5" t="s">
        <v>291</v>
      </c>
      <c r="AM7" s="5">
        <v>56.999999999999993</v>
      </c>
      <c r="AN7" s="5">
        <f>100*0.79</f>
        <v>79</v>
      </c>
      <c r="AO7" s="11" t="s">
        <v>45</v>
      </c>
    </row>
    <row r="8" spans="1:41" x14ac:dyDescent="0.3">
      <c r="A8" s="11">
        <v>7</v>
      </c>
      <c r="B8" s="3" t="s">
        <v>56</v>
      </c>
      <c r="C8" s="7" t="s">
        <v>42</v>
      </c>
      <c r="D8" s="13">
        <v>2</v>
      </c>
      <c r="E8" s="5">
        <f>42.9</f>
        <v>42.9</v>
      </c>
      <c r="F8" s="13">
        <f t="shared" ref="F8:F17" si="7">85*(100/(100-K8-L8))</f>
        <v>86.034130245551538</v>
      </c>
      <c r="G8" s="13">
        <f t="shared" ref="G8:G17" si="8">13.8*(100/(100-K8-L8))</f>
        <v>13.967894086924838</v>
      </c>
      <c r="H8" s="5">
        <v>0</v>
      </c>
      <c r="I8" s="5">
        <v>0</v>
      </c>
      <c r="J8" s="13">
        <v>0</v>
      </c>
      <c r="K8" s="13">
        <f>((100+L8)/100)*1</f>
        <v>1.002</v>
      </c>
      <c r="L8" s="13">
        <v>0.2</v>
      </c>
      <c r="M8" s="5" t="s">
        <v>291</v>
      </c>
      <c r="N8" s="5" t="s">
        <v>291</v>
      </c>
      <c r="O8" s="5" t="s">
        <v>291</v>
      </c>
      <c r="P8" s="5" t="s">
        <v>291</v>
      </c>
      <c r="Q8" s="5" t="s">
        <v>291</v>
      </c>
      <c r="R8" s="5">
        <v>867</v>
      </c>
      <c r="S8" s="5" t="s">
        <v>39</v>
      </c>
      <c r="T8" s="5" t="s">
        <v>291</v>
      </c>
      <c r="U8" s="5" t="s">
        <v>291</v>
      </c>
      <c r="V8" s="5" t="s">
        <v>291</v>
      </c>
      <c r="W8" s="5">
        <v>0.22</v>
      </c>
      <c r="X8" s="5" t="s">
        <v>33</v>
      </c>
      <c r="Y8" s="5" t="s">
        <v>79</v>
      </c>
      <c r="Z8" s="5" t="s">
        <v>295</v>
      </c>
      <c r="AA8" s="5">
        <v>0</v>
      </c>
      <c r="AB8" s="5" t="s">
        <v>293</v>
      </c>
      <c r="AC8" s="5">
        <f>100-AD8-AE8-AF8-AG8-AH8</f>
        <v>64.7</v>
      </c>
      <c r="AD8" s="5">
        <v>9.5</v>
      </c>
      <c r="AE8" s="5">
        <v>2.4</v>
      </c>
      <c r="AF8" s="5">
        <v>9.6</v>
      </c>
      <c r="AG8" s="5">
        <v>9.1</v>
      </c>
      <c r="AH8" s="5">
        <v>4.7</v>
      </c>
      <c r="AI8" s="5">
        <v>7.5</v>
      </c>
      <c r="AJ8" s="5">
        <v>130</v>
      </c>
      <c r="AK8" s="5">
        <v>3.3120000000000003</v>
      </c>
      <c r="AL8" s="5" t="s">
        <v>291</v>
      </c>
      <c r="AM8" s="13">
        <v>57.999999999999993</v>
      </c>
      <c r="AN8" s="5">
        <f>100*(AK8/F8)*(AE8*Calculations!$B$5*Calculations!$B$9+AF8*Calculations!$B$6*Calculations!$B$10+AG8*Calculations!$B$7*Calculations!$B$11+AH8*Calculations!$B$8*Calculations!$B$12)</f>
        <v>60.032404510051755</v>
      </c>
      <c r="AO8" s="11" t="s">
        <v>48</v>
      </c>
    </row>
    <row r="9" spans="1:41" x14ac:dyDescent="0.3">
      <c r="A9" s="11">
        <v>8</v>
      </c>
      <c r="B9" s="3" t="s">
        <v>56</v>
      </c>
      <c r="C9" s="7" t="s">
        <v>42</v>
      </c>
      <c r="D9" s="13">
        <v>2</v>
      </c>
      <c r="E9" s="5">
        <v>42.9</v>
      </c>
      <c r="F9" s="13">
        <f t="shared" si="7"/>
        <v>86.034130245551538</v>
      </c>
      <c r="G9" s="13">
        <f t="shared" si="8"/>
        <v>13.967894086924838</v>
      </c>
      <c r="H9" s="5">
        <v>0</v>
      </c>
      <c r="I9" s="5">
        <v>0</v>
      </c>
      <c r="J9" s="13">
        <v>0</v>
      </c>
      <c r="K9" s="13">
        <v>1.002</v>
      </c>
      <c r="L9" s="13">
        <v>0.2</v>
      </c>
      <c r="M9" s="5" t="s">
        <v>291</v>
      </c>
      <c r="N9" s="5" t="s">
        <v>291</v>
      </c>
      <c r="O9" s="5" t="s">
        <v>291</v>
      </c>
      <c r="P9" s="5" t="s">
        <v>291</v>
      </c>
      <c r="Q9" s="5" t="s">
        <v>291</v>
      </c>
      <c r="R9" s="5">
        <v>898</v>
      </c>
      <c r="S9" s="5" t="s">
        <v>39</v>
      </c>
      <c r="T9" s="5" t="s">
        <v>291</v>
      </c>
      <c r="U9" s="5" t="s">
        <v>291</v>
      </c>
      <c r="V9" s="5" t="s">
        <v>291</v>
      </c>
      <c r="W9" s="5">
        <v>0.31</v>
      </c>
      <c r="X9" s="5" t="s">
        <v>33</v>
      </c>
      <c r="Y9" s="5" t="s">
        <v>79</v>
      </c>
      <c r="Z9" s="5" t="s">
        <v>295</v>
      </c>
      <c r="AA9" s="5">
        <v>0</v>
      </c>
      <c r="AB9" s="5" t="s">
        <v>293</v>
      </c>
      <c r="AC9" s="5">
        <f t="shared" ref="AC9:AC31" si="9">100-AD9-AE9-AF9-AG9-AH9</f>
        <v>68</v>
      </c>
      <c r="AD9" s="5">
        <v>8.1</v>
      </c>
      <c r="AE9" s="5">
        <v>2.2000000000000002</v>
      </c>
      <c r="AF9" s="5">
        <v>10.4</v>
      </c>
      <c r="AG9" s="5">
        <v>7.1</v>
      </c>
      <c r="AH9" s="5">
        <v>4.2</v>
      </c>
      <c r="AI9" s="5">
        <v>6.3</v>
      </c>
      <c r="AJ9" s="5">
        <v>81</v>
      </c>
      <c r="AK9" s="5">
        <v>4.3428571428571425</v>
      </c>
      <c r="AL9" s="5" t="s">
        <v>291</v>
      </c>
      <c r="AM9" s="13">
        <v>63</v>
      </c>
      <c r="AN9" s="5">
        <f>100*(AK9/F9)*(AE9*Calculations!$B$5*Calculations!$B$9+AF9*Calculations!$B$6*Calculations!$B$10+AG9*Calculations!$B$7*Calculations!$B$11+AH9*Calculations!$B$8*Calculations!$B$12)</f>
        <v>72.877459194756298</v>
      </c>
      <c r="AO9" s="11" t="s">
        <v>48</v>
      </c>
    </row>
    <row r="10" spans="1:41" x14ac:dyDescent="0.3">
      <c r="A10" s="11">
        <v>9</v>
      </c>
      <c r="B10" s="3" t="s">
        <v>56</v>
      </c>
      <c r="C10" s="7" t="s">
        <v>42</v>
      </c>
      <c r="D10" s="13">
        <v>2</v>
      </c>
      <c r="E10" s="5">
        <v>42.9</v>
      </c>
      <c r="F10" s="13">
        <f t="shared" si="7"/>
        <v>86.034130245551538</v>
      </c>
      <c r="G10" s="13">
        <f t="shared" si="8"/>
        <v>13.967894086924838</v>
      </c>
      <c r="H10" s="5">
        <v>0</v>
      </c>
      <c r="I10" s="5">
        <v>0</v>
      </c>
      <c r="J10" s="13">
        <v>0</v>
      </c>
      <c r="K10" s="13">
        <v>1.002</v>
      </c>
      <c r="L10" s="13">
        <v>0.2</v>
      </c>
      <c r="M10" s="5" t="s">
        <v>291</v>
      </c>
      <c r="N10" s="5" t="s">
        <v>291</v>
      </c>
      <c r="O10" s="5" t="s">
        <v>291</v>
      </c>
      <c r="P10" s="5" t="s">
        <v>291</v>
      </c>
      <c r="Q10" s="5" t="s">
        <v>291</v>
      </c>
      <c r="R10" s="5">
        <v>845</v>
      </c>
      <c r="S10" s="5" t="s">
        <v>39</v>
      </c>
      <c r="T10" s="5" t="s">
        <v>291</v>
      </c>
      <c r="U10" s="5" t="s">
        <v>291</v>
      </c>
      <c r="V10" s="5" t="s">
        <v>291</v>
      </c>
      <c r="W10" s="5">
        <v>0.2</v>
      </c>
      <c r="X10" s="5" t="s">
        <v>33</v>
      </c>
      <c r="Y10" s="5" t="s">
        <v>79</v>
      </c>
      <c r="Z10" s="5" t="s">
        <v>295</v>
      </c>
      <c r="AA10" s="5">
        <v>0</v>
      </c>
      <c r="AB10" s="5" t="s">
        <v>293</v>
      </c>
      <c r="AC10" s="5">
        <f t="shared" si="9"/>
        <v>64.100000000000009</v>
      </c>
      <c r="AD10" s="5">
        <v>9.1</v>
      </c>
      <c r="AE10" s="5">
        <v>2.8</v>
      </c>
      <c r="AF10" s="5">
        <v>9.1</v>
      </c>
      <c r="AG10" s="5">
        <v>10.4</v>
      </c>
      <c r="AH10" s="5">
        <v>4.5</v>
      </c>
      <c r="AI10" s="5">
        <v>7.9</v>
      </c>
      <c r="AJ10" s="5">
        <v>160</v>
      </c>
      <c r="AK10" s="5">
        <v>2.9620253164556964</v>
      </c>
      <c r="AL10" s="5" t="s">
        <v>291</v>
      </c>
      <c r="AM10" s="13">
        <v>55.000000000000007</v>
      </c>
      <c r="AN10" s="5">
        <f>100*(AK10/F10)*(AE10*Calculations!$B$5*Calculations!$B$9+AF10*Calculations!$B$6*Calculations!$B$10+AG10*Calculations!$B$7*Calculations!$B$11+AH10*Calculations!$B$8*Calculations!$B$12)</f>
        <v>54.941085002412507</v>
      </c>
      <c r="AO10" s="11" t="s">
        <v>48</v>
      </c>
    </row>
    <row r="11" spans="1:41" x14ac:dyDescent="0.3">
      <c r="A11" s="11">
        <v>10</v>
      </c>
      <c r="B11" s="3" t="s">
        <v>56</v>
      </c>
      <c r="C11" s="7" t="s">
        <v>42</v>
      </c>
      <c r="D11" s="13">
        <v>2</v>
      </c>
      <c r="E11" s="5">
        <v>42.9</v>
      </c>
      <c r="F11" s="13">
        <f t="shared" si="7"/>
        <v>86.034130245551538</v>
      </c>
      <c r="G11" s="13">
        <f t="shared" si="8"/>
        <v>13.967894086924838</v>
      </c>
      <c r="H11" s="5">
        <v>0</v>
      </c>
      <c r="I11" s="5">
        <v>0</v>
      </c>
      <c r="J11" s="13">
        <v>0</v>
      </c>
      <c r="K11" s="13">
        <v>1.002</v>
      </c>
      <c r="L11" s="13">
        <v>0.2</v>
      </c>
      <c r="M11" s="5" t="s">
        <v>291</v>
      </c>
      <c r="N11" s="5" t="s">
        <v>291</v>
      </c>
      <c r="O11" s="5" t="s">
        <v>291</v>
      </c>
      <c r="P11" s="5" t="s">
        <v>291</v>
      </c>
      <c r="Q11" s="5" t="s">
        <v>291</v>
      </c>
      <c r="R11" s="5">
        <v>807</v>
      </c>
      <c r="S11" s="5" t="s">
        <v>39</v>
      </c>
      <c r="T11" s="5" t="s">
        <v>291</v>
      </c>
      <c r="U11" s="5" t="s">
        <v>291</v>
      </c>
      <c r="V11" s="5" t="s">
        <v>291</v>
      </c>
      <c r="W11" s="5">
        <v>0.27</v>
      </c>
      <c r="X11" s="5" t="s">
        <v>33</v>
      </c>
      <c r="Y11" s="5" t="s">
        <v>79</v>
      </c>
      <c r="Z11" s="5" t="s">
        <v>38</v>
      </c>
      <c r="AA11" s="5">
        <v>1</v>
      </c>
      <c r="AB11" s="5" t="s">
        <v>293</v>
      </c>
      <c r="AC11" s="5">
        <f t="shared" si="9"/>
        <v>48.999999999999993</v>
      </c>
      <c r="AD11" s="5">
        <v>26.9</v>
      </c>
      <c r="AE11" s="5">
        <v>20</v>
      </c>
      <c r="AF11" s="5">
        <v>1.4</v>
      </c>
      <c r="AG11" s="5">
        <v>2.2000000000000002</v>
      </c>
      <c r="AH11" s="5">
        <v>0.5</v>
      </c>
      <c r="AI11" s="5">
        <v>6.5</v>
      </c>
      <c r="AJ11" s="5">
        <v>0</v>
      </c>
      <c r="AK11" s="5">
        <v>5.4276923076923076</v>
      </c>
      <c r="AL11" s="5" t="s">
        <v>291</v>
      </c>
      <c r="AM11" s="13">
        <v>82</v>
      </c>
      <c r="AN11" s="5">
        <f>100*(AK11/F11)*(AE11*Calculations!$B$5*Calculations!$B$9+AF11*Calculations!$B$6*Calculations!$B$10+AG11*Calculations!$B$7*Calculations!$B$11+AH11*Calculations!$B$8*Calculations!$B$12)</f>
        <v>76.444539247189127</v>
      </c>
      <c r="AO11" s="11" t="s">
        <v>48</v>
      </c>
    </row>
    <row r="12" spans="1:41" x14ac:dyDescent="0.3">
      <c r="A12" s="11">
        <v>11</v>
      </c>
      <c r="B12" s="3" t="s">
        <v>56</v>
      </c>
      <c r="C12" s="7" t="s">
        <v>42</v>
      </c>
      <c r="D12" s="13">
        <v>2</v>
      </c>
      <c r="E12" s="5">
        <v>42.9</v>
      </c>
      <c r="F12" s="13">
        <f t="shared" si="7"/>
        <v>86.034130245551538</v>
      </c>
      <c r="G12" s="13">
        <f t="shared" si="8"/>
        <v>13.967894086924838</v>
      </c>
      <c r="H12" s="5">
        <v>0</v>
      </c>
      <c r="I12" s="5">
        <v>0</v>
      </c>
      <c r="J12" s="13">
        <v>0</v>
      </c>
      <c r="K12" s="13">
        <v>1.002</v>
      </c>
      <c r="L12" s="13">
        <v>0.2</v>
      </c>
      <c r="M12" s="5" t="s">
        <v>291</v>
      </c>
      <c r="N12" s="5" t="s">
        <v>291</v>
      </c>
      <c r="O12" s="5" t="s">
        <v>291</v>
      </c>
      <c r="P12" s="5" t="s">
        <v>291</v>
      </c>
      <c r="Q12" s="5" t="s">
        <v>291</v>
      </c>
      <c r="R12" s="5">
        <v>819</v>
      </c>
      <c r="S12" s="5" t="s">
        <v>39</v>
      </c>
      <c r="T12" s="5" t="s">
        <v>291</v>
      </c>
      <c r="U12" s="5" t="s">
        <v>291</v>
      </c>
      <c r="V12" s="5" t="s">
        <v>291</v>
      </c>
      <c r="W12" s="5">
        <v>0.2</v>
      </c>
      <c r="X12" s="5" t="s">
        <v>33</v>
      </c>
      <c r="Y12" s="5" t="s">
        <v>79</v>
      </c>
      <c r="Z12" s="5" t="s">
        <v>38</v>
      </c>
      <c r="AA12" s="5">
        <v>1</v>
      </c>
      <c r="AB12" s="5" t="s">
        <v>293</v>
      </c>
      <c r="AC12" s="5">
        <f t="shared" si="9"/>
        <v>45.100000000000009</v>
      </c>
      <c r="AD12" s="5">
        <v>30.1</v>
      </c>
      <c r="AE12" s="5">
        <v>18.399999999999999</v>
      </c>
      <c r="AF12" s="5">
        <v>1.6</v>
      </c>
      <c r="AG12" s="5">
        <v>3.4</v>
      </c>
      <c r="AH12" s="5">
        <v>1.4</v>
      </c>
      <c r="AI12" s="5">
        <v>7.6000000000000005</v>
      </c>
      <c r="AJ12" s="5">
        <v>0</v>
      </c>
      <c r="AK12" s="5">
        <v>4.1684210526315795</v>
      </c>
      <c r="AL12" s="5" t="s">
        <v>291</v>
      </c>
      <c r="AM12" s="13">
        <v>74</v>
      </c>
      <c r="AN12" s="5">
        <f>100*(AK12/F12)*(AE12*Calculations!$B$5*Calculations!$B$9+AF12*Calculations!$B$6*Calculations!$B$10+AG12*Calculations!$B$7*Calculations!$B$11+AH12*Calculations!$B$8*Calculations!$B$12)</f>
        <v>62.719851229077399</v>
      </c>
      <c r="AO12" s="11" t="s">
        <v>48</v>
      </c>
    </row>
    <row r="13" spans="1:41" x14ac:dyDescent="0.3">
      <c r="A13" s="11">
        <v>12</v>
      </c>
      <c r="B13" s="3" t="s">
        <v>56</v>
      </c>
      <c r="C13" s="7" t="s">
        <v>42</v>
      </c>
      <c r="D13" s="13">
        <v>2</v>
      </c>
      <c r="E13" s="5">
        <v>42.9</v>
      </c>
      <c r="F13" s="13">
        <f t="shared" si="7"/>
        <v>86.034130245551538</v>
      </c>
      <c r="G13" s="13">
        <f t="shared" si="8"/>
        <v>13.967894086924838</v>
      </c>
      <c r="H13" s="5">
        <v>0</v>
      </c>
      <c r="I13" s="5">
        <v>0</v>
      </c>
      <c r="J13" s="13">
        <v>0</v>
      </c>
      <c r="K13" s="13">
        <v>1.002</v>
      </c>
      <c r="L13" s="13">
        <v>0.2</v>
      </c>
      <c r="M13" s="5" t="s">
        <v>291</v>
      </c>
      <c r="N13" s="5" t="s">
        <v>291</v>
      </c>
      <c r="O13" s="5" t="s">
        <v>291</v>
      </c>
      <c r="P13" s="5" t="s">
        <v>291</v>
      </c>
      <c r="Q13" s="5" t="s">
        <v>291</v>
      </c>
      <c r="R13" s="5">
        <v>816</v>
      </c>
      <c r="S13" s="5" t="s">
        <v>39</v>
      </c>
      <c r="T13" s="5" t="s">
        <v>291</v>
      </c>
      <c r="U13" s="5" t="s">
        <v>291</v>
      </c>
      <c r="V13" s="5" t="s">
        <v>291</v>
      </c>
      <c r="W13" s="5">
        <v>0.28000000000000003</v>
      </c>
      <c r="X13" s="5" t="s">
        <v>33</v>
      </c>
      <c r="Y13" s="5" t="s">
        <v>79</v>
      </c>
      <c r="Z13" s="5" t="s">
        <v>38</v>
      </c>
      <c r="AA13" s="5">
        <v>1</v>
      </c>
      <c r="AB13" s="5" t="s">
        <v>293</v>
      </c>
      <c r="AC13" s="5">
        <f t="shared" si="9"/>
        <v>48.5</v>
      </c>
      <c r="AD13" s="5">
        <v>27.1</v>
      </c>
      <c r="AE13" s="5">
        <v>20.100000000000001</v>
      </c>
      <c r="AF13" s="5">
        <v>1.7</v>
      </c>
      <c r="AG13" s="5">
        <v>2.1</v>
      </c>
      <c r="AH13" s="5">
        <v>0.5</v>
      </c>
      <c r="AI13" s="5">
        <v>6.5</v>
      </c>
      <c r="AJ13" s="5">
        <v>0</v>
      </c>
      <c r="AK13" s="5">
        <v>5.6492307692307691</v>
      </c>
      <c r="AL13" s="5" t="s">
        <v>291</v>
      </c>
      <c r="AM13" s="13">
        <v>85</v>
      </c>
      <c r="AN13" s="5">
        <f>100*(AK13/F13)*(AE13*Calculations!$B$5*Calculations!$B$9+AF13*Calculations!$B$6*Calculations!$B$10+AG13*Calculations!$B$7*Calculations!$B$11+AH13*Calculations!$B$8*Calculations!$B$12)</f>
        <v>80.625716027446131</v>
      </c>
      <c r="AO13" s="11" t="s">
        <v>48</v>
      </c>
    </row>
    <row r="14" spans="1:41" x14ac:dyDescent="0.3">
      <c r="A14" s="11">
        <v>13</v>
      </c>
      <c r="B14" s="3" t="s">
        <v>56</v>
      </c>
      <c r="C14" s="7" t="s">
        <v>42</v>
      </c>
      <c r="D14" s="13">
        <v>2</v>
      </c>
      <c r="E14" s="5">
        <v>42.9</v>
      </c>
      <c r="F14" s="13">
        <f t="shared" si="7"/>
        <v>86.034130245551538</v>
      </c>
      <c r="G14" s="13">
        <f t="shared" si="8"/>
        <v>13.967894086924838</v>
      </c>
      <c r="H14" s="5">
        <v>0</v>
      </c>
      <c r="I14" s="5">
        <v>0</v>
      </c>
      <c r="J14" s="13">
        <v>0</v>
      </c>
      <c r="K14" s="13">
        <v>1.002</v>
      </c>
      <c r="L14" s="13">
        <v>0.2</v>
      </c>
      <c r="M14" s="5" t="s">
        <v>291</v>
      </c>
      <c r="N14" s="5" t="s">
        <v>291</v>
      </c>
      <c r="O14" s="5" t="s">
        <v>291</v>
      </c>
      <c r="P14" s="5" t="s">
        <v>291</v>
      </c>
      <c r="Q14" s="5" t="s">
        <v>291</v>
      </c>
      <c r="R14" s="5">
        <v>825</v>
      </c>
      <c r="S14" s="5" t="s">
        <v>39</v>
      </c>
      <c r="T14" s="5" t="s">
        <v>291</v>
      </c>
      <c r="U14" s="5" t="s">
        <v>291</v>
      </c>
      <c r="V14" s="5" t="s">
        <v>291</v>
      </c>
      <c r="W14" s="5">
        <v>0.31</v>
      </c>
      <c r="X14" s="5" t="s">
        <v>33</v>
      </c>
      <c r="Y14" s="5" t="s">
        <v>79</v>
      </c>
      <c r="Z14" s="5" t="s">
        <v>38</v>
      </c>
      <c r="AA14" s="5">
        <v>1</v>
      </c>
      <c r="AB14" s="5" t="s">
        <v>293</v>
      </c>
      <c r="AC14" s="5">
        <f t="shared" si="9"/>
        <v>50.300000000000004</v>
      </c>
      <c r="AD14" s="5">
        <v>24</v>
      </c>
      <c r="AE14" s="5">
        <v>19.5</v>
      </c>
      <c r="AF14" s="5">
        <v>3.3</v>
      </c>
      <c r="AG14" s="5">
        <v>2</v>
      </c>
      <c r="AH14" s="5">
        <v>0.9</v>
      </c>
      <c r="AI14" s="5">
        <v>6.3</v>
      </c>
      <c r="AJ14" s="5">
        <v>0</v>
      </c>
      <c r="AK14" s="5">
        <v>6.0000000000000009</v>
      </c>
      <c r="AL14" s="5" t="s">
        <v>291</v>
      </c>
      <c r="AM14" s="13">
        <v>88</v>
      </c>
      <c r="AN14" s="5">
        <f>100*(AK14/F14)*(AE14*Calculations!$B$5*Calculations!$B$9+AF14*Calculations!$B$6*Calculations!$B$10+AG14*Calculations!$B$7*Calculations!$B$11+AH14*Calculations!$B$8*Calculations!$B$12)</f>
        <v>92.090861152941159</v>
      </c>
      <c r="AO14" s="11" t="s">
        <v>48</v>
      </c>
    </row>
    <row r="15" spans="1:41" x14ac:dyDescent="0.3">
      <c r="A15" s="11">
        <v>14</v>
      </c>
      <c r="B15" s="3" t="s">
        <v>56</v>
      </c>
      <c r="C15" s="7" t="s">
        <v>42</v>
      </c>
      <c r="D15" s="13">
        <v>2</v>
      </c>
      <c r="E15" s="5">
        <v>42.9</v>
      </c>
      <c r="F15" s="13">
        <f t="shared" si="7"/>
        <v>86.034130245551538</v>
      </c>
      <c r="G15" s="13">
        <f t="shared" si="8"/>
        <v>13.967894086924838</v>
      </c>
      <c r="H15" s="5">
        <v>0</v>
      </c>
      <c r="I15" s="5">
        <v>0</v>
      </c>
      <c r="J15" s="13">
        <v>0</v>
      </c>
      <c r="K15" s="13">
        <v>1.002</v>
      </c>
      <c r="L15" s="13">
        <v>0.2</v>
      </c>
      <c r="M15" s="5" t="s">
        <v>291</v>
      </c>
      <c r="N15" s="5" t="s">
        <v>291</v>
      </c>
      <c r="O15" s="5" t="s">
        <v>291</v>
      </c>
      <c r="P15" s="5" t="s">
        <v>291</v>
      </c>
      <c r="Q15" s="5" t="s">
        <v>291</v>
      </c>
      <c r="R15" s="5">
        <v>825</v>
      </c>
      <c r="S15" s="5" t="s">
        <v>39</v>
      </c>
      <c r="T15" s="5" t="s">
        <v>291</v>
      </c>
      <c r="U15" s="5" t="s">
        <v>291</v>
      </c>
      <c r="V15" s="5" t="s">
        <v>291</v>
      </c>
      <c r="W15" s="5">
        <v>0.21</v>
      </c>
      <c r="X15" s="5" t="s">
        <v>33</v>
      </c>
      <c r="Y15" s="5" t="s">
        <v>79</v>
      </c>
      <c r="Z15" s="5" t="s">
        <v>38</v>
      </c>
      <c r="AA15" s="5">
        <v>1</v>
      </c>
      <c r="AB15" s="5" t="s">
        <v>293</v>
      </c>
      <c r="AC15" s="5">
        <f t="shared" si="9"/>
        <v>44.4</v>
      </c>
      <c r="AD15" s="5">
        <v>30.8</v>
      </c>
      <c r="AE15" s="5">
        <v>19</v>
      </c>
      <c r="AF15" s="5">
        <v>1.6</v>
      </c>
      <c r="AG15" s="5">
        <v>3.2</v>
      </c>
      <c r="AH15" s="5">
        <v>1</v>
      </c>
      <c r="AI15" s="5">
        <v>7.5</v>
      </c>
      <c r="AJ15" s="5">
        <v>0</v>
      </c>
      <c r="AK15" s="5">
        <v>4.8</v>
      </c>
      <c r="AL15" s="5" t="s">
        <v>291</v>
      </c>
      <c r="AM15" s="13">
        <v>84</v>
      </c>
      <c r="AN15" s="5">
        <f>100*(AK15/F15)*(AE15*Calculations!$B$5*Calculations!$B$9+AF15*Calculations!$B$6*Calculations!$B$10+AG15*Calculations!$B$7*Calculations!$B$11+AH15*Calculations!$B$8*Calculations!$B$12)</f>
        <v>71.051350497882325</v>
      </c>
      <c r="AO15" s="11" t="s">
        <v>48</v>
      </c>
    </row>
    <row r="16" spans="1:41" x14ac:dyDescent="0.3">
      <c r="A16" s="11">
        <v>15</v>
      </c>
      <c r="B16" s="3" t="s">
        <v>56</v>
      </c>
      <c r="C16" s="7" t="s">
        <v>42</v>
      </c>
      <c r="D16" s="13">
        <v>2</v>
      </c>
      <c r="E16" s="5">
        <v>42.9</v>
      </c>
      <c r="F16" s="13">
        <f t="shared" si="7"/>
        <v>86.034130245551538</v>
      </c>
      <c r="G16" s="13">
        <f t="shared" si="8"/>
        <v>13.967894086924838</v>
      </c>
      <c r="H16" s="5">
        <v>0</v>
      </c>
      <c r="I16" s="5">
        <v>0</v>
      </c>
      <c r="J16" s="13">
        <v>0</v>
      </c>
      <c r="K16" s="13">
        <v>1.002</v>
      </c>
      <c r="L16" s="13">
        <v>0.2</v>
      </c>
      <c r="M16" s="5" t="s">
        <v>291</v>
      </c>
      <c r="N16" s="5" t="s">
        <v>291</v>
      </c>
      <c r="O16" s="5" t="s">
        <v>291</v>
      </c>
      <c r="P16" s="5" t="s">
        <v>291</v>
      </c>
      <c r="Q16" s="5" t="s">
        <v>291</v>
      </c>
      <c r="R16" s="5">
        <v>850</v>
      </c>
      <c r="S16" s="5" t="s">
        <v>39</v>
      </c>
      <c r="T16" s="5" t="s">
        <v>291</v>
      </c>
      <c r="U16" s="5" t="s">
        <v>291</v>
      </c>
      <c r="V16" s="5" t="s">
        <v>291</v>
      </c>
      <c r="W16" s="5">
        <v>0.28999999999999998</v>
      </c>
      <c r="X16" s="5" t="s">
        <v>33</v>
      </c>
      <c r="Y16" s="5" t="s">
        <v>79</v>
      </c>
      <c r="Z16" s="5" t="s">
        <v>38</v>
      </c>
      <c r="AA16" s="5">
        <v>1</v>
      </c>
      <c r="AB16" s="5" t="s">
        <v>293</v>
      </c>
      <c r="AC16" s="5">
        <f t="shared" si="9"/>
        <v>47.2</v>
      </c>
      <c r="AD16" s="5">
        <v>29.1</v>
      </c>
      <c r="AE16" s="5">
        <v>20.9</v>
      </c>
      <c r="AF16" s="5">
        <v>1.2</v>
      </c>
      <c r="AG16" s="5">
        <v>1.5</v>
      </c>
      <c r="AH16" s="5">
        <v>0.1</v>
      </c>
      <c r="AI16" s="5">
        <v>6.4</v>
      </c>
      <c r="AJ16" s="5">
        <v>0</v>
      </c>
      <c r="AK16" s="5">
        <v>6.1875</v>
      </c>
      <c r="AL16" s="5" t="s">
        <v>291</v>
      </c>
      <c r="AM16" s="13">
        <v>92</v>
      </c>
      <c r="AN16" s="5">
        <f>100*(AK16/F16)*(AE16*Calculations!$B$5*Calculations!$B$9+AF16*Calculations!$B$6*Calculations!$B$10+AG16*Calculations!$B$7*Calculations!$B$11+AH16*Calculations!$B$8*Calculations!$B$12)</f>
        <v>84.141146761213207</v>
      </c>
      <c r="AO16" s="11" t="s">
        <v>48</v>
      </c>
    </row>
    <row r="17" spans="1:41" x14ac:dyDescent="0.3">
      <c r="A17" s="11">
        <v>16</v>
      </c>
      <c r="B17" s="3" t="s">
        <v>56</v>
      </c>
      <c r="C17" s="7" t="s">
        <v>42</v>
      </c>
      <c r="D17" s="13">
        <v>2</v>
      </c>
      <c r="E17" s="5">
        <v>42.9</v>
      </c>
      <c r="F17" s="13">
        <f t="shared" si="7"/>
        <v>86.034130245551538</v>
      </c>
      <c r="G17" s="13">
        <f t="shared" si="8"/>
        <v>13.967894086924838</v>
      </c>
      <c r="H17" s="5">
        <v>0</v>
      </c>
      <c r="I17" s="5">
        <v>0</v>
      </c>
      <c r="J17" s="13">
        <v>0</v>
      </c>
      <c r="K17" s="13">
        <v>1.002</v>
      </c>
      <c r="L17" s="13">
        <v>0.2</v>
      </c>
      <c r="M17" s="5" t="s">
        <v>291</v>
      </c>
      <c r="N17" s="5" t="s">
        <v>291</v>
      </c>
      <c r="O17" s="5" t="s">
        <v>291</v>
      </c>
      <c r="P17" s="5" t="s">
        <v>291</v>
      </c>
      <c r="Q17" s="5" t="s">
        <v>291</v>
      </c>
      <c r="R17" s="5">
        <v>856</v>
      </c>
      <c r="S17" s="5" t="s">
        <v>39</v>
      </c>
      <c r="T17" s="5" t="s">
        <v>291</v>
      </c>
      <c r="U17" s="5" t="s">
        <v>291</v>
      </c>
      <c r="V17" s="5" t="s">
        <v>291</v>
      </c>
      <c r="W17" s="5">
        <v>0.3</v>
      </c>
      <c r="X17" s="5" t="s">
        <v>33</v>
      </c>
      <c r="Y17" s="5" t="s">
        <v>79</v>
      </c>
      <c r="Z17" s="5" t="s">
        <v>49</v>
      </c>
      <c r="AA17" s="5">
        <v>1</v>
      </c>
      <c r="AB17" s="5" t="s">
        <v>293</v>
      </c>
      <c r="AC17" s="5">
        <f t="shared" si="9"/>
        <v>56.199999999999996</v>
      </c>
      <c r="AD17" s="5">
        <v>14.7</v>
      </c>
      <c r="AE17" s="5">
        <v>18.3</v>
      </c>
      <c r="AF17" s="5">
        <v>3.1</v>
      </c>
      <c r="AG17" s="5">
        <v>5.7</v>
      </c>
      <c r="AH17" s="5">
        <v>2</v>
      </c>
      <c r="AI17" s="5">
        <v>7.1000000000000005</v>
      </c>
      <c r="AJ17" s="5">
        <v>0</v>
      </c>
      <c r="AK17" s="5">
        <v>5.6788732394366193</v>
      </c>
      <c r="AL17" s="5" t="s">
        <v>291</v>
      </c>
      <c r="AM17" s="13">
        <v>94</v>
      </c>
      <c r="AN17" s="5">
        <f>100*(AK17/F17)*(AE17*Calculations!$B$5*Calculations!$B$9+AF17*Calculations!$B$6*Calculations!$B$10+AG17*Calculations!$B$7*Calculations!$B$11+AH17*Calculations!$B$8*Calculations!$B$12)</f>
        <v>101.95731218553104</v>
      </c>
      <c r="AO17" s="11" t="s">
        <v>48</v>
      </c>
    </row>
    <row r="18" spans="1:41" x14ac:dyDescent="0.3">
      <c r="A18" s="11">
        <v>17</v>
      </c>
      <c r="B18" s="3" t="s">
        <v>56</v>
      </c>
      <c r="C18" s="7" t="s">
        <v>42</v>
      </c>
      <c r="D18" s="13">
        <v>1</v>
      </c>
      <c r="E18" s="5">
        <v>42.9</v>
      </c>
      <c r="F18" s="13">
        <f>84.4*(100/(100-K18-L18))</f>
        <v>85.775757372497495</v>
      </c>
      <c r="G18" s="13">
        <f>14*(100/(100-K18-L18))</f>
        <v>14.228206199229442</v>
      </c>
      <c r="H18" s="5">
        <v>0</v>
      </c>
      <c r="I18" s="5">
        <v>0</v>
      </c>
      <c r="J18" s="13">
        <v>0</v>
      </c>
      <c r="K18" s="13">
        <f>((100+L18)/100)*1.3</f>
        <v>1.3038999999999998</v>
      </c>
      <c r="L18" s="13">
        <v>0.3</v>
      </c>
      <c r="M18" s="5" t="s">
        <v>291</v>
      </c>
      <c r="N18" s="5" t="s">
        <v>291</v>
      </c>
      <c r="O18" s="5" t="s">
        <v>291</v>
      </c>
      <c r="P18" s="5" t="s">
        <v>291</v>
      </c>
      <c r="Q18" s="5" t="s">
        <v>291</v>
      </c>
      <c r="R18" s="5">
        <v>818</v>
      </c>
      <c r="S18" s="5" t="s">
        <v>39</v>
      </c>
      <c r="T18" s="5" t="s">
        <v>291</v>
      </c>
      <c r="U18" s="5" t="s">
        <v>291</v>
      </c>
      <c r="V18" s="5" t="s">
        <v>291</v>
      </c>
      <c r="W18" s="5">
        <v>0.23</v>
      </c>
      <c r="X18" s="5" t="s">
        <v>33</v>
      </c>
      <c r="Y18" s="5" t="s">
        <v>79</v>
      </c>
      <c r="Z18" s="5" t="s">
        <v>38</v>
      </c>
      <c r="AA18" s="5">
        <v>1</v>
      </c>
      <c r="AB18" s="5" t="s">
        <v>293</v>
      </c>
      <c r="AC18" s="5">
        <f t="shared" si="9"/>
        <v>46.20000000000001</v>
      </c>
      <c r="AD18" s="5">
        <v>30.6</v>
      </c>
      <c r="AE18" s="5">
        <v>17.5</v>
      </c>
      <c r="AF18" s="5">
        <v>2.2999999999999998</v>
      </c>
      <c r="AG18" s="5">
        <v>2.8</v>
      </c>
      <c r="AH18" s="5">
        <v>0.6</v>
      </c>
      <c r="AI18" s="5">
        <v>6.9</v>
      </c>
      <c r="AJ18" s="5">
        <v>0</v>
      </c>
      <c r="AK18" s="5">
        <v>4.9043478260869566</v>
      </c>
      <c r="AL18" s="5" t="s">
        <v>291</v>
      </c>
      <c r="AM18" s="13">
        <v>79</v>
      </c>
      <c r="AN18" s="5">
        <f>100*(AK18/F18)*(AE18*Calculations!$B$5*Calculations!$B$9+AF18*Calculations!$B$6*Calculations!$B$10+AG18*Calculations!$B$7*Calculations!$B$11+AH18*Calculations!$B$8*Calculations!$B$12)</f>
        <v>67.345533152394083</v>
      </c>
      <c r="AO18" s="11" t="s">
        <v>48</v>
      </c>
    </row>
    <row r="19" spans="1:41" x14ac:dyDescent="0.3">
      <c r="A19" s="11">
        <v>18</v>
      </c>
      <c r="B19" s="3" t="s">
        <v>56</v>
      </c>
      <c r="C19" s="7" t="s">
        <v>42</v>
      </c>
      <c r="D19" s="13">
        <v>1</v>
      </c>
      <c r="E19" s="5">
        <v>42.9</v>
      </c>
      <c r="F19" s="13">
        <f>84.4*(100/(100-K19-L19))</f>
        <v>85.775757372497495</v>
      </c>
      <c r="G19" s="13">
        <f>14*(100/(100-K19-L19))</f>
        <v>14.228206199229442</v>
      </c>
      <c r="H19" s="5">
        <v>0</v>
      </c>
      <c r="I19" s="5">
        <v>0</v>
      </c>
      <c r="J19" s="13">
        <v>0</v>
      </c>
      <c r="K19" s="13">
        <v>1.3038999999999998</v>
      </c>
      <c r="L19" s="13">
        <v>0.3</v>
      </c>
      <c r="M19" s="5" t="s">
        <v>291</v>
      </c>
      <c r="N19" s="5" t="s">
        <v>291</v>
      </c>
      <c r="O19" s="5" t="s">
        <v>291</v>
      </c>
      <c r="P19" s="5" t="s">
        <v>291</v>
      </c>
      <c r="Q19" s="5" t="s">
        <v>291</v>
      </c>
      <c r="R19" s="5">
        <v>831</v>
      </c>
      <c r="S19" s="5" t="s">
        <v>39</v>
      </c>
      <c r="T19" s="5" t="s">
        <v>291</v>
      </c>
      <c r="U19" s="5" t="s">
        <v>291</v>
      </c>
      <c r="V19" s="5" t="s">
        <v>291</v>
      </c>
      <c r="W19" s="5">
        <v>0.27</v>
      </c>
      <c r="X19" s="5" t="s">
        <v>33</v>
      </c>
      <c r="Y19" s="5" t="s">
        <v>79</v>
      </c>
      <c r="Z19" s="5" t="s">
        <v>38</v>
      </c>
      <c r="AA19" s="5">
        <v>1</v>
      </c>
      <c r="AB19" s="5" t="s">
        <v>293</v>
      </c>
      <c r="AC19" s="5">
        <f t="shared" si="9"/>
        <v>46.4</v>
      </c>
      <c r="AD19" s="5">
        <v>28.2</v>
      </c>
      <c r="AE19" s="5">
        <v>21.1</v>
      </c>
      <c r="AF19" s="5">
        <v>1.5</v>
      </c>
      <c r="AG19" s="5">
        <v>2.2999999999999998</v>
      </c>
      <c r="AH19" s="5">
        <v>0.5</v>
      </c>
      <c r="AI19" s="5">
        <v>6.8</v>
      </c>
      <c r="AJ19" s="5">
        <v>0</v>
      </c>
      <c r="AK19" s="5">
        <v>5.8235294117647065</v>
      </c>
      <c r="AL19" s="5" t="s">
        <v>291</v>
      </c>
      <c r="AM19" s="13">
        <v>93</v>
      </c>
      <c r="AN19" s="5">
        <f>100*(AK19/F19)*(AE19*Calculations!$B$5*Calculations!$B$9+AF19*Calculations!$B$6*Calculations!$B$10+AG19*Calculations!$B$7*Calculations!$B$11+AH19*Calculations!$B$8*Calculations!$B$12)</f>
        <v>86.616530544159701</v>
      </c>
      <c r="AO19" s="11" t="s">
        <v>48</v>
      </c>
    </row>
    <row r="20" spans="1:41" x14ac:dyDescent="0.3">
      <c r="A20" s="11">
        <v>19</v>
      </c>
      <c r="B20" s="3" t="s">
        <v>56</v>
      </c>
      <c r="C20" s="7" t="s">
        <v>42</v>
      </c>
      <c r="D20" s="13">
        <v>1</v>
      </c>
      <c r="E20" s="5">
        <v>42.9</v>
      </c>
      <c r="F20" s="13">
        <f>84.4*(100/(100-K20-L20))</f>
        <v>85.775757372497495</v>
      </c>
      <c r="G20" s="13">
        <f>14*(100/(100-K20-L20))</f>
        <v>14.228206199229442</v>
      </c>
      <c r="H20" s="5">
        <v>0</v>
      </c>
      <c r="I20" s="5">
        <v>0</v>
      </c>
      <c r="J20" s="13">
        <v>0</v>
      </c>
      <c r="K20" s="13">
        <v>1.3038999999999998</v>
      </c>
      <c r="L20" s="13">
        <v>0.3</v>
      </c>
      <c r="M20" s="5" t="s">
        <v>291</v>
      </c>
      <c r="N20" s="5" t="s">
        <v>291</v>
      </c>
      <c r="O20" s="5" t="s">
        <v>291</v>
      </c>
      <c r="P20" s="5" t="s">
        <v>291</v>
      </c>
      <c r="Q20" s="5" t="s">
        <v>291</v>
      </c>
      <c r="R20" s="5">
        <v>829</v>
      </c>
      <c r="S20" s="5" t="s">
        <v>39</v>
      </c>
      <c r="T20" s="5" t="s">
        <v>291</v>
      </c>
      <c r="U20" s="5" t="s">
        <v>291</v>
      </c>
      <c r="V20" s="5" t="s">
        <v>291</v>
      </c>
      <c r="W20" s="5">
        <v>0.24</v>
      </c>
      <c r="X20" s="5" t="s">
        <v>33</v>
      </c>
      <c r="Y20" s="5" t="s">
        <v>79</v>
      </c>
      <c r="Z20" s="5" t="s">
        <v>38</v>
      </c>
      <c r="AA20" s="5">
        <v>1</v>
      </c>
      <c r="AB20" s="5" t="s">
        <v>293</v>
      </c>
      <c r="AC20" s="5">
        <f t="shared" si="9"/>
        <v>45.699999999999996</v>
      </c>
      <c r="AD20" s="5">
        <v>29.5</v>
      </c>
      <c r="AE20" s="5">
        <v>19.899999999999999</v>
      </c>
      <c r="AF20" s="5">
        <v>1.7</v>
      </c>
      <c r="AG20" s="5">
        <v>2.5</v>
      </c>
      <c r="AH20" s="5">
        <v>0.7</v>
      </c>
      <c r="AI20" s="5">
        <v>7</v>
      </c>
      <c r="AJ20" s="5">
        <v>0</v>
      </c>
      <c r="AK20" s="5">
        <v>5.1428571428571432</v>
      </c>
      <c r="AL20" s="5" t="s">
        <v>291</v>
      </c>
      <c r="AM20" s="13">
        <v>84</v>
      </c>
      <c r="AN20" s="5">
        <f>100*(AK20/F20)*(AE20*Calculations!$B$5*Calculations!$B$9+AF20*Calculations!$B$6*Calculations!$B$10+AG20*Calculations!$B$7*Calculations!$B$11+AH20*Calculations!$B$8*Calculations!$B$12)</f>
        <v>75.428583503542384</v>
      </c>
      <c r="AO20" s="11" t="s">
        <v>48</v>
      </c>
    </row>
    <row r="21" spans="1:41" x14ac:dyDescent="0.3">
      <c r="A21" s="11">
        <v>20</v>
      </c>
      <c r="B21" s="3" t="s">
        <v>56</v>
      </c>
      <c r="C21" s="7" t="s">
        <v>42</v>
      </c>
      <c r="D21" s="13">
        <v>1</v>
      </c>
      <c r="E21" s="5">
        <v>42.9</v>
      </c>
      <c r="F21" s="13">
        <f>84.4*(100/(100-K21-L21))</f>
        <v>85.775757372497495</v>
      </c>
      <c r="G21" s="13">
        <f>14*(100/(100-K21-L21))</f>
        <v>14.228206199229442</v>
      </c>
      <c r="H21" s="5">
        <v>0</v>
      </c>
      <c r="I21" s="5">
        <v>0</v>
      </c>
      <c r="J21" s="13">
        <v>0</v>
      </c>
      <c r="K21" s="13">
        <v>1.3038999999999998</v>
      </c>
      <c r="L21" s="13">
        <v>0.3</v>
      </c>
      <c r="M21" s="5" t="s">
        <v>291</v>
      </c>
      <c r="N21" s="5" t="s">
        <v>291</v>
      </c>
      <c r="O21" s="5" t="s">
        <v>291</v>
      </c>
      <c r="P21" s="5" t="s">
        <v>291</v>
      </c>
      <c r="Q21" s="5" t="s">
        <v>291</v>
      </c>
      <c r="R21" s="5">
        <v>879</v>
      </c>
      <c r="S21" s="5" t="s">
        <v>39</v>
      </c>
      <c r="T21" s="5" t="s">
        <v>291</v>
      </c>
      <c r="U21" s="5" t="s">
        <v>291</v>
      </c>
      <c r="V21" s="5" t="s">
        <v>291</v>
      </c>
      <c r="W21" s="5">
        <v>0.28999999999999998</v>
      </c>
      <c r="X21" s="5" t="s">
        <v>33</v>
      </c>
      <c r="Y21" s="5" t="s">
        <v>79</v>
      </c>
      <c r="Z21" s="5" t="s">
        <v>49</v>
      </c>
      <c r="AA21" s="5">
        <v>1</v>
      </c>
      <c r="AB21" s="5" t="s">
        <v>293</v>
      </c>
      <c r="AC21" s="5">
        <f t="shared" si="9"/>
        <v>54.800000000000004</v>
      </c>
      <c r="AD21" s="5">
        <v>13.7</v>
      </c>
      <c r="AE21" s="5">
        <v>16.7</v>
      </c>
      <c r="AF21" s="5">
        <v>5.0999999999999996</v>
      </c>
      <c r="AG21" s="5">
        <v>7.3</v>
      </c>
      <c r="AH21" s="5">
        <v>2.4</v>
      </c>
      <c r="AI21" s="5">
        <v>7.7</v>
      </c>
      <c r="AJ21" s="5">
        <v>0</v>
      </c>
      <c r="AK21" s="5">
        <v>5.1428571428571432</v>
      </c>
      <c r="AL21" s="5" t="s">
        <v>291</v>
      </c>
      <c r="AM21" s="13">
        <v>93</v>
      </c>
      <c r="AN21" s="5">
        <f>100*(AK21/F21)*(AE21*Calculations!$B$5*Calculations!$B$9+AF21*Calculations!$B$6*Calculations!$B$10+AG21*Calculations!$B$7*Calculations!$B$11+AH21*Calculations!$B$8*Calculations!$B$12)</f>
        <v>101.55304783854578</v>
      </c>
      <c r="AO21" s="11" t="s">
        <v>48</v>
      </c>
    </row>
    <row r="22" spans="1:41" x14ac:dyDescent="0.3">
      <c r="A22" s="11">
        <v>21</v>
      </c>
      <c r="B22" s="3" t="s">
        <v>56</v>
      </c>
      <c r="C22" s="7" t="s">
        <v>42</v>
      </c>
      <c r="D22" s="5" t="s">
        <v>291</v>
      </c>
      <c r="E22" s="5">
        <v>33.4</v>
      </c>
      <c r="F22" s="13">
        <f>68.1*(100/(100-K22-L22))</f>
        <v>73.494654639876188</v>
      </c>
      <c r="G22" s="13">
        <f>10.2*(100/(100-K22-L22))</f>
        <v>11.008009946060751</v>
      </c>
      <c r="H22" s="5">
        <v>0</v>
      </c>
      <c r="I22" s="5">
        <f t="shared" ref="I22:I28" si="10">0.1*(100/(100-K22-L22))</f>
        <v>0.10792166613785051</v>
      </c>
      <c r="J22" s="13">
        <f>14.3*(100/(100-K22-L22))</f>
        <v>15.432798257712623</v>
      </c>
      <c r="K22" s="13">
        <f>((100+L22)/100)*6.7</f>
        <v>6.7402000000000006</v>
      </c>
      <c r="L22" s="13">
        <v>0.6</v>
      </c>
      <c r="M22" s="5" t="s">
        <v>291</v>
      </c>
      <c r="N22" s="5" t="s">
        <v>291</v>
      </c>
      <c r="O22" s="5" t="s">
        <v>291</v>
      </c>
      <c r="P22" s="5" t="s">
        <v>291</v>
      </c>
      <c r="Q22" s="5" t="s">
        <v>291</v>
      </c>
      <c r="R22" s="5">
        <v>914</v>
      </c>
      <c r="S22" s="5" t="s">
        <v>39</v>
      </c>
      <c r="T22" s="5" t="s">
        <v>291</v>
      </c>
      <c r="U22" s="5" t="s">
        <v>291</v>
      </c>
      <c r="V22" s="5" t="s">
        <v>291</v>
      </c>
      <c r="W22" s="5">
        <v>0.31</v>
      </c>
      <c r="X22" s="5" t="s">
        <v>33</v>
      </c>
      <c r="Y22" s="5" t="s">
        <v>79</v>
      </c>
      <c r="Z22" s="5" t="s">
        <v>38</v>
      </c>
      <c r="AA22" s="5">
        <v>1</v>
      </c>
      <c r="AB22" s="5" t="s">
        <v>293</v>
      </c>
      <c r="AC22" s="5">
        <f t="shared" si="9"/>
        <v>68.5</v>
      </c>
      <c r="AD22" s="5">
        <v>6.6</v>
      </c>
      <c r="AE22" s="5">
        <v>4.8</v>
      </c>
      <c r="AF22" s="5">
        <v>11.4</v>
      </c>
      <c r="AG22" s="5">
        <v>6.3</v>
      </c>
      <c r="AH22" s="5">
        <v>2.4</v>
      </c>
      <c r="AI22" s="5">
        <v>5.2</v>
      </c>
      <c r="AJ22" s="5">
        <v>56</v>
      </c>
      <c r="AK22" s="5">
        <v>3.3230769230769233</v>
      </c>
      <c r="AL22" s="5" t="s">
        <v>291</v>
      </c>
      <c r="AM22" s="13">
        <v>52</v>
      </c>
      <c r="AN22" s="5">
        <f>100*(AK22/F22)*(AE22*Calculations!$B$5*Calculations!$B$9+AF22*Calculations!$B$6*Calculations!$B$10+AG22*Calculations!$B$7*Calculations!$B$11+AH22*Calculations!$B$8*Calculations!$B$12)</f>
        <v>63.45004886983007</v>
      </c>
      <c r="AO22" s="11" t="s">
        <v>48</v>
      </c>
    </row>
    <row r="23" spans="1:41" x14ac:dyDescent="0.3">
      <c r="A23" s="11">
        <v>22</v>
      </c>
      <c r="B23" s="3" t="s">
        <v>56</v>
      </c>
      <c r="C23" s="7" t="s">
        <v>42</v>
      </c>
      <c r="D23" s="5" t="s">
        <v>291</v>
      </c>
      <c r="E23" s="5">
        <v>33.4</v>
      </c>
      <c r="F23" s="13">
        <f>68.1*(100/(100-K23-L23))</f>
        <v>73.494654639876188</v>
      </c>
      <c r="G23" s="13">
        <f>10.2*(100/(100-K23-L23))</f>
        <v>11.008009946060751</v>
      </c>
      <c r="H23" s="5">
        <v>0</v>
      </c>
      <c r="I23" s="5">
        <f t="shared" si="10"/>
        <v>0.10792166613785051</v>
      </c>
      <c r="J23" s="13">
        <f>14.3*(100/(100-K23-L23))</f>
        <v>15.432798257712623</v>
      </c>
      <c r="K23" s="13">
        <v>6.7402000000000006</v>
      </c>
      <c r="L23" s="13">
        <v>0.6</v>
      </c>
      <c r="M23" s="5" t="s">
        <v>291</v>
      </c>
      <c r="N23" s="5" t="s">
        <v>291</v>
      </c>
      <c r="O23" s="5" t="s">
        <v>291</v>
      </c>
      <c r="P23" s="5" t="s">
        <v>291</v>
      </c>
      <c r="Q23" s="5" t="s">
        <v>291</v>
      </c>
      <c r="R23" s="5">
        <v>884</v>
      </c>
      <c r="S23" s="5" t="s">
        <v>39</v>
      </c>
      <c r="T23" s="5" t="s">
        <v>291</v>
      </c>
      <c r="U23" s="5" t="s">
        <v>291</v>
      </c>
      <c r="V23" s="5" t="s">
        <v>291</v>
      </c>
      <c r="W23" s="5">
        <v>0.25</v>
      </c>
      <c r="X23" s="5" t="s">
        <v>33</v>
      </c>
      <c r="Y23" s="5" t="s">
        <v>79</v>
      </c>
      <c r="Z23" s="5" t="s">
        <v>38</v>
      </c>
      <c r="AA23" s="5">
        <v>1</v>
      </c>
      <c r="AB23" s="5" t="s">
        <v>293</v>
      </c>
      <c r="AC23" s="5">
        <f t="shared" si="9"/>
        <v>64.2</v>
      </c>
      <c r="AD23" s="5">
        <v>8</v>
      </c>
      <c r="AE23" s="5">
        <v>4.5999999999999996</v>
      </c>
      <c r="AF23" s="5">
        <v>11.6</v>
      </c>
      <c r="AG23" s="5">
        <v>7.9</v>
      </c>
      <c r="AH23" s="5">
        <v>3.7</v>
      </c>
      <c r="AI23" s="5">
        <v>6.4</v>
      </c>
      <c r="AJ23" s="5">
        <v>55</v>
      </c>
      <c r="AK23" s="5">
        <v>3.0375000000000001</v>
      </c>
      <c r="AL23" s="5" t="s">
        <v>291</v>
      </c>
      <c r="AM23" s="13">
        <v>57.999999999999993</v>
      </c>
      <c r="AN23" s="5">
        <f>100*(AK23/F23)*(AE23*Calculations!$B$5*Calculations!$B$9+AF23*Calculations!$B$6*Calculations!$B$10+AG23*Calculations!$B$7*Calculations!$B$11+AH23*Calculations!$B$8*Calculations!$B$12)</f>
        <v>66.732484927885878</v>
      </c>
      <c r="AO23" s="11" t="s">
        <v>48</v>
      </c>
    </row>
    <row r="24" spans="1:41" x14ac:dyDescent="0.3">
      <c r="A24" s="11">
        <v>23</v>
      </c>
      <c r="B24" s="3" t="s">
        <v>56</v>
      </c>
      <c r="C24" s="7" t="s">
        <v>42</v>
      </c>
      <c r="D24" s="5" t="s">
        <v>291</v>
      </c>
      <c r="E24" s="5">
        <v>33.4</v>
      </c>
      <c r="F24" s="13">
        <f>68.1*(100/(100-K24-L24))</f>
        <v>73.494654639876188</v>
      </c>
      <c r="G24" s="13">
        <f>10.2*(100/(100-K24-L24))</f>
        <v>11.008009946060751</v>
      </c>
      <c r="H24" s="5">
        <v>0</v>
      </c>
      <c r="I24" s="5">
        <f t="shared" si="10"/>
        <v>0.10792166613785051</v>
      </c>
      <c r="J24" s="13">
        <f>14.3*(100/(100-K24-L24))</f>
        <v>15.432798257712623</v>
      </c>
      <c r="K24" s="13">
        <v>6.7402000000000006</v>
      </c>
      <c r="L24" s="13">
        <v>0.6</v>
      </c>
      <c r="M24" s="5" t="s">
        <v>291</v>
      </c>
      <c r="N24" s="5" t="s">
        <v>291</v>
      </c>
      <c r="O24" s="5" t="s">
        <v>291</v>
      </c>
      <c r="P24" s="5" t="s">
        <v>291</v>
      </c>
      <c r="Q24" s="5" t="s">
        <v>291</v>
      </c>
      <c r="R24" s="5">
        <v>869</v>
      </c>
      <c r="S24" s="5" t="s">
        <v>39</v>
      </c>
      <c r="T24" s="5" t="s">
        <v>291</v>
      </c>
      <c r="U24" s="5" t="s">
        <v>291</v>
      </c>
      <c r="V24" s="5" t="s">
        <v>291</v>
      </c>
      <c r="W24" s="5">
        <v>0.22</v>
      </c>
      <c r="X24" s="5" t="s">
        <v>33</v>
      </c>
      <c r="Y24" s="5" t="s">
        <v>79</v>
      </c>
      <c r="Z24" s="5" t="s">
        <v>38</v>
      </c>
      <c r="AA24" s="5">
        <v>1</v>
      </c>
      <c r="AB24" s="5" t="s">
        <v>293</v>
      </c>
      <c r="AC24" s="5">
        <f t="shared" si="9"/>
        <v>66.300000000000011</v>
      </c>
      <c r="AD24" s="5">
        <v>6.8</v>
      </c>
      <c r="AE24" s="5">
        <v>3.7</v>
      </c>
      <c r="AF24" s="5">
        <v>11.1</v>
      </c>
      <c r="AG24" s="5">
        <v>7.3</v>
      </c>
      <c r="AH24" s="5">
        <v>4.8</v>
      </c>
      <c r="AI24" s="5">
        <v>6.8</v>
      </c>
      <c r="AJ24" s="5">
        <v>99</v>
      </c>
      <c r="AK24" s="5">
        <v>2.6470588235294117</v>
      </c>
      <c r="AL24" s="5" t="s">
        <v>291</v>
      </c>
      <c r="AM24" s="13">
        <v>54</v>
      </c>
      <c r="AN24" s="5">
        <f>100*(AK24/F24)*(AE24*Calculations!$B$5*Calculations!$B$9+AF24*Calculations!$B$6*Calculations!$B$10+AG24*Calculations!$B$7*Calculations!$B$11+AH24*Calculations!$B$8*Calculations!$B$12)</f>
        <v>58.540799197025507</v>
      </c>
      <c r="AO24" s="11" t="s">
        <v>48</v>
      </c>
    </row>
    <row r="25" spans="1:41" x14ac:dyDescent="0.3">
      <c r="A25" s="11">
        <v>24</v>
      </c>
      <c r="B25" s="3" t="s">
        <v>56</v>
      </c>
      <c r="C25" s="7" t="s">
        <v>42</v>
      </c>
      <c r="D25" s="5" t="s">
        <v>291</v>
      </c>
      <c r="E25" s="5">
        <v>40.200000000000003</v>
      </c>
      <c r="F25" s="13">
        <f>79.5*(100/(100-K25-L25))</f>
        <v>81.633323646863502</v>
      </c>
      <c r="G25" s="13">
        <f>13.1*(100/(100-K25-L25))</f>
        <v>13.451528802187569</v>
      </c>
      <c r="H25" s="5">
        <f>0.2*(100/(100-K25-L25))</f>
        <v>0.20536685194179496</v>
      </c>
      <c r="I25" s="5">
        <f t="shared" si="10"/>
        <v>0.10268342597089748</v>
      </c>
      <c r="J25" s="13">
        <f>4.5*(100/(100-K25-L25))</f>
        <v>4.6207541686903868</v>
      </c>
      <c r="K25" s="13">
        <f>((100+L25)/100)*1.9</f>
        <v>1.9133000000000002</v>
      </c>
      <c r="L25" s="13">
        <v>0.7</v>
      </c>
      <c r="M25" s="5" t="s">
        <v>291</v>
      </c>
      <c r="N25" s="5" t="s">
        <v>291</v>
      </c>
      <c r="O25" s="5" t="s">
        <v>291</v>
      </c>
      <c r="P25" s="5" t="s">
        <v>291</v>
      </c>
      <c r="Q25" s="5" t="s">
        <v>291</v>
      </c>
      <c r="R25" s="5">
        <v>894</v>
      </c>
      <c r="S25" s="5" t="s">
        <v>39</v>
      </c>
      <c r="T25" s="5" t="s">
        <v>291</v>
      </c>
      <c r="U25" s="5" t="s">
        <v>291</v>
      </c>
      <c r="V25" s="5" t="s">
        <v>291</v>
      </c>
      <c r="W25" s="5">
        <v>0.27</v>
      </c>
      <c r="X25" s="5" t="s">
        <v>33</v>
      </c>
      <c r="Y25" s="5" t="s">
        <v>79</v>
      </c>
      <c r="Z25" s="5" t="s">
        <v>38</v>
      </c>
      <c r="AA25" s="5">
        <v>1</v>
      </c>
      <c r="AB25" s="5" t="s">
        <v>293</v>
      </c>
      <c r="AC25" s="5">
        <f t="shared" si="9"/>
        <v>65.600000000000009</v>
      </c>
      <c r="AD25" s="5">
        <v>8.6</v>
      </c>
      <c r="AE25" s="5">
        <v>5.3</v>
      </c>
      <c r="AF25" s="5">
        <v>9.8000000000000007</v>
      </c>
      <c r="AG25" s="5">
        <v>7.3</v>
      </c>
      <c r="AH25" s="5">
        <v>3.4</v>
      </c>
      <c r="AI25" s="5">
        <v>6.4</v>
      </c>
      <c r="AJ25" s="5">
        <v>59</v>
      </c>
      <c r="AK25" s="5">
        <v>3.7687499999999998</v>
      </c>
      <c r="AL25" s="5" t="s">
        <v>291</v>
      </c>
      <c r="AM25" s="13">
        <v>60</v>
      </c>
      <c r="AN25" s="5">
        <f>100*(AK25/F25)*(AE25*Calculations!$B$5*Calculations!$B$9+AF25*Calculations!$B$6*Calculations!$B$10+AG25*Calculations!$B$7*Calculations!$B$11+AH25*Calculations!$B$8*Calculations!$B$12)</f>
        <v>68.868693176287636</v>
      </c>
      <c r="AO25" s="11" t="s">
        <v>48</v>
      </c>
    </row>
    <row r="26" spans="1:41" x14ac:dyDescent="0.3">
      <c r="A26" s="11">
        <v>25</v>
      </c>
      <c r="B26" s="3" t="s">
        <v>56</v>
      </c>
      <c r="C26" s="7" t="s">
        <v>42</v>
      </c>
      <c r="D26" s="5" t="s">
        <v>291</v>
      </c>
      <c r="E26" s="5">
        <v>40.200000000000003</v>
      </c>
      <c r="F26" s="13">
        <f>79.5*(100/(100-K26-L26))</f>
        <v>81.633323646863502</v>
      </c>
      <c r="G26" s="13">
        <f>13.1*(100/(100-K26-L26))</f>
        <v>13.451528802187569</v>
      </c>
      <c r="H26" s="5">
        <f>0.2*(100/(100-K26-L26))</f>
        <v>0.20536685194179496</v>
      </c>
      <c r="I26" s="5">
        <f t="shared" si="10"/>
        <v>0.10268342597089748</v>
      </c>
      <c r="J26" s="13">
        <f>4.5*(100/(100-K26-L26))</f>
        <v>4.6207541686903868</v>
      </c>
      <c r="K26" s="13">
        <v>1.9133000000000002</v>
      </c>
      <c r="L26" s="13">
        <v>0.7</v>
      </c>
      <c r="M26" s="5" t="s">
        <v>291</v>
      </c>
      <c r="N26" s="5" t="s">
        <v>291</v>
      </c>
      <c r="O26" s="5" t="s">
        <v>291</v>
      </c>
      <c r="P26" s="5" t="s">
        <v>291</v>
      </c>
      <c r="Q26" s="5" t="s">
        <v>291</v>
      </c>
      <c r="R26" s="5">
        <v>890</v>
      </c>
      <c r="S26" s="5" t="s">
        <v>39</v>
      </c>
      <c r="T26" s="5" t="s">
        <v>291</v>
      </c>
      <c r="U26" s="5" t="s">
        <v>291</v>
      </c>
      <c r="V26" s="5" t="s">
        <v>291</v>
      </c>
      <c r="W26" s="5">
        <v>0.24</v>
      </c>
      <c r="X26" s="5" t="s">
        <v>33</v>
      </c>
      <c r="Y26" s="5" t="s">
        <v>79</v>
      </c>
      <c r="Z26" s="5" t="s">
        <v>38</v>
      </c>
      <c r="AA26" s="5">
        <v>1</v>
      </c>
      <c r="AB26" s="5" t="s">
        <v>293</v>
      </c>
      <c r="AC26" s="5">
        <f t="shared" si="9"/>
        <v>61.000000000000007</v>
      </c>
      <c r="AD26" s="5">
        <v>9.6</v>
      </c>
      <c r="AE26" s="5">
        <v>4.5</v>
      </c>
      <c r="AF26" s="5">
        <v>10.9</v>
      </c>
      <c r="AG26" s="5">
        <v>8.6</v>
      </c>
      <c r="AH26" s="5">
        <v>5.4</v>
      </c>
      <c r="AI26" s="5">
        <v>7.9</v>
      </c>
      <c r="AJ26" s="5">
        <v>32</v>
      </c>
      <c r="AK26" s="5">
        <v>3.5088607594936709</v>
      </c>
      <c r="AL26" s="5" t="s">
        <v>291</v>
      </c>
      <c r="AM26" s="13">
        <v>69</v>
      </c>
      <c r="AN26" s="5">
        <f>100*(AK26/F26)*(AE26*Calculations!$B$5*Calculations!$B$9+AF26*Calculations!$B$6*Calculations!$B$10+AG26*Calculations!$B$7*Calculations!$B$11+AH26*Calculations!$B$8*Calculations!$B$12)</f>
        <v>76.441030928933358</v>
      </c>
      <c r="AO26" s="11" t="s">
        <v>48</v>
      </c>
    </row>
    <row r="27" spans="1:41" x14ac:dyDescent="0.3">
      <c r="A27" s="11">
        <v>26</v>
      </c>
      <c r="B27" s="3" t="s">
        <v>56</v>
      </c>
      <c r="C27" s="7" t="s">
        <v>42</v>
      </c>
      <c r="D27" s="13">
        <v>1.5</v>
      </c>
      <c r="E27" s="5">
        <v>25.400000000000002</v>
      </c>
      <c r="F27" s="13">
        <f>53.9*(100/(100-K27-L27))</f>
        <v>61.132181613617384</v>
      </c>
      <c r="G27" s="13">
        <f>7.7*(100/(100-K27-L27))</f>
        <v>8.7331688019453413</v>
      </c>
      <c r="H27" s="5">
        <f>0.5*(100/(100-K27-L27))</f>
        <v>0.56708888324320395</v>
      </c>
      <c r="I27" s="5">
        <f t="shared" si="10"/>
        <v>0.11341777664864079</v>
      </c>
      <c r="J27" s="13">
        <f>26.3*(100/(100-K27-L27))</f>
        <v>29.828875258592529</v>
      </c>
      <c r="K27" s="13">
        <f>((100+L27)/100)*5.9</f>
        <v>6.2304000000000004</v>
      </c>
      <c r="L27" s="13">
        <v>5.6</v>
      </c>
      <c r="M27" s="5" t="s">
        <v>291</v>
      </c>
      <c r="N27" s="5" t="s">
        <v>291</v>
      </c>
      <c r="O27" s="5" t="s">
        <v>291</v>
      </c>
      <c r="P27" s="5" t="s">
        <v>291</v>
      </c>
      <c r="Q27" s="5" t="s">
        <v>291</v>
      </c>
      <c r="R27" s="5">
        <v>879</v>
      </c>
      <c r="S27" s="5" t="s">
        <v>39</v>
      </c>
      <c r="T27" s="5" t="s">
        <v>291</v>
      </c>
      <c r="U27" s="5" t="s">
        <v>291</v>
      </c>
      <c r="V27" s="5" t="s">
        <v>291</v>
      </c>
      <c r="W27" s="5">
        <v>0.26</v>
      </c>
      <c r="X27" s="5" t="s">
        <v>33</v>
      </c>
      <c r="Y27" s="5" t="s">
        <v>79</v>
      </c>
      <c r="Z27" s="5" t="s">
        <v>38</v>
      </c>
      <c r="AA27" s="5">
        <v>1</v>
      </c>
      <c r="AB27" s="5" t="s">
        <v>293</v>
      </c>
      <c r="AC27" s="5">
        <f t="shared" si="9"/>
        <v>55.800000000000004</v>
      </c>
      <c r="AD27" s="5">
        <v>9.9</v>
      </c>
      <c r="AE27" s="5">
        <v>11.6</v>
      </c>
      <c r="AF27" s="5">
        <v>14.3</v>
      </c>
      <c r="AG27" s="5">
        <v>6.3</v>
      </c>
      <c r="AH27" s="5">
        <v>2.1</v>
      </c>
      <c r="AI27" s="5">
        <v>6.2</v>
      </c>
      <c r="AJ27" s="5">
        <v>19</v>
      </c>
      <c r="AK27" s="5">
        <v>2.4387096774193551</v>
      </c>
      <c r="AL27" s="5" t="s">
        <v>291</v>
      </c>
      <c r="AM27" s="13">
        <v>60</v>
      </c>
      <c r="AN27" s="5">
        <f>100*(AK27/F27)*(AE27*Calculations!$B$5*Calculations!$B$9+AF27*Calculations!$B$6*Calculations!$B$10+AG27*Calculations!$B$7*Calculations!$B$11+AH27*Calculations!$B$8*Calculations!$B$12)</f>
        <v>74.270694432959488</v>
      </c>
      <c r="AO27" s="11" t="s">
        <v>48</v>
      </c>
    </row>
    <row r="28" spans="1:41" x14ac:dyDescent="0.3">
      <c r="A28" s="11">
        <v>27</v>
      </c>
      <c r="B28" s="3" t="s">
        <v>56</v>
      </c>
      <c r="C28" s="7" t="s">
        <v>42</v>
      </c>
      <c r="D28" s="13">
        <v>1.5</v>
      </c>
      <c r="E28" s="5">
        <v>25.400000000000002</v>
      </c>
      <c r="F28" s="13">
        <f>53.9*(100/(100-K28-L28))</f>
        <v>61.132181613617384</v>
      </c>
      <c r="G28" s="13">
        <f>7.7*(100/(100-K28-L28))</f>
        <v>8.7331688019453413</v>
      </c>
      <c r="H28" s="5">
        <f>0.5*(100/(100-K28-L28))</f>
        <v>0.56708888324320395</v>
      </c>
      <c r="I28" s="5">
        <f t="shared" si="10"/>
        <v>0.11341777664864079</v>
      </c>
      <c r="J28" s="13">
        <f>26.3*(100/(100-K28-L28))</f>
        <v>29.828875258592529</v>
      </c>
      <c r="K28" s="13">
        <v>6.2304000000000004</v>
      </c>
      <c r="L28" s="13">
        <v>5.6</v>
      </c>
      <c r="M28" s="5" t="s">
        <v>291</v>
      </c>
      <c r="N28" s="5" t="s">
        <v>291</v>
      </c>
      <c r="O28" s="5" t="s">
        <v>291</v>
      </c>
      <c r="P28" s="5" t="s">
        <v>291</v>
      </c>
      <c r="Q28" s="5" t="s">
        <v>291</v>
      </c>
      <c r="R28" s="5">
        <v>915</v>
      </c>
      <c r="S28" s="5" t="s">
        <v>39</v>
      </c>
      <c r="T28" s="5" t="s">
        <v>291</v>
      </c>
      <c r="U28" s="5" t="s">
        <v>291</v>
      </c>
      <c r="V28" s="5" t="s">
        <v>291</v>
      </c>
      <c r="W28" s="5">
        <v>0.31</v>
      </c>
      <c r="X28" s="5" t="s">
        <v>33</v>
      </c>
      <c r="Y28" s="5" t="s">
        <v>79</v>
      </c>
      <c r="Z28" s="5" t="s">
        <v>38</v>
      </c>
      <c r="AA28" s="5">
        <v>1</v>
      </c>
      <c r="AB28" s="5" t="s">
        <v>293</v>
      </c>
      <c r="AC28" s="5">
        <f t="shared" si="9"/>
        <v>60.699999999999996</v>
      </c>
      <c r="AD28" s="5">
        <v>7.9</v>
      </c>
      <c r="AE28" s="5">
        <v>10.9</v>
      </c>
      <c r="AF28" s="5">
        <v>14.1</v>
      </c>
      <c r="AG28" s="5">
        <v>4.9000000000000004</v>
      </c>
      <c r="AH28" s="5">
        <v>1.5</v>
      </c>
      <c r="AI28" s="5">
        <v>5</v>
      </c>
      <c r="AJ28" s="5">
        <v>14</v>
      </c>
      <c r="AK28" s="5">
        <v>2.7359999999999998</v>
      </c>
      <c r="AL28" s="5" t="s">
        <v>291</v>
      </c>
      <c r="AM28" s="13">
        <v>54</v>
      </c>
      <c r="AN28" s="5">
        <f>100*(AK28/F28)*(AE28*Calculations!$B$5*Calculations!$B$9+AF28*Calculations!$B$6*Calculations!$B$10+AG28*Calculations!$B$7*Calculations!$B$11+AH28*Calculations!$B$8*Calculations!$B$12)</f>
        <v>75.507174470425454</v>
      </c>
      <c r="AO28" s="11" t="s">
        <v>48</v>
      </c>
    </row>
    <row r="29" spans="1:41" x14ac:dyDescent="0.3">
      <c r="A29" s="11">
        <v>28</v>
      </c>
      <c r="B29" s="3" t="s">
        <v>157</v>
      </c>
      <c r="C29" s="7" t="s">
        <v>42</v>
      </c>
      <c r="D29" s="13">
        <v>2</v>
      </c>
      <c r="E29" s="5">
        <v>27.3</v>
      </c>
      <c r="F29" s="13">
        <f>56.8*(100/(100-K29-L29))</f>
        <v>69.614497464218388</v>
      </c>
      <c r="G29" s="13">
        <f>8.3*(100/(100-K29-L29))</f>
        <v>10.172541002693887</v>
      </c>
      <c r="H29" s="5">
        <f>0.5*(100/(100-K29-L29))</f>
        <v>0.61280367486107745</v>
      </c>
      <c r="I29" s="5">
        <f>0.6*(100/(100-K29-L29))</f>
        <v>0.73536440983329288</v>
      </c>
      <c r="J29" s="13">
        <f>15.7*(100/(100-K29-L29))</f>
        <v>19.242035390637831</v>
      </c>
      <c r="K29" s="13">
        <f>((100+L29)/100)*16.2</f>
        <v>16.5078</v>
      </c>
      <c r="L29" s="13">
        <v>1.9</v>
      </c>
      <c r="M29" s="5" t="s">
        <v>291</v>
      </c>
      <c r="N29" s="5" t="s">
        <v>291</v>
      </c>
      <c r="O29" s="5" t="s">
        <v>291</v>
      </c>
      <c r="P29" s="5" t="s">
        <v>291</v>
      </c>
      <c r="Q29" s="5" t="s">
        <v>291</v>
      </c>
      <c r="R29" s="5">
        <v>899</v>
      </c>
      <c r="S29" s="5" t="s">
        <v>39</v>
      </c>
      <c r="T29" s="5" t="s">
        <v>291</v>
      </c>
      <c r="U29" s="5" t="s">
        <v>291</v>
      </c>
      <c r="V29" s="5" t="s">
        <v>291</v>
      </c>
      <c r="W29" s="5">
        <v>0.34</v>
      </c>
      <c r="X29" s="5" t="s">
        <v>33</v>
      </c>
      <c r="Y29" s="5" t="s">
        <v>79</v>
      </c>
      <c r="Z29" s="5" t="s">
        <v>38</v>
      </c>
      <c r="AA29" s="5">
        <v>1</v>
      </c>
      <c r="AB29" s="5" t="s">
        <v>293</v>
      </c>
      <c r="AC29" s="5">
        <f t="shared" si="9"/>
        <v>64.7</v>
      </c>
      <c r="AD29" s="5">
        <v>5.9</v>
      </c>
      <c r="AE29" s="5">
        <v>7.6</v>
      </c>
      <c r="AF29" s="5">
        <v>13.4</v>
      </c>
      <c r="AG29" s="5">
        <v>6.6</v>
      </c>
      <c r="AH29" s="5">
        <v>1.8</v>
      </c>
      <c r="AI29" s="5">
        <v>5.2</v>
      </c>
      <c r="AJ29" s="5">
        <v>15</v>
      </c>
      <c r="AK29" s="5">
        <v>2.4923076923076923</v>
      </c>
      <c r="AL29" s="5" t="s">
        <v>291</v>
      </c>
      <c r="AM29" s="13">
        <v>48</v>
      </c>
      <c r="AN29" s="5">
        <f>100*(AK29/F29)*(AE29*Calculations!$B$5*Calculations!$B$9+AF29*Calculations!$B$6*Calculations!$B$10+AG29*Calculations!$B$7*Calculations!$B$11+AH29*Calculations!$B$8*Calculations!$B$12)</f>
        <v>57.360775497833927</v>
      </c>
      <c r="AO29" s="11" t="s">
        <v>48</v>
      </c>
    </row>
    <row r="30" spans="1:41" x14ac:dyDescent="0.3">
      <c r="A30" s="11">
        <v>29</v>
      </c>
      <c r="B30" s="3" t="s">
        <v>157</v>
      </c>
      <c r="C30" s="7" t="s">
        <v>42</v>
      </c>
      <c r="D30" s="13">
        <v>2</v>
      </c>
      <c r="E30" s="5">
        <v>27.3</v>
      </c>
      <c r="F30" s="13">
        <f>56.8*(100/(100-K30-L30))</f>
        <v>69.614497464218388</v>
      </c>
      <c r="G30" s="13">
        <f>8.3*(100/(100-K30-L30))</f>
        <v>10.172541002693887</v>
      </c>
      <c r="H30" s="5">
        <f>0.5*(100/(100-K30-L30))</f>
        <v>0.61280367486107745</v>
      </c>
      <c r="I30" s="5">
        <f>0.6*(100/(100-K30-L30))</f>
        <v>0.73536440983329288</v>
      </c>
      <c r="J30" s="13">
        <f>15.7*(100/(100-K30-L30))</f>
        <v>19.242035390637831</v>
      </c>
      <c r="K30" s="13">
        <v>16.5078</v>
      </c>
      <c r="L30" s="13">
        <v>1.9</v>
      </c>
      <c r="M30" s="5" t="s">
        <v>291</v>
      </c>
      <c r="N30" s="5" t="s">
        <v>291</v>
      </c>
      <c r="O30" s="5" t="s">
        <v>291</v>
      </c>
      <c r="P30" s="5" t="s">
        <v>291</v>
      </c>
      <c r="Q30" s="5" t="s">
        <v>291</v>
      </c>
      <c r="R30" s="5">
        <v>896</v>
      </c>
      <c r="S30" s="5" t="s">
        <v>39</v>
      </c>
      <c r="T30" s="5" t="s">
        <v>291</v>
      </c>
      <c r="U30" s="5" t="s">
        <v>291</v>
      </c>
      <c r="V30" s="5" t="s">
        <v>291</v>
      </c>
      <c r="W30" s="5">
        <v>0.28000000000000003</v>
      </c>
      <c r="X30" s="5" t="s">
        <v>33</v>
      </c>
      <c r="Y30" s="5" t="s">
        <v>79</v>
      </c>
      <c r="Z30" s="5" t="s">
        <v>38</v>
      </c>
      <c r="AA30" s="5">
        <v>1</v>
      </c>
      <c r="AB30" s="5" t="s">
        <v>293</v>
      </c>
      <c r="AC30" s="5">
        <f t="shared" si="9"/>
        <v>62.3</v>
      </c>
      <c r="AD30" s="5">
        <v>7.9</v>
      </c>
      <c r="AE30" s="5">
        <v>8.6999999999999993</v>
      </c>
      <c r="AF30" s="5">
        <v>12.3</v>
      </c>
      <c r="AG30" s="5">
        <v>7</v>
      </c>
      <c r="AH30" s="5">
        <v>1.8</v>
      </c>
      <c r="AI30" s="5">
        <v>5.7</v>
      </c>
      <c r="AJ30" s="5">
        <v>43</v>
      </c>
      <c r="AK30" s="5">
        <v>2.2105263157894735</v>
      </c>
      <c r="AL30" s="5" t="s">
        <v>291</v>
      </c>
      <c r="AM30" s="18">
        <v>46</v>
      </c>
      <c r="AN30" s="5">
        <f>100*(AK30/F30)*(AE30*Calculations!$B$5*Calculations!$B$9+AF30*Calculations!$B$6*Calculations!$B$10+AG30*Calculations!$B$7*Calculations!$B$11+AH30*Calculations!$B$8*Calculations!$B$12)</f>
        <v>51.321773536045214</v>
      </c>
      <c r="AO30" s="11" t="s">
        <v>48</v>
      </c>
    </row>
    <row r="31" spans="1:41" ht="14.5" thickBot="1" x14ac:dyDescent="0.35">
      <c r="A31" s="11">
        <v>30</v>
      </c>
      <c r="B31" s="3" t="s">
        <v>157</v>
      </c>
      <c r="C31" s="7" t="s">
        <v>42</v>
      </c>
      <c r="D31" s="13">
        <v>2</v>
      </c>
      <c r="E31" s="5">
        <v>27.3</v>
      </c>
      <c r="F31" s="13">
        <f>56.8*(100/(100-K31-L31))</f>
        <v>69.614497464218388</v>
      </c>
      <c r="G31" s="13">
        <f>8.3*(100/(100-K31-L31))</f>
        <v>10.172541002693887</v>
      </c>
      <c r="H31" s="5">
        <f>0.5*(100/(100-K31-L31))</f>
        <v>0.61280367486107745</v>
      </c>
      <c r="I31" s="5">
        <f>0.6*(100/(100-K31-L31))</f>
        <v>0.73536440983329288</v>
      </c>
      <c r="J31" s="13">
        <f>15.7*(100/(100-K31-L31))</f>
        <v>19.242035390637831</v>
      </c>
      <c r="K31" s="13">
        <v>16.5078</v>
      </c>
      <c r="L31" s="13">
        <v>1.9</v>
      </c>
      <c r="M31" s="5" t="s">
        <v>291</v>
      </c>
      <c r="N31" s="5" t="s">
        <v>291</v>
      </c>
      <c r="O31" s="5" t="s">
        <v>291</v>
      </c>
      <c r="P31" s="5" t="s">
        <v>291</v>
      </c>
      <c r="Q31" s="5" t="s">
        <v>291</v>
      </c>
      <c r="R31" s="5">
        <v>869</v>
      </c>
      <c r="S31" s="5" t="s">
        <v>39</v>
      </c>
      <c r="T31" s="5" t="s">
        <v>291</v>
      </c>
      <c r="U31" s="5" t="s">
        <v>291</v>
      </c>
      <c r="V31" s="5" t="s">
        <v>291</v>
      </c>
      <c r="W31" s="5">
        <v>0.23</v>
      </c>
      <c r="X31" s="5" t="s">
        <v>33</v>
      </c>
      <c r="Y31" s="5" t="s">
        <v>79</v>
      </c>
      <c r="Z31" s="5" t="s">
        <v>38</v>
      </c>
      <c r="AA31" s="5">
        <v>1</v>
      </c>
      <c r="AB31" s="5" t="s">
        <v>293</v>
      </c>
      <c r="AC31" s="5">
        <f t="shared" si="9"/>
        <v>57.900000000000006</v>
      </c>
      <c r="AD31" s="5">
        <v>9.1999999999999993</v>
      </c>
      <c r="AE31" s="5">
        <v>9.1</v>
      </c>
      <c r="AF31" s="5">
        <v>12.8</v>
      </c>
      <c r="AG31" s="5">
        <v>8.3000000000000007</v>
      </c>
      <c r="AH31" s="5">
        <v>2.7</v>
      </c>
      <c r="AI31" s="5">
        <v>6.9</v>
      </c>
      <c r="AJ31" s="5">
        <v>54</v>
      </c>
      <c r="AK31" s="5">
        <v>1.9304347826086956</v>
      </c>
      <c r="AL31" s="5" t="s">
        <v>291</v>
      </c>
      <c r="AM31" s="19">
        <v>49</v>
      </c>
      <c r="AN31" s="5">
        <f>100*(AK31/F31)*(AE31*Calculations!$B$5*Calculations!$B$9+AF31*Calculations!$B$6*Calculations!$B$10+AG31*Calculations!$B$7*Calculations!$B$11+AH31*Calculations!$B$8*Calculations!$B$12)</f>
        <v>50.410132355830861</v>
      </c>
      <c r="AO31" s="11" t="s">
        <v>48</v>
      </c>
    </row>
    <row r="32" spans="1:41" x14ac:dyDescent="0.3">
      <c r="A32" s="11">
        <v>31</v>
      </c>
      <c r="B32" s="3" t="s">
        <v>288</v>
      </c>
      <c r="C32" s="3" t="s">
        <v>67</v>
      </c>
      <c r="D32" s="5">
        <f>(2+6)/2</f>
        <v>4</v>
      </c>
      <c r="E32" s="5">
        <f>15.22-(9*((G32/100*(100/(100-L32))))*Calculations!$B$16)</f>
        <v>13.959800867678959</v>
      </c>
      <c r="F32" s="20">
        <v>43.52</v>
      </c>
      <c r="G32" s="5">
        <v>5.72</v>
      </c>
      <c r="H32" s="5">
        <v>1.2</v>
      </c>
      <c r="I32" s="5">
        <v>0.66</v>
      </c>
      <c r="J32" s="5">
        <v>48.9</v>
      </c>
      <c r="K32" s="5">
        <f>(100/(100-L32))*4.5</f>
        <v>4.8806941431670285</v>
      </c>
      <c r="L32" s="5">
        <v>7.8</v>
      </c>
      <c r="M32" s="5">
        <f>(100/(100-L32))*79.34</f>
        <v>86.052060737527128</v>
      </c>
      <c r="N32" s="5">
        <f>(100/(100-L32))*8.36</f>
        <v>9.0672451193058574</v>
      </c>
      <c r="O32" s="5" t="s">
        <v>291</v>
      </c>
      <c r="P32" s="5" t="s">
        <v>291</v>
      </c>
      <c r="Q32" s="5" t="s">
        <v>291</v>
      </c>
      <c r="R32" s="5">
        <v>650</v>
      </c>
      <c r="S32" s="5" t="s">
        <v>39</v>
      </c>
      <c r="T32" s="5" t="s">
        <v>75</v>
      </c>
      <c r="U32" s="5" t="s">
        <v>291</v>
      </c>
      <c r="V32" s="5" t="s">
        <v>291</v>
      </c>
      <c r="W32" s="5">
        <v>0.25</v>
      </c>
      <c r="X32" s="5" t="s">
        <v>33</v>
      </c>
      <c r="Y32" s="5" t="s">
        <v>79</v>
      </c>
      <c r="Z32" s="5" t="s">
        <v>295</v>
      </c>
      <c r="AA32" s="5">
        <v>0</v>
      </c>
      <c r="AB32" s="5" t="s">
        <v>293</v>
      </c>
      <c r="AC32" s="5">
        <f>100-AD32-AE32-AF32-AG32</f>
        <v>62</v>
      </c>
      <c r="AD32" s="5">
        <v>7.25</v>
      </c>
      <c r="AE32" s="5">
        <v>11.5</v>
      </c>
      <c r="AF32" s="5">
        <v>17</v>
      </c>
      <c r="AG32" s="5">
        <v>2.25</v>
      </c>
      <c r="AH32" s="5" t="s">
        <v>291</v>
      </c>
      <c r="AI32" s="5">
        <v>3.27</v>
      </c>
      <c r="AJ32" s="5" t="s">
        <v>291</v>
      </c>
      <c r="AK32" s="5">
        <v>1.3</v>
      </c>
      <c r="AL32" s="5" t="s">
        <v>291</v>
      </c>
      <c r="AM32" s="5">
        <v>28</v>
      </c>
      <c r="AN32" s="5">
        <v>50</v>
      </c>
      <c r="AO32" s="11" t="s">
        <v>62</v>
      </c>
    </row>
    <row r="33" spans="1:41" x14ac:dyDescent="0.3">
      <c r="A33" s="11">
        <v>32</v>
      </c>
      <c r="B33" s="3" t="s">
        <v>288</v>
      </c>
      <c r="C33" s="3" t="s">
        <v>67</v>
      </c>
      <c r="D33" s="5">
        <f t="shared" ref="D33:D45" si="11">(2+6)/2</f>
        <v>4</v>
      </c>
      <c r="E33" s="5">
        <f>15.22-(9*((G33/100*(100/(100-L33))))*Calculations!$B$16)</f>
        <v>13.959800867678959</v>
      </c>
      <c r="F33" s="5">
        <v>43.52</v>
      </c>
      <c r="G33" s="5">
        <v>5.72</v>
      </c>
      <c r="H33" s="5">
        <v>1.2</v>
      </c>
      <c r="I33" s="5">
        <v>0.66</v>
      </c>
      <c r="J33" s="5">
        <v>48.9</v>
      </c>
      <c r="K33" s="5">
        <f>(100/(100-L33))*4.5</f>
        <v>4.8806941431670285</v>
      </c>
      <c r="L33" s="5">
        <v>7.8</v>
      </c>
      <c r="M33" s="5">
        <f>(100/(100-L33))*79.34</f>
        <v>86.052060737527128</v>
      </c>
      <c r="N33" s="5">
        <f>(100/(100-L33))*8.36</f>
        <v>9.0672451193058574</v>
      </c>
      <c r="O33" s="5" t="s">
        <v>291</v>
      </c>
      <c r="P33" s="5" t="s">
        <v>291</v>
      </c>
      <c r="Q33" s="5" t="s">
        <v>291</v>
      </c>
      <c r="R33" s="5">
        <v>750</v>
      </c>
      <c r="S33" s="5" t="s">
        <v>39</v>
      </c>
      <c r="T33" s="5" t="s">
        <v>75</v>
      </c>
      <c r="U33" s="5" t="s">
        <v>291</v>
      </c>
      <c r="V33" s="5" t="s">
        <v>291</v>
      </c>
      <c r="W33" s="5">
        <v>0.25</v>
      </c>
      <c r="X33" s="5" t="s">
        <v>33</v>
      </c>
      <c r="Y33" s="5" t="s">
        <v>79</v>
      </c>
      <c r="Z33" s="5" t="s">
        <v>295</v>
      </c>
      <c r="AA33" s="5">
        <v>0</v>
      </c>
      <c r="AB33" s="5" t="s">
        <v>293</v>
      </c>
      <c r="AC33" s="5">
        <f t="shared" ref="AC33:AC45" si="12">100-AD33-AE33-AF33-AG33</f>
        <v>57.4</v>
      </c>
      <c r="AD33" s="5">
        <v>6.5</v>
      </c>
      <c r="AE33" s="5">
        <v>13.75</v>
      </c>
      <c r="AF33" s="5">
        <v>18.75</v>
      </c>
      <c r="AG33" s="5">
        <v>3.6</v>
      </c>
      <c r="AH33" s="5" t="s">
        <v>291</v>
      </c>
      <c r="AI33" s="5">
        <v>3.45</v>
      </c>
      <c r="AJ33" s="5" t="s">
        <v>291</v>
      </c>
      <c r="AK33" s="5">
        <v>1.5</v>
      </c>
      <c r="AL33" s="5" t="s">
        <v>291</v>
      </c>
      <c r="AM33" s="5">
        <v>37</v>
      </c>
      <c r="AN33" s="5">
        <v>64</v>
      </c>
      <c r="AO33" s="11" t="s">
        <v>62</v>
      </c>
    </row>
    <row r="34" spans="1:41" x14ac:dyDescent="0.3">
      <c r="A34" s="11">
        <v>33</v>
      </c>
      <c r="B34" s="3" t="s">
        <v>288</v>
      </c>
      <c r="C34" s="3" t="s">
        <v>67</v>
      </c>
      <c r="D34" s="5">
        <f t="shared" si="11"/>
        <v>4</v>
      </c>
      <c r="E34" s="5">
        <f>15.22-(9*((G34/100*(100/(100-L34))))*Calculations!$B$16)</f>
        <v>13.959800867678959</v>
      </c>
      <c r="F34" s="5">
        <v>43.52</v>
      </c>
      <c r="G34" s="5">
        <v>5.72</v>
      </c>
      <c r="H34" s="5">
        <v>1.2</v>
      </c>
      <c r="I34" s="5">
        <v>0.66</v>
      </c>
      <c r="J34" s="5">
        <v>48.9</v>
      </c>
      <c r="K34" s="5">
        <f>(100/(100-L34))*4.5</f>
        <v>4.8806941431670285</v>
      </c>
      <c r="L34" s="5">
        <v>7.8</v>
      </c>
      <c r="M34" s="5">
        <f>(100/(100-L34))*79.34</f>
        <v>86.052060737527128</v>
      </c>
      <c r="N34" s="5">
        <f>(100/(100-L34))*8.36</f>
        <v>9.0672451193058574</v>
      </c>
      <c r="O34" s="5" t="s">
        <v>291</v>
      </c>
      <c r="P34" s="5" t="s">
        <v>291</v>
      </c>
      <c r="Q34" s="5" t="s">
        <v>291</v>
      </c>
      <c r="R34" s="5">
        <v>850</v>
      </c>
      <c r="S34" s="5" t="s">
        <v>39</v>
      </c>
      <c r="T34" s="5" t="s">
        <v>75</v>
      </c>
      <c r="U34" s="5" t="s">
        <v>291</v>
      </c>
      <c r="V34" s="5" t="s">
        <v>291</v>
      </c>
      <c r="W34" s="5">
        <v>0.25</v>
      </c>
      <c r="X34" s="5" t="s">
        <v>33</v>
      </c>
      <c r="Y34" s="5" t="s">
        <v>79</v>
      </c>
      <c r="Z34" s="5" t="s">
        <v>295</v>
      </c>
      <c r="AA34" s="5">
        <v>0</v>
      </c>
      <c r="AB34" s="5" t="s">
        <v>293</v>
      </c>
      <c r="AC34" s="5">
        <f t="shared" si="12"/>
        <v>53</v>
      </c>
      <c r="AD34" s="5">
        <v>7.25</v>
      </c>
      <c r="AE34" s="5">
        <v>17.25</v>
      </c>
      <c r="AF34" s="5">
        <v>19</v>
      </c>
      <c r="AG34" s="5">
        <v>3.5</v>
      </c>
      <c r="AH34" s="5" t="s">
        <v>291</v>
      </c>
      <c r="AI34" s="5">
        <v>4.45</v>
      </c>
      <c r="AJ34" s="5" t="s">
        <v>291</v>
      </c>
      <c r="AK34" s="5">
        <v>1.75</v>
      </c>
      <c r="AL34" s="5" t="s">
        <v>291</v>
      </c>
      <c r="AM34" s="5">
        <v>50</v>
      </c>
      <c r="AN34" s="5">
        <v>75</v>
      </c>
      <c r="AO34" s="11" t="s">
        <v>62</v>
      </c>
    </row>
    <row r="35" spans="1:41" x14ac:dyDescent="0.3">
      <c r="A35" s="11">
        <v>34</v>
      </c>
      <c r="B35" s="3" t="s">
        <v>288</v>
      </c>
      <c r="C35" s="3" t="s">
        <v>67</v>
      </c>
      <c r="D35" s="5">
        <f t="shared" si="11"/>
        <v>4</v>
      </c>
      <c r="E35" s="5">
        <f>15.22-(9*((G35/100*(100/(100-L35))))*Calculations!$B$16)</f>
        <v>13.959800867678959</v>
      </c>
      <c r="F35" s="5">
        <v>43.52</v>
      </c>
      <c r="G35" s="5">
        <v>5.72</v>
      </c>
      <c r="H35" s="5">
        <v>1.2</v>
      </c>
      <c r="I35" s="5">
        <v>0.66</v>
      </c>
      <c r="J35" s="5">
        <v>48.9</v>
      </c>
      <c r="K35" s="5">
        <f t="shared" ref="K35:K40" si="13">(100/(100-L35))*4.5</f>
        <v>4.8806941431670285</v>
      </c>
      <c r="L35" s="5">
        <v>7.8</v>
      </c>
      <c r="M35" s="5">
        <f t="shared" ref="M35:M40" si="14">(100/(100-L35))*79.34</f>
        <v>86.052060737527128</v>
      </c>
      <c r="N35" s="5">
        <f t="shared" ref="N35:N40" si="15">(100/(100-L35))*8.36</f>
        <v>9.0672451193058574</v>
      </c>
      <c r="O35" s="5" t="s">
        <v>291</v>
      </c>
      <c r="P35" s="5" t="s">
        <v>291</v>
      </c>
      <c r="Q35" s="5" t="s">
        <v>291</v>
      </c>
      <c r="R35" s="5">
        <v>950</v>
      </c>
      <c r="S35" s="5" t="s">
        <v>39</v>
      </c>
      <c r="T35" s="5" t="s">
        <v>75</v>
      </c>
      <c r="U35" s="5" t="s">
        <v>291</v>
      </c>
      <c r="V35" s="5" t="s">
        <v>291</v>
      </c>
      <c r="W35" s="5">
        <v>0.25</v>
      </c>
      <c r="X35" s="5" t="s">
        <v>33</v>
      </c>
      <c r="Y35" s="5" t="s">
        <v>79</v>
      </c>
      <c r="Z35" s="5" t="s">
        <v>295</v>
      </c>
      <c r="AA35" s="5">
        <v>0</v>
      </c>
      <c r="AB35" s="5" t="s">
        <v>293</v>
      </c>
      <c r="AC35" s="5">
        <f t="shared" si="12"/>
        <v>51.75</v>
      </c>
      <c r="AD35" s="5">
        <v>9.5</v>
      </c>
      <c r="AE35" s="5">
        <v>18.75</v>
      </c>
      <c r="AF35" s="5">
        <v>17</v>
      </c>
      <c r="AG35" s="5">
        <v>3</v>
      </c>
      <c r="AH35" s="5" t="s">
        <v>291</v>
      </c>
      <c r="AI35" s="5">
        <v>4.95</v>
      </c>
      <c r="AJ35" s="5" t="s">
        <v>291</v>
      </c>
      <c r="AK35" s="5">
        <v>1.9</v>
      </c>
      <c r="AL35" s="5" t="s">
        <v>291</v>
      </c>
      <c r="AM35" s="5">
        <v>63</v>
      </c>
      <c r="AN35" s="5">
        <v>82</v>
      </c>
      <c r="AO35" s="11" t="s">
        <v>62</v>
      </c>
    </row>
    <row r="36" spans="1:41" x14ac:dyDescent="0.3">
      <c r="A36" s="11">
        <v>35</v>
      </c>
      <c r="B36" s="3" t="s">
        <v>288</v>
      </c>
      <c r="C36" s="3" t="s">
        <v>67</v>
      </c>
      <c r="D36" s="5">
        <f t="shared" si="11"/>
        <v>4</v>
      </c>
      <c r="E36" s="5">
        <f>15.22-(9*((G36/100*(100/(100-L36))))*Calculations!$B$16)</f>
        <v>13.959800867678959</v>
      </c>
      <c r="F36" s="5">
        <v>43.52</v>
      </c>
      <c r="G36" s="5">
        <v>5.72</v>
      </c>
      <c r="H36" s="5">
        <v>1.2</v>
      </c>
      <c r="I36" s="5">
        <v>0.66</v>
      </c>
      <c r="J36" s="5">
        <v>48.9</v>
      </c>
      <c r="K36" s="5">
        <f t="shared" si="13"/>
        <v>4.8806941431670285</v>
      </c>
      <c r="L36" s="5">
        <v>7.8</v>
      </c>
      <c r="M36" s="5">
        <f t="shared" si="14"/>
        <v>86.052060737527128</v>
      </c>
      <c r="N36" s="5">
        <f t="shared" si="15"/>
        <v>9.0672451193058574</v>
      </c>
      <c r="O36" s="5" t="s">
        <v>291</v>
      </c>
      <c r="P36" s="5" t="s">
        <v>291</v>
      </c>
      <c r="Q36" s="5" t="s">
        <v>291</v>
      </c>
      <c r="R36" s="5">
        <v>1050</v>
      </c>
      <c r="S36" s="5" t="s">
        <v>39</v>
      </c>
      <c r="T36" s="5" t="s">
        <v>75</v>
      </c>
      <c r="U36" s="5" t="s">
        <v>291</v>
      </c>
      <c r="V36" s="5" t="s">
        <v>291</v>
      </c>
      <c r="W36" s="5">
        <v>0.25</v>
      </c>
      <c r="X36" s="5" t="s">
        <v>33</v>
      </c>
      <c r="Y36" s="5" t="s">
        <v>79</v>
      </c>
      <c r="Z36" s="5" t="s">
        <v>295</v>
      </c>
      <c r="AA36" s="5">
        <v>0</v>
      </c>
      <c r="AB36" s="5" t="s">
        <v>293</v>
      </c>
      <c r="AC36" s="5">
        <f t="shared" si="12"/>
        <v>50.75</v>
      </c>
      <c r="AD36" s="5">
        <v>12.25</v>
      </c>
      <c r="AE36" s="5">
        <v>20</v>
      </c>
      <c r="AF36" s="5">
        <v>14</v>
      </c>
      <c r="AG36" s="5">
        <v>3</v>
      </c>
      <c r="AH36" s="5" t="s">
        <v>291</v>
      </c>
      <c r="AI36" s="5">
        <v>5.37</v>
      </c>
      <c r="AJ36" s="5" t="s">
        <v>291</v>
      </c>
      <c r="AK36" s="5">
        <v>2</v>
      </c>
      <c r="AL36" s="5" t="s">
        <v>291</v>
      </c>
      <c r="AM36" s="5">
        <v>71</v>
      </c>
      <c r="AN36" s="5">
        <v>89</v>
      </c>
      <c r="AO36" s="11" t="s">
        <v>62</v>
      </c>
    </row>
    <row r="37" spans="1:41" x14ac:dyDescent="0.3">
      <c r="A37" s="11">
        <v>36</v>
      </c>
      <c r="B37" s="3" t="s">
        <v>288</v>
      </c>
      <c r="C37" s="3" t="s">
        <v>67</v>
      </c>
      <c r="D37" s="5">
        <f t="shared" si="11"/>
        <v>4</v>
      </c>
      <c r="E37" s="5">
        <f>15.22-(9*((G37/100*(100/(100-L37))))*Calculations!$B$16)</f>
        <v>13.959800867678959</v>
      </c>
      <c r="F37" s="5">
        <v>43.52</v>
      </c>
      <c r="G37" s="5">
        <v>5.72</v>
      </c>
      <c r="H37" s="5">
        <v>1.2</v>
      </c>
      <c r="I37" s="5">
        <v>0.66</v>
      </c>
      <c r="J37" s="5">
        <v>48.9</v>
      </c>
      <c r="K37" s="5">
        <f t="shared" si="13"/>
        <v>4.8806941431670285</v>
      </c>
      <c r="L37" s="5">
        <v>7.8</v>
      </c>
      <c r="M37" s="5">
        <f t="shared" si="14"/>
        <v>86.052060737527128</v>
      </c>
      <c r="N37" s="5">
        <f t="shared" si="15"/>
        <v>9.0672451193058574</v>
      </c>
      <c r="O37" s="5" t="s">
        <v>291</v>
      </c>
      <c r="P37" s="5" t="s">
        <v>291</v>
      </c>
      <c r="Q37" s="5" t="s">
        <v>291</v>
      </c>
      <c r="R37" s="5">
        <v>770</v>
      </c>
      <c r="S37" s="5" t="s">
        <v>39</v>
      </c>
      <c r="T37" s="5" t="s">
        <v>75</v>
      </c>
      <c r="U37" s="5" t="s">
        <v>291</v>
      </c>
      <c r="V37" s="5" t="s">
        <v>291</v>
      </c>
      <c r="W37" s="5">
        <v>0.17</v>
      </c>
      <c r="X37" s="5" t="s">
        <v>33</v>
      </c>
      <c r="Y37" s="5" t="s">
        <v>79</v>
      </c>
      <c r="Z37" s="5" t="s">
        <v>295</v>
      </c>
      <c r="AA37" s="5">
        <v>0</v>
      </c>
      <c r="AB37" s="5" t="s">
        <v>293</v>
      </c>
      <c r="AC37" s="5">
        <f t="shared" si="12"/>
        <v>55.75</v>
      </c>
      <c r="AD37" s="5">
        <v>7.5</v>
      </c>
      <c r="AE37" s="5">
        <v>15.75</v>
      </c>
      <c r="AF37" s="5">
        <v>18</v>
      </c>
      <c r="AG37" s="5">
        <v>3</v>
      </c>
      <c r="AH37" s="5" t="s">
        <v>291</v>
      </c>
      <c r="AI37" s="5">
        <v>4.25</v>
      </c>
      <c r="AJ37" s="5" t="s">
        <v>291</v>
      </c>
      <c r="AK37" s="5">
        <v>1.2</v>
      </c>
      <c r="AL37" s="5" t="s">
        <v>291</v>
      </c>
      <c r="AM37" s="5">
        <v>29</v>
      </c>
      <c r="AN37" s="5">
        <v>47</v>
      </c>
      <c r="AO37" s="11" t="s">
        <v>62</v>
      </c>
    </row>
    <row r="38" spans="1:41" x14ac:dyDescent="0.3">
      <c r="A38" s="11">
        <v>37</v>
      </c>
      <c r="B38" s="3" t="s">
        <v>288</v>
      </c>
      <c r="C38" s="3" t="s">
        <v>67</v>
      </c>
      <c r="D38" s="5">
        <f t="shared" si="11"/>
        <v>4</v>
      </c>
      <c r="E38" s="5">
        <f>15.22-(9*((G38/100*(100/(100-L38))))*Calculations!$B$16)</f>
        <v>13.959800867678959</v>
      </c>
      <c r="F38" s="5">
        <v>43.52</v>
      </c>
      <c r="G38" s="5">
        <v>5.72</v>
      </c>
      <c r="H38" s="5">
        <v>1.2</v>
      </c>
      <c r="I38" s="5">
        <v>0.66</v>
      </c>
      <c r="J38" s="5">
        <v>48.9</v>
      </c>
      <c r="K38" s="5">
        <f t="shared" si="13"/>
        <v>4.8806941431670285</v>
      </c>
      <c r="L38" s="5">
        <v>7.8</v>
      </c>
      <c r="M38" s="5">
        <f t="shared" si="14"/>
        <v>86.052060737527128</v>
      </c>
      <c r="N38" s="5">
        <f t="shared" si="15"/>
        <v>9.0672451193058574</v>
      </c>
      <c r="O38" s="5" t="s">
        <v>291</v>
      </c>
      <c r="P38" s="5" t="s">
        <v>291</v>
      </c>
      <c r="Q38" s="5" t="s">
        <v>291</v>
      </c>
      <c r="R38" s="5">
        <v>770</v>
      </c>
      <c r="S38" s="5" t="s">
        <v>39</v>
      </c>
      <c r="T38" s="5" t="s">
        <v>75</v>
      </c>
      <c r="U38" s="5" t="s">
        <v>291</v>
      </c>
      <c r="V38" s="5" t="s">
        <v>291</v>
      </c>
      <c r="W38" s="5">
        <v>0.21</v>
      </c>
      <c r="X38" s="5" t="s">
        <v>33</v>
      </c>
      <c r="Y38" s="5" t="s">
        <v>79</v>
      </c>
      <c r="Z38" s="5" t="s">
        <v>295</v>
      </c>
      <c r="AA38" s="5">
        <v>0</v>
      </c>
      <c r="AB38" s="5" t="s">
        <v>293</v>
      </c>
      <c r="AC38" s="5">
        <f t="shared" si="12"/>
        <v>54.28</v>
      </c>
      <c r="AD38" s="5">
        <v>5.55</v>
      </c>
      <c r="AE38" s="5">
        <v>16.62</v>
      </c>
      <c r="AF38" s="5">
        <v>19.239999999999998</v>
      </c>
      <c r="AG38" s="5">
        <v>4.3099999999999996</v>
      </c>
      <c r="AH38" s="5" t="s">
        <v>291</v>
      </c>
      <c r="AI38" s="5">
        <v>4.53</v>
      </c>
      <c r="AJ38" s="5" t="s">
        <v>291</v>
      </c>
      <c r="AK38" s="5">
        <v>1.3</v>
      </c>
      <c r="AL38" s="5" t="s">
        <v>291</v>
      </c>
      <c r="AM38" s="5">
        <v>36</v>
      </c>
      <c r="AN38" s="5">
        <v>59</v>
      </c>
      <c r="AO38" s="11" t="s">
        <v>62</v>
      </c>
    </row>
    <row r="39" spans="1:41" x14ac:dyDescent="0.3">
      <c r="A39" s="11">
        <v>38</v>
      </c>
      <c r="B39" s="3" t="s">
        <v>288</v>
      </c>
      <c r="C39" s="3" t="s">
        <v>67</v>
      </c>
      <c r="D39" s="5">
        <f t="shared" si="11"/>
        <v>4</v>
      </c>
      <c r="E39" s="5">
        <f>15.22-(9*((G39/100*(100/(100-L39))))*Calculations!$B$16)</f>
        <v>13.959800867678959</v>
      </c>
      <c r="F39" s="5">
        <v>43.52</v>
      </c>
      <c r="G39" s="5">
        <v>5.72</v>
      </c>
      <c r="H39" s="5">
        <v>1.2</v>
      </c>
      <c r="I39" s="5">
        <v>0.66</v>
      </c>
      <c r="J39" s="5">
        <v>48.9</v>
      </c>
      <c r="K39" s="5">
        <f t="shared" si="13"/>
        <v>4.8806941431670285</v>
      </c>
      <c r="L39" s="5">
        <v>7.8</v>
      </c>
      <c r="M39" s="5">
        <f t="shared" si="14"/>
        <v>86.052060737527128</v>
      </c>
      <c r="N39" s="5">
        <f t="shared" si="15"/>
        <v>9.0672451193058574</v>
      </c>
      <c r="O39" s="5" t="s">
        <v>291</v>
      </c>
      <c r="P39" s="5" t="s">
        <v>291</v>
      </c>
      <c r="Q39" s="5" t="s">
        <v>291</v>
      </c>
      <c r="R39" s="5">
        <v>770</v>
      </c>
      <c r="S39" s="5" t="s">
        <v>39</v>
      </c>
      <c r="T39" s="5" t="s">
        <v>75</v>
      </c>
      <c r="U39" s="5" t="s">
        <v>291</v>
      </c>
      <c r="V39" s="5" t="s">
        <v>291</v>
      </c>
      <c r="W39" s="5">
        <v>0.28000000000000003</v>
      </c>
      <c r="X39" s="5" t="s">
        <v>33</v>
      </c>
      <c r="Y39" s="5" t="s">
        <v>79</v>
      </c>
      <c r="Z39" s="5" t="s">
        <v>295</v>
      </c>
      <c r="AA39" s="5">
        <v>0</v>
      </c>
      <c r="AB39" s="5" t="s">
        <v>293</v>
      </c>
      <c r="AC39" s="5">
        <f t="shared" si="12"/>
        <v>57.5</v>
      </c>
      <c r="AD39" s="5">
        <v>5</v>
      </c>
      <c r="AE39" s="5">
        <v>14.75</v>
      </c>
      <c r="AF39" s="5">
        <v>19.75</v>
      </c>
      <c r="AG39" s="5">
        <v>3</v>
      </c>
      <c r="AH39" s="5" t="s">
        <v>291</v>
      </c>
      <c r="AI39" s="5">
        <v>3.8</v>
      </c>
      <c r="AJ39" s="5" t="s">
        <v>291</v>
      </c>
      <c r="AK39" s="5">
        <v>1.65</v>
      </c>
      <c r="AL39" s="5" t="s">
        <v>291</v>
      </c>
      <c r="AM39" s="5">
        <v>38</v>
      </c>
      <c r="AN39" s="5">
        <v>67</v>
      </c>
      <c r="AO39" s="11" t="s">
        <v>62</v>
      </c>
    </row>
    <row r="40" spans="1:41" x14ac:dyDescent="0.3">
      <c r="A40" s="11">
        <v>39</v>
      </c>
      <c r="B40" s="3" t="s">
        <v>288</v>
      </c>
      <c r="C40" s="3" t="s">
        <v>67</v>
      </c>
      <c r="D40" s="5">
        <f t="shared" si="11"/>
        <v>4</v>
      </c>
      <c r="E40" s="5">
        <f>15.22-(9*((G40/100*(100/(100-L40))))*Calculations!$B$16)</f>
        <v>13.959800867678959</v>
      </c>
      <c r="F40" s="5">
        <v>43.52</v>
      </c>
      <c r="G40" s="5">
        <v>5.72</v>
      </c>
      <c r="H40" s="5">
        <v>1.2</v>
      </c>
      <c r="I40" s="5">
        <v>0.66</v>
      </c>
      <c r="J40" s="5">
        <v>48.9</v>
      </c>
      <c r="K40" s="5">
        <f t="shared" si="13"/>
        <v>4.8806941431670285</v>
      </c>
      <c r="L40" s="5">
        <v>7.8</v>
      </c>
      <c r="M40" s="5">
        <f t="shared" si="14"/>
        <v>86.052060737527128</v>
      </c>
      <c r="N40" s="5">
        <f t="shared" si="15"/>
        <v>9.0672451193058574</v>
      </c>
      <c r="O40" s="5" t="s">
        <v>291</v>
      </c>
      <c r="P40" s="5" t="s">
        <v>291</v>
      </c>
      <c r="Q40" s="5" t="s">
        <v>291</v>
      </c>
      <c r="R40" s="5">
        <v>770</v>
      </c>
      <c r="S40" s="5" t="s">
        <v>39</v>
      </c>
      <c r="T40" s="5" t="s">
        <v>75</v>
      </c>
      <c r="U40" s="5" t="s">
        <v>291</v>
      </c>
      <c r="V40" s="5" t="s">
        <v>291</v>
      </c>
      <c r="W40" s="5">
        <v>0.32</v>
      </c>
      <c r="X40" s="5" t="s">
        <v>33</v>
      </c>
      <c r="Y40" s="5" t="s">
        <v>79</v>
      </c>
      <c r="Z40" s="5" t="s">
        <v>295</v>
      </c>
      <c r="AA40" s="5">
        <v>0</v>
      </c>
      <c r="AB40" s="5" t="s">
        <v>293</v>
      </c>
      <c r="AC40" s="5">
        <f t="shared" si="12"/>
        <v>58.5</v>
      </c>
      <c r="AD40" s="5">
        <v>4</v>
      </c>
      <c r="AE40" s="5">
        <v>13.75</v>
      </c>
      <c r="AF40" s="5">
        <v>21</v>
      </c>
      <c r="AG40" s="5">
        <v>2.75</v>
      </c>
      <c r="AH40" s="5" t="s">
        <v>291</v>
      </c>
      <c r="AI40" s="5">
        <v>3.35</v>
      </c>
      <c r="AJ40" s="5" t="s">
        <v>291</v>
      </c>
      <c r="AK40" s="5">
        <v>1.76</v>
      </c>
      <c r="AL40" s="5" t="s">
        <v>291</v>
      </c>
      <c r="AM40" s="5">
        <v>39</v>
      </c>
      <c r="AN40" s="5">
        <v>71</v>
      </c>
      <c r="AO40" s="11" t="s">
        <v>62</v>
      </c>
    </row>
    <row r="41" spans="1:41" x14ac:dyDescent="0.3">
      <c r="A41" s="11">
        <v>40</v>
      </c>
      <c r="B41" s="3" t="s">
        <v>289</v>
      </c>
      <c r="C41" s="3" t="s">
        <v>67</v>
      </c>
      <c r="D41" s="5">
        <f t="shared" si="11"/>
        <v>4</v>
      </c>
      <c r="E41" s="5">
        <f>17.12-(9*((G41/100*(100/(100-L41))))*Calculations!$B$16)</f>
        <v>15.733292857142859</v>
      </c>
      <c r="F41" s="5">
        <v>44.96</v>
      </c>
      <c r="G41" s="5">
        <v>5.83</v>
      </c>
      <c r="H41" s="5">
        <v>3.1</v>
      </c>
      <c r="I41" s="5">
        <v>0.61</v>
      </c>
      <c r="J41" s="5">
        <v>45.5</v>
      </c>
      <c r="K41" s="5">
        <f>(100/(100-L41))*0.4</f>
        <v>0.46838407494145201</v>
      </c>
      <c r="L41" s="5">
        <v>14.6</v>
      </c>
      <c r="M41" s="5">
        <f>(100/(100-L41))*76.1</f>
        <v>89.110070257611227</v>
      </c>
      <c r="N41" s="5">
        <f>(100/(100-L41))*8.9</f>
        <v>10.421545667447306</v>
      </c>
      <c r="O41" s="5" t="s">
        <v>291</v>
      </c>
      <c r="P41" s="5" t="s">
        <v>291</v>
      </c>
      <c r="Q41" s="5" t="s">
        <v>291</v>
      </c>
      <c r="R41" s="5">
        <v>650</v>
      </c>
      <c r="S41" s="5" t="s">
        <v>39</v>
      </c>
      <c r="T41" s="5" t="s">
        <v>75</v>
      </c>
      <c r="U41" s="5" t="s">
        <v>291</v>
      </c>
      <c r="V41" s="5" t="s">
        <v>291</v>
      </c>
      <c r="W41" s="5">
        <v>0.25</v>
      </c>
      <c r="X41" s="5" t="s">
        <v>33</v>
      </c>
      <c r="Y41" s="5" t="s">
        <v>79</v>
      </c>
      <c r="Z41" s="5" t="s">
        <v>295</v>
      </c>
      <c r="AA41" s="5">
        <v>0</v>
      </c>
      <c r="AB41" s="5" t="s">
        <v>293</v>
      </c>
      <c r="AC41" s="5">
        <f t="shared" si="12"/>
        <v>61</v>
      </c>
      <c r="AD41" s="5">
        <v>6</v>
      </c>
      <c r="AE41" s="5">
        <v>15</v>
      </c>
      <c r="AF41" s="5">
        <v>15</v>
      </c>
      <c r="AG41" s="5">
        <v>3</v>
      </c>
      <c r="AH41" s="5" t="s">
        <v>291</v>
      </c>
      <c r="AI41" s="5">
        <v>3.86</v>
      </c>
      <c r="AJ41" s="5" t="s">
        <v>291</v>
      </c>
      <c r="AK41" s="5">
        <v>1.2</v>
      </c>
      <c r="AL41" s="5" t="s">
        <v>291</v>
      </c>
      <c r="AM41" s="5">
        <v>30</v>
      </c>
      <c r="AN41" s="5">
        <v>52</v>
      </c>
      <c r="AO41" s="11" t="s">
        <v>62</v>
      </c>
    </row>
    <row r="42" spans="1:41" x14ac:dyDescent="0.3">
      <c r="A42" s="11">
        <v>41</v>
      </c>
      <c r="B42" s="3" t="s">
        <v>289</v>
      </c>
      <c r="C42" s="3" t="s">
        <v>67</v>
      </c>
      <c r="D42" s="5">
        <f t="shared" si="11"/>
        <v>4</v>
      </c>
      <c r="E42" s="5">
        <f>17.12-(9*((G42/100*(100/(100-L42))))*Calculations!$B$16)</f>
        <v>15.733292857142859</v>
      </c>
      <c r="F42" s="5">
        <v>44.96</v>
      </c>
      <c r="G42" s="5">
        <v>5.83</v>
      </c>
      <c r="H42" s="5">
        <v>3.1</v>
      </c>
      <c r="I42" s="5">
        <v>0.61</v>
      </c>
      <c r="J42" s="5">
        <v>45.5</v>
      </c>
      <c r="K42" s="5">
        <f>(100/(100-L42))*0.4</f>
        <v>0.46838407494145201</v>
      </c>
      <c r="L42" s="5">
        <v>14.6</v>
      </c>
      <c r="M42" s="5">
        <f>(100/(100-L42))*76.1</f>
        <v>89.110070257611227</v>
      </c>
      <c r="N42" s="5">
        <f>(100/(100-L42))*8.9</f>
        <v>10.421545667447306</v>
      </c>
      <c r="O42" s="5" t="s">
        <v>291</v>
      </c>
      <c r="P42" s="5" t="s">
        <v>291</v>
      </c>
      <c r="Q42" s="5" t="s">
        <v>291</v>
      </c>
      <c r="R42" s="5">
        <v>750</v>
      </c>
      <c r="S42" s="5" t="s">
        <v>39</v>
      </c>
      <c r="T42" s="5" t="s">
        <v>75</v>
      </c>
      <c r="U42" s="5" t="s">
        <v>291</v>
      </c>
      <c r="V42" s="5" t="s">
        <v>291</v>
      </c>
      <c r="W42" s="5">
        <v>0.25</v>
      </c>
      <c r="X42" s="5" t="s">
        <v>33</v>
      </c>
      <c r="Y42" s="5" t="s">
        <v>79</v>
      </c>
      <c r="Z42" s="5" t="s">
        <v>295</v>
      </c>
      <c r="AA42" s="5">
        <v>0</v>
      </c>
      <c r="AB42" s="5" t="s">
        <v>293</v>
      </c>
      <c r="AC42" s="5">
        <f t="shared" si="12"/>
        <v>59.75</v>
      </c>
      <c r="AD42" s="5">
        <v>6</v>
      </c>
      <c r="AE42" s="5">
        <v>14.5</v>
      </c>
      <c r="AF42" s="5">
        <v>17.5</v>
      </c>
      <c r="AG42" s="5">
        <v>2.25</v>
      </c>
      <c r="AH42" s="5" t="s">
        <v>291</v>
      </c>
      <c r="AI42" s="5">
        <v>3.5</v>
      </c>
      <c r="AJ42" s="5" t="s">
        <v>291</v>
      </c>
      <c r="AK42" s="5">
        <v>1.7</v>
      </c>
      <c r="AL42" s="5" t="s">
        <v>291</v>
      </c>
      <c r="AM42" s="5">
        <v>35</v>
      </c>
      <c r="AN42" s="5">
        <v>70</v>
      </c>
      <c r="AO42" s="11" t="s">
        <v>62</v>
      </c>
    </row>
    <row r="43" spans="1:41" x14ac:dyDescent="0.3">
      <c r="A43" s="11">
        <v>42</v>
      </c>
      <c r="B43" s="3" t="s">
        <v>289</v>
      </c>
      <c r="C43" s="3" t="s">
        <v>67</v>
      </c>
      <c r="D43" s="5">
        <f t="shared" si="11"/>
        <v>4</v>
      </c>
      <c r="E43" s="5">
        <f>17.12-(9*((G43/100*(100/(100-L43))))*Calculations!$B$16)</f>
        <v>15.733292857142859</v>
      </c>
      <c r="F43" s="5">
        <v>44.96</v>
      </c>
      <c r="G43" s="5">
        <v>5.83</v>
      </c>
      <c r="H43" s="5">
        <v>3.1</v>
      </c>
      <c r="I43" s="5">
        <v>0.61</v>
      </c>
      <c r="J43" s="5">
        <v>45.5</v>
      </c>
      <c r="K43" s="5">
        <f t="shared" ref="K43:K45" si="16">(100/(100-L43))*0.4</f>
        <v>0.46838407494145201</v>
      </c>
      <c r="L43" s="5">
        <v>14.6</v>
      </c>
      <c r="M43" s="5">
        <f t="shared" ref="M43:M45" si="17">(100/(100-L43))*76.1</f>
        <v>89.110070257611227</v>
      </c>
      <c r="N43" s="5">
        <f t="shared" ref="N43:N45" si="18">(100/(100-L43))*8.9</f>
        <v>10.421545667447306</v>
      </c>
      <c r="O43" s="5" t="s">
        <v>291</v>
      </c>
      <c r="P43" s="5" t="s">
        <v>291</v>
      </c>
      <c r="Q43" s="5" t="s">
        <v>291</v>
      </c>
      <c r="R43" s="5">
        <v>850</v>
      </c>
      <c r="S43" s="5" t="s">
        <v>39</v>
      </c>
      <c r="T43" s="5" t="s">
        <v>75</v>
      </c>
      <c r="U43" s="5" t="s">
        <v>291</v>
      </c>
      <c r="V43" s="5" t="s">
        <v>291</v>
      </c>
      <c r="W43" s="5">
        <v>0.25</v>
      </c>
      <c r="X43" s="5" t="s">
        <v>33</v>
      </c>
      <c r="Y43" s="5" t="s">
        <v>79</v>
      </c>
      <c r="Z43" s="5" t="s">
        <v>295</v>
      </c>
      <c r="AA43" s="5">
        <v>0</v>
      </c>
      <c r="AB43" s="5" t="s">
        <v>293</v>
      </c>
      <c r="AC43" s="5">
        <f t="shared" si="12"/>
        <v>55.25</v>
      </c>
      <c r="AD43" s="5">
        <v>8</v>
      </c>
      <c r="AE43" s="5">
        <v>15</v>
      </c>
      <c r="AF43" s="5">
        <v>19</v>
      </c>
      <c r="AG43" s="5">
        <v>2.75</v>
      </c>
      <c r="AH43" s="5" t="s">
        <v>291</v>
      </c>
      <c r="AI43" s="5">
        <v>4</v>
      </c>
      <c r="AJ43" s="5" t="s">
        <v>291</v>
      </c>
      <c r="AK43" s="5">
        <v>1.75</v>
      </c>
      <c r="AL43" s="5" t="s">
        <v>291</v>
      </c>
      <c r="AM43" s="5">
        <v>43</v>
      </c>
      <c r="AN43" s="5">
        <v>79</v>
      </c>
      <c r="AO43" s="11" t="s">
        <v>62</v>
      </c>
    </row>
    <row r="44" spans="1:41" x14ac:dyDescent="0.3">
      <c r="A44" s="11">
        <v>43</v>
      </c>
      <c r="B44" s="3" t="s">
        <v>289</v>
      </c>
      <c r="C44" s="3" t="s">
        <v>67</v>
      </c>
      <c r="D44" s="5">
        <f t="shared" si="11"/>
        <v>4</v>
      </c>
      <c r="E44" s="5">
        <f>17.12-(9*((G44/100*(100/(100-L44))))*Calculations!$B$16)</f>
        <v>15.733292857142859</v>
      </c>
      <c r="F44" s="5">
        <v>44.96</v>
      </c>
      <c r="G44" s="5">
        <v>5.83</v>
      </c>
      <c r="H44" s="5">
        <v>3.1</v>
      </c>
      <c r="I44" s="5">
        <v>0.61</v>
      </c>
      <c r="J44" s="5">
        <v>45.5</v>
      </c>
      <c r="K44" s="5">
        <f t="shared" si="16"/>
        <v>0.46838407494145201</v>
      </c>
      <c r="L44" s="5">
        <v>14.6</v>
      </c>
      <c r="M44" s="5">
        <f t="shared" si="17"/>
        <v>89.110070257611227</v>
      </c>
      <c r="N44" s="5">
        <f t="shared" si="18"/>
        <v>10.421545667447306</v>
      </c>
      <c r="O44" s="5" t="s">
        <v>291</v>
      </c>
      <c r="P44" s="5" t="s">
        <v>291</v>
      </c>
      <c r="Q44" s="5" t="s">
        <v>291</v>
      </c>
      <c r="R44" s="5">
        <v>950</v>
      </c>
      <c r="S44" s="5" t="s">
        <v>39</v>
      </c>
      <c r="T44" s="5" t="s">
        <v>75</v>
      </c>
      <c r="U44" s="5" t="s">
        <v>291</v>
      </c>
      <c r="V44" s="5" t="s">
        <v>291</v>
      </c>
      <c r="W44" s="5">
        <v>0.25</v>
      </c>
      <c r="X44" s="5" t="s">
        <v>33</v>
      </c>
      <c r="Y44" s="5" t="s">
        <v>79</v>
      </c>
      <c r="Z44" s="5" t="s">
        <v>295</v>
      </c>
      <c r="AA44" s="5">
        <v>0</v>
      </c>
      <c r="AB44" s="5" t="s">
        <v>293</v>
      </c>
      <c r="AC44" s="5">
        <f t="shared" si="12"/>
        <v>50</v>
      </c>
      <c r="AD44" s="5">
        <v>14.5</v>
      </c>
      <c r="AE44" s="5">
        <v>16</v>
      </c>
      <c r="AF44" s="5">
        <v>16.75</v>
      </c>
      <c r="AG44" s="5">
        <v>2.75</v>
      </c>
      <c r="AH44" s="5" t="s">
        <v>291</v>
      </c>
      <c r="AI44" s="5">
        <v>5.0999999999999996</v>
      </c>
      <c r="AJ44" s="5" t="s">
        <v>291</v>
      </c>
      <c r="AK44" s="5">
        <v>1.8</v>
      </c>
      <c r="AL44" s="5" t="s">
        <v>291</v>
      </c>
      <c r="AM44" s="5">
        <v>58</v>
      </c>
      <c r="AN44" s="5">
        <v>82</v>
      </c>
      <c r="AO44" s="11" t="s">
        <v>62</v>
      </c>
    </row>
    <row r="45" spans="1:41" x14ac:dyDescent="0.3">
      <c r="A45" s="11">
        <v>44</v>
      </c>
      <c r="B45" s="3" t="s">
        <v>289</v>
      </c>
      <c r="C45" s="3" t="s">
        <v>67</v>
      </c>
      <c r="D45" s="5">
        <f t="shared" si="11"/>
        <v>4</v>
      </c>
      <c r="E45" s="5">
        <f>17.12-(9*((G45/100*(100/(100-L45))))*Calculations!$B$16)</f>
        <v>15.733292857142859</v>
      </c>
      <c r="F45" s="5">
        <v>44.96</v>
      </c>
      <c r="G45" s="5">
        <v>5.83</v>
      </c>
      <c r="H45" s="5">
        <v>3.1</v>
      </c>
      <c r="I45" s="5">
        <v>0.61</v>
      </c>
      <c r="J45" s="5">
        <v>45.5</v>
      </c>
      <c r="K45" s="5">
        <f t="shared" si="16"/>
        <v>0.46838407494145201</v>
      </c>
      <c r="L45" s="5">
        <v>14.6</v>
      </c>
      <c r="M45" s="5">
        <f t="shared" si="17"/>
        <v>89.110070257611227</v>
      </c>
      <c r="N45" s="5">
        <f t="shared" si="18"/>
        <v>10.421545667447306</v>
      </c>
      <c r="O45" s="5" t="s">
        <v>291</v>
      </c>
      <c r="P45" s="5" t="s">
        <v>291</v>
      </c>
      <c r="Q45" s="5" t="s">
        <v>291</v>
      </c>
      <c r="R45" s="5">
        <v>1050</v>
      </c>
      <c r="S45" s="5" t="s">
        <v>39</v>
      </c>
      <c r="T45" s="5" t="s">
        <v>75</v>
      </c>
      <c r="U45" s="5" t="s">
        <v>291</v>
      </c>
      <c r="V45" s="5" t="s">
        <v>291</v>
      </c>
      <c r="W45" s="5">
        <v>0.25</v>
      </c>
      <c r="X45" s="5" t="s">
        <v>33</v>
      </c>
      <c r="Y45" s="5" t="s">
        <v>79</v>
      </c>
      <c r="Z45" s="5" t="s">
        <v>295</v>
      </c>
      <c r="AA45" s="5">
        <v>0</v>
      </c>
      <c r="AB45" s="5" t="s">
        <v>293</v>
      </c>
      <c r="AC45" s="5">
        <f t="shared" si="12"/>
        <v>46.7</v>
      </c>
      <c r="AD45" s="5">
        <v>19.5</v>
      </c>
      <c r="AE45" s="5">
        <v>17.8</v>
      </c>
      <c r="AF45" s="5">
        <v>13.25</v>
      </c>
      <c r="AG45" s="5">
        <v>2.75</v>
      </c>
      <c r="AH45" s="5" t="s">
        <v>291</v>
      </c>
      <c r="AI45" s="5">
        <v>5.87</v>
      </c>
      <c r="AJ45" s="5" t="s">
        <v>291</v>
      </c>
      <c r="AK45" s="5">
        <v>2</v>
      </c>
      <c r="AL45" s="5" t="s">
        <v>291</v>
      </c>
      <c r="AM45" s="5">
        <v>72</v>
      </c>
      <c r="AN45" s="5">
        <v>84</v>
      </c>
      <c r="AO45" s="11" t="s">
        <v>62</v>
      </c>
    </row>
    <row r="46" spans="1:41" x14ac:dyDescent="0.3">
      <c r="A46" s="11">
        <v>45</v>
      </c>
      <c r="B46" s="3" t="s">
        <v>289</v>
      </c>
      <c r="C46" s="3" t="s">
        <v>82</v>
      </c>
      <c r="D46" s="5">
        <f t="shared" ref="D46:D60" si="19">(0.3+0.45)/2</f>
        <v>0.375</v>
      </c>
      <c r="E46" s="5">
        <f>20.54-(9*((G46/100*((100+L46)/100)))*Calculations!$B$16)</f>
        <v>18.978196850678732</v>
      </c>
      <c r="F46" s="5">
        <f>50.54*(100/(100-K46))</f>
        <v>50.819507290095522</v>
      </c>
      <c r="G46" s="5">
        <f>7.08*(100/(100-K46))</f>
        <v>7.1191553544494717</v>
      </c>
      <c r="H46" s="5">
        <f>0.15*(100/(100-K46))</f>
        <v>0.15082956259426847</v>
      </c>
      <c r="I46" s="5">
        <f>0.57*(100/(100-K46))</f>
        <v>0.57315233785822017</v>
      </c>
      <c r="J46" s="5">
        <f>41.11*(100/(100-K46))</f>
        <v>41.337355455002509</v>
      </c>
      <c r="K46" s="5">
        <v>0.55000000000000004</v>
      </c>
      <c r="L46" s="5">
        <v>8</v>
      </c>
      <c r="M46" s="5">
        <v>82.29</v>
      </c>
      <c r="N46" s="5">
        <v>17.16</v>
      </c>
      <c r="O46" s="5" t="s">
        <v>291</v>
      </c>
      <c r="P46" s="5" t="s">
        <v>291</v>
      </c>
      <c r="Q46" s="5" t="s">
        <v>291</v>
      </c>
      <c r="R46" s="5">
        <v>700</v>
      </c>
      <c r="S46" s="5" t="s">
        <v>39</v>
      </c>
      <c r="T46" s="5" t="s">
        <v>75</v>
      </c>
      <c r="U46" s="5" t="s">
        <v>291</v>
      </c>
      <c r="V46" s="5">
        <v>2.7</v>
      </c>
      <c r="W46" s="5">
        <v>0.22</v>
      </c>
      <c r="X46" s="5" t="s">
        <v>81</v>
      </c>
      <c r="Y46" s="5" t="s">
        <v>79</v>
      </c>
      <c r="Z46" s="5" t="s">
        <v>295</v>
      </c>
      <c r="AA46" s="5">
        <v>0</v>
      </c>
      <c r="AB46" s="5" t="s">
        <v>294</v>
      </c>
      <c r="AC46" s="5">
        <f>100-AD46-AE46-AF46-AG46-AH46</f>
        <v>1.5</v>
      </c>
      <c r="AD46" s="5">
        <v>22</v>
      </c>
      <c r="AE46" s="5">
        <v>42.5</v>
      </c>
      <c r="AF46" s="5">
        <v>21</v>
      </c>
      <c r="AG46" s="5">
        <v>8.5</v>
      </c>
      <c r="AH46" s="5">
        <v>4.5</v>
      </c>
      <c r="AI46" s="21">
        <v>7.9450000000000003</v>
      </c>
      <c r="AJ46" s="5" t="s">
        <v>291</v>
      </c>
      <c r="AK46" s="5">
        <v>1.43</v>
      </c>
      <c r="AL46" s="5" t="s">
        <v>291</v>
      </c>
      <c r="AM46" s="5">
        <f t="shared" ref="AM46:AM77" si="20">100*(AI46*AK46)/E46</f>
        <v>59.865276397919096</v>
      </c>
      <c r="AN46" s="5">
        <v>78.17</v>
      </c>
      <c r="AO46" s="11" t="s">
        <v>72</v>
      </c>
    </row>
    <row r="47" spans="1:41" x14ac:dyDescent="0.3">
      <c r="A47" s="11">
        <v>46</v>
      </c>
      <c r="B47" s="3" t="s">
        <v>289</v>
      </c>
      <c r="C47" s="3" t="s">
        <v>82</v>
      </c>
      <c r="D47" s="5">
        <f t="shared" si="19"/>
        <v>0.375</v>
      </c>
      <c r="E47" s="5">
        <f>20.54-(9*((G47/100*((100+L47)/100)))*Calculations!$B$16)</f>
        <v>18.978196850678732</v>
      </c>
      <c r="F47" s="5">
        <f t="shared" ref="F47:F64" si="21">50.54*(100/(100-K47))</f>
        <v>50.819507290095522</v>
      </c>
      <c r="G47" s="5">
        <f t="shared" ref="G47:G64" si="22">7.08*(100/(100-K47))</f>
        <v>7.1191553544494717</v>
      </c>
      <c r="H47" s="5">
        <f t="shared" ref="H47:H64" si="23">0.15*(100/(100-K47))</f>
        <v>0.15082956259426847</v>
      </c>
      <c r="I47" s="5">
        <f t="shared" ref="I47:I64" si="24">0.57*(100/(100-K47))</f>
        <v>0.57315233785822017</v>
      </c>
      <c r="J47" s="5">
        <f t="shared" ref="J47:J64" si="25">41.11*(100/(100-K47))</f>
        <v>41.337355455002509</v>
      </c>
      <c r="K47" s="5">
        <v>0.55000000000000004</v>
      </c>
      <c r="L47" s="5">
        <v>8</v>
      </c>
      <c r="M47" s="5">
        <v>82.29</v>
      </c>
      <c r="N47" s="5">
        <v>17.16</v>
      </c>
      <c r="O47" s="5" t="s">
        <v>291</v>
      </c>
      <c r="P47" s="5" t="s">
        <v>291</v>
      </c>
      <c r="Q47" s="5" t="s">
        <v>291</v>
      </c>
      <c r="R47" s="5">
        <v>750</v>
      </c>
      <c r="S47" s="5" t="s">
        <v>39</v>
      </c>
      <c r="T47" s="5" t="s">
        <v>75</v>
      </c>
      <c r="U47" s="5" t="s">
        <v>291</v>
      </c>
      <c r="V47" s="5">
        <v>2.7</v>
      </c>
      <c r="W47" s="5">
        <v>0.22</v>
      </c>
      <c r="X47" s="5" t="s">
        <v>81</v>
      </c>
      <c r="Y47" s="5" t="s">
        <v>79</v>
      </c>
      <c r="Z47" s="5" t="s">
        <v>295</v>
      </c>
      <c r="AA47" s="5">
        <v>0</v>
      </c>
      <c r="AB47" s="5" t="s">
        <v>294</v>
      </c>
      <c r="AC47" s="5">
        <f t="shared" ref="AC47:AC64" si="26">100-AD47-AE47-AF47-AG47-AH47</f>
        <v>2.5</v>
      </c>
      <c r="AD47" s="5">
        <v>28</v>
      </c>
      <c r="AE47" s="5">
        <v>39</v>
      </c>
      <c r="AF47" s="5">
        <v>19</v>
      </c>
      <c r="AG47" s="5">
        <v>8</v>
      </c>
      <c r="AH47" s="5">
        <v>3.5</v>
      </c>
      <c r="AI47" s="5">
        <v>7.6509999999999998</v>
      </c>
      <c r="AJ47" s="5" t="s">
        <v>291</v>
      </c>
      <c r="AK47" s="5">
        <v>1.51</v>
      </c>
      <c r="AL47" s="5" t="s">
        <v>291</v>
      </c>
      <c r="AM47" s="5">
        <f t="shared" si="20"/>
        <v>60.875172129889783</v>
      </c>
      <c r="AN47" s="5">
        <v>80.66</v>
      </c>
      <c r="AO47" s="11" t="s">
        <v>72</v>
      </c>
    </row>
    <row r="48" spans="1:41" x14ac:dyDescent="0.3">
      <c r="A48" s="11">
        <v>47</v>
      </c>
      <c r="B48" s="3" t="s">
        <v>289</v>
      </c>
      <c r="C48" s="3" t="s">
        <v>82</v>
      </c>
      <c r="D48" s="5">
        <f t="shared" si="19"/>
        <v>0.375</v>
      </c>
      <c r="E48" s="5">
        <f>20.54-(9*((G48/100*((100+L48)/100)))*Calculations!$B$16)</f>
        <v>18.978196850678732</v>
      </c>
      <c r="F48" s="5">
        <f t="shared" si="21"/>
        <v>50.819507290095522</v>
      </c>
      <c r="G48" s="5">
        <f t="shared" si="22"/>
        <v>7.1191553544494717</v>
      </c>
      <c r="H48" s="5">
        <f t="shared" si="23"/>
        <v>0.15082956259426847</v>
      </c>
      <c r="I48" s="5">
        <f t="shared" si="24"/>
        <v>0.57315233785822017</v>
      </c>
      <c r="J48" s="5">
        <f t="shared" si="25"/>
        <v>41.337355455002509</v>
      </c>
      <c r="K48" s="5">
        <v>0.55000000000000004</v>
      </c>
      <c r="L48" s="5">
        <v>8</v>
      </c>
      <c r="M48" s="5">
        <v>82.29</v>
      </c>
      <c r="N48" s="5">
        <v>17.16</v>
      </c>
      <c r="O48" s="5" t="s">
        <v>291</v>
      </c>
      <c r="P48" s="5" t="s">
        <v>291</v>
      </c>
      <c r="Q48" s="5" t="s">
        <v>291</v>
      </c>
      <c r="R48" s="5">
        <v>800</v>
      </c>
      <c r="S48" s="5" t="s">
        <v>39</v>
      </c>
      <c r="T48" s="5" t="s">
        <v>75</v>
      </c>
      <c r="U48" s="5" t="s">
        <v>291</v>
      </c>
      <c r="V48" s="5">
        <v>2.7</v>
      </c>
      <c r="W48" s="5">
        <v>0.22</v>
      </c>
      <c r="X48" s="5" t="s">
        <v>81</v>
      </c>
      <c r="Y48" s="5" t="s">
        <v>79</v>
      </c>
      <c r="Z48" s="5" t="s">
        <v>295</v>
      </c>
      <c r="AA48" s="5">
        <v>0</v>
      </c>
      <c r="AB48" s="5" t="s">
        <v>294</v>
      </c>
      <c r="AC48" s="5">
        <f t="shared" si="26"/>
        <v>1.5</v>
      </c>
      <c r="AD48" s="5">
        <v>32</v>
      </c>
      <c r="AE48" s="5">
        <v>37.5</v>
      </c>
      <c r="AF48" s="5">
        <v>18</v>
      </c>
      <c r="AG48" s="5">
        <v>7.5</v>
      </c>
      <c r="AH48" s="5">
        <v>3.5</v>
      </c>
      <c r="AI48" s="5">
        <v>8.56</v>
      </c>
      <c r="AJ48" s="5" t="s">
        <v>291</v>
      </c>
      <c r="AK48" s="5">
        <v>2.23</v>
      </c>
      <c r="AL48" s="5" t="s">
        <v>291</v>
      </c>
      <c r="AM48" s="5">
        <f t="shared" si="20"/>
        <v>100.58279061067552</v>
      </c>
      <c r="AN48" s="5">
        <v>85.9</v>
      </c>
      <c r="AO48" s="11" t="s">
        <v>72</v>
      </c>
    </row>
    <row r="49" spans="1:41" x14ac:dyDescent="0.3">
      <c r="A49" s="11">
        <v>48</v>
      </c>
      <c r="B49" s="3" t="s">
        <v>289</v>
      </c>
      <c r="C49" s="3" t="s">
        <v>82</v>
      </c>
      <c r="D49" s="5">
        <f t="shared" si="19"/>
        <v>0.375</v>
      </c>
      <c r="E49" s="5">
        <f>20.54-(9*((G49/100*((100+L49)/100)))*Calculations!$B$16)</f>
        <v>18.978196850678732</v>
      </c>
      <c r="F49" s="5">
        <f t="shared" si="21"/>
        <v>50.819507290095522</v>
      </c>
      <c r="G49" s="5">
        <f t="shared" si="22"/>
        <v>7.1191553544494717</v>
      </c>
      <c r="H49" s="5">
        <f t="shared" si="23"/>
        <v>0.15082956259426847</v>
      </c>
      <c r="I49" s="5">
        <f t="shared" si="24"/>
        <v>0.57315233785822017</v>
      </c>
      <c r="J49" s="5">
        <f t="shared" si="25"/>
        <v>41.337355455002509</v>
      </c>
      <c r="K49" s="5">
        <v>0.55000000000000004</v>
      </c>
      <c r="L49" s="5">
        <v>8</v>
      </c>
      <c r="M49" s="5">
        <v>82.29</v>
      </c>
      <c r="N49" s="5">
        <v>17.16</v>
      </c>
      <c r="O49" s="5" t="s">
        <v>291</v>
      </c>
      <c r="P49" s="5" t="s">
        <v>291</v>
      </c>
      <c r="Q49" s="5" t="s">
        <v>291</v>
      </c>
      <c r="R49" s="5">
        <v>850</v>
      </c>
      <c r="S49" s="5" t="s">
        <v>39</v>
      </c>
      <c r="T49" s="5" t="s">
        <v>75</v>
      </c>
      <c r="U49" s="5" t="s">
        <v>291</v>
      </c>
      <c r="V49" s="5">
        <v>2.7</v>
      </c>
      <c r="W49" s="5">
        <v>0.22</v>
      </c>
      <c r="X49" s="5" t="s">
        <v>81</v>
      </c>
      <c r="Y49" s="5" t="s">
        <v>79</v>
      </c>
      <c r="Z49" s="5" t="s">
        <v>295</v>
      </c>
      <c r="AA49" s="5">
        <v>0</v>
      </c>
      <c r="AB49" s="5" t="s">
        <v>294</v>
      </c>
      <c r="AC49" s="5">
        <f t="shared" si="26"/>
        <v>1</v>
      </c>
      <c r="AD49" s="5">
        <v>36.5</v>
      </c>
      <c r="AE49" s="5">
        <v>34</v>
      </c>
      <c r="AF49" s="5">
        <v>18.5</v>
      </c>
      <c r="AG49" s="5">
        <v>7.5</v>
      </c>
      <c r="AH49" s="5">
        <v>2.5</v>
      </c>
      <c r="AI49" s="5">
        <v>8.2230000000000008</v>
      </c>
      <c r="AJ49" s="5" t="s">
        <v>291</v>
      </c>
      <c r="AK49" s="5">
        <v>2.4500000000000002</v>
      </c>
      <c r="AL49" s="5" t="s">
        <v>291</v>
      </c>
      <c r="AM49" s="5">
        <f t="shared" si="20"/>
        <v>106.15523781585969</v>
      </c>
      <c r="AN49" s="5">
        <v>92.35</v>
      </c>
      <c r="AO49" s="11" t="s">
        <v>72</v>
      </c>
    </row>
    <row r="50" spans="1:41" x14ac:dyDescent="0.3">
      <c r="A50" s="11">
        <v>49</v>
      </c>
      <c r="B50" s="3" t="s">
        <v>289</v>
      </c>
      <c r="C50" s="3" t="s">
        <v>82</v>
      </c>
      <c r="D50" s="5">
        <f t="shared" si="19"/>
        <v>0.375</v>
      </c>
      <c r="E50" s="5">
        <f>20.54-(9*((G50/100*((100+L50)/100)))*Calculations!$B$16)</f>
        <v>18.978196850678732</v>
      </c>
      <c r="F50" s="5">
        <f t="shared" si="21"/>
        <v>50.819507290095522</v>
      </c>
      <c r="G50" s="5">
        <f t="shared" si="22"/>
        <v>7.1191553544494717</v>
      </c>
      <c r="H50" s="5">
        <f t="shared" si="23"/>
        <v>0.15082956259426847</v>
      </c>
      <c r="I50" s="5">
        <f t="shared" si="24"/>
        <v>0.57315233785822017</v>
      </c>
      <c r="J50" s="5">
        <f t="shared" si="25"/>
        <v>41.337355455002509</v>
      </c>
      <c r="K50" s="5">
        <v>0.55000000000000004</v>
      </c>
      <c r="L50" s="5">
        <v>8</v>
      </c>
      <c r="M50" s="5">
        <v>82.29</v>
      </c>
      <c r="N50" s="5">
        <v>17.16</v>
      </c>
      <c r="O50" s="5" t="s">
        <v>291</v>
      </c>
      <c r="P50" s="5" t="s">
        <v>291</v>
      </c>
      <c r="Q50" s="5" t="s">
        <v>291</v>
      </c>
      <c r="R50" s="5">
        <v>900</v>
      </c>
      <c r="S50" s="5" t="s">
        <v>39</v>
      </c>
      <c r="T50" s="5" t="s">
        <v>75</v>
      </c>
      <c r="U50" s="5" t="s">
        <v>291</v>
      </c>
      <c r="V50" s="5">
        <v>2.7</v>
      </c>
      <c r="W50" s="5">
        <v>0.22</v>
      </c>
      <c r="X50" s="5" t="s">
        <v>81</v>
      </c>
      <c r="Y50" s="5" t="s">
        <v>79</v>
      </c>
      <c r="Z50" s="5" t="s">
        <v>295</v>
      </c>
      <c r="AA50" s="5">
        <v>0</v>
      </c>
      <c r="AB50" s="5" t="s">
        <v>294</v>
      </c>
      <c r="AC50" s="5">
        <f t="shared" si="26"/>
        <v>1</v>
      </c>
      <c r="AD50" s="5">
        <v>39</v>
      </c>
      <c r="AE50" s="5">
        <v>33.5</v>
      </c>
      <c r="AF50" s="5">
        <v>19</v>
      </c>
      <c r="AG50" s="5">
        <v>6.5</v>
      </c>
      <c r="AH50" s="5">
        <v>1</v>
      </c>
      <c r="AI50" s="5">
        <v>7.3620000000000001</v>
      </c>
      <c r="AJ50" s="5" t="s">
        <v>291</v>
      </c>
      <c r="AK50" s="5">
        <v>2.5299999999999998</v>
      </c>
      <c r="AL50" s="5" t="s">
        <v>291</v>
      </c>
      <c r="AM50" s="5">
        <f t="shared" si="20"/>
        <v>98.14346508548239</v>
      </c>
      <c r="AN50" s="5">
        <v>92.59</v>
      </c>
      <c r="AO50" s="11" t="s">
        <v>72</v>
      </c>
    </row>
    <row r="51" spans="1:41" x14ac:dyDescent="0.3">
      <c r="A51" s="11">
        <v>50</v>
      </c>
      <c r="B51" s="3" t="s">
        <v>289</v>
      </c>
      <c r="C51" s="3" t="s">
        <v>82</v>
      </c>
      <c r="D51" s="5">
        <f t="shared" si="19"/>
        <v>0.375</v>
      </c>
      <c r="E51" s="5">
        <f>20.54-(9*((G51/100*((100+L51)/100)))*Calculations!$B$16)</f>
        <v>18.978196850678732</v>
      </c>
      <c r="F51" s="5">
        <f t="shared" si="21"/>
        <v>50.819507290095522</v>
      </c>
      <c r="G51" s="5">
        <f t="shared" si="22"/>
        <v>7.1191553544494717</v>
      </c>
      <c r="H51" s="5">
        <f t="shared" si="23"/>
        <v>0.15082956259426847</v>
      </c>
      <c r="I51" s="5">
        <f t="shared" si="24"/>
        <v>0.57315233785822017</v>
      </c>
      <c r="J51" s="5">
        <f t="shared" si="25"/>
        <v>41.337355455002509</v>
      </c>
      <c r="K51" s="5">
        <v>0.55000000000000004</v>
      </c>
      <c r="L51" s="5">
        <v>8</v>
      </c>
      <c r="M51" s="5">
        <v>82.29</v>
      </c>
      <c r="N51" s="5">
        <v>17.16</v>
      </c>
      <c r="O51" s="5" t="s">
        <v>291</v>
      </c>
      <c r="P51" s="5" t="s">
        <v>291</v>
      </c>
      <c r="Q51" s="5" t="s">
        <v>291</v>
      </c>
      <c r="R51" s="5">
        <v>800</v>
      </c>
      <c r="S51" s="5" t="s">
        <v>39</v>
      </c>
      <c r="T51" s="5" t="s">
        <v>75</v>
      </c>
      <c r="U51" s="5" t="s">
        <v>291</v>
      </c>
      <c r="V51" s="5">
        <v>1.56</v>
      </c>
      <c r="W51" s="5">
        <v>0.19</v>
      </c>
      <c r="X51" s="5" t="s">
        <v>81</v>
      </c>
      <c r="Y51" s="5" t="s">
        <v>79</v>
      </c>
      <c r="Z51" s="5" t="s">
        <v>295</v>
      </c>
      <c r="AA51" s="5">
        <v>0</v>
      </c>
      <c r="AB51" s="5" t="s">
        <v>294</v>
      </c>
      <c r="AC51" s="5">
        <f t="shared" si="26"/>
        <v>1.5</v>
      </c>
      <c r="AD51" s="5">
        <v>32.5</v>
      </c>
      <c r="AE51" s="5">
        <v>37.5</v>
      </c>
      <c r="AF51" s="5">
        <v>17.75</v>
      </c>
      <c r="AG51" s="5">
        <v>7.75</v>
      </c>
      <c r="AH51" s="5">
        <v>3</v>
      </c>
      <c r="AI51" s="5">
        <v>8.8170000000000002</v>
      </c>
      <c r="AJ51" s="5" t="s">
        <v>291</v>
      </c>
      <c r="AK51" s="5">
        <v>2.13</v>
      </c>
      <c r="AL51" s="5" t="s">
        <v>291</v>
      </c>
      <c r="AM51" s="5">
        <f t="shared" si="20"/>
        <v>98.956766798044612</v>
      </c>
      <c r="AN51" s="5">
        <v>76.260000000000005</v>
      </c>
      <c r="AO51" s="11" t="s">
        <v>72</v>
      </c>
    </row>
    <row r="52" spans="1:41" x14ac:dyDescent="0.3">
      <c r="A52" s="11">
        <v>51</v>
      </c>
      <c r="B52" s="3" t="s">
        <v>289</v>
      </c>
      <c r="C52" s="3" t="s">
        <v>82</v>
      </c>
      <c r="D52" s="5">
        <f t="shared" si="19"/>
        <v>0.375</v>
      </c>
      <c r="E52" s="5">
        <f>20.54-(9*((G52/100*((100+L52)/100)))*Calculations!$B$16)</f>
        <v>18.978196850678732</v>
      </c>
      <c r="F52" s="5">
        <f t="shared" si="21"/>
        <v>50.819507290095522</v>
      </c>
      <c r="G52" s="5">
        <f t="shared" si="22"/>
        <v>7.1191553544494717</v>
      </c>
      <c r="H52" s="5">
        <f t="shared" si="23"/>
        <v>0.15082956259426847</v>
      </c>
      <c r="I52" s="5">
        <f t="shared" si="24"/>
        <v>0.57315233785822017</v>
      </c>
      <c r="J52" s="5">
        <f t="shared" si="25"/>
        <v>41.337355455002509</v>
      </c>
      <c r="K52" s="5">
        <v>0.55000000000000004</v>
      </c>
      <c r="L52" s="5">
        <v>8</v>
      </c>
      <c r="M52" s="5">
        <v>82.29</v>
      </c>
      <c r="N52" s="5">
        <v>17.16</v>
      </c>
      <c r="O52" s="5" t="s">
        <v>291</v>
      </c>
      <c r="P52" s="5" t="s">
        <v>291</v>
      </c>
      <c r="Q52" s="5" t="s">
        <v>291</v>
      </c>
      <c r="R52" s="5">
        <v>800</v>
      </c>
      <c r="S52" s="5" t="s">
        <v>39</v>
      </c>
      <c r="T52" s="5" t="s">
        <v>75</v>
      </c>
      <c r="U52" s="5" t="s">
        <v>291</v>
      </c>
      <c r="V52" s="5">
        <v>1.56</v>
      </c>
      <c r="W52" s="5">
        <v>0.21</v>
      </c>
      <c r="X52" s="5" t="s">
        <v>81</v>
      </c>
      <c r="Y52" s="5" t="s">
        <v>79</v>
      </c>
      <c r="Z52" s="5" t="s">
        <v>295</v>
      </c>
      <c r="AA52" s="5">
        <v>0</v>
      </c>
      <c r="AB52" s="5" t="s">
        <v>294</v>
      </c>
      <c r="AC52" s="5">
        <f t="shared" si="26"/>
        <v>0.75</v>
      </c>
      <c r="AD52" s="5">
        <v>32</v>
      </c>
      <c r="AE52" s="5">
        <v>39</v>
      </c>
      <c r="AF52" s="5">
        <v>17.5</v>
      </c>
      <c r="AG52" s="5">
        <v>7.75</v>
      </c>
      <c r="AH52" s="5">
        <v>3</v>
      </c>
      <c r="AI52" s="5">
        <v>8.8390000000000004</v>
      </c>
      <c r="AJ52" s="5" t="s">
        <v>291</v>
      </c>
      <c r="AK52" s="5">
        <v>2.25</v>
      </c>
      <c r="AL52" s="5" t="s">
        <v>291</v>
      </c>
      <c r="AM52" s="5">
        <f t="shared" si="20"/>
        <v>104.79262153553192</v>
      </c>
      <c r="AN52" s="5">
        <v>84.49</v>
      </c>
      <c r="AO52" s="11" t="s">
        <v>72</v>
      </c>
    </row>
    <row r="53" spans="1:41" x14ac:dyDescent="0.3">
      <c r="A53" s="11">
        <v>52</v>
      </c>
      <c r="B53" s="3" t="s">
        <v>289</v>
      </c>
      <c r="C53" s="3" t="s">
        <v>82</v>
      </c>
      <c r="D53" s="5">
        <f t="shared" si="19"/>
        <v>0.375</v>
      </c>
      <c r="E53" s="5">
        <f>20.54-(9*((G53/100*((100+L53)/100)))*Calculations!$B$16)</f>
        <v>18.978196850678732</v>
      </c>
      <c r="F53" s="5">
        <f t="shared" si="21"/>
        <v>50.819507290095522</v>
      </c>
      <c r="G53" s="5">
        <f t="shared" si="22"/>
        <v>7.1191553544494717</v>
      </c>
      <c r="H53" s="5">
        <f t="shared" si="23"/>
        <v>0.15082956259426847</v>
      </c>
      <c r="I53" s="5">
        <f t="shared" si="24"/>
        <v>0.57315233785822017</v>
      </c>
      <c r="J53" s="5">
        <f t="shared" si="25"/>
        <v>41.337355455002509</v>
      </c>
      <c r="K53" s="5">
        <v>0.55000000000000004</v>
      </c>
      <c r="L53" s="5">
        <v>8</v>
      </c>
      <c r="M53" s="5">
        <v>82.29</v>
      </c>
      <c r="N53" s="5">
        <v>17.16</v>
      </c>
      <c r="O53" s="5" t="s">
        <v>291</v>
      </c>
      <c r="P53" s="5" t="s">
        <v>291</v>
      </c>
      <c r="Q53" s="5" t="s">
        <v>291</v>
      </c>
      <c r="R53" s="5">
        <v>800</v>
      </c>
      <c r="S53" s="5" t="s">
        <v>39</v>
      </c>
      <c r="T53" s="5" t="s">
        <v>75</v>
      </c>
      <c r="U53" s="5" t="s">
        <v>291</v>
      </c>
      <c r="V53" s="5">
        <v>1.56</v>
      </c>
      <c r="W53" s="5">
        <v>0.23</v>
      </c>
      <c r="X53" s="5" t="s">
        <v>81</v>
      </c>
      <c r="Y53" s="5" t="s">
        <v>79</v>
      </c>
      <c r="Z53" s="5" t="s">
        <v>295</v>
      </c>
      <c r="AA53" s="5">
        <v>0</v>
      </c>
      <c r="AB53" s="5" t="s">
        <v>294</v>
      </c>
      <c r="AC53" s="5">
        <f t="shared" si="26"/>
        <v>0</v>
      </c>
      <c r="AD53" s="5">
        <v>32</v>
      </c>
      <c r="AE53" s="5">
        <v>40</v>
      </c>
      <c r="AF53" s="5">
        <v>17.5</v>
      </c>
      <c r="AG53" s="5">
        <v>7.5</v>
      </c>
      <c r="AH53" s="5">
        <v>3</v>
      </c>
      <c r="AI53" s="5">
        <v>8.7080000000000002</v>
      </c>
      <c r="AJ53" s="5" t="s">
        <v>291</v>
      </c>
      <c r="AK53" s="5">
        <v>2.37</v>
      </c>
      <c r="AL53" s="5" t="s">
        <v>291</v>
      </c>
      <c r="AM53" s="5">
        <f t="shared" si="20"/>
        <v>108.74563143369392</v>
      </c>
      <c r="AN53" s="5">
        <v>90.6</v>
      </c>
      <c r="AO53" s="11" t="s">
        <v>72</v>
      </c>
    </row>
    <row r="54" spans="1:41" x14ac:dyDescent="0.3">
      <c r="A54" s="11">
        <v>53</v>
      </c>
      <c r="B54" s="3" t="s">
        <v>289</v>
      </c>
      <c r="C54" s="3" t="s">
        <v>82</v>
      </c>
      <c r="D54" s="5">
        <f t="shared" si="19"/>
        <v>0.375</v>
      </c>
      <c r="E54" s="5">
        <f>20.54-(9*((G54/100*((100+L54)/100)))*Calculations!$B$16)</f>
        <v>18.978196850678732</v>
      </c>
      <c r="F54" s="5">
        <f t="shared" si="21"/>
        <v>50.819507290095522</v>
      </c>
      <c r="G54" s="5">
        <f t="shared" si="22"/>
        <v>7.1191553544494717</v>
      </c>
      <c r="H54" s="5">
        <f t="shared" si="23"/>
        <v>0.15082956259426847</v>
      </c>
      <c r="I54" s="5">
        <f t="shared" si="24"/>
        <v>0.57315233785822017</v>
      </c>
      <c r="J54" s="5">
        <f t="shared" si="25"/>
        <v>41.337355455002509</v>
      </c>
      <c r="K54" s="5">
        <v>0.55000000000000004</v>
      </c>
      <c r="L54" s="5">
        <v>8</v>
      </c>
      <c r="M54" s="5">
        <v>82.29</v>
      </c>
      <c r="N54" s="5">
        <v>17.16</v>
      </c>
      <c r="O54" s="5" t="s">
        <v>291</v>
      </c>
      <c r="P54" s="5" t="s">
        <v>291</v>
      </c>
      <c r="Q54" s="5" t="s">
        <v>291</v>
      </c>
      <c r="R54" s="5">
        <v>800</v>
      </c>
      <c r="S54" s="5" t="s">
        <v>39</v>
      </c>
      <c r="T54" s="5" t="s">
        <v>75</v>
      </c>
      <c r="U54" s="5" t="s">
        <v>291</v>
      </c>
      <c r="V54" s="5">
        <v>1.56</v>
      </c>
      <c r="W54" s="5">
        <v>0.25</v>
      </c>
      <c r="X54" s="5" t="s">
        <v>81</v>
      </c>
      <c r="Y54" s="5" t="s">
        <v>79</v>
      </c>
      <c r="Z54" s="5" t="s">
        <v>295</v>
      </c>
      <c r="AA54" s="5">
        <v>0</v>
      </c>
      <c r="AB54" s="5" t="s">
        <v>294</v>
      </c>
      <c r="AC54" s="5">
        <f t="shared" si="26"/>
        <v>0.5</v>
      </c>
      <c r="AD54" s="5">
        <v>32</v>
      </c>
      <c r="AE54" s="5">
        <v>39</v>
      </c>
      <c r="AF54" s="5">
        <v>18.25</v>
      </c>
      <c r="AG54" s="5">
        <v>7.5</v>
      </c>
      <c r="AH54" s="5">
        <v>2.75</v>
      </c>
      <c r="AI54" s="5">
        <v>8.1639999999999997</v>
      </c>
      <c r="AJ54" s="5" t="s">
        <v>291</v>
      </c>
      <c r="AK54" s="5">
        <v>2.1800000000000002</v>
      </c>
      <c r="AL54" s="5" t="s">
        <v>291</v>
      </c>
      <c r="AM54" s="5">
        <f t="shared" si="20"/>
        <v>93.778772240754236</v>
      </c>
      <c r="AN54" s="5">
        <v>84</v>
      </c>
      <c r="AO54" s="11" t="s">
        <v>72</v>
      </c>
    </row>
    <row r="55" spans="1:41" x14ac:dyDescent="0.3">
      <c r="A55" s="11">
        <v>54</v>
      </c>
      <c r="B55" s="3" t="s">
        <v>289</v>
      </c>
      <c r="C55" s="3" t="s">
        <v>82</v>
      </c>
      <c r="D55" s="5">
        <f t="shared" si="19"/>
        <v>0.375</v>
      </c>
      <c r="E55" s="5">
        <f>20.54-(9*((G55/100*((100+L55)/100)))*Calculations!$B$16)</f>
        <v>18.978196850678732</v>
      </c>
      <c r="F55" s="5">
        <f t="shared" si="21"/>
        <v>50.819507290095522</v>
      </c>
      <c r="G55" s="5">
        <f t="shared" si="22"/>
        <v>7.1191553544494717</v>
      </c>
      <c r="H55" s="5">
        <f t="shared" si="23"/>
        <v>0.15082956259426847</v>
      </c>
      <c r="I55" s="5">
        <f t="shared" si="24"/>
        <v>0.57315233785822017</v>
      </c>
      <c r="J55" s="5">
        <f t="shared" si="25"/>
        <v>41.337355455002509</v>
      </c>
      <c r="K55" s="5">
        <v>0.55000000000000004</v>
      </c>
      <c r="L55" s="5">
        <v>8</v>
      </c>
      <c r="M55" s="5">
        <v>82.29</v>
      </c>
      <c r="N55" s="5">
        <v>17.16</v>
      </c>
      <c r="O55" s="5" t="s">
        <v>291</v>
      </c>
      <c r="P55" s="5" t="s">
        <v>291</v>
      </c>
      <c r="Q55" s="5" t="s">
        <v>291</v>
      </c>
      <c r="R55" s="5">
        <v>800</v>
      </c>
      <c r="S55" s="5" t="s">
        <v>39</v>
      </c>
      <c r="T55" s="5" t="s">
        <v>75</v>
      </c>
      <c r="U55" s="5" t="s">
        <v>291</v>
      </c>
      <c r="V55" s="5">
        <v>1.56</v>
      </c>
      <c r="W55" s="5">
        <v>0.27</v>
      </c>
      <c r="X55" s="5" t="s">
        <v>81</v>
      </c>
      <c r="Y55" s="5" t="s">
        <v>79</v>
      </c>
      <c r="Z55" s="5" t="s">
        <v>295</v>
      </c>
      <c r="AA55" s="5">
        <v>0</v>
      </c>
      <c r="AB55" s="5" t="s">
        <v>294</v>
      </c>
      <c r="AC55" s="5">
        <f t="shared" si="26"/>
        <v>0.5</v>
      </c>
      <c r="AD55" s="5">
        <v>32.5</v>
      </c>
      <c r="AE55" s="5">
        <v>37.5</v>
      </c>
      <c r="AF55" s="5">
        <v>19.75</v>
      </c>
      <c r="AG55" s="5">
        <v>7.25</v>
      </c>
      <c r="AH55" s="5">
        <v>2.5</v>
      </c>
      <c r="AI55" s="5">
        <v>7.2770000000000001</v>
      </c>
      <c r="AJ55" s="5" t="s">
        <v>291</v>
      </c>
      <c r="AK55" s="5">
        <v>1.88</v>
      </c>
      <c r="AL55" s="5" t="s">
        <v>291</v>
      </c>
      <c r="AM55" s="5">
        <f t="shared" si="20"/>
        <v>72.0867219770182</v>
      </c>
      <c r="AN55" s="5">
        <v>70.599999999999994</v>
      </c>
      <c r="AO55" s="11" t="s">
        <v>72</v>
      </c>
    </row>
    <row r="56" spans="1:41" x14ac:dyDescent="0.3">
      <c r="A56" s="11">
        <v>55</v>
      </c>
      <c r="B56" s="3" t="s">
        <v>289</v>
      </c>
      <c r="C56" s="3" t="s">
        <v>82</v>
      </c>
      <c r="D56" s="5">
        <f t="shared" si="19"/>
        <v>0.375</v>
      </c>
      <c r="E56" s="5">
        <f>20.54-(9*((G56/100*((100+L56)/100)))*Calculations!$B$16)</f>
        <v>18.978196850678732</v>
      </c>
      <c r="F56" s="5">
        <f t="shared" si="21"/>
        <v>50.819507290095522</v>
      </c>
      <c r="G56" s="5">
        <f t="shared" si="22"/>
        <v>7.1191553544494717</v>
      </c>
      <c r="H56" s="5">
        <f t="shared" si="23"/>
        <v>0.15082956259426847</v>
      </c>
      <c r="I56" s="5">
        <f t="shared" si="24"/>
        <v>0.57315233785822017</v>
      </c>
      <c r="J56" s="5">
        <f t="shared" si="25"/>
        <v>41.337355455002509</v>
      </c>
      <c r="K56" s="5">
        <v>0.55000000000000004</v>
      </c>
      <c r="L56" s="5">
        <v>8</v>
      </c>
      <c r="M56" s="5">
        <v>82.29</v>
      </c>
      <c r="N56" s="5">
        <v>17.16</v>
      </c>
      <c r="O56" s="5" t="s">
        <v>291</v>
      </c>
      <c r="P56" s="5" t="s">
        <v>291</v>
      </c>
      <c r="Q56" s="5" t="s">
        <v>291</v>
      </c>
      <c r="R56" s="5">
        <v>800</v>
      </c>
      <c r="S56" s="5" t="s">
        <v>39</v>
      </c>
      <c r="T56" s="5" t="s">
        <v>75</v>
      </c>
      <c r="U56" s="5" t="s">
        <v>291</v>
      </c>
      <c r="V56" s="5">
        <v>0</v>
      </c>
      <c r="W56" s="5">
        <v>0.22</v>
      </c>
      <c r="X56" s="5" t="s">
        <v>81</v>
      </c>
      <c r="Y56" s="5" t="s">
        <v>79</v>
      </c>
      <c r="Z56" s="5" t="s">
        <v>295</v>
      </c>
      <c r="AA56" s="5">
        <v>0</v>
      </c>
      <c r="AB56" s="5" t="s">
        <v>294</v>
      </c>
      <c r="AC56" s="5">
        <f t="shared" si="26"/>
        <v>0</v>
      </c>
      <c r="AD56" s="5">
        <v>33</v>
      </c>
      <c r="AE56" s="5">
        <v>43</v>
      </c>
      <c r="AF56" s="5">
        <v>16</v>
      </c>
      <c r="AG56" s="5">
        <v>6</v>
      </c>
      <c r="AH56" s="5">
        <v>2</v>
      </c>
      <c r="AI56" s="5">
        <v>6.7409999999999997</v>
      </c>
      <c r="AJ56" s="5" t="s">
        <v>291</v>
      </c>
      <c r="AK56" s="5">
        <v>1.46</v>
      </c>
      <c r="AL56" s="5" t="s">
        <v>291</v>
      </c>
      <c r="AM56" s="5">
        <f t="shared" si="20"/>
        <v>51.858772872028766</v>
      </c>
      <c r="AN56" s="5">
        <v>68.67</v>
      </c>
      <c r="AO56" s="11" t="s">
        <v>72</v>
      </c>
    </row>
    <row r="57" spans="1:41" x14ac:dyDescent="0.3">
      <c r="A57" s="11">
        <v>56</v>
      </c>
      <c r="B57" s="3" t="s">
        <v>289</v>
      </c>
      <c r="C57" s="3" t="s">
        <v>82</v>
      </c>
      <c r="D57" s="5">
        <f t="shared" si="19"/>
        <v>0.375</v>
      </c>
      <c r="E57" s="5">
        <f>20.54-(9*((G57/100*((100+L57)/100)))*Calculations!$B$16)</f>
        <v>18.978196850678732</v>
      </c>
      <c r="F57" s="5">
        <f t="shared" si="21"/>
        <v>50.819507290095522</v>
      </c>
      <c r="G57" s="5">
        <f t="shared" si="22"/>
        <v>7.1191553544494717</v>
      </c>
      <c r="H57" s="5">
        <f t="shared" si="23"/>
        <v>0.15082956259426847</v>
      </c>
      <c r="I57" s="5">
        <f t="shared" si="24"/>
        <v>0.57315233785822017</v>
      </c>
      <c r="J57" s="5">
        <f t="shared" si="25"/>
        <v>41.337355455002509</v>
      </c>
      <c r="K57" s="5">
        <v>0.55000000000000004</v>
      </c>
      <c r="L57" s="5">
        <v>8</v>
      </c>
      <c r="M57" s="5">
        <v>82.29</v>
      </c>
      <c r="N57" s="5">
        <v>17.16</v>
      </c>
      <c r="O57" s="5" t="s">
        <v>291</v>
      </c>
      <c r="P57" s="5" t="s">
        <v>291</v>
      </c>
      <c r="Q57" s="5" t="s">
        <v>291</v>
      </c>
      <c r="R57" s="5">
        <v>800</v>
      </c>
      <c r="S57" s="5" t="s">
        <v>39</v>
      </c>
      <c r="T57" s="5" t="s">
        <v>75</v>
      </c>
      <c r="U57" s="5" t="s">
        <v>291</v>
      </c>
      <c r="V57" s="5">
        <v>1.35</v>
      </c>
      <c r="W57" s="5">
        <v>0.22</v>
      </c>
      <c r="X57" s="5" t="s">
        <v>81</v>
      </c>
      <c r="Y57" s="5" t="s">
        <v>79</v>
      </c>
      <c r="Z57" s="5" t="s">
        <v>295</v>
      </c>
      <c r="AA57" s="5">
        <v>0</v>
      </c>
      <c r="AB57" s="5" t="s">
        <v>294</v>
      </c>
      <c r="AC57" s="5">
        <f t="shared" si="26"/>
        <v>1.25</v>
      </c>
      <c r="AD57" s="5">
        <v>30</v>
      </c>
      <c r="AE57" s="5">
        <v>40.5</v>
      </c>
      <c r="AF57" s="5">
        <v>17</v>
      </c>
      <c r="AG57" s="5">
        <v>8</v>
      </c>
      <c r="AH57" s="5">
        <v>3.25</v>
      </c>
      <c r="AI57" s="5">
        <v>9.1430000000000007</v>
      </c>
      <c r="AJ57" s="5" t="s">
        <v>291</v>
      </c>
      <c r="AK57" s="5">
        <v>2.39</v>
      </c>
      <c r="AL57" s="5" t="s">
        <v>291</v>
      </c>
      <c r="AM57" s="5">
        <f t="shared" si="20"/>
        <v>115.14144453201042</v>
      </c>
      <c r="AN57" s="5">
        <v>92.09</v>
      </c>
      <c r="AO57" s="11" t="s">
        <v>72</v>
      </c>
    </row>
    <row r="58" spans="1:41" x14ac:dyDescent="0.3">
      <c r="A58" s="11">
        <v>57</v>
      </c>
      <c r="B58" s="3" t="s">
        <v>289</v>
      </c>
      <c r="C58" s="3" t="s">
        <v>82</v>
      </c>
      <c r="D58" s="5">
        <f t="shared" si="19"/>
        <v>0.375</v>
      </c>
      <c r="E58" s="5">
        <f>20.54-(9*((G58/100*((100+L58)/100)))*Calculations!$B$16)</f>
        <v>18.978196850678732</v>
      </c>
      <c r="F58" s="5">
        <f t="shared" si="21"/>
        <v>50.819507290095522</v>
      </c>
      <c r="G58" s="5">
        <f t="shared" si="22"/>
        <v>7.1191553544494717</v>
      </c>
      <c r="H58" s="5">
        <f t="shared" si="23"/>
        <v>0.15082956259426847</v>
      </c>
      <c r="I58" s="5">
        <f t="shared" si="24"/>
        <v>0.57315233785822017</v>
      </c>
      <c r="J58" s="5">
        <f t="shared" si="25"/>
        <v>41.337355455002509</v>
      </c>
      <c r="K58" s="5">
        <v>0.55000000000000004</v>
      </c>
      <c r="L58" s="5">
        <v>8</v>
      </c>
      <c r="M58" s="5">
        <v>82.29</v>
      </c>
      <c r="N58" s="5">
        <v>17.16</v>
      </c>
      <c r="O58" s="5" t="s">
        <v>291</v>
      </c>
      <c r="P58" s="5" t="s">
        <v>291</v>
      </c>
      <c r="Q58" s="5" t="s">
        <v>291</v>
      </c>
      <c r="R58" s="5">
        <v>800</v>
      </c>
      <c r="S58" s="5" t="s">
        <v>39</v>
      </c>
      <c r="T58" s="5" t="s">
        <v>75</v>
      </c>
      <c r="U58" s="5" t="s">
        <v>291</v>
      </c>
      <c r="V58" s="5">
        <v>2.02</v>
      </c>
      <c r="W58" s="5">
        <v>0.22</v>
      </c>
      <c r="X58" s="5" t="s">
        <v>81</v>
      </c>
      <c r="Y58" s="5" t="s">
        <v>79</v>
      </c>
      <c r="Z58" s="5" t="s">
        <v>295</v>
      </c>
      <c r="AA58" s="5">
        <v>0</v>
      </c>
      <c r="AB58" s="5" t="s">
        <v>294</v>
      </c>
      <c r="AC58" s="5">
        <f t="shared" si="26"/>
        <v>1.75</v>
      </c>
      <c r="AD58" s="5">
        <v>31</v>
      </c>
      <c r="AE58" s="5">
        <v>39</v>
      </c>
      <c r="AF58" s="5">
        <v>17.5</v>
      </c>
      <c r="AG58" s="5">
        <v>7.75</v>
      </c>
      <c r="AH58" s="5">
        <v>3</v>
      </c>
      <c r="AI58" s="5">
        <v>8.9049999999999994</v>
      </c>
      <c r="AJ58" s="5" t="s">
        <v>291</v>
      </c>
      <c r="AK58" s="5">
        <v>2.34</v>
      </c>
      <c r="AL58" s="5" t="s">
        <v>291</v>
      </c>
      <c r="AM58" s="5">
        <f t="shared" si="20"/>
        <v>109.79810233791925</v>
      </c>
      <c r="AN58" s="5">
        <v>88.7</v>
      </c>
      <c r="AO58" s="11" t="s">
        <v>72</v>
      </c>
    </row>
    <row r="59" spans="1:41" x14ac:dyDescent="0.3">
      <c r="A59" s="11">
        <v>58</v>
      </c>
      <c r="B59" s="3" t="s">
        <v>289</v>
      </c>
      <c r="C59" s="3" t="s">
        <v>82</v>
      </c>
      <c r="D59" s="5">
        <f t="shared" si="19"/>
        <v>0.375</v>
      </c>
      <c r="E59" s="5">
        <f>20.54-(9*((G59/100*((100+L59)/100)))*Calculations!$B$16)</f>
        <v>18.978196850678732</v>
      </c>
      <c r="F59" s="5">
        <f t="shared" si="21"/>
        <v>50.819507290095522</v>
      </c>
      <c r="G59" s="5">
        <f t="shared" si="22"/>
        <v>7.1191553544494717</v>
      </c>
      <c r="H59" s="5">
        <f t="shared" si="23"/>
        <v>0.15082956259426847</v>
      </c>
      <c r="I59" s="5">
        <f t="shared" si="24"/>
        <v>0.57315233785822017</v>
      </c>
      <c r="J59" s="5">
        <f t="shared" si="25"/>
        <v>41.337355455002509</v>
      </c>
      <c r="K59" s="5">
        <v>0.55000000000000004</v>
      </c>
      <c r="L59" s="5">
        <v>8</v>
      </c>
      <c r="M59" s="5">
        <v>82.29</v>
      </c>
      <c r="N59" s="5">
        <v>17.16</v>
      </c>
      <c r="O59" s="5" t="s">
        <v>291</v>
      </c>
      <c r="P59" s="5" t="s">
        <v>291</v>
      </c>
      <c r="Q59" s="5" t="s">
        <v>291</v>
      </c>
      <c r="R59" s="5">
        <v>800</v>
      </c>
      <c r="S59" s="5" t="s">
        <v>39</v>
      </c>
      <c r="T59" s="5" t="s">
        <v>75</v>
      </c>
      <c r="U59" s="5" t="s">
        <v>291</v>
      </c>
      <c r="V59" s="5">
        <v>2.7</v>
      </c>
      <c r="W59" s="5">
        <v>0.22</v>
      </c>
      <c r="X59" s="5" t="s">
        <v>81</v>
      </c>
      <c r="Y59" s="5" t="s">
        <v>79</v>
      </c>
      <c r="Z59" s="5" t="s">
        <v>295</v>
      </c>
      <c r="AA59" s="5">
        <v>0</v>
      </c>
      <c r="AB59" s="5" t="s">
        <v>294</v>
      </c>
      <c r="AC59" s="5">
        <f t="shared" si="26"/>
        <v>1</v>
      </c>
      <c r="AD59" s="5">
        <v>32.5</v>
      </c>
      <c r="AE59" s="5">
        <v>37.5</v>
      </c>
      <c r="AF59" s="5">
        <v>18.5</v>
      </c>
      <c r="AG59" s="5">
        <v>7.5</v>
      </c>
      <c r="AH59" s="5">
        <v>3</v>
      </c>
      <c r="AI59" s="5">
        <v>8.56</v>
      </c>
      <c r="AJ59" s="5" t="s">
        <v>291</v>
      </c>
      <c r="AK59" s="5">
        <v>2.23</v>
      </c>
      <c r="AL59" s="5" t="s">
        <v>291</v>
      </c>
      <c r="AM59" s="5">
        <f t="shared" si="20"/>
        <v>100.58279061067552</v>
      </c>
      <c r="AN59" s="5">
        <v>85.9</v>
      </c>
      <c r="AO59" s="11" t="s">
        <v>72</v>
      </c>
    </row>
    <row r="60" spans="1:41" x14ac:dyDescent="0.3">
      <c r="A60" s="11">
        <v>59</v>
      </c>
      <c r="B60" s="3" t="s">
        <v>289</v>
      </c>
      <c r="C60" s="3" t="s">
        <v>82</v>
      </c>
      <c r="D60" s="5">
        <f t="shared" si="19"/>
        <v>0.375</v>
      </c>
      <c r="E60" s="5">
        <f>20.54-(9*((G60/100*((100+L60)/100)))*Calculations!$B$16)</f>
        <v>18.978196850678732</v>
      </c>
      <c r="F60" s="5">
        <f t="shared" si="21"/>
        <v>50.819507290095522</v>
      </c>
      <c r="G60" s="5">
        <f t="shared" si="22"/>
        <v>7.1191553544494717</v>
      </c>
      <c r="H60" s="5">
        <f t="shared" si="23"/>
        <v>0.15082956259426847</v>
      </c>
      <c r="I60" s="5">
        <f t="shared" si="24"/>
        <v>0.57315233785822017</v>
      </c>
      <c r="J60" s="5">
        <f t="shared" si="25"/>
        <v>41.337355455002509</v>
      </c>
      <c r="K60" s="5">
        <v>0.55000000000000004</v>
      </c>
      <c r="L60" s="5">
        <v>8</v>
      </c>
      <c r="M60" s="5">
        <v>82.29</v>
      </c>
      <c r="N60" s="5">
        <v>17.16</v>
      </c>
      <c r="O60" s="5" t="s">
        <v>291</v>
      </c>
      <c r="P60" s="5" t="s">
        <v>291</v>
      </c>
      <c r="Q60" s="5" t="s">
        <v>291</v>
      </c>
      <c r="R60" s="5">
        <v>800</v>
      </c>
      <c r="S60" s="5" t="s">
        <v>39</v>
      </c>
      <c r="T60" s="5" t="s">
        <v>75</v>
      </c>
      <c r="U60" s="5" t="s">
        <v>291</v>
      </c>
      <c r="V60" s="5">
        <v>4.04</v>
      </c>
      <c r="W60" s="5">
        <v>0.22</v>
      </c>
      <c r="X60" s="5" t="s">
        <v>81</v>
      </c>
      <c r="Y60" s="5" t="s">
        <v>79</v>
      </c>
      <c r="Z60" s="5" t="s">
        <v>295</v>
      </c>
      <c r="AA60" s="5">
        <v>0</v>
      </c>
      <c r="AB60" s="5" t="s">
        <v>294</v>
      </c>
      <c r="AC60" s="5">
        <f t="shared" si="26"/>
        <v>0.5</v>
      </c>
      <c r="AD60" s="5">
        <v>32.5</v>
      </c>
      <c r="AE60" s="5">
        <v>37.5</v>
      </c>
      <c r="AF60" s="5">
        <v>19</v>
      </c>
      <c r="AG60" s="5">
        <v>7.5</v>
      </c>
      <c r="AH60" s="5">
        <v>3</v>
      </c>
      <c r="AI60" s="5">
        <v>8.1</v>
      </c>
      <c r="AJ60" s="5" t="s">
        <v>291</v>
      </c>
      <c r="AK60" s="5">
        <v>1.95</v>
      </c>
      <c r="AL60" s="5" t="s">
        <v>291</v>
      </c>
      <c r="AM60" s="5">
        <f t="shared" si="20"/>
        <v>83.227084871527765</v>
      </c>
      <c r="AN60" s="5">
        <v>75.099999999999994</v>
      </c>
      <c r="AO60" s="11" t="s">
        <v>72</v>
      </c>
    </row>
    <row r="61" spans="1:41" x14ac:dyDescent="0.3">
      <c r="A61" s="11">
        <v>60</v>
      </c>
      <c r="B61" s="3" t="s">
        <v>289</v>
      </c>
      <c r="C61" s="3" t="s">
        <v>82</v>
      </c>
      <c r="D61" s="5">
        <v>0.75</v>
      </c>
      <c r="E61" s="5">
        <f>20.54-(9*((G61/100*((100+L61)/100)))*Calculations!$B$16)</f>
        <v>18.978196850678732</v>
      </c>
      <c r="F61" s="5">
        <f t="shared" si="21"/>
        <v>50.819507290095522</v>
      </c>
      <c r="G61" s="5">
        <f t="shared" si="22"/>
        <v>7.1191553544494717</v>
      </c>
      <c r="H61" s="5">
        <f t="shared" si="23"/>
        <v>0.15082956259426847</v>
      </c>
      <c r="I61" s="5">
        <f t="shared" si="24"/>
        <v>0.57315233785822017</v>
      </c>
      <c r="J61" s="5">
        <f t="shared" si="25"/>
        <v>41.337355455002509</v>
      </c>
      <c r="K61" s="5">
        <v>0.55000000000000004</v>
      </c>
      <c r="L61" s="5">
        <v>8</v>
      </c>
      <c r="M61" s="5">
        <v>82.29</v>
      </c>
      <c r="N61" s="5">
        <v>17.16</v>
      </c>
      <c r="O61" s="5" t="s">
        <v>291</v>
      </c>
      <c r="P61" s="5" t="s">
        <v>291</v>
      </c>
      <c r="Q61" s="5" t="s">
        <v>291</v>
      </c>
      <c r="R61" s="5">
        <v>800</v>
      </c>
      <c r="S61" s="5" t="s">
        <v>39</v>
      </c>
      <c r="T61" s="5" t="s">
        <v>75</v>
      </c>
      <c r="U61" s="5" t="s">
        <v>291</v>
      </c>
      <c r="V61" s="5">
        <v>1.56</v>
      </c>
      <c r="W61" s="5">
        <v>0.23</v>
      </c>
      <c r="X61" s="5" t="s">
        <v>81</v>
      </c>
      <c r="Y61" s="5" t="s">
        <v>79</v>
      </c>
      <c r="Z61" s="5" t="s">
        <v>295</v>
      </c>
      <c r="AA61" s="5">
        <v>0</v>
      </c>
      <c r="AB61" s="5" t="s">
        <v>294</v>
      </c>
      <c r="AC61" s="5">
        <f t="shared" si="26"/>
        <v>0</v>
      </c>
      <c r="AD61" s="5">
        <v>32.25</v>
      </c>
      <c r="AE61" s="5">
        <v>37.5</v>
      </c>
      <c r="AF61" s="5">
        <v>21.25</v>
      </c>
      <c r="AG61" s="5">
        <v>6.5</v>
      </c>
      <c r="AH61" s="5">
        <v>2.5</v>
      </c>
      <c r="AI61" s="5">
        <v>6.976</v>
      </c>
      <c r="AJ61" s="5" t="s">
        <v>291</v>
      </c>
      <c r="AK61" s="5">
        <v>1.53</v>
      </c>
      <c r="AL61" s="5" t="s">
        <v>291</v>
      </c>
      <c r="AM61" s="5">
        <f t="shared" si="20"/>
        <v>56.239694866576762</v>
      </c>
      <c r="AN61" s="5">
        <v>77.62</v>
      </c>
      <c r="AO61" s="11" t="s">
        <v>72</v>
      </c>
    </row>
    <row r="62" spans="1:41" x14ac:dyDescent="0.3">
      <c r="A62" s="11">
        <v>61</v>
      </c>
      <c r="B62" s="3" t="s">
        <v>289</v>
      </c>
      <c r="C62" s="3" t="s">
        <v>82</v>
      </c>
      <c r="D62" s="5">
        <v>0.53</v>
      </c>
      <c r="E62" s="5">
        <f>20.54-(9*((G62/100*((100+L62)/100)))*Calculations!$B$16)</f>
        <v>18.978196850678732</v>
      </c>
      <c r="F62" s="5">
        <f t="shared" si="21"/>
        <v>50.819507290095522</v>
      </c>
      <c r="G62" s="5">
        <f t="shared" si="22"/>
        <v>7.1191553544494717</v>
      </c>
      <c r="H62" s="5">
        <f t="shared" si="23"/>
        <v>0.15082956259426847</v>
      </c>
      <c r="I62" s="5">
        <f t="shared" si="24"/>
        <v>0.57315233785822017</v>
      </c>
      <c r="J62" s="5">
        <f t="shared" si="25"/>
        <v>41.337355455002509</v>
      </c>
      <c r="K62" s="5">
        <v>0.55000000000000004</v>
      </c>
      <c r="L62" s="5">
        <v>8</v>
      </c>
      <c r="M62" s="5">
        <v>82.29</v>
      </c>
      <c r="N62" s="5">
        <v>17.16</v>
      </c>
      <c r="O62" s="5" t="s">
        <v>291</v>
      </c>
      <c r="P62" s="5" t="s">
        <v>291</v>
      </c>
      <c r="Q62" s="5" t="s">
        <v>291</v>
      </c>
      <c r="R62" s="5">
        <v>800</v>
      </c>
      <c r="S62" s="5" t="s">
        <v>39</v>
      </c>
      <c r="T62" s="5" t="s">
        <v>75</v>
      </c>
      <c r="U62" s="5" t="s">
        <v>291</v>
      </c>
      <c r="V62" s="5">
        <v>1.56</v>
      </c>
      <c r="W62" s="5">
        <v>0.23</v>
      </c>
      <c r="X62" s="5" t="s">
        <v>81</v>
      </c>
      <c r="Y62" s="5" t="s">
        <v>79</v>
      </c>
      <c r="Z62" s="5" t="s">
        <v>295</v>
      </c>
      <c r="AA62" s="5">
        <v>0</v>
      </c>
      <c r="AB62" s="5" t="s">
        <v>294</v>
      </c>
      <c r="AC62" s="5">
        <f t="shared" si="26"/>
        <v>0.25</v>
      </c>
      <c r="AD62" s="5">
        <v>32.25</v>
      </c>
      <c r="AE62" s="5">
        <v>37.5</v>
      </c>
      <c r="AF62" s="5">
        <v>19.5</v>
      </c>
      <c r="AG62" s="5">
        <v>7.5</v>
      </c>
      <c r="AH62" s="5">
        <v>3</v>
      </c>
      <c r="AI62" s="5">
        <v>7.9370000000000003</v>
      </c>
      <c r="AJ62" s="5" t="s">
        <v>291</v>
      </c>
      <c r="AK62" s="5">
        <v>1.93</v>
      </c>
      <c r="AL62" s="5" t="s">
        <v>291</v>
      </c>
      <c r="AM62" s="5">
        <f t="shared" si="20"/>
        <v>80.715834705087673</v>
      </c>
      <c r="AN62" s="5">
        <v>84.4</v>
      </c>
      <c r="AO62" s="11" t="s">
        <v>72</v>
      </c>
    </row>
    <row r="63" spans="1:41" x14ac:dyDescent="0.3">
      <c r="A63" s="11">
        <v>62</v>
      </c>
      <c r="B63" s="3" t="s">
        <v>289</v>
      </c>
      <c r="C63" s="3" t="s">
        <v>82</v>
      </c>
      <c r="D63" s="5">
        <v>0.38</v>
      </c>
      <c r="E63" s="5">
        <f>20.54-(9*((G63/100*((100+L63)/100)))*Calculations!$B$16)</f>
        <v>18.978196850678732</v>
      </c>
      <c r="F63" s="5">
        <f t="shared" si="21"/>
        <v>50.819507290095522</v>
      </c>
      <c r="G63" s="5">
        <f t="shared" si="22"/>
        <v>7.1191553544494717</v>
      </c>
      <c r="H63" s="5">
        <f t="shared" si="23"/>
        <v>0.15082956259426847</v>
      </c>
      <c r="I63" s="5">
        <f t="shared" si="24"/>
        <v>0.57315233785822017</v>
      </c>
      <c r="J63" s="5">
        <f t="shared" si="25"/>
        <v>41.337355455002509</v>
      </c>
      <c r="K63" s="5">
        <v>0.55000000000000004</v>
      </c>
      <c r="L63" s="5">
        <v>8</v>
      </c>
      <c r="M63" s="5">
        <v>82.29</v>
      </c>
      <c r="N63" s="5">
        <v>17.16</v>
      </c>
      <c r="O63" s="5" t="s">
        <v>291</v>
      </c>
      <c r="P63" s="5" t="s">
        <v>291</v>
      </c>
      <c r="Q63" s="5" t="s">
        <v>291</v>
      </c>
      <c r="R63" s="5">
        <v>800</v>
      </c>
      <c r="S63" s="5" t="s">
        <v>39</v>
      </c>
      <c r="T63" s="5" t="s">
        <v>75</v>
      </c>
      <c r="U63" s="5" t="s">
        <v>291</v>
      </c>
      <c r="V63" s="5">
        <v>1.56</v>
      </c>
      <c r="W63" s="5">
        <v>0.23</v>
      </c>
      <c r="X63" s="5" t="s">
        <v>81</v>
      </c>
      <c r="Y63" s="5" t="s">
        <v>79</v>
      </c>
      <c r="Z63" s="5" t="s">
        <v>295</v>
      </c>
      <c r="AA63" s="5">
        <v>0</v>
      </c>
      <c r="AB63" s="5" t="s">
        <v>294</v>
      </c>
      <c r="AC63" s="5">
        <f t="shared" si="26"/>
        <v>0.25</v>
      </c>
      <c r="AD63" s="5">
        <v>32.25</v>
      </c>
      <c r="AE63" s="5">
        <v>40</v>
      </c>
      <c r="AF63" s="5">
        <v>17</v>
      </c>
      <c r="AG63" s="5">
        <v>7.5</v>
      </c>
      <c r="AH63" s="5">
        <v>3</v>
      </c>
      <c r="AI63" s="5">
        <v>8.7080000000000002</v>
      </c>
      <c r="AJ63" s="5" t="s">
        <v>291</v>
      </c>
      <c r="AK63" s="5">
        <v>2.37</v>
      </c>
      <c r="AL63" s="5" t="s">
        <v>291</v>
      </c>
      <c r="AM63" s="5">
        <f t="shared" si="20"/>
        <v>108.74563143369392</v>
      </c>
      <c r="AN63" s="5">
        <v>90.6</v>
      </c>
      <c r="AO63" s="11" t="s">
        <v>72</v>
      </c>
    </row>
    <row r="64" spans="1:41" x14ac:dyDescent="0.3">
      <c r="A64" s="11">
        <v>63</v>
      </c>
      <c r="B64" s="3" t="s">
        <v>289</v>
      </c>
      <c r="C64" s="3" t="s">
        <v>82</v>
      </c>
      <c r="D64" s="5">
        <v>0.25</v>
      </c>
      <c r="E64" s="5">
        <f>20.54-(9*((G64/100*((100+L64)/100)))*Calculations!$B$16)</f>
        <v>18.978196850678732</v>
      </c>
      <c r="F64" s="5">
        <f t="shared" si="21"/>
        <v>50.819507290095522</v>
      </c>
      <c r="G64" s="5">
        <f t="shared" si="22"/>
        <v>7.1191553544494717</v>
      </c>
      <c r="H64" s="5">
        <f t="shared" si="23"/>
        <v>0.15082956259426847</v>
      </c>
      <c r="I64" s="5">
        <f t="shared" si="24"/>
        <v>0.57315233785822017</v>
      </c>
      <c r="J64" s="5">
        <f t="shared" si="25"/>
        <v>41.337355455002509</v>
      </c>
      <c r="K64" s="5">
        <v>0.55000000000000004</v>
      </c>
      <c r="L64" s="5">
        <v>8</v>
      </c>
      <c r="M64" s="5">
        <v>82.29</v>
      </c>
      <c r="N64" s="5">
        <v>17.16</v>
      </c>
      <c r="O64" s="5" t="s">
        <v>291</v>
      </c>
      <c r="P64" s="5" t="s">
        <v>291</v>
      </c>
      <c r="Q64" s="5" t="s">
        <v>291</v>
      </c>
      <c r="R64" s="5">
        <v>800</v>
      </c>
      <c r="S64" s="5" t="s">
        <v>39</v>
      </c>
      <c r="T64" s="5" t="s">
        <v>75</v>
      </c>
      <c r="U64" s="5" t="s">
        <v>291</v>
      </c>
      <c r="V64" s="5">
        <v>1.56</v>
      </c>
      <c r="W64" s="5">
        <v>0.23</v>
      </c>
      <c r="X64" s="5" t="s">
        <v>81</v>
      </c>
      <c r="Y64" s="5" t="s">
        <v>79</v>
      </c>
      <c r="Z64" s="5" t="s">
        <v>295</v>
      </c>
      <c r="AA64" s="5">
        <v>0</v>
      </c>
      <c r="AB64" s="5" t="s">
        <v>294</v>
      </c>
      <c r="AC64" s="5">
        <f t="shared" si="26"/>
        <v>0.25</v>
      </c>
      <c r="AD64" s="5">
        <v>30.5</v>
      </c>
      <c r="AE64" s="5">
        <v>41</v>
      </c>
      <c r="AF64" s="5">
        <v>17</v>
      </c>
      <c r="AG64" s="5">
        <v>7.75</v>
      </c>
      <c r="AH64" s="5">
        <v>3.5</v>
      </c>
      <c r="AI64" s="5">
        <v>8.7370000000000001</v>
      </c>
      <c r="AJ64" s="5" t="s">
        <v>291</v>
      </c>
      <c r="AK64" s="5">
        <v>2.57</v>
      </c>
      <c r="AL64" s="5" t="s">
        <v>291</v>
      </c>
      <c r="AM64" s="5">
        <f t="shared" si="20"/>
        <v>118.31519177859595</v>
      </c>
      <c r="AN64" s="5">
        <v>95.1</v>
      </c>
      <c r="AO64" s="11" t="s">
        <v>72</v>
      </c>
    </row>
    <row r="65" spans="1:41" x14ac:dyDescent="0.3">
      <c r="A65" s="11">
        <v>64</v>
      </c>
      <c r="B65" s="3" t="s">
        <v>85</v>
      </c>
      <c r="C65" s="3" t="s">
        <v>290</v>
      </c>
      <c r="D65" s="5">
        <f>(2+5)/2</f>
        <v>3.5</v>
      </c>
      <c r="E65" s="5">
        <v>11.5</v>
      </c>
      <c r="F65" s="5">
        <f>(25.9+28.7)/2*(100/(100-K65))</f>
        <v>48.75</v>
      </c>
      <c r="G65" s="5">
        <f>4.8*(100/(100-K65))</f>
        <v>8.5714285714285712</v>
      </c>
      <c r="H65" s="5">
        <f>(4.5+3.7)/2*(100/(100-K65))</f>
        <v>7.3214285714285712</v>
      </c>
      <c r="I65" s="5">
        <f>0.9*(100/(100-K65))</f>
        <v>1.6071428571428572</v>
      </c>
      <c r="J65" s="5">
        <f>100-I65-H65-G65-F65</f>
        <v>33.75</v>
      </c>
      <c r="K65" s="5">
        <f>(46.7+41.3)/2</f>
        <v>44</v>
      </c>
      <c r="L65" s="5">
        <f>(6.4+7.5)/2</f>
        <v>6.95</v>
      </c>
      <c r="M65" s="5">
        <f>(58.7+53.3)/2</f>
        <v>56</v>
      </c>
      <c r="N65" s="5" t="s">
        <v>291</v>
      </c>
      <c r="O65" s="5" t="s">
        <v>291</v>
      </c>
      <c r="P65" s="5" t="s">
        <v>291</v>
      </c>
      <c r="Q65" s="5" t="s">
        <v>291</v>
      </c>
      <c r="R65" s="5">
        <v>750</v>
      </c>
      <c r="S65" s="5" t="s">
        <v>39</v>
      </c>
      <c r="T65" s="5" t="s">
        <v>291</v>
      </c>
      <c r="U65" s="5">
        <v>80</v>
      </c>
      <c r="V65" s="5" t="s">
        <v>291</v>
      </c>
      <c r="W65" s="5">
        <v>0.2</v>
      </c>
      <c r="X65" s="5" t="s">
        <v>33</v>
      </c>
      <c r="Y65" s="5" t="s">
        <v>79</v>
      </c>
      <c r="Z65" s="5" t="s">
        <v>295</v>
      </c>
      <c r="AA65" s="5">
        <v>0</v>
      </c>
      <c r="AB65" s="5" t="s">
        <v>294</v>
      </c>
      <c r="AC65" s="5">
        <v>60.9</v>
      </c>
      <c r="AD65" s="5">
        <v>9.8000000000000007</v>
      </c>
      <c r="AE65" s="5">
        <v>7.2</v>
      </c>
      <c r="AF65" s="5">
        <v>14.2</v>
      </c>
      <c r="AG65" s="5">
        <v>3.7</v>
      </c>
      <c r="AH65" s="5">
        <v>2.6</v>
      </c>
      <c r="AI65" s="5">
        <v>3.4</v>
      </c>
      <c r="AJ65" s="5">
        <v>17.3</v>
      </c>
      <c r="AK65" s="5">
        <v>0.96805000000000008</v>
      </c>
      <c r="AL65" s="5">
        <v>44.479350000000004</v>
      </c>
      <c r="AM65" s="5">
        <f t="shared" si="20"/>
        <v>28.620608695652173</v>
      </c>
      <c r="AN65" s="5">
        <v>54</v>
      </c>
      <c r="AO65" s="11" t="s">
        <v>84</v>
      </c>
    </row>
    <row r="66" spans="1:41" x14ac:dyDescent="0.3">
      <c r="A66" s="11">
        <v>65</v>
      </c>
      <c r="B66" s="3" t="s">
        <v>85</v>
      </c>
      <c r="C66" s="3" t="s">
        <v>290</v>
      </c>
      <c r="D66" s="5">
        <f t="shared" ref="D66:D87" si="27">(2+5)/2</f>
        <v>3.5</v>
      </c>
      <c r="E66" s="5">
        <v>11.5</v>
      </c>
      <c r="F66" s="5">
        <f t="shared" ref="F66:F87" si="28">(25.9+28.7)/2*(100/(100-K66))</f>
        <v>48.75</v>
      </c>
      <c r="G66" s="5">
        <f t="shared" ref="G66:G87" si="29">4.8*(100/(100-K66))</f>
        <v>8.5714285714285712</v>
      </c>
      <c r="H66" s="5">
        <f t="shared" ref="H66:H87" si="30">(4.5+3.7)/2*(100/(100-K66))</f>
        <v>7.3214285714285712</v>
      </c>
      <c r="I66" s="5">
        <f t="shared" ref="I66:I87" si="31">0.9*(100/(100-K66))</f>
        <v>1.6071428571428572</v>
      </c>
      <c r="J66" s="5">
        <f t="shared" ref="J66:J87" si="32">100-I66-H66-G66-F66</f>
        <v>33.75</v>
      </c>
      <c r="K66" s="5">
        <f t="shared" ref="K66:K87" si="33">(46.7+41.3)/2</f>
        <v>44</v>
      </c>
      <c r="L66" s="5">
        <f t="shared" ref="L66:L87" si="34">(6.4+7.5)/2</f>
        <v>6.95</v>
      </c>
      <c r="M66" s="5">
        <f t="shared" ref="M66:M87" si="35">(58.7+53.3)/2</f>
        <v>56</v>
      </c>
      <c r="N66" s="5" t="s">
        <v>291</v>
      </c>
      <c r="O66" s="5" t="s">
        <v>291</v>
      </c>
      <c r="P66" s="5" t="s">
        <v>291</v>
      </c>
      <c r="Q66" s="5" t="s">
        <v>291</v>
      </c>
      <c r="R66" s="5">
        <v>800</v>
      </c>
      <c r="S66" s="5" t="s">
        <v>39</v>
      </c>
      <c r="T66" s="5" t="s">
        <v>291</v>
      </c>
      <c r="U66" s="5">
        <v>80</v>
      </c>
      <c r="V66" s="5" t="s">
        <v>291</v>
      </c>
      <c r="W66" s="5">
        <v>0.2</v>
      </c>
      <c r="X66" s="5" t="s">
        <v>33</v>
      </c>
      <c r="Y66" s="5" t="s">
        <v>79</v>
      </c>
      <c r="Z66" s="5" t="s">
        <v>295</v>
      </c>
      <c r="AA66" s="5">
        <v>0</v>
      </c>
      <c r="AB66" s="5" t="s">
        <v>294</v>
      </c>
      <c r="AC66" s="5">
        <v>52.2</v>
      </c>
      <c r="AD66" s="5">
        <v>14</v>
      </c>
      <c r="AE66" s="5">
        <v>10.7</v>
      </c>
      <c r="AF66" s="5">
        <v>13.6</v>
      </c>
      <c r="AG66" s="5">
        <v>4.9000000000000004</v>
      </c>
      <c r="AH66" s="5">
        <v>3.2</v>
      </c>
      <c r="AI66" s="5">
        <v>4.8</v>
      </c>
      <c r="AJ66" s="5">
        <v>14.1</v>
      </c>
      <c r="AK66" s="5">
        <v>1.0190000000000001</v>
      </c>
      <c r="AL66" s="5">
        <v>35.563100000000006</v>
      </c>
      <c r="AM66" s="5">
        <f t="shared" si="20"/>
        <v>42.532173913043486</v>
      </c>
      <c r="AN66" s="5">
        <v>67.3</v>
      </c>
      <c r="AO66" s="11" t="s">
        <v>84</v>
      </c>
    </row>
    <row r="67" spans="1:41" x14ac:dyDescent="0.3">
      <c r="A67" s="11">
        <v>66</v>
      </c>
      <c r="B67" s="3" t="s">
        <v>85</v>
      </c>
      <c r="C67" s="3" t="s">
        <v>290</v>
      </c>
      <c r="D67" s="5">
        <f t="shared" si="27"/>
        <v>3.5</v>
      </c>
      <c r="E67" s="5">
        <v>11.5</v>
      </c>
      <c r="F67" s="5">
        <f t="shared" si="28"/>
        <v>48.75</v>
      </c>
      <c r="G67" s="5">
        <f t="shared" si="29"/>
        <v>8.5714285714285712</v>
      </c>
      <c r="H67" s="5">
        <f t="shared" si="30"/>
        <v>7.3214285714285712</v>
      </c>
      <c r="I67" s="5">
        <f t="shared" si="31"/>
        <v>1.6071428571428572</v>
      </c>
      <c r="J67" s="5">
        <f t="shared" si="32"/>
        <v>33.75</v>
      </c>
      <c r="K67" s="5">
        <f t="shared" si="33"/>
        <v>44</v>
      </c>
      <c r="L67" s="5">
        <f t="shared" si="34"/>
        <v>6.95</v>
      </c>
      <c r="M67" s="5">
        <f t="shared" si="35"/>
        <v>56</v>
      </c>
      <c r="N67" s="5" t="s">
        <v>291</v>
      </c>
      <c r="O67" s="5" t="s">
        <v>291</v>
      </c>
      <c r="P67" s="5" t="s">
        <v>291</v>
      </c>
      <c r="Q67" s="5" t="s">
        <v>291</v>
      </c>
      <c r="R67" s="5">
        <v>850</v>
      </c>
      <c r="S67" s="5" t="s">
        <v>39</v>
      </c>
      <c r="T67" s="5" t="s">
        <v>291</v>
      </c>
      <c r="U67" s="5">
        <v>80</v>
      </c>
      <c r="V67" s="5" t="s">
        <v>291</v>
      </c>
      <c r="W67" s="5">
        <v>0.2</v>
      </c>
      <c r="X67" s="5" t="s">
        <v>33</v>
      </c>
      <c r="Y67" s="5" t="s">
        <v>79</v>
      </c>
      <c r="Z67" s="5" t="s">
        <v>295</v>
      </c>
      <c r="AA67" s="5">
        <v>0</v>
      </c>
      <c r="AB67" s="5" t="s">
        <v>294</v>
      </c>
      <c r="AC67" s="5">
        <v>47.7</v>
      </c>
      <c r="AD67" s="5">
        <v>16.399999999999999</v>
      </c>
      <c r="AE67" s="5">
        <v>12.6</v>
      </c>
      <c r="AF67" s="5">
        <v>13</v>
      </c>
      <c r="AG67" s="5">
        <v>5.7</v>
      </c>
      <c r="AH67" s="5">
        <v>3.3</v>
      </c>
      <c r="AI67" s="5">
        <v>5.6</v>
      </c>
      <c r="AJ67" s="5">
        <v>10.199999999999999</v>
      </c>
      <c r="AK67" s="5">
        <v>1.0190000000000001</v>
      </c>
      <c r="AL67" s="5">
        <v>36.225450000000002</v>
      </c>
      <c r="AM67" s="5">
        <f t="shared" si="20"/>
        <v>49.62086956521739</v>
      </c>
      <c r="AN67" s="5">
        <v>72.8</v>
      </c>
      <c r="AO67" s="11" t="s">
        <v>84</v>
      </c>
    </row>
    <row r="68" spans="1:41" x14ac:dyDescent="0.3">
      <c r="A68" s="11">
        <v>67</v>
      </c>
      <c r="B68" s="3" t="s">
        <v>85</v>
      </c>
      <c r="C68" s="3" t="s">
        <v>290</v>
      </c>
      <c r="D68" s="5">
        <f t="shared" si="27"/>
        <v>3.5</v>
      </c>
      <c r="E68" s="5">
        <v>11.5</v>
      </c>
      <c r="F68" s="5">
        <f t="shared" si="28"/>
        <v>48.75</v>
      </c>
      <c r="G68" s="5">
        <f t="shared" si="29"/>
        <v>8.5714285714285712</v>
      </c>
      <c r="H68" s="5">
        <f t="shared" si="30"/>
        <v>7.3214285714285712</v>
      </c>
      <c r="I68" s="5">
        <f t="shared" si="31"/>
        <v>1.6071428571428572</v>
      </c>
      <c r="J68" s="5">
        <f t="shared" si="32"/>
        <v>33.75</v>
      </c>
      <c r="K68" s="5">
        <f t="shared" si="33"/>
        <v>44</v>
      </c>
      <c r="L68" s="5">
        <f t="shared" si="34"/>
        <v>6.95</v>
      </c>
      <c r="M68" s="5">
        <f t="shared" si="35"/>
        <v>56</v>
      </c>
      <c r="N68" s="5" t="s">
        <v>291</v>
      </c>
      <c r="O68" s="5" t="s">
        <v>291</v>
      </c>
      <c r="P68" s="5" t="s">
        <v>291</v>
      </c>
      <c r="Q68" s="5" t="s">
        <v>291</v>
      </c>
      <c r="R68" s="5">
        <v>750</v>
      </c>
      <c r="S68" s="5" t="s">
        <v>39</v>
      </c>
      <c r="T68" s="5" t="s">
        <v>291</v>
      </c>
      <c r="U68" s="5">
        <v>80</v>
      </c>
      <c r="V68" s="5" t="s">
        <v>291</v>
      </c>
      <c r="W68" s="5">
        <v>0.3</v>
      </c>
      <c r="X68" s="5" t="s">
        <v>33</v>
      </c>
      <c r="Y68" s="5" t="s">
        <v>79</v>
      </c>
      <c r="Z68" s="5" t="s">
        <v>295</v>
      </c>
      <c r="AA68" s="5">
        <v>0</v>
      </c>
      <c r="AB68" s="5" t="s">
        <v>294</v>
      </c>
      <c r="AC68" s="5">
        <v>65.099999999999994</v>
      </c>
      <c r="AD68" s="5">
        <v>7.6</v>
      </c>
      <c r="AE68" s="5">
        <v>6.9</v>
      </c>
      <c r="AF68" s="5">
        <v>14.1</v>
      </c>
      <c r="AG68" s="5">
        <v>2.7</v>
      </c>
      <c r="AH68" s="5">
        <v>2.1</v>
      </c>
      <c r="AI68" s="5">
        <v>2.8</v>
      </c>
      <c r="AJ68" s="5">
        <v>11.8</v>
      </c>
      <c r="AK68" s="5">
        <v>1.2737500000000002</v>
      </c>
      <c r="AL68" s="5">
        <v>44.988850000000006</v>
      </c>
      <c r="AM68" s="5">
        <f t="shared" si="20"/>
        <v>31.013043478260869</v>
      </c>
      <c r="AN68" s="5">
        <v>66.2</v>
      </c>
      <c r="AO68" s="11" t="s">
        <v>84</v>
      </c>
    </row>
    <row r="69" spans="1:41" x14ac:dyDescent="0.3">
      <c r="A69" s="11">
        <v>68</v>
      </c>
      <c r="B69" s="3" t="s">
        <v>85</v>
      </c>
      <c r="C69" s="3" t="s">
        <v>290</v>
      </c>
      <c r="D69" s="5">
        <f t="shared" si="27"/>
        <v>3.5</v>
      </c>
      <c r="E69" s="5">
        <v>11.5</v>
      </c>
      <c r="F69" s="5">
        <f t="shared" si="28"/>
        <v>48.75</v>
      </c>
      <c r="G69" s="5">
        <f t="shared" si="29"/>
        <v>8.5714285714285712</v>
      </c>
      <c r="H69" s="5">
        <f t="shared" si="30"/>
        <v>7.3214285714285712</v>
      </c>
      <c r="I69" s="5">
        <f t="shared" si="31"/>
        <v>1.6071428571428572</v>
      </c>
      <c r="J69" s="5">
        <f t="shared" si="32"/>
        <v>33.75</v>
      </c>
      <c r="K69" s="5">
        <f t="shared" si="33"/>
        <v>44</v>
      </c>
      <c r="L69" s="5">
        <f t="shared" si="34"/>
        <v>6.95</v>
      </c>
      <c r="M69" s="5">
        <f t="shared" si="35"/>
        <v>56</v>
      </c>
      <c r="N69" s="5" t="s">
        <v>291</v>
      </c>
      <c r="O69" s="5" t="s">
        <v>291</v>
      </c>
      <c r="P69" s="5" t="s">
        <v>291</v>
      </c>
      <c r="Q69" s="5" t="s">
        <v>291</v>
      </c>
      <c r="R69" s="5">
        <v>800</v>
      </c>
      <c r="S69" s="5" t="s">
        <v>39</v>
      </c>
      <c r="T69" s="5" t="s">
        <v>291</v>
      </c>
      <c r="U69" s="5">
        <v>80</v>
      </c>
      <c r="V69" s="5" t="s">
        <v>291</v>
      </c>
      <c r="W69" s="5">
        <v>0.3</v>
      </c>
      <c r="X69" s="5" t="s">
        <v>33</v>
      </c>
      <c r="Y69" s="5" t="s">
        <v>79</v>
      </c>
      <c r="Z69" s="5" t="s">
        <v>295</v>
      </c>
      <c r="AA69" s="5">
        <v>0</v>
      </c>
      <c r="AB69" s="5" t="s">
        <v>294</v>
      </c>
      <c r="AC69" s="5">
        <v>60.8</v>
      </c>
      <c r="AD69" s="5">
        <v>10.4</v>
      </c>
      <c r="AE69" s="5">
        <v>8</v>
      </c>
      <c r="AF69" s="5">
        <v>14.1</v>
      </c>
      <c r="AG69" s="5">
        <v>3</v>
      </c>
      <c r="AH69" s="5">
        <v>2.2000000000000002</v>
      </c>
      <c r="AI69" s="5">
        <v>3.3</v>
      </c>
      <c r="AJ69" s="5">
        <v>7.6</v>
      </c>
      <c r="AK69" s="5">
        <v>1.2737500000000002</v>
      </c>
      <c r="AL69" s="5">
        <v>28.532000000000004</v>
      </c>
      <c r="AM69" s="5">
        <f t="shared" si="20"/>
        <v>36.551086956521743</v>
      </c>
      <c r="AN69" s="5">
        <v>71.3</v>
      </c>
      <c r="AO69" s="11" t="s">
        <v>84</v>
      </c>
    </row>
    <row r="70" spans="1:41" x14ac:dyDescent="0.3">
      <c r="A70" s="11">
        <v>69</v>
      </c>
      <c r="B70" s="3" t="s">
        <v>85</v>
      </c>
      <c r="C70" s="3" t="s">
        <v>290</v>
      </c>
      <c r="D70" s="5">
        <f t="shared" si="27"/>
        <v>3.5</v>
      </c>
      <c r="E70" s="5">
        <v>11.5</v>
      </c>
      <c r="F70" s="5">
        <f t="shared" si="28"/>
        <v>48.75</v>
      </c>
      <c r="G70" s="5">
        <f t="shared" si="29"/>
        <v>8.5714285714285712</v>
      </c>
      <c r="H70" s="5">
        <f t="shared" si="30"/>
        <v>7.3214285714285712</v>
      </c>
      <c r="I70" s="5">
        <f t="shared" si="31"/>
        <v>1.6071428571428572</v>
      </c>
      <c r="J70" s="5">
        <f t="shared" si="32"/>
        <v>33.75</v>
      </c>
      <c r="K70" s="5">
        <f t="shared" si="33"/>
        <v>44</v>
      </c>
      <c r="L70" s="5">
        <f t="shared" si="34"/>
        <v>6.95</v>
      </c>
      <c r="M70" s="5">
        <f t="shared" si="35"/>
        <v>56</v>
      </c>
      <c r="N70" s="5" t="s">
        <v>291</v>
      </c>
      <c r="O70" s="5" t="s">
        <v>291</v>
      </c>
      <c r="P70" s="5" t="s">
        <v>291</v>
      </c>
      <c r="Q70" s="5" t="s">
        <v>291</v>
      </c>
      <c r="R70" s="5">
        <v>850</v>
      </c>
      <c r="S70" s="5" t="s">
        <v>39</v>
      </c>
      <c r="T70" s="5" t="s">
        <v>291</v>
      </c>
      <c r="U70" s="5">
        <v>80</v>
      </c>
      <c r="V70" s="5" t="s">
        <v>291</v>
      </c>
      <c r="W70" s="5">
        <v>0.3</v>
      </c>
      <c r="X70" s="5" t="s">
        <v>33</v>
      </c>
      <c r="Y70" s="5" t="s">
        <v>79</v>
      </c>
      <c r="Z70" s="5" t="s">
        <v>295</v>
      </c>
      <c r="AA70" s="5">
        <v>0</v>
      </c>
      <c r="AB70" s="5" t="s">
        <v>294</v>
      </c>
      <c r="AC70" s="5">
        <v>57.7</v>
      </c>
      <c r="AD70" s="5">
        <v>12.1</v>
      </c>
      <c r="AE70" s="5">
        <v>10.1</v>
      </c>
      <c r="AF70" s="5">
        <v>13.1</v>
      </c>
      <c r="AG70" s="5">
        <v>3.3</v>
      </c>
      <c r="AH70" s="5">
        <v>2.4</v>
      </c>
      <c r="AI70" s="5">
        <v>3.9</v>
      </c>
      <c r="AJ70" s="5">
        <v>4.3</v>
      </c>
      <c r="AK70" s="5">
        <v>1.3247000000000002</v>
      </c>
      <c r="AL70" s="5">
        <v>19.055300000000003</v>
      </c>
      <c r="AM70" s="5">
        <f t="shared" si="20"/>
        <v>44.924608695652175</v>
      </c>
      <c r="AN70" s="5">
        <v>77.900000000000006</v>
      </c>
      <c r="AO70" s="11" t="s">
        <v>84</v>
      </c>
    </row>
    <row r="71" spans="1:41" x14ac:dyDescent="0.3">
      <c r="A71" s="11">
        <v>70</v>
      </c>
      <c r="B71" s="3" t="s">
        <v>85</v>
      </c>
      <c r="C71" s="3" t="s">
        <v>290</v>
      </c>
      <c r="D71" s="5">
        <f t="shared" si="27"/>
        <v>3.5</v>
      </c>
      <c r="E71" s="5">
        <v>11.5</v>
      </c>
      <c r="F71" s="5">
        <f t="shared" si="28"/>
        <v>48.75</v>
      </c>
      <c r="G71" s="5">
        <f t="shared" si="29"/>
        <v>8.5714285714285712</v>
      </c>
      <c r="H71" s="5">
        <f t="shared" si="30"/>
        <v>7.3214285714285712</v>
      </c>
      <c r="I71" s="5">
        <f t="shared" si="31"/>
        <v>1.6071428571428572</v>
      </c>
      <c r="J71" s="5">
        <f t="shared" si="32"/>
        <v>33.75</v>
      </c>
      <c r="K71" s="5">
        <f t="shared" si="33"/>
        <v>44</v>
      </c>
      <c r="L71" s="5">
        <f t="shared" si="34"/>
        <v>6.95</v>
      </c>
      <c r="M71" s="5">
        <f t="shared" si="35"/>
        <v>56</v>
      </c>
      <c r="N71" s="5" t="s">
        <v>291</v>
      </c>
      <c r="O71" s="5" t="s">
        <v>291</v>
      </c>
      <c r="P71" s="5" t="s">
        <v>291</v>
      </c>
      <c r="Q71" s="5" t="s">
        <v>291</v>
      </c>
      <c r="R71" s="5">
        <v>750</v>
      </c>
      <c r="S71" s="5" t="s">
        <v>39</v>
      </c>
      <c r="T71" s="5" t="s">
        <v>291</v>
      </c>
      <c r="U71" s="5">
        <v>80</v>
      </c>
      <c r="V71" s="5" t="s">
        <v>291</v>
      </c>
      <c r="W71" s="5">
        <v>0.4</v>
      </c>
      <c r="X71" s="5" t="s">
        <v>33</v>
      </c>
      <c r="Y71" s="5" t="s">
        <v>79</v>
      </c>
      <c r="Z71" s="5" t="s">
        <v>295</v>
      </c>
      <c r="AA71" s="5">
        <v>0</v>
      </c>
      <c r="AB71" s="5" t="s">
        <v>294</v>
      </c>
      <c r="AC71" s="5">
        <v>74.900000000000006</v>
      </c>
      <c r="AD71" s="5">
        <v>3.2</v>
      </c>
      <c r="AE71" s="5">
        <v>4.3</v>
      </c>
      <c r="AF71" s="5">
        <v>14.1</v>
      </c>
      <c r="AG71" s="5">
        <v>1</v>
      </c>
      <c r="AH71" s="5">
        <v>0.8</v>
      </c>
      <c r="AI71" s="5">
        <v>1.3</v>
      </c>
      <c r="AJ71" s="5">
        <v>6.6</v>
      </c>
      <c r="AK71" s="5">
        <v>1.4775500000000001</v>
      </c>
      <c r="AL71" s="5">
        <v>23.131300000000003</v>
      </c>
      <c r="AM71" s="5">
        <f t="shared" si="20"/>
        <v>16.702739130434782</v>
      </c>
      <c r="AN71" s="5">
        <v>61.6</v>
      </c>
      <c r="AO71" s="11" t="s">
        <v>84</v>
      </c>
    </row>
    <row r="72" spans="1:41" x14ac:dyDescent="0.3">
      <c r="A72" s="11">
        <v>71</v>
      </c>
      <c r="B72" s="3" t="s">
        <v>85</v>
      </c>
      <c r="C72" s="3" t="s">
        <v>290</v>
      </c>
      <c r="D72" s="5">
        <f t="shared" si="27"/>
        <v>3.5</v>
      </c>
      <c r="E72" s="5">
        <v>11.5</v>
      </c>
      <c r="F72" s="5">
        <f t="shared" si="28"/>
        <v>48.75</v>
      </c>
      <c r="G72" s="5">
        <f t="shared" si="29"/>
        <v>8.5714285714285712</v>
      </c>
      <c r="H72" s="5">
        <f t="shared" si="30"/>
        <v>7.3214285714285712</v>
      </c>
      <c r="I72" s="5">
        <f t="shared" si="31"/>
        <v>1.6071428571428572</v>
      </c>
      <c r="J72" s="5">
        <f t="shared" si="32"/>
        <v>33.75</v>
      </c>
      <c r="K72" s="5">
        <f t="shared" si="33"/>
        <v>44</v>
      </c>
      <c r="L72" s="5">
        <f t="shared" si="34"/>
        <v>6.95</v>
      </c>
      <c r="M72" s="5">
        <f t="shared" si="35"/>
        <v>56</v>
      </c>
      <c r="N72" s="5" t="s">
        <v>291</v>
      </c>
      <c r="O72" s="5" t="s">
        <v>291</v>
      </c>
      <c r="P72" s="5" t="s">
        <v>291</v>
      </c>
      <c r="Q72" s="5" t="s">
        <v>291</v>
      </c>
      <c r="R72" s="5">
        <v>800</v>
      </c>
      <c r="S72" s="5" t="s">
        <v>39</v>
      </c>
      <c r="T72" s="5" t="s">
        <v>291</v>
      </c>
      <c r="U72" s="5">
        <v>80</v>
      </c>
      <c r="V72" s="5" t="s">
        <v>291</v>
      </c>
      <c r="W72" s="5">
        <v>0.4</v>
      </c>
      <c r="X72" s="5" t="s">
        <v>33</v>
      </c>
      <c r="Y72" s="5" t="s">
        <v>79</v>
      </c>
      <c r="Z72" s="5" t="s">
        <v>295</v>
      </c>
      <c r="AA72" s="5">
        <v>0</v>
      </c>
      <c r="AB72" s="5" t="s">
        <v>294</v>
      </c>
      <c r="AC72" s="5">
        <v>65.3</v>
      </c>
      <c r="AD72" s="5">
        <v>8.5</v>
      </c>
      <c r="AE72" s="5">
        <v>6.9</v>
      </c>
      <c r="AF72" s="5">
        <v>13.8</v>
      </c>
      <c r="AG72" s="5">
        <v>2.4</v>
      </c>
      <c r="AH72" s="5">
        <v>1.5</v>
      </c>
      <c r="AI72" s="5">
        <v>2.7</v>
      </c>
      <c r="AJ72" s="5">
        <v>4.8</v>
      </c>
      <c r="AK72" s="5">
        <v>1.5794500000000002</v>
      </c>
      <c r="AL72" s="5">
        <v>19.666700000000002</v>
      </c>
      <c r="AM72" s="5">
        <f t="shared" si="20"/>
        <v>37.082739130434796</v>
      </c>
      <c r="AN72" s="5">
        <v>79.5</v>
      </c>
      <c r="AO72" s="11" t="s">
        <v>84</v>
      </c>
    </row>
    <row r="73" spans="1:41" x14ac:dyDescent="0.3">
      <c r="A73" s="11">
        <v>72</v>
      </c>
      <c r="B73" s="3" t="s">
        <v>85</v>
      </c>
      <c r="C73" s="3" t="s">
        <v>290</v>
      </c>
      <c r="D73" s="5">
        <f t="shared" si="27"/>
        <v>3.5</v>
      </c>
      <c r="E73" s="5">
        <v>11.5</v>
      </c>
      <c r="F73" s="5">
        <f t="shared" si="28"/>
        <v>48.75</v>
      </c>
      <c r="G73" s="5">
        <f t="shared" si="29"/>
        <v>8.5714285714285712</v>
      </c>
      <c r="H73" s="5">
        <f t="shared" si="30"/>
        <v>7.3214285714285712</v>
      </c>
      <c r="I73" s="5">
        <f t="shared" si="31"/>
        <v>1.6071428571428572</v>
      </c>
      <c r="J73" s="5">
        <f t="shared" si="32"/>
        <v>33.75</v>
      </c>
      <c r="K73" s="5">
        <f t="shared" si="33"/>
        <v>44</v>
      </c>
      <c r="L73" s="5">
        <f t="shared" si="34"/>
        <v>6.95</v>
      </c>
      <c r="M73" s="5">
        <f t="shared" si="35"/>
        <v>56</v>
      </c>
      <c r="N73" s="5" t="s">
        <v>291</v>
      </c>
      <c r="O73" s="5" t="s">
        <v>291</v>
      </c>
      <c r="P73" s="5" t="s">
        <v>291</v>
      </c>
      <c r="Q73" s="5" t="s">
        <v>291</v>
      </c>
      <c r="R73" s="5">
        <v>850</v>
      </c>
      <c r="S73" s="5" t="s">
        <v>39</v>
      </c>
      <c r="T73" s="5" t="s">
        <v>291</v>
      </c>
      <c r="U73" s="5">
        <v>80</v>
      </c>
      <c r="V73" s="5" t="s">
        <v>291</v>
      </c>
      <c r="W73" s="5">
        <v>0.4</v>
      </c>
      <c r="X73" s="5" t="s">
        <v>33</v>
      </c>
      <c r="Y73" s="5" t="s">
        <v>79</v>
      </c>
      <c r="Z73" s="5" t="s">
        <v>295</v>
      </c>
      <c r="AA73" s="5">
        <v>0</v>
      </c>
      <c r="AB73" s="5" t="s">
        <v>294</v>
      </c>
      <c r="AC73" s="5">
        <v>63.3</v>
      </c>
      <c r="AD73" s="5">
        <v>9.6999999999999993</v>
      </c>
      <c r="AE73" s="5">
        <v>8.1999999999999993</v>
      </c>
      <c r="AF73" s="5">
        <v>13.9</v>
      </c>
      <c r="AG73" s="5">
        <v>2.1</v>
      </c>
      <c r="AH73" s="5">
        <v>1.4</v>
      </c>
      <c r="AI73" s="5">
        <v>2.9</v>
      </c>
      <c r="AJ73" s="5">
        <v>3</v>
      </c>
      <c r="AK73" s="5">
        <v>1.5794500000000002</v>
      </c>
      <c r="AL73" s="5">
        <v>6.5216000000000012</v>
      </c>
      <c r="AM73" s="5">
        <f t="shared" si="20"/>
        <v>39.829608695652176</v>
      </c>
      <c r="AN73" s="5">
        <v>89.1</v>
      </c>
      <c r="AO73" s="11" t="s">
        <v>84</v>
      </c>
    </row>
    <row r="74" spans="1:41" x14ac:dyDescent="0.3">
      <c r="A74" s="11">
        <v>73</v>
      </c>
      <c r="B74" s="3" t="s">
        <v>85</v>
      </c>
      <c r="C74" s="3" t="s">
        <v>290</v>
      </c>
      <c r="D74" s="5">
        <f t="shared" si="27"/>
        <v>3.5</v>
      </c>
      <c r="E74" s="5">
        <v>11.5</v>
      </c>
      <c r="F74" s="5">
        <f t="shared" si="28"/>
        <v>48.75</v>
      </c>
      <c r="G74" s="5">
        <f t="shared" si="29"/>
        <v>8.5714285714285712</v>
      </c>
      <c r="H74" s="5">
        <f t="shared" si="30"/>
        <v>7.3214285714285712</v>
      </c>
      <c r="I74" s="5">
        <f t="shared" si="31"/>
        <v>1.6071428571428572</v>
      </c>
      <c r="J74" s="5">
        <f t="shared" si="32"/>
        <v>33.75</v>
      </c>
      <c r="K74" s="5">
        <f t="shared" si="33"/>
        <v>44</v>
      </c>
      <c r="L74" s="5">
        <f t="shared" si="34"/>
        <v>6.95</v>
      </c>
      <c r="M74" s="5">
        <f t="shared" si="35"/>
        <v>56</v>
      </c>
      <c r="N74" s="5" t="s">
        <v>291</v>
      </c>
      <c r="O74" s="5" t="s">
        <v>291</v>
      </c>
      <c r="P74" s="5" t="s">
        <v>291</v>
      </c>
      <c r="Q74" s="5" t="s">
        <v>291</v>
      </c>
      <c r="R74" s="5">
        <v>750</v>
      </c>
      <c r="S74" s="5" t="s">
        <v>39</v>
      </c>
      <c r="T74" s="5" t="s">
        <v>291</v>
      </c>
      <c r="U74" s="5">
        <v>80</v>
      </c>
      <c r="V74" s="5">
        <v>0.5</v>
      </c>
      <c r="W74" s="5">
        <v>0.3</v>
      </c>
      <c r="X74" s="5" t="s">
        <v>81</v>
      </c>
      <c r="Y74" s="5" t="s">
        <v>79</v>
      </c>
      <c r="Z74" s="5" t="s">
        <v>295</v>
      </c>
      <c r="AA74" s="5">
        <v>0</v>
      </c>
      <c r="AB74" s="5" t="s">
        <v>294</v>
      </c>
      <c r="AC74" s="5">
        <v>60.8</v>
      </c>
      <c r="AD74" s="5">
        <v>9.9</v>
      </c>
      <c r="AE74" s="5">
        <v>7.7</v>
      </c>
      <c r="AF74" s="5">
        <v>14.8</v>
      </c>
      <c r="AG74" s="5">
        <v>2.8</v>
      </c>
      <c r="AH74" s="5">
        <v>1.9</v>
      </c>
      <c r="AI74" s="5">
        <v>3.2</v>
      </c>
      <c r="AJ74" s="5">
        <v>11.2</v>
      </c>
      <c r="AK74" s="5">
        <v>1.2228000000000001</v>
      </c>
      <c r="AL74" s="5">
        <v>18.953400000000006</v>
      </c>
      <c r="AM74" s="5">
        <f t="shared" si="20"/>
        <v>34.025739130434786</v>
      </c>
      <c r="AN74" s="5">
        <v>72.2</v>
      </c>
      <c r="AO74" s="11" t="s">
        <v>84</v>
      </c>
    </row>
    <row r="75" spans="1:41" x14ac:dyDescent="0.3">
      <c r="A75" s="11">
        <v>74</v>
      </c>
      <c r="B75" s="3" t="s">
        <v>85</v>
      </c>
      <c r="C75" s="3" t="s">
        <v>290</v>
      </c>
      <c r="D75" s="5">
        <f t="shared" si="27"/>
        <v>3.5</v>
      </c>
      <c r="E75" s="5">
        <v>11.5</v>
      </c>
      <c r="F75" s="5">
        <f t="shared" si="28"/>
        <v>48.75</v>
      </c>
      <c r="G75" s="5">
        <f t="shared" si="29"/>
        <v>8.5714285714285712</v>
      </c>
      <c r="H75" s="5">
        <f t="shared" si="30"/>
        <v>7.3214285714285712</v>
      </c>
      <c r="I75" s="5">
        <f t="shared" si="31"/>
        <v>1.6071428571428572</v>
      </c>
      <c r="J75" s="5">
        <f t="shared" si="32"/>
        <v>33.75</v>
      </c>
      <c r="K75" s="5">
        <f t="shared" si="33"/>
        <v>44</v>
      </c>
      <c r="L75" s="5">
        <f t="shared" si="34"/>
        <v>6.95</v>
      </c>
      <c r="M75" s="5">
        <f t="shared" si="35"/>
        <v>56</v>
      </c>
      <c r="N75" s="5" t="s">
        <v>291</v>
      </c>
      <c r="O75" s="5" t="s">
        <v>291</v>
      </c>
      <c r="P75" s="5" t="s">
        <v>291</v>
      </c>
      <c r="Q75" s="5" t="s">
        <v>291</v>
      </c>
      <c r="R75" s="5">
        <v>800</v>
      </c>
      <c r="S75" s="5" t="s">
        <v>39</v>
      </c>
      <c r="T75" s="5" t="s">
        <v>291</v>
      </c>
      <c r="U75" s="5">
        <v>80</v>
      </c>
      <c r="V75" s="5">
        <v>0.5</v>
      </c>
      <c r="W75" s="5">
        <v>0.3</v>
      </c>
      <c r="X75" s="5" t="s">
        <v>81</v>
      </c>
      <c r="Y75" s="5" t="s">
        <v>79</v>
      </c>
      <c r="Z75" s="5" t="s">
        <v>295</v>
      </c>
      <c r="AA75" s="5">
        <v>0</v>
      </c>
      <c r="AB75" s="5" t="s">
        <v>294</v>
      </c>
      <c r="AC75" s="5">
        <v>59.2</v>
      </c>
      <c r="AD75" s="5">
        <v>11</v>
      </c>
      <c r="AE75" s="5">
        <v>8.4</v>
      </c>
      <c r="AF75" s="5">
        <v>14.8</v>
      </c>
      <c r="AG75" s="5">
        <v>3.1</v>
      </c>
      <c r="AH75" s="5">
        <v>2</v>
      </c>
      <c r="AI75" s="5">
        <v>3.5</v>
      </c>
      <c r="AJ75" s="5">
        <v>7.2</v>
      </c>
      <c r="AK75" s="5">
        <v>1.3247000000000002</v>
      </c>
      <c r="AL75" s="5">
        <v>8.4067500000000006</v>
      </c>
      <c r="AM75" s="5">
        <f t="shared" si="20"/>
        <v>40.316956521739137</v>
      </c>
      <c r="AN75" s="5">
        <v>79.7</v>
      </c>
      <c r="AO75" s="11" t="s">
        <v>84</v>
      </c>
    </row>
    <row r="76" spans="1:41" x14ac:dyDescent="0.3">
      <c r="A76" s="11">
        <v>75</v>
      </c>
      <c r="B76" s="3" t="s">
        <v>85</v>
      </c>
      <c r="C76" s="3" t="s">
        <v>290</v>
      </c>
      <c r="D76" s="5">
        <f t="shared" si="27"/>
        <v>3.5</v>
      </c>
      <c r="E76" s="5">
        <v>11.5</v>
      </c>
      <c r="F76" s="5">
        <f t="shared" si="28"/>
        <v>48.75</v>
      </c>
      <c r="G76" s="5">
        <f t="shared" si="29"/>
        <v>8.5714285714285712</v>
      </c>
      <c r="H76" s="5">
        <f t="shared" si="30"/>
        <v>7.3214285714285712</v>
      </c>
      <c r="I76" s="5">
        <f t="shared" si="31"/>
        <v>1.6071428571428572</v>
      </c>
      <c r="J76" s="5">
        <f t="shared" si="32"/>
        <v>33.75</v>
      </c>
      <c r="K76" s="5">
        <f t="shared" si="33"/>
        <v>44</v>
      </c>
      <c r="L76" s="5">
        <f t="shared" si="34"/>
        <v>6.95</v>
      </c>
      <c r="M76" s="5">
        <f t="shared" si="35"/>
        <v>56</v>
      </c>
      <c r="N76" s="5" t="s">
        <v>291</v>
      </c>
      <c r="O76" s="5" t="s">
        <v>291</v>
      </c>
      <c r="P76" s="5" t="s">
        <v>291</v>
      </c>
      <c r="Q76" s="5" t="s">
        <v>291</v>
      </c>
      <c r="R76" s="5">
        <v>850</v>
      </c>
      <c r="S76" s="5" t="s">
        <v>39</v>
      </c>
      <c r="T76" s="5" t="s">
        <v>291</v>
      </c>
      <c r="U76" s="5">
        <v>80</v>
      </c>
      <c r="V76" s="5">
        <v>0.5</v>
      </c>
      <c r="W76" s="5">
        <v>0.3</v>
      </c>
      <c r="X76" s="5" t="s">
        <v>81</v>
      </c>
      <c r="Y76" s="5" t="s">
        <v>79</v>
      </c>
      <c r="Z76" s="5" t="s">
        <v>295</v>
      </c>
      <c r="AA76" s="5">
        <v>0</v>
      </c>
      <c r="AB76" s="5" t="s">
        <v>294</v>
      </c>
      <c r="AC76" s="5">
        <v>53.8</v>
      </c>
      <c r="AD76" s="5">
        <v>15.5</v>
      </c>
      <c r="AE76" s="5">
        <v>10.4</v>
      </c>
      <c r="AF76" s="5">
        <v>14.1</v>
      </c>
      <c r="AG76" s="5">
        <v>3.2</v>
      </c>
      <c r="AH76" s="5">
        <v>1.5</v>
      </c>
      <c r="AI76" s="5">
        <v>4.2</v>
      </c>
      <c r="AJ76" s="5">
        <v>4</v>
      </c>
      <c r="AK76" s="5">
        <v>1.4266000000000001</v>
      </c>
      <c r="AL76" s="5">
        <v>6.7254000000000005</v>
      </c>
      <c r="AM76" s="5">
        <f t="shared" si="20"/>
        <v>52.101913043478262</v>
      </c>
      <c r="AN76" s="5">
        <v>86.7</v>
      </c>
      <c r="AO76" s="11" t="s">
        <v>84</v>
      </c>
    </row>
    <row r="77" spans="1:41" x14ac:dyDescent="0.3">
      <c r="A77" s="11">
        <v>76</v>
      </c>
      <c r="B77" s="3" t="s">
        <v>85</v>
      </c>
      <c r="C77" s="3" t="s">
        <v>290</v>
      </c>
      <c r="D77" s="5">
        <f t="shared" si="27"/>
        <v>3.5</v>
      </c>
      <c r="E77" s="5">
        <v>11.5</v>
      </c>
      <c r="F77" s="5">
        <f t="shared" si="28"/>
        <v>48.75</v>
      </c>
      <c r="G77" s="5">
        <f t="shared" si="29"/>
        <v>8.5714285714285712</v>
      </c>
      <c r="H77" s="5">
        <f t="shared" si="30"/>
        <v>7.3214285714285712</v>
      </c>
      <c r="I77" s="5">
        <f t="shared" si="31"/>
        <v>1.6071428571428572</v>
      </c>
      <c r="J77" s="5">
        <f t="shared" si="32"/>
        <v>33.75</v>
      </c>
      <c r="K77" s="5">
        <f t="shared" si="33"/>
        <v>44</v>
      </c>
      <c r="L77" s="5">
        <f t="shared" si="34"/>
        <v>6.95</v>
      </c>
      <c r="M77" s="5">
        <f t="shared" si="35"/>
        <v>56</v>
      </c>
      <c r="N77" s="5" t="s">
        <v>291</v>
      </c>
      <c r="O77" s="5" t="s">
        <v>291</v>
      </c>
      <c r="P77" s="5" t="s">
        <v>291</v>
      </c>
      <c r="Q77" s="5" t="s">
        <v>291</v>
      </c>
      <c r="R77" s="5">
        <v>750</v>
      </c>
      <c r="S77" s="5" t="s">
        <v>39</v>
      </c>
      <c r="T77" s="5" t="s">
        <v>291</v>
      </c>
      <c r="U77" s="5">
        <v>80</v>
      </c>
      <c r="V77" s="5">
        <v>1</v>
      </c>
      <c r="W77" s="5">
        <v>0.3</v>
      </c>
      <c r="X77" s="5" t="s">
        <v>81</v>
      </c>
      <c r="Y77" s="5" t="s">
        <v>79</v>
      </c>
      <c r="Z77" s="5" t="s">
        <v>295</v>
      </c>
      <c r="AA77" s="5">
        <v>0</v>
      </c>
      <c r="AB77" s="5" t="s">
        <v>294</v>
      </c>
      <c r="AC77" s="5">
        <v>60.4</v>
      </c>
      <c r="AD77" s="5">
        <v>10</v>
      </c>
      <c r="AE77" s="5">
        <v>7.8</v>
      </c>
      <c r="AF77" s="5">
        <v>15.6</v>
      </c>
      <c r="AG77" s="5">
        <v>2.9</v>
      </c>
      <c r="AH77" s="5">
        <v>1.8</v>
      </c>
      <c r="AI77" s="5">
        <v>3.2</v>
      </c>
      <c r="AJ77" s="5">
        <v>10.9</v>
      </c>
      <c r="AK77" s="5">
        <v>1.2737500000000002</v>
      </c>
      <c r="AL77" s="5">
        <v>17.679650000000002</v>
      </c>
      <c r="AM77" s="5">
        <f t="shared" si="20"/>
        <v>35.443478260869568</v>
      </c>
      <c r="AN77" s="5">
        <v>74.7</v>
      </c>
      <c r="AO77" s="11" t="s">
        <v>84</v>
      </c>
    </row>
    <row r="78" spans="1:41" x14ac:dyDescent="0.3">
      <c r="A78" s="11">
        <v>77</v>
      </c>
      <c r="B78" s="3" t="s">
        <v>85</v>
      </c>
      <c r="C78" s="3" t="s">
        <v>290</v>
      </c>
      <c r="D78" s="5">
        <f t="shared" si="27"/>
        <v>3.5</v>
      </c>
      <c r="E78" s="5">
        <v>11.5</v>
      </c>
      <c r="F78" s="5">
        <f t="shared" si="28"/>
        <v>48.75</v>
      </c>
      <c r="G78" s="5">
        <f t="shared" si="29"/>
        <v>8.5714285714285712</v>
      </c>
      <c r="H78" s="5">
        <f t="shared" si="30"/>
        <v>7.3214285714285712</v>
      </c>
      <c r="I78" s="5">
        <f t="shared" si="31"/>
        <v>1.6071428571428572</v>
      </c>
      <c r="J78" s="5">
        <f t="shared" si="32"/>
        <v>33.75</v>
      </c>
      <c r="K78" s="5">
        <f t="shared" si="33"/>
        <v>44</v>
      </c>
      <c r="L78" s="5">
        <f t="shared" si="34"/>
        <v>6.95</v>
      </c>
      <c r="M78" s="5">
        <f t="shared" si="35"/>
        <v>56</v>
      </c>
      <c r="N78" s="5" t="s">
        <v>291</v>
      </c>
      <c r="O78" s="5" t="s">
        <v>291</v>
      </c>
      <c r="P78" s="5" t="s">
        <v>291</v>
      </c>
      <c r="Q78" s="5" t="s">
        <v>291</v>
      </c>
      <c r="R78" s="5">
        <v>800</v>
      </c>
      <c r="S78" s="5" t="s">
        <v>39</v>
      </c>
      <c r="T78" s="5" t="s">
        <v>291</v>
      </c>
      <c r="U78" s="5">
        <v>80</v>
      </c>
      <c r="V78" s="5">
        <v>1</v>
      </c>
      <c r="W78" s="5">
        <v>0.3</v>
      </c>
      <c r="X78" s="5" t="s">
        <v>81</v>
      </c>
      <c r="Y78" s="5" t="s">
        <v>79</v>
      </c>
      <c r="Z78" s="5" t="s">
        <v>295</v>
      </c>
      <c r="AA78" s="5">
        <v>0</v>
      </c>
      <c r="AB78" s="5" t="s">
        <v>294</v>
      </c>
      <c r="AC78" s="5">
        <v>58.5</v>
      </c>
      <c r="AD78" s="5">
        <v>12</v>
      </c>
      <c r="AE78" s="5">
        <v>8.6</v>
      </c>
      <c r="AF78" s="5">
        <v>15.2</v>
      </c>
      <c r="AG78" s="5">
        <v>2.7</v>
      </c>
      <c r="AH78" s="5">
        <v>1.6</v>
      </c>
      <c r="AI78" s="5">
        <v>3.5</v>
      </c>
      <c r="AJ78" s="5">
        <v>6.9</v>
      </c>
      <c r="AK78" s="5">
        <v>1.3247000000000002</v>
      </c>
      <c r="AL78" s="5">
        <v>7.5915500000000016</v>
      </c>
      <c r="AM78" s="5">
        <f t="shared" ref="AM78:AM103" si="36">100*(AI78*AK78)/E78</f>
        <v>40.316956521739137</v>
      </c>
      <c r="AN78" s="5">
        <v>79.8</v>
      </c>
      <c r="AO78" s="11" t="s">
        <v>84</v>
      </c>
    </row>
    <row r="79" spans="1:41" x14ac:dyDescent="0.3">
      <c r="A79" s="11">
        <v>78</v>
      </c>
      <c r="B79" s="3" t="s">
        <v>85</v>
      </c>
      <c r="C79" s="3" t="s">
        <v>290</v>
      </c>
      <c r="D79" s="5">
        <f t="shared" si="27"/>
        <v>3.5</v>
      </c>
      <c r="E79" s="5">
        <v>11.5</v>
      </c>
      <c r="F79" s="5">
        <f t="shared" si="28"/>
        <v>48.75</v>
      </c>
      <c r="G79" s="5">
        <f t="shared" si="29"/>
        <v>8.5714285714285712</v>
      </c>
      <c r="H79" s="5">
        <f t="shared" si="30"/>
        <v>7.3214285714285712</v>
      </c>
      <c r="I79" s="5">
        <f t="shared" si="31"/>
        <v>1.6071428571428572</v>
      </c>
      <c r="J79" s="5">
        <f t="shared" si="32"/>
        <v>33.75</v>
      </c>
      <c r="K79" s="5">
        <f t="shared" si="33"/>
        <v>44</v>
      </c>
      <c r="L79" s="5">
        <f t="shared" si="34"/>
        <v>6.95</v>
      </c>
      <c r="M79" s="5">
        <f t="shared" si="35"/>
        <v>56</v>
      </c>
      <c r="N79" s="5" t="s">
        <v>291</v>
      </c>
      <c r="O79" s="5" t="s">
        <v>291</v>
      </c>
      <c r="P79" s="5" t="s">
        <v>291</v>
      </c>
      <c r="Q79" s="5" t="s">
        <v>291</v>
      </c>
      <c r="R79" s="5">
        <v>850</v>
      </c>
      <c r="S79" s="5" t="s">
        <v>39</v>
      </c>
      <c r="T79" s="5" t="s">
        <v>291</v>
      </c>
      <c r="U79" s="5">
        <v>80</v>
      </c>
      <c r="V79" s="5">
        <v>1</v>
      </c>
      <c r="W79" s="5">
        <v>0.3</v>
      </c>
      <c r="X79" s="5" t="s">
        <v>81</v>
      </c>
      <c r="Y79" s="5" t="s">
        <v>79</v>
      </c>
      <c r="Z79" s="5" t="s">
        <v>295</v>
      </c>
      <c r="AA79" s="5">
        <v>0</v>
      </c>
      <c r="AB79" s="5" t="s">
        <v>294</v>
      </c>
      <c r="AC79" s="5">
        <v>53.1</v>
      </c>
      <c r="AD79" s="5">
        <v>16.100000000000001</v>
      </c>
      <c r="AE79" s="5">
        <v>10.1</v>
      </c>
      <c r="AF79" s="5">
        <v>14.7</v>
      </c>
      <c r="AG79" s="5">
        <v>3</v>
      </c>
      <c r="AH79" s="5">
        <v>1.5</v>
      </c>
      <c r="AI79" s="5">
        <v>4.2</v>
      </c>
      <c r="AJ79" s="5">
        <v>3.9</v>
      </c>
      <c r="AK79" s="5">
        <v>1.4266000000000001</v>
      </c>
      <c r="AL79" s="5">
        <v>7.5915500000000016</v>
      </c>
      <c r="AM79" s="5">
        <f t="shared" si="36"/>
        <v>52.101913043478262</v>
      </c>
      <c r="AN79" s="5">
        <v>87.6</v>
      </c>
      <c r="AO79" s="11" t="s">
        <v>84</v>
      </c>
    </row>
    <row r="80" spans="1:41" x14ac:dyDescent="0.3">
      <c r="A80" s="11">
        <v>79</v>
      </c>
      <c r="B80" s="3" t="s">
        <v>85</v>
      </c>
      <c r="C80" s="3" t="s">
        <v>290</v>
      </c>
      <c r="D80" s="5">
        <f t="shared" si="27"/>
        <v>3.5</v>
      </c>
      <c r="E80" s="5">
        <v>11.5</v>
      </c>
      <c r="F80" s="5">
        <f t="shared" si="28"/>
        <v>48.75</v>
      </c>
      <c r="G80" s="5">
        <f t="shared" si="29"/>
        <v>8.5714285714285712</v>
      </c>
      <c r="H80" s="5">
        <f t="shared" si="30"/>
        <v>7.3214285714285712</v>
      </c>
      <c r="I80" s="5">
        <f t="shared" si="31"/>
        <v>1.6071428571428572</v>
      </c>
      <c r="J80" s="5">
        <f t="shared" si="32"/>
        <v>33.75</v>
      </c>
      <c r="K80" s="5">
        <f t="shared" si="33"/>
        <v>44</v>
      </c>
      <c r="L80" s="5">
        <f t="shared" si="34"/>
        <v>6.95</v>
      </c>
      <c r="M80" s="5">
        <f t="shared" si="35"/>
        <v>56</v>
      </c>
      <c r="N80" s="5" t="s">
        <v>291</v>
      </c>
      <c r="O80" s="5" t="s">
        <v>291</v>
      </c>
      <c r="P80" s="5" t="s">
        <v>291</v>
      </c>
      <c r="Q80" s="5" t="s">
        <v>291</v>
      </c>
      <c r="R80" s="5">
        <v>750</v>
      </c>
      <c r="S80" s="5" t="s">
        <v>39</v>
      </c>
      <c r="T80" s="5" t="s">
        <v>291</v>
      </c>
      <c r="U80" s="5">
        <v>80</v>
      </c>
      <c r="V80" s="5" t="s">
        <v>291</v>
      </c>
      <c r="W80" s="5">
        <v>0.3</v>
      </c>
      <c r="X80" s="5" t="s">
        <v>33</v>
      </c>
      <c r="Y80" s="5" t="s">
        <v>79</v>
      </c>
      <c r="Z80" s="5" t="s">
        <v>295</v>
      </c>
      <c r="AA80" s="5">
        <v>1</v>
      </c>
      <c r="AB80" s="5" t="s">
        <v>294</v>
      </c>
      <c r="AC80" s="5">
        <v>64.900000000000006</v>
      </c>
      <c r="AD80" s="5">
        <v>8</v>
      </c>
      <c r="AE80" s="5">
        <v>7.6</v>
      </c>
      <c r="AF80" s="5">
        <v>14.2</v>
      </c>
      <c r="AG80" s="5">
        <v>2.2999999999999998</v>
      </c>
      <c r="AH80" s="5">
        <v>1.5</v>
      </c>
      <c r="AI80" s="5">
        <v>2.7</v>
      </c>
      <c r="AJ80" s="5">
        <v>7.4</v>
      </c>
      <c r="AK80" s="5">
        <v>1.2737500000000002</v>
      </c>
      <c r="AL80" s="5">
        <v>25.271200000000004</v>
      </c>
      <c r="AM80" s="5">
        <f t="shared" si="36"/>
        <v>29.905434782608701</v>
      </c>
      <c r="AN80" s="5">
        <v>68.400000000000006</v>
      </c>
      <c r="AO80" s="11" t="s">
        <v>84</v>
      </c>
    </row>
    <row r="81" spans="1:41" x14ac:dyDescent="0.3">
      <c r="A81" s="11">
        <v>80</v>
      </c>
      <c r="B81" s="3" t="s">
        <v>85</v>
      </c>
      <c r="C81" s="3" t="s">
        <v>290</v>
      </c>
      <c r="D81" s="5">
        <f t="shared" si="27"/>
        <v>3.5</v>
      </c>
      <c r="E81" s="5">
        <v>11.5</v>
      </c>
      <c r="F81" s="5">
        <f t="shared" si="28"/>
        <v>48.75</v>
      </c>
      <c r="G81" s="5">
        <f t="shared" si="29"/>
        <v>8.5714285714285712</v>
      </c>
      <c r="H81" s="5">
        <f t="shared" si="30"/>
        <v>7.3214285714285712</v>
      </c>
      <c r="I81" s="5">
        <f t="shared" si="31"/>
        <v>1.6071428571428572</v>
      </c>
      <c r="J81" s="5">
        <f t="shared" si="32"/>
        <v>33.75</v>
      </c>
      <c r="K81" s="5">
        <f t="shared" si="33"/>
        <v>44</v>
      </c>
      <c r="L81" s="5">
        <f t="shared" si="34"/>
        <v>6.95</v>
      </c>
      <c r="M81" s="5">
        <f t="shared" si="35"/>
        <v>56</v>
      </c>
      <c r="N81" s="5" t="s">
        <v>291</v>
      </c>
      <c r="O81" s="5" t="s">
        <v>291</v>
      </c>
      <c r="P81" s="5" t="s">
        <v>291</v>
      </c>
      <c r="Q81" s="5" t="s">
        <v>291</v>
      </c>
      <c r="R81" s="5">
        <v>800</v>
      </c>
      <c r="S81" s="5" t="s">
        <v>39</v>
      </c>
      <c r="T81" s="5" t="s">
        <v>291</v>
      </c>
      <c r="U81" s="5">
        <v>80</v>
      </c>
      <c r="V81" s="5" t="s">
        <v>291</v>
      </c>
      <c r="W81" s="5">
        <v>0.3</v>
      </c>
      <c r="X81" s="5" t="s">
        <v>33</v>
      </c>
      <c r="Y81" s="5" t="s">
        <v>79</v>
      </c>
      <c r="Z81" s="5" t="s">
        <v>295</v>
      </c>
      <c r="AA81" s="5">
        <v>1</v>
      </c>
      <c r="AB81" s="5" t="s">
        <v>294</v>
      </c>
      <c r="AC81" s="5">
        <v>60.1</v>
      </c>
      <c r="AD81" s="5">
        <v>12.3</v>
      </c>
      <c r="AE81" s="5">
        <v>8.5</v>
      </c>
      <c r="AF81" s="5">
        <v>13.5</v>
      </c>
      <c r="AG81" s="5">
        <v>2.8</v>
      </c>
      <c r="AH81" s="5">
        <v>1.3</v>
      </c>
      <c r="AI81" s="5">
        <v>3.5</v>
      </c>
      <c r="AJ81" s="5">
        <v>4.3</v>
      </c>
      <c r="AK81" s="5">
        <v>1.3756500000000003</v>
      </c>
      <c r="AL81" s="5">
        <v>29.500050000000002</v>
      </c>
      <c r="AM81" s="5">
        <f t="shared" si="36"/>
        <v>41.86760869565218</v>
      </c>
      <c r="AN81" s="5">
        <v>73.099999999999994</v>
      </c>
      <c r="AO81" s="11" t="s">
        <v>84</v>
      </c>
    </row>
    <row r="82" spans="1:41" x14ac:dyDescent="0.3">
      <c r="A82" s="11">
        <v>81</v>
      </c>
      <c r="B82" s="3" t="s">
        <v>85</v>
      </c>
      <c r="C82" s="3" t="s">
        <v>290</v>
      </c>
      <c r="D82" s="5">
        <f t="shared" si="27"/>
        <v>3.5</v>
      </c>
      <c r="E82" s="5">
        <v>11.5</v>
      </c>
      <c r="F82" s="5">
        <f t="shared" si="28"/>
        <v>48.75</v>
      </c>
      <c r="G82" s="5">
        <f t="shared" si="29"/>
        <v>8.5714285714285712</v>
      </c>
      <c r="H82" s="5">
        <f t="shared" si="30"/>
        <v>7.3214285714285712</v>
      </c>
      <c r="I82" s="5">
        <f t="shared" si="31"/>
        <v>1.6071428571428572</v>
      </c>
      <c r="J82" s="5">
        <f t="shared" si="32"/>
        <v>33.75</v>
      </c>
      <c r="K82" s="5">
        <f t="shared" si="33"/>
        <v>44</v>
      </c>
      <c r="L82" s="5">
        <f t="shared" si="34"/>
        <v>6.95</v>
      </c>
      <c r="M82" s="5">
        <f t="shared" si="35"/>
        <v>56</v>
      </c>
      <c r="N82" s="5" t="s">
        <v>291</v>
      </c>
      <c r="O82" s="5" t="s">
        <v>291</v>
      </c>
      <c r="P82" s="5" t="s">
        <v>291</v>
      </c>
      <c r="Q82" s="5" t="s">
        <v>291</v>
      </c>
      <c r="R82" s="5">
        <v>850</v>
      </c>
      <c r="S82" s="5" t="s">
        <v>39</v>
      </c>
      <c r="T82" s="5" t="s">
        <v>291</v>
      </c>
      <c r="U82" s="5">
        <v>80</v>
      </c>
      <c r="V82" s="5" t="s">
        <v>291</v>
      </c>
      <c r="W82" s="5">
        <v>0.3</v>
      </c>
      <c r="X82" s="5" t="s">
        <v>33</v>
      </c>
      <c r="Y82" s="5" t="s">
        <v>79</v>
      </c>
      <c r="Z82" s="5" t="s">
        <v>295</v>
      </c>
      <c r="AA82" s="5">
        <v>1</v>
      </c>
      <c r="AB82" s="5" t="s">
        <v>294</v>
      </c>
      <c r="AC82" s="5">
        <v>55.1</v>
      </c>
      <c r="AD82" s="5">
        <v>15</v>
      </c>
      <c r="AE82" s="5">
        <v>12.2</v>
      </c>
      <c r="AF82" s="5">
        <v>12.5</v>
      </c>
      <c r="AG82" s="5">
        <v>2.8</v>
      </c>
      <c r="AH82" s="5">
        <v>1</v>
      </c>
      <c r="AI82" s="5">
        <v>4.3</v>
      </c>
      <c r="AJ82" s="5">
        <v>2.2999999999999998</v>
      </c>
      <c r="AK82" s="5">
        <v>1.4266000000000001</v>
      </c>
      <c r="AL82" s="5">
        <v>9.2728999999999999</v>
      </c>
      <c r="AM82" s="5">
        <f t="shared" si="36"/>
        <v>53.342434782608692</v>
      </c>
      <c r="AN82" s="5">
        <v>85.5</v>
      </c>
      <c r="AO82" s="11" t="s">
        <v>84</v>
      </c>
    </row>
    <row r="83" spans="1:41" x14ac:dyDescent="0.3">
      <c r="A83" s="11">
        <v>82</v>
      </c>
      <c r="B83" s="3" t="s">
        <v>85</v>
      </c>
      <c r="C83" s="3" t="s">
        <v>290</v>
      </c>
      <c r="D83" s="5">
        <f t="shared" si="27"/>
        <v>3.5</v>
      </c>
      <c r="E83" s="5">
        <v>11.5</v>
      </c>
      <c r="F83" s="5">
        <f t="shared" si="28"/>
        <v>48.75</v>
      </c>
      <c r="G83" s="5">
        <f t="shared" si="29"/>
        <v>8.5714285714285712</v>
      </c>
      <c r="H83" s="5">
        <f t="shared" si="30"/>
        <v>7.3214285714285712</v>
      </c>
      <c r="I83" s="5">
        <f t="shared" si="31"/>
        <v>1.6071428571428572</v>
      </c>
      <c r="J83" s="5">
        <f t="shared" si="32"/>
        <v>33.75</v>
      </c>
      <c r="K83" s="5">
        <f t="shared" si="33"/>
        <v>44</v>
      </c>
      <c r="L83" s="5">
        <f t="shared" si="34"/>
        <v>6.95</v>
      </c>
      <c r="M83" s="5">
        <f t="shared" si="35"/>
        <v>56</v>
      </c>
      <c r="N83" s="5" t="s">
        <v>291</v>
      </c>
      <c r="O83" s="5" t="s">
        <v>291</v>
      </c>
      <c r="P83" s="5" t="s">
        <v>291</v>
      </c>
      <c r="Q83" s="5" t="s">
        <v>291</v>
      </c>
      <c r="R83" s="5">
        <v>750</v>
      </c>
      <c r="S83" s="5" t="s">
        <v>39</v>
      </c>
      <c r="T83" s="5" t="s">
        <v>291</v>
      </c>
      <c r="U83" s="5">
        <v>80</v>
      </c>
      <c r="V83" s="5" t="s">
        <v>291</v>
      </c>
      <c r="W83" s="5">
        <v>0.3</v>
      </c>
      <c r="X83" s="5" t="s">
        <v>33</v>
      </c>
      <c r="Y83" s="5" t="s">
        <v>79</v>
      </c>
      <c r="Z83" s="5" t="s">
        <v>295</v>
      </c>
      <c r="AA83" s="5">
        <v>1</v>
      </c>
      <c r="AB83" s="5" t="s">
        <v>294</v>
      </c>
      <c r="AC83" s="5">
        <v>64.400000000000006</v>
      </c>
      <c r="AD83" s="5">
        <v>8.8000000000000007</v>
      </c>
      <c r="AE83" s="5">
        <v>7.7</v>
      </c>
      <c r="AF83" s="5">
        <v>14.1</v>
      </c>
      <c r="AG83" s="5">
        <v>2.2999999999999998</v>
      </c>
      <c r="AH83" s="5">
        <v>1.3</v>
      </c>
      <c r="AI83" s="5">
        <v>2.8</v>
      </c>
      <c r="AJ83" s="5">
        <v>4.7</v>
      </c>
      <c r="AK83" s="5">
        <v>1.2737500000000002</v>
      </c>
      <c r="AL83" s="5">
        <v>26.137350000000001</v>
      </c>
      <c r="AM83" s="5">
        <f t="shared" si="36"/>
        <v>31.013043478260869</v>
      </c>
      <c r="AN83" s="5">
        <v>69.400000000000006</v>
      </c>
      <c r="AO83" s="11" t="s">
        <v>84</v>
      </c>
    </row>
    <row r="84" spans="1:41" x14ac:dyDescent="0.3">
      <c r="A84" s="11">
        <v>83</v>
      </c>
      <c r="B84" s="3" t="s">
        <v>85</v>
      </c>
      <c r="C84" s="3" t="s">
        <v>290</v>
      </c>
      <c r="D84" s="5">
        <f t="shared" si="27"/>
        <v>3.5</v>
      </c>
      <c r="E84" s="5">
        <v>11.5</v>
      </c>
      <c r="F84" s="5">
        <f t="shared" si="28"/>
        <v>48.75</v>
      </c>
      <c r="G84" s="5">
        <f t="shared" si="29"/>
        <v>8.5714285714285712</v>
      </c>
      <c r="H84" s="5">
        <f t="shared" si="30"/>
        <v>7.3214285714285712</v>
      </c>
      <c r="I84" s="5">
        <f t="shared" si="31"/>
        <v>1.6071428571428572</v>
      </c>
      <c r="J84" s="5">
        <f t="shared" si="32"/>
        <v>33.75</v>
      </c>
      <c r="K84" s="5">
        <f t="shared" si="33"/>
        <v>44</v>
      </c>
      <c r="L84" s="5">
        <f t="shared" si="34"/>
        <v>6.95</v>
      </c>
      <c r="M84" s="5">
        <f t="shared" si="35"/>
        <v>56</v>
      </c>
      <c r="N84" s="5" t="s">
        <v>291</v>
      </c>
      <c r="O84" s="5" t="s">
        <v>291</v>
      </c>
      <c r="P84" s="5" t="s">
        <v>291</v>
      </c>
      <c r="Q84" s="5" t="s">
        <v>291</v>
      </c>
      <c r="R84" s="5">
        <v>800</v>
      </c>
      <c r="S84" s="5" t="s">
        <v>39</v>
      </c>
      <c r="T84" s="5" t="s">
        <v>291</v>
      </c>
      <c r="U84" s="5">
        <v>80</v>
      </c>
      <c r="V84" s="5" t="s">
        <v>291</v>
      </c>
      <c r="W84" s="5">
        <v>0.3</v>
      </c>
      <c r="X84" s="5" t="s">
        <v>33</v>
      </c>
      <c r="Y84" s="5" t="s">
        <v>79</v>
      </c>
      <c r="Z84" s="5" t="s">
        <v>295</v>
      </c>
      <c r="AA84" s="5">
        <v>1</v>
      </c>
      <c r="AB84" s="5" t="s">
        <v>294</v>
      </c>
      <c r="AC84" s="5">
        <v>59.8</v>
      </c>
      <c r="AD84" s="5">
        <v>12.1</v>
      </c>
      <c r="AE84" s="5">
        <v>8.3000000000000007</v>
      </c>
      <c r="AF84" s="5">
        <v>12.6</v>
      </c>
      <c r="AG84" s="5">
        <v>2.8</v>
      </c>
      <c r="AH84" s="5">
        <v>1.4</v>
      </c>
      <c r="AI84" s="5">
        <v>3.5</v>
      </c>
      <c r="AJ84" s="5">
        <v>2.6</v>
      </c>
      <c r="AK84" s="5">
        <v>1.4266000000000001</v>
      </c>
      <c r="AL84" s="5">
        <v>42.950850000000003</v>
      </c>
      <c r="AM84" s="5">
        <f t="shared" si="36"/>
        <v>43.418260869565216</v>
      </c>
      <c r="AN84" s="5">
        <v>71.400000000000006</v>
      </c>
      <c r="AO84" s="11" t="s">
        <v>84</v>
      </c>
    </row>
    <row r="85" spans="1:41" x14ac:dyDescent="0.3">
      <c r="A85" s="11">
        <v>84</v>
      </c>
      <c r="B85" s="3" t="s">
        <v>85</v>
      </c>
      <c r="C85" s="3" t="s">
        <v>290</v>
      </c>
      <c r="D85" s="5">
        <f t="shared" si="27"/>
        <v>3.5</v>
      </c>
      <c r="E85" s="5">
        <v>11.5</v>
      </c>
      <c r="F85" s="5">
        <f t="shared" si="28"/>
        <v>48.75</v>
      </c>
      <c r="G85" s="5">
        <f t="shared" si="29"/>
        <v>8.5714285714285712</v>
      </c>
      <c r="H85" s="5">
        <f t="shared" si="30"/>
        <v>7.3214285714285712</v>
      </c>
      <c r="I85" s="5">
        <f t="shared" si="31"/>
        <v>1.6071428571428572</v>
      </c>
      <c r="J85" s="5">
        <f t="shared" si="32"/>
        <v>33.75</v>
      </c>
      <c r="K85" s="5">
        <f t="shared" si="33"/>
        <v>44</v>
      </c>
      <c r="L85" s="5">
        <f t="shared" si="34"/>
        <v>6.95</v>
      </c>
      <c r="M85" s="5">
        <f t="shared" si="35"/>
        <v>56</v>
      </c>
      <c r="N85" s="5" t="s">
        <v>291</v>
      </c>
      <c r="O85" s="5" t="s">
        <v>291</v>
      </c>
      <c r="P85" s="5" t="s">
        <v>291</v>
      </c>
      <c r="Q85" s="5" t="s">
        <v>291</v>
      </c>
      <c r="R85" s="5">
        <v>850</v>
      </c>
      <c r="S85" s="5" t="s">
        <v>39</v>
      </c>
      <c r="T85" s="5" t="s">
        <v>291</v>
      </c>
      <c r="U85" s="5">
        <v>80</v>
      </c>
      <c r="V85" s="5" t="s">
        <v>291</v>
      </c>
      <c r="W85" s="5">
        <v>0.3</v>
      </c>
      <c r="X85" s="5" t="s">
        <v>33</v>
      </c>
      <c r="Y85" s="5" t="s">
        <v>79</v>
      </c>
      <c r="Z85" s="5" t="s">
        <v>295</v>
      </c>
      <c r="AA85" s="5">
        <v>1</v>
      </c>
      <c r="AB85" s="5" t="s">
        <v>294</v>
      </c>
      <c r="AC85" s="5">
        <v>56.5</v>
      </c>
      <c r="AD85" s="5">
        <v>14.2</v>
      </c>
      <c r="AE85" s="5">
        <v>12.2</v>
      </c>
      <c r="AF85" s="5">
        <v>12.2</v>
      </c>
      <c r="AG85" s="5">
        <v>2.5</v>
      </c>
      <c r="AH85" s="5">
        <v>1</v>
      </c>
      <c r="AI85" s="5">
        <v>4.0999999999999996</v>
      </c>
      <c r="AJ85" s="5">
        <v>1.4</v>
      </c>
      <c r="AK85" s="5">
        <v>1.4266000000000001</v>
      </c>
      <c r="AL85" s="5">
        <v>8.4067500000000006</v>
      </c>
      <c r="AM85" s="5">
        <f t="shared" si="36"/>
        <v>50.861391304347819</v>
      </c>
      <c r="AN85" s="5">
        <v>83.3</v>
      </c>
      <c r="AO85" s="11" t="s">
        <v>84</v>
      </c>
    </row>
    <row r="86" spans="1:41" x14ac:dyDescent="0.3">
      <c r="A86" s="11">
        <v>85</v>
      </c>
      <c r="B86" s="3" t="s">
        <v>85</v>
      </c>
      <c r="C86" s="3" t="s">
        <v>290</v>
      </c>
      <c r="D86" s="5">
        <f t="shared" si="27"/>
        <v>3.5</v>
      </c>
      <c r="E86" s="5">
        <v>11.5</v>
      </c>
      <c r="F86" s="5">
        <f t="shared" si="28"/>
        <v>48.75</v>
      </c>
      <c r="G86" s="5">
        <f t="shared" si="29"/>
        <v>8.5714285714285712</v>
      </c>
      <c r="H86" s="5">
        <f t="shared" si="30"/>
        <v>7.3214285714285712</v>
      </c>
      <c r="I86" s="5">
        <f t="shared" si="31"/>
        <v>1.6071428571428572</v>
      </c>
      <c r="J86" s="5">
        <f t="shared" si="32"/>
        <v>33.75</v>
      </c>
      <c r="K86" s="5">
        <f t="shared" si="33"/>
        <v>44</v>
      </c>
      <c r="L86" s="5">
        <f t="shared" si="34"/>
        <v>6.95</v>
      </c>
      <c r="M86" s="5">
        <f t="shared" si="35"/>
        <v>56</v>
      </c>
      <c r="N86" s="5" t="s">
        <v>291</v>
      </c>
      <c r="O86" s="5" t="s">
        <v>291</v>
      </c>
      <c r="P86" s="5" t="s">
        <v>291</v>
      </c>
      <c r="Q86" s="5" t="s">
        <v>291</v>
      </c>
      <c r="R86" s="5">
        <v>800</v>
      </c>
      <c r="S86" s="5" t="s">
        <v>39</v>
      </c>
      <c r="T86" s="5" t="s">
        <v>291</v>
      </c>
      <c r="U86" s="5">
        <v>80</v>
      </c>
      <c r="V86" s="5">
        <v>0.5</v>
      </c>
      <c r="W86" s="5">
        <v>0.3</v>
      </c>
      <c r="X86" s="5" t="s">
        <v>81</v>
      </c>
      <c r="Y86" s="5" t="s">
        <v>79</v>
      </c>
      <c r="Z86" s="5" t="s">
        <v>295</v>
      </c>
      <c r="AA86" s="5">
        <v>1</v>
      </c>
      <c r="AB86" s="5" t="s">
        <v>294</v>
      </c>
      <c r="AC86" s="5">
        <v>58.2</v>
      </c>
      <c r="AD86" s="5">
        <v>13.3</v>
      </c>
      <c r="AE86" s="5">
        <v>8.4</v>
      </c>
      <c r="AF86" s="5">
        <v>14.9</v>
      </c>
      <c r="AG86" s="5">
        <v>2.4</v>
      </c>
      <c r="AH86" s="5">
        <v>1.3</v>
      </c>
      <c r="AI86" s="5">
        <v>3.5</v>
      </c>
      <c r="AJ86" s="5">
        <v>3.4</v>
      </c>
      <c r="AK86" s="5">
        <v>1.3756500000000003</v>
      </c>
      <c r="AL86" s="5">
        <v>13.501750000000001</v>
      </c>
      <c r="AM86" s="5">
        <f t="shared" si="36"/>
        <v>41.86760869565218</v>
      </c>
      <c r="AN86" s="5">
        <v>79</v>
      </c>
      <c r="AO86" s="11" t="s">
        <v>84</v>
      </c>
    </row>
    <row r="87" spans="1:41" x14ac:dyDescent="0.3">
      <c r="A87" s="11">
        <v>86</v>
      </c>
      <c r="B87" s="3" t="s">
        <v>85</v>
      </c>
      <c r="C87" s="3" t="s">
        <v>290</v>
      </c>
      <c r="D87" s="5">
        <f t="shared" si="27"/>
        <v>3.5</v>
      </c>
      <c r="E87" s="5">
        <v>11.5</v>
      </c>
      <c r="F87" s="5">
        <f t="shared" si="28"/>
        <v>48.75</v>
      </c>
      <c r="G87" s="5">
        <f t="shared" si="29"/>
        <v>8.5714285714285712</v>
      </c>
      <c r="H87" s="5">
        <f t="shared" si="30"/>
        <v>7.3214285714285712</v>
      </c>
      <c r="I87" s="5">
        <f t="shared" si="31"/>
        <v>1.6071428571428572</v>
      </c>
      <c r="J87" s="5">
        <f t="shared" si="32"/>
        <v>33.75</v>
      </c>
      <c r="K87" s="5">
        <f t="shared" si="33"/>
        <v>44</v>
      </c>
      <c r="L87" s="5">
        <f t="shared" si="34"/>
        <v>6.95</v>
      </c>
      <c r="M87" s="5">
        <f t="shared" si="35"/>
        <v>56</v>
      </c>
      <c r="N87" s="5" t="s">
        <v>291</v>
      </c>
      <c r="O87" s="5" t="s">
        <v>291</v>
      </c>
      <c r="P87" s="5" t="s">
        <v>291</v>
      </c>
      <c r="Q87" s="5" t="s">
        <v>291</v>
      </c>
      <c r="R87" s="5">
        <v>800</v>
      </c>
      <c r="S87" s="5" t="s">
        <v>39</v>
      </c>
      <c r="T87" s="5" t="s">
        <v>291</v>
      </c>
      <c r="U87" s="5">
        <v>80</v>
      </c>
      <c r="V87" s="5">
        <v>1</v>
      </c>
      <c r="W87" s="5">
        <v>0.3</v>
      </c>
      <c r="X87" s="5" t="s">
        <v>81</v>
      </c>
      <c r="Y87" s="5" t="s">
        <v>79</v>
      </c>
      <c r="Z87" s="5" t="s">
        <v>295</v>
      </c>
      <c r="AA87" s="5">
        <v>1</v>
      </c>
      <c r="AB87" s="5" t="s">
        <v>294</v>
      </c>
      <c r="AC87" s="5">
        <v>56.1</v>
      </c>
      <c r="AD87" s="5">
        <v>15.2</v>
      </c>
      <c r="AE87" s="5">
        <v>8.1</v>
      </c>
      <c r="AF87" s="5">
        <v>15.3</v>
      </c>
      <c r="AG87" s="5">
        <v>2.6</v>
      </c>
      <c r="AH87" s="5">
        <v>1.3</v>
      </c>
      <c r="AI87" s="5">
        <v>3.7</v>
      </c>
      <c r="AJ87" s="5">
        <v>3.5</v>
      </c>
      <c r="AK87" s="5">
        <v>1.3756500000000003</v>
      </c>
      <c r="AL87" s="5">
        <v>15.183100000000003</v>
      </c>
      <c r="AM87" s="5">
        <f t="shared" si="36"/>
        <v>44.260043478260876</v>
      </c>
      <c r="AN87" s="5">
        <v>80.8</v>
      </c>
      <c r="AO87" s="11" t="s">
        <v>84</v>
      </c>
    </row>
    <row r="88" spans="1:41" x14ac:dyDescent="0.3">
      <c r="A88" s="11">
        <v>87</v>
      </c>
      <c r="B88" s="3" t="s">
        <v>289</v>
      </c>
      <c r="C88" s="3" t="s">
        <v>93</v>
      </c>
      <c r="D88" s="5">
        <v>5</v>
      </c>
      <c r="E88" s="5">
        <v>12.146853999999999</v>
      </c>
      <c r="F88" s="5">
        <v>46.4</v>
      </c>
      <c r="G88" s="5">
        <v>5.7</v>
      </c>
      <c r="H88" s="5">
        <v>0.2</v>
      </c>
      <c r="I88" s="5">
        <v>0</v>
      </c>
      <c r="J88" s="5">
        <v>47.7</v>
      </c>
      <c r="K88" s="5">
        <v>1.095890410958904</v>
      </c>
      <c r="L88" s="5">
        <v>9.5</v>
      </c>
      <c r="M88" s="5">
        <v>88.9</v>
      </c>
      <c r="N88" s="5">
        <v>10</v>
      </c>
      <c r="O88" s="5" t="s">
        <v>291</v>
      </c>
      <c r="P88" s="5" t="s">
        <v>291</v>
      </c>
      <c r="Q88" s="5" t="s">
        <v>291</v>
      </c>
      <c r="R88" s="5">
        <v>761</v>
      </c>
      <c r="S88" s="5" t="s">
        <v>39</v>
      </c>
      <c r="T88" s="5" t="s">
        <v>75</v>
      </c>
      <c r="U88" s="5" t="s">
        <v>291</v>
      </c>
      <c r="V88" s="5" t="s">
        <v>291</v>
      </c>
      <c r="W88" s="5">
        <v>0.38</v>
      </c>
      <c r="X88" s="5" t="s">
        <v>33</v>
      </c>
      <c r="Y88" s="5" t="s">
        <v>79</v>
      </c>
      <c r="Z88" s="5" t="s">
        <v>295</v>
      </c>
      <c r="AA88" s="5">
        <v>0</v>
      </c>
      <c r="AB88" s="5" t="s">
        <v>294</v>
      </c>
      <c r="AC88" s="5">
        <v>58.27953084078721</v>
      </c>
      <c r="AD88" s="5">
        <v>6.4731458655435254</v>
      </c>
      <c r="AE88" s="5">
        <v>13.196865119430671</v>
      </c>
      <c r="AF88" s="5">
        <v>15.911410159819891</v>
      </c>
      <c r="AG88" s="5">
        <v>3.5080274368106847</v>
      </c>
      <c r="AH88" s="5">
        <v>1.2946291731087052</v>
      </c>
      <c r="AI88" s="5">
        <v>4.5918176760442533</v>
      </c>
      <c r="AJ88" s="5" t="s">
        <v>291</v>
      </c>
      <c r="AK88" s="5">
        <v>1.8824000000000001</v>
      </c>
      <c r="AL88" s="5" t="s">
        <v>291</v>
      </c>
      <c r="AM88" s="5">
        <f t="shared" si="36"/>
        <v>71.159475477236356</v>
      </c>
      <c r="AN88" s="5">
        <v>86.4</v>
      </c>
      <c r="AO88" s="11" t="s">
        <v>90</v>
      </c>
    </row>
    <row r="89" spans="1:41" x14ac:dyDescent="0.3">
      <c r="A89" s="11">
        <v>88</v>
      </c>
      <c r="B89" s="3" t="s">
        <v>289</v>
      </c>
      <c r="C89" s="3" t="s">
        <v>93</v>
      </c>
      <c r="D89" s="5">
        <v>5</v>
      </c>
      <c r="E89" s="5">
        <v>12.146853999999999</v>
      </c>
      <c r="F89" s="5">
        <v>46.4</v>
      </c>
      <c r="G89" s="5">
        <v>5.7</v>
      </c>
      <c r="H89" s="5">
        <v>0.2</v>
      </c>
      <c r="I89" s="5">
        <v>0</v>
      </c>
      <c r="J89" s="5">
        <v>47.7</v>
      </c>
      <c r="K89" s="5">
        <v>1.095890410958904</v>
      </c>
      <c r="L89" s="5">
        <v>18.100000000000001</v>
      </c>
      <c r="M89" s="5">
        <v>88.9</v>
      </c>
      <c r="N89" s="5">
        <v>10</v>
      </c>
      <c r="O89" s="5" t="s">
        <v>291</v>
      </c>
      <c r="P89" s="5" t="s">
        <v>291</v>
      </c>
      <c r="Q89" s="5" t="s">
        <v>291</v>
      </c>
      <c r="R89" s="5">
        <v>730</v>
      </c>
      <c r="S89" s="5" t="s">
        <v>39</v>
      </c>
      <c r="T89" s="5" t="s">
        <v>75</v>
      </c>
      <c r="U89" s="5" t="s">
        <v>291</v>
      </c>
      <c r="V89" s="5" t="s">
        <v>291</v>
      </c>
      <c r="W89" s="5">
        <v>0.38</v>
      </c>
      <c r="X89" s="5" t="s">
        <v>33</v>
      </c>
      <c r="Y89" s="5" t="s">
        <v>79</v>
      </c>
      <c r="Z89" s="5" t="s">
        <v>295</v>
      </c>
      <c r="AA89" s="5">
        <v>0</v>
      </c>
      <c r="AB89" s="5" t="s">
        <v>294</v>
      </c>
      <c r="AC89" s="5">
        <v>59.916186038031782</v>
      </c>
      <c r="AD89" s="5">
        <v>5.571650140713583</v>
      </c>
      <c r="AE89" s="5">
        <v>11.50405460708488</v>
      </c>
      <c r="AF89" s="5">
        <v>17.556710515342079</v>
      </c>
      <c r="AG89" s="5">
        <v>3.4872918146912353</v>
      </c>
      <c r="AH89" s="5">
        <v>1.242598232821015</v>
      </c>
      <c r="AI89" s="5">
        <v>4.2382765759376859</v>
      </c>
      <c r="AJ89" s="5" t="s">
        <v>291</v>
      </c>
      <c r="AK89" s="5">
        <v>1.65438</v>
      </c>
      <c r="AL89" s="5" t="s">
        <v>291</v>
      </c>
      <c r="AM89" s="5">
        <f t="shared" si="36"/>
        <v>57.724576270528878</v>
      </c>
      <c r="AN89" s="5">
        <v>83.2</v>
      </c>
      <c r="AO89" s="11" t="s">
        <v>90</v>
      </c>
    </row>
    <row r="90" spans="1:41" x14ac:dyDescent="0.3">
      <c r="A90" s="11">
        <v>89</v>
      </c>
      <c r="B90" s="3" t="s">
        <v>289</v>
      </c>
      <c r="C90" s="3" t="s">
        <v>93</v>
      </c>
      <c r="D90" s="5">
        <v>5</v>
      </c>
      <c r="E90" s="5">
        <v>12.146853999999999</v>
      </c>
      <c r="F90" s="5">
        <v>46.4</v>
      </c>
      <c r="G90" s="5">
        <v>5.7</v>
      </c>
      <c r="H90" s="5">
        <v>0.2</v>
      </c>
      <c r="I90" s="5">
        <v>0</v>
      </c>
      <c r="J90" s="5">
        <v>47.7</v>
      </c>
      <c r="K90" s="5">
        <v>1.095890410958904</v>
      </c>
      <c r="L90" s="5">
        <v>25.5</v>
      </c>
      <c r="M90" s="5">
        <v>88.9</v>
      </c>
      <c r="N90" s="5">
        <v>10</v>
      </c>
      <c r="O90" s="5" t="s">
        <v>291</v>
      </c>
      <c r="P90" s="5" t="s">
        <v>291</v>
      </c>
      <c r="Q90" s="5" t="s">
        <v>291</v>
      </c>
      <c r="R90" s="5">
        <v>699</v>
      </c>
      <c r="S90" s="5" t="s">
        <v>39</v>
      </c>
      <c r="T90" s="5" t="s">
        <v>75</v>
      </c>
      <c r="U90" s="5" t="s">
        <v>291</v>
      </c>
      <c r="V90" s="5" t="s">
        <v>291</v>
      </c>
      <c r="W90" s="5">
        <v>0.38</v>
      </c>
      <c r="X90" s="5" t="s">
        <v>33</v>
      </c>
      <c r="Y90" s="5" t="s">
        <v>79</v>
      </c>
      <c r="Z90" s="5" t="s">
        <v>295</v>
      </c>
      <c r="AA90" s="5">
        <v>0</v>
      </c>
      <c r="AB90" s="5" t="s">
        <v>294</v>
      </c>
      <c r="AC90" s="5">
        <v>61.445842000861553</v>
      </c>
      <c r="AD90" s="5">
        <v>5.4361362778785214</v>
      </c>
      <c r="AE90" s="5">
        <v>10.409622659767381</v>
      </c>
      <c r="AF90" s="5">
        <v>17.657804363605408</v>
      </c>
      <c r="AG90" s="5">
        <v>3.1999951139284915</v>
      </c>
      <c r="AH90" s="5">
        <v>1.195178897973292</v>
      </c>
      <c r="AI90" s="5">
        <v>3.9407506964921635</v>
      </c>
      <c r="AJ90" s="5" t="s">
        <v>291</v>
      </c>
      <c r="AK90" s="5">
        <v>1.49</v>
      </c>
      <c r="AL90" s="5" t="s">
        <v>291</v>
      </c>
      <c r="AM90" s="5">
        <f t="shared" si="36"/>
        <v>48.339418072970368</v>
      </c>
      <c r="AN90" s="5">
        <v>79.599999999999994</v>
      </c>
      <c r="AO90" s="11" t="s">
        <v>90</v>
      </c>
    </row>
    <row r="91" spans="1:41" x14ac:dyDescent="0.3">
      <c r="A91" s="11">
        <v>90</v>
      </c>
      <c r="B91" s="3" t="s">
        <v>289</v>
      </c>
      <c r="C91" s="3" t="s">
        <v>93</v>
      </c>
      <c r="D91" s="5">
        <v>5</v>
      </c>
      <c r="E91" s="5">
        <f>13-(9*((G91/100)*((100+L91)/100))*Calculations!$B$16)</f>
        <v>11.529541930000001</v>
      </c>
      <c r="F91" s="5">
        <v>46.4</v>
      </c>
      <c r="G91" s="5">
        <v>5.7</v>
      </c>
      <c r="H91" s="5">
        <v>0.2</v>
      </c>
      <c r="I91" s="5">
        <v>0</v>
      </c>
      <c r="J91" s="5">
        <v>47.7</v>
      </c>
      <c r="K91" s="5">
        <v>1.095890410958904</v>
      </c>
      <c r="L91" s="5">
        <v>27</v>
      </c>
      <c r="M91" s="5">
        <v>88.9</v>
      </c>
      <c r="N91" s="5">
        <v>10</v>
      </c>
      <c r="O91" s="5" t="s">
        <v>291</v>
      </c>
      <c r="P91" s="5" t="s">
        <v>291</v>
      </c>
      <c r="Q91" s="5" t="s">
        <v>291</v>
      </c>
      <c r="R91" s="5">
        <v>705</v>
      </c>
      <c r="S91" s="5" t="s">
        <v>39</v>
      </c>
      <c r="T91" s="5" t="s">
        <v>75</v>
      </c>
      <c r="U91" s="5" t="s">
        <v>291</v>
      </c>
      <c r="V91" s="5" t="s">
        <v>291</v>
      </c>
      <c r="W91" s="5">
        <v>0.36</v>
      </c>
      <c r="X91" s="5" t="s">
        <v>33</v>
      </c>
      <c r="Y91" s="5" t="s">
        <v>79</v>
      </c>
      <c r="Z91" s="5" t="s">
        <v>295</v>
      </c>
      <c r="AA91" s="5">
        <v>0</v>
      </c>
      <c r="AB91" s="5" t="s">
        <v>294</v>
      </c>
      <c r="AC91" s="5">
        <v>60.746976104600485</v>
      </c>
      <c r="AD91" s="5">
        <v>5.3151035364884009</v>
      </c>
      <c r="AE91" s="5">
        <v>10.925490602781712</v>
      </c>
      <c r="AF91" s="5">
        <v>17.913867474831275</v>
      </c>
      <c r="AG91" s="5">
        <v>3.2481188278540225</v>
      </c>
      <c r="AH91" s="5">
        <v>1.1811341192196445</v>
      </c>
      <c r="AI91" s="5">
        <v>4.0029604305147437</v>
      </c>
      <c r="AJ91" s="5">
        <v>14.75</v>
      </c>
      <c r="AK91" s="5">
        <v>1.2774999999999999</v>
      </c>
      <c r="AL91" s="5" t="s">
        <v>291</v>
      </c>
      <c r="AM91" s="5">
        <f t="shared" si="36"/>
        <v>44.353730452000569</v>
      </c>
      <c r="AN91" s="5">
        <v>71</v>
      </c>
      <c r="AO91" s="11" t="s">
        <v>90</v>
      </c>
    </row>
    <row r="92" spans="1:41" x14ac:dyDescent="0.3">
      <c r="A92" s="11">
        <v>91</v>
      </c>
      <c r="B92" s="3" t="s">
        <v>289</v>
      </c>
      <c r="C92" s="3" t="s">
        <v>93</v>
      </c>
      <c r="D92" s="5">
        <v>5</v>
      </c>
      <c r="E92" s="5">
        <f>13-(9*((G92/100)*((100+L92)/100))*Calculations!$B$16)</f>
        <v>11.529541930000001</v>
      </c>
      <c r="F92" s="5">
        <v>46.4</v>
      </c>
      <c r="G92" s="5">
        <v>5.7</v>
      </c>
      <c r="H92" s="5">
        <v>0.2</v>
      </c>
      <c r="I92" s="5">
        <v>0</v>
      </c>
      <c r="J92" s="5">
        <v>47.7</v>
      </c>
      <c r="K92" s="5">
        <v>1.095890410958904</v>
      </c>
      <c r="L92" s="5">
        <v>27</v>
      </c>
      <c r="M92" s="5">
        <v>88.9</v>
      </c>
      <c r="N92" s="5">
        <v>10</v>
      </c>
      <c r="O92" s="5" t="s">
        <v>291</v>
      </c>
      <c r="P92" s="5" t="s">
        <v>291</v>
      </c>
      <c r="Q92" s="5" t="s">
        <v>291</v>
      </c>
      <c r="R92" s="5">
        <v>730</v>
      </c>
      <c r="S92" s="5" t="s">
        <v>39</v>
      </c>
      <c r="T92" s="5" t="s">
        <v>75</v>
      </c>
      <c r="U92" s="5" t="s">
        <v>291</v>
      </c>
      <c r="V92" s="5" t="s">
        <v>291</v>
      </c>
      <c r="W92" s="5">
        <v>0.39</v>
      </c>
      <c r="X92" s="5" t="s">
        <v>33</v>
      </c>
      <c r="Y92" s="5" t="s">
        <v>79</v>
      </c>
      <c r="Z92" s="5" t="s">
        <v>295</v>
      </c>
      <c r="AA92" s="5">
        <v>0</v>
      </c>
      <c r="AB92" s="5" t="s">
        <v>294</v>
      </c>
      <c r="AC92" s="5">
        <v>61.378418505018132</v>
      </c>
      <c r="AD92" s="5">
        <v>5.2998677201197673</v>
      </c>
      <c r="AE92" s="5">
        <v>10.792457902789344</v>
      </c>
      <c r="AF92" s="5">
        <v>17.634105323307587</v>
      </c>
      <c r="AG92" s="5">
        <v>3.0835594007969553</v>
      </c>
      <c r="AH92" s="5">
        <v>1.1563347752988582</v>
      </c>
      <c r="AI92" s="5">
        <v>3.9032385957566849</v>
      </c>
      <c r="AJ92" s="5">
        <v>11.75</v>
      </c>
      <c r="AK92" s="5">
        <v>1.46</v>
      </c>
      <c r="AL92" s="5" t="s">
        <v>291</v>
      </c>
      <c r="AM92" s="5">
        <f t="shared" si="36"/>
        <v>49.427187865778102</v>
      </c>
      <c r="AN92" s="5">
        <v>75</v>
      </c>
      <c r="AO92" s="11" t="s">
        <v>90</v>
      </c>
    </row>
    <row r="93" spans="1:41" x14ac:dyDescent="0.3">
      <c r="A93" s="11">
        <v>92</v>
      </c>
      <c r="B93" s="3" t="s">
        <v>289</v>
      </c>
      <c r="C93" s="3" t="s">
        <v>93</v>
      </c>
      <c r="D93" s="5">
        <v>5</v>
      </c>
      <c r="E93" s="5">
        <f>13-(9*((G93/100)*((100+L93)/100))*Calculations!$B$16)</f>
        <v>11.529541930000001</v>
      </c>
      <c r="F93" s="5">
        <v>46.4</v>
      </c>
      <c r="G93" s="5">
        <v>5.7</v>
      </c>
      <c r="H93" s="5">
        <v>0.2</v>
      </c>
      <c r="I93" s="5">
        <v>0</v>
      </c>
      <c r="J93" s="5">
        <v>47.7</v>
      </c>
      <c r="K93" s="5">
        <v>1.095890410958904</v>
      </c>
      <c r="L93" s="5">
        <v>27</v>
      </c>
      <c r="M93" s="5">
        <v>88.9</v>
      </c>
      <c r="N93" s="5">
        <v>10</v>
      </c>
      <c r="O93" s="5" t="s">
        <v>291</v>
      </c>
      <c r="P93" s="5" t="s">
        <v>291</v>
      </c>
      <c r="Q93" s="5" t="s">
        <v>291</v>
      </c>
      <c r="R93" s="5">
        <v>740</v>
      </c>
      <c r="S93" s="5" t="s">
        <v>39</v>
      </c>
      <c r="T93" s="5" t="s">
        <v>75</v>
      </c>
      <c r="U93" s="5" t="s">
        <v>291</v>
      </c>
      <c r="V93" s="5" t="s">
        <v>291</v>
      </c>
      <c r="W93" s="5">
        <v>0.42</v>
      </c>
      <c r="X93" s="5" t="s">
        <v>33</v>
      </c>
      <c r="Y93" s="5" t="s">
        <v>79</v>
      </c>
      <c r="Z93" s="5" t="s">
        <v>295</v>
      </c>
      <c r="AA93" s="5">
        <v>0</v>
      </c>
      <c r="AB93" s="5" t="s">
        <v>294</v>
      </c>
      <c r="AC93" s="5">
        <v>62.252104219888309</v>
      </c>
      <c r="AD93" s="5">
        <v>5.3683384717224705</v>
      </c>
      <c r="AE93" s="5">
        <v>10.359951436657399</v>
      </c>
      <c r="AF93" s="5">
        <v>17.329373312226924</v>
      </c>
      <c r="AG93" s="5">
        <v>3.0138040543003344</v>
      </c>
      <c r="AH93" s="5">
        <v>1.03599514366574</v>
      </c>
      <c r="AI93" s="5">
        <v>3.7519885030327629</v>
      </c>
      <c r="AJ93" s="5">
        <v>10</v>
      </c>
      <c r="AK93" s="5">
        <v>1.6060000000000001</v>
      </c>
      <c r="AL93" s="5" t="s">
        <v>291</v>
      </c>
      <c r="AM93" s="5">
        <f t="shared" si="36"/>
        <v>52.263078381212125</v>
      </c>
      <c r="AN93" s="5">
        <v>79</v>
      </c>
      <c r="AO93" s="11" t="s">
        <v>90</v>
      </c>
    </row>
    <row r="94" spans="1:41" x14ac:dyDescent="0.3">
      <c r="A94" s="11">
        <v>93</v>
      </c>
      <c r="B94" s="3" t="s">
        <v>289</v>
      </c>
      <c r="C94" s="3" t="s">
        <v>93</v>
      </c>
      <c r="D94" s="5">
        <v>5</v>
      </c>
      <c r="E94" s="5">
        <f>13-(9*((G94/100)*((100+L94)/100))*Calculations!$B$16)</f>
        <v>11.529541930000001</v>
      </c>
      <c r="F94" s="5">
        <v>46.4</v>
      </c>
      <c r="G94" s="5">
        <v>5.7</v>
      </c>
      <c r="H94" s="5">
        <v>0.2</v>
      </c>
      <c r="I94" s="5">
        <v>0</v>
      </c>
      <c r="J94" s="5">
        <v>47.7</v>
      </c>
      <c r="K94" s="5">
        <v>1.095890410958904</v>
      </c>
      <c r="L94" s="5">
        <v>27</v>
      </c>
      <c r="M94" s="5">
        <v>88.9</v>
      </c>
      <c r="N94" s="5">
        <v>10</v>
      </c>
      <c r="O94" s="5" t="s">
        <v>291</v>
      </c>
      <c r="P94" s="5" t="s">
        <v>291</v>
      </c>
      <c r="Q94" s="5" t="s">
        <v>291</v>
      </c>
      <c r="R94" s="5">
        <v>770</v>
      </c>
      <c r="S94" s="5" t="s">
        <v>39</v>
      </c>
      <c r="T94" s="5" t="s">
        <v>75</v>
      </c>
      <c r="U94" s="5" t="s">
        <v>291</v>
      </c>
      <c r="V94" s="5" t="s">
        <v>291</v>
      </c>
      <c r="W94" s="5">
        <v>0.49</v>
      </c>
      <c r="X94" s="5" t="s">
        <v>33</v>
      </c>
      <c r="Y94" s="5" t="s">
        <v>79</v>
      </c>
      <c r="Z94" s="5" t="s">
        <v>295</v>
      </c>
      <c r="AA94" s="5">
        <v>0</v>
      </c>
      <c r="AB94" s="5" t="s">
        <v>294</v>
      </c>
      <c r="AC94" s="5">
        <v>62.998795113345764</v>
      </c>
      <c r="AD94" s="5">
        <v>5.1957559519875556</v>
      </c>
      <c r="AE94" s="5">
        <v>9.92760512254765</v>
      </c>
      <c r="AF94" s="5">
        <v>17.442894981672506</v>
      </c>
      <c r="AG94" s="5">
        <v>2.8762220448502536</v>
      </c>
      <c r="AH94" s="5">
        <v>0.92781356285492056</v>
      </c>
      <c r="AI94" s="5">
        <v>3.5551393980813324</v>
      </c>
      <c r="AJ94" s="5">
        <v>4.25</v>
      </c>
      <c r="AK94" s="5">
        <v>1.7885</v>
      </c>
      <c r="AL94" s="5" t="s">
        <v>291</v>
      </c>
      <c r="AM94" s="5">
        <f t="shared" si="36"/>
        <v>55.148477294869096</v>
      </c>
      <c r="AN94" s="5">
        <v>86</v>
      </c>
      <c r="AO94" s="11" t="s">
        <v>90</v>
      </c>
    </row>
    <row r="95" spans="1:41" x14ac:dyDescent="0.3">
      <c r="A95" s="11">
        <v>94</v>
      </c>
      <c r="B95" s="3" t="s">
        <v>290</v>
      </c>
      <c r="C95" s="3" t="s">
        <v>93</v>
      </c>
      <c r="D95" s="5">
        <v>5</v>
      </c>
      <c r="E95" s="5">
        <f>15.4-(9*((G95/100)*((100+L95)/100))*Calculations!$B$16)</f>
        <v>13.837646354838711</v>
      </c>
      <c r="F95" s="5">
        <f>50.1322751322751*(100/(100-K95))</f>
        <v>50.940860215053725</v>
      </c>
      <c r="G95" s="5">
        <f>6.08465608465608*(100/(100-K95))</f>
        <v>6.1827956989247266</v>
      </c>
      <c r="H95" s="5">
        <f>0.132275132275132*(100/(100-K95))</f>
        <v>0.13440860215053735</v>
      </c>
      <c r="I95" s="5">
        <f>0.529100529100529*(100/(100-K95))</f>
        <v>0.53763440860215039</v>
      </c>
      <c r="J95" s="5">
        <f>41.5343915343915*(100/(100-K95))</f>
        <v>42.204301075268788</v>
      </c>
      <c r="K95" s="5">
        <v>1.5873015873015874</v>
      </c>
      <c r="L95" s="5">
        <v>24.4</v>
      </c>
      <c r="M95" s="5">
        <v>86.63000000000001</v>
      </c>
      <c r="N95" s="5">
        <v>11.9</v>
      </c>
      <c r="O95" s="5" t="s">
        <v>291</v>
      </c>
      <c r="P95" s="5" t="s">
        <v>291</v>
      </c>
      <c r="Q95" s="5" t="s">
        <v>291</v>
      </c>
      <c r="R95" s="5">
        <v>725</v>
      </c>
      <c r="S95" s="5" t="s">
        <v>39</v>
      </c>
      <c r="T95" s="5" t="s">
        <v>75</v>
      </c>
      <c r="U95" s="5" t="s">
        <v>291</v>
      </c>
      <c r="V95" s="5" t="s">
        <v>291</v>
      </c>
      <c r="W95" s="5">
        <v>0.3</v>
      </c>
      <c r="X95" s="5" t="s">
        <v>33</v>
      </c>
      <c r="Y95" s="5" t="s">
        <v>79</v>
      </c>
      <c r="Z95" s="5" t="s">
        <v>295</v>
      </c>
      <c r="AA95" s="5">
        <v>0</v>
      </c>
      <c r="AB95" s="5" t="s">
        <v>294</v>
      </c>
      <c r="AC95" s="5">
        <v>58.202453528229817</v>
      </c>
      <c r="AD95" s="5">
        <v>5.8254420169714543</v>
      </c>
      <c r="AE95" s="5">
        <v>13.835424790307204</v>
      </c>
      <c r="AF95" s="5">
        <v>17.060223049702117</v>
      </c>
      <c r="AG95" s="5">
        <v>3.2247982593949125</v>
      </c>
      <c r="AH95" s="5">
        <v>1.1442832533336786</v>
      </c>
      <c r="AI95" s="5">
        <v>4.3936430153227617</v>
      </c>
      <c r="AJ95" s="5">
        <v>17.25</v>
      </c>
      <c r="AK95" s="5">
        <v>1.3986000000000001</v>
      </c>
      <c r="AL95" s="5" t="s">
        <v>291</v>
      </c>
      <c r="AM95" s="5">
        <f t="shared" si="36"/>
        <v>44.407473378459805</v>
      </c>
      <c r="AN95" s="5">
        <v>67</v>
      </c>
      <c r="AO95" s="11" t="s">
        <v>90</v>
      </c>
    </row>
    <row r="96" spans="1:41" x14ac:dyDescent="0.3">
      <c r="A96" s="11">
        <v>95</v>
      </c>
      <c r="B96" s="3" t="s">
        <v>290</v>
      </c>
      <c r="C96" s="3" t="s">
        <v>93</v>
      </c>
      <c r="D96" s="5">
        <v>5</v>
      </c>
      <c r="E96" s="5">
        <v>13.86244561904762</v>
      </c>
      <c r="F96" s="5">
        <f t="shared" ref="F96:F98" si="37">50.1322751322751*(100/(100-K96))</f>
        <v>50.940860215053725</v>
      </c>
      <c r="G96" s="5">
        <f t="shared" ref="G96:G98" si="38">6.08465608465608*(100/(100-K96))</f>
        <v>6.1827956989247266</v>
      </c>
      <c r="H96" s="5">
        <f t="shared" ref="H96:H98" si="39">0.132275132275132*(100/(100-K96))</f>
        <v>0.13440860215053735</v>
      </c>
      <c r="I96" s="5">
        <f t="shared" ref="I96:I98" si="40">0.529100529100529*(100/(100-K96))</f>
        <v>0.53763440860215039</v>
      </c>
      <c r="J96" s="5">
        <f t="shared" ref="J96:J98" si="41">41.5343915343915*(100/(100-K96))</f>
        <v>42.204301075268788</v>
      </c>
      <c r="K96" s="5">
        <v>1.5873015873015874</v>
      </c>
      <c r="L96" s="5">
        <v>24.4</v>
      </c>
      <c r="M96" s="5">
        <v>86.63000000000001</v>
      </c>
      <c r="N96" s="5">
        <v>11.9</v>
      </c>
      <c r="O96" s="5" t="s">
        <v>291</v>
      </c>
      <c r="P96" s="5" t="s">
        <v>291</v>
      </c>
      <c r="Q96" s="5" t="s">
        <v>291</v>
      </c>
      <c r="R96" s="5">
        <v>770</v>
      </c>
      <c r="S96" s="5" t="s">
        <v>39</v>
      </c>
      <c r="T96" s="5" t="s">
        <v>75</v>
      </c>
      <c r="U96" s="5" t="s">
        <v>291</v>
      </c>
      <c r="V96" s="5" t="s">
        <v>291</v>
      </c>
      <c r="W96" s="5">
        <v>0.38</v>
      </c>
      <c r="X96" s="5" t="s">
        <v>33</v>
      </c>
      <c r="Y96" s="5" t="s">
        <v>79</v>
      </c>
      <c r="Z96" s="5" t="s">
        <v>295</v>
      </c>
      <c r="AA96" s="5">
        <v>0</v>
      </c>
      <c r="AB96" s="5" t="s">
        <v>294</v>
      </c>
      <c r="AC96" s="5">
        <v>60.214284919561408</v>
      </c>
      <c r="AD96" s="5">
        <v>5.7288268983749715</v>
      </c>
      <c r="AE96" s="5">
        <v>12.741701205006402</v>
      </c>
      <c r="AF96" s="5">
        <v>16.297524797101211</v>
      </c>
      <c r="AG96" s="5">
        <v>3.160732081862053</v>
      </c>
      <c r="AH96" s="5">
        <v>1.1852745306982699</v>
      </c>
      <c r="AI96" s="5">
        <v>4.2454069488849218</v>
      </c>
      <c r="AJ96" s="5">
        <v>9.5</v>
      </c>
      <c r="AK96" s="5">
        <v>1.7387999999999999</v>
      </c>
      <c r="AL96" s="5" t="s">
        <v>291</v>
      </c>
      <c r="AM96" s="5">
        <f t="shared" si="36"/>
        <v>53.251163651657706</v>
      </c>
      <c r="AN96" s="5">
        <v>80</v>
      </c>
      <c r="AO96" s="11" t="s">
        <v>90</v>
      </c>
    </row>
    <row r="97" spans="1:41" x14ac:dyDescent="0.3">
      <c r="A97" s="11">
        <v>96</v>
      </c>
      <c r="B97" s="3" t="s">
        <v>290</v>
      </c>
      <c r="C97" s="3" t="s">
        <v>93</v>
      </c>
      <c r="D97" s="5">
        <v>5</v>
      </c>
      <c r="E97" s="5">
        <v>13.86244561904762</v>
      </c>
      <c r="F97" s="5">
        <f t="shared" si="37"/>
        <v>50.940860215053725</v>
      </c>
      <c r="G97" s="5">
        <f t="shared" si="38"/>
        <v>6.1827956989247266</v>
      </c>
      <c r="H97" s="5">
        <f t="shared" si="39"/>
        <v>0.13440860215053735</v>
      </c>
      <c r="I97" s="5">
        <f t="shared" si="40"/>
        <v>0.53763440860215039</v>
      </c>
      <c r="J97" s="5">
        <f t="shared" si="41"/>
        <v>42.204301075268788</v>
      </c>
      <c r="K97" s="5">
        <v>1.5873015873015874</v>
      </c>
      <c r="L97" s="5">
        <v>24.4</v>
      </c>
      <c r="M97" s="5">
        <v>86.63000000000001</v>
      </c>
      <c r="N97" s="5">
        <v>11.9</v>
      </c>
      <c r="O97" s="5" t="s">
        <v>291</v>
      </c>
      <c r="P97" s="5" t="s">
        <v>291</v>
      </c>
      <c r="Q97" s="5" t="s">
        <v>291</v>
      </c>
      <c r="R97" s="5">
        <v>785</v>
      </c>
      <c r="S97" s="5" t="s">
        <v>39</v>
      </c>
      <c r="T97" s="5" t="s">
        <v>75</v>
      </c>
      <c r="U97" s="5" t="s">
        <v>291</v>
      </c>
      <c r="V97" s="5" t="s">
        <v>291</v>
      </c>
      <c r="W97" s="5">
        <v>0.43</v>
      </c>
      <c r="X97" s="5" t="s">
        <v>33</v>
      </c>
      <c r="Y97" s="5" t="s">
        <v>79</v>
      </c>
      <c r="Z97" s="5" t="s">
        <v>295</v>
      </c>
      <c r="AA97" s="5">
        <v>0</v>
      </c>
      <c r="AB97" s="5" t="s">
        <v>294</v>
      </c>
      <c r="AC97" s="5">
        <v>60.312764278195395</v>
      </c>
      <c r="AD97" s="5">
        <v>6.1239637002286837</v>
      </c>
      <c r="AE97" s="5">
        <v>12.643021832730186</v>
      </c>
      <c r="AF97" s="5">
        <v>16.198871723185551</v>
      </c>
      <c r="AG97" s="5">
        <v>3.1607554581825466</v>
      </c>
      <c r="AH97" s="5">
        <v>0.8889624726138412</v>
      </c>
      <c r="AI97" s="5">
        <v>4.088192808111101</v>
      </c>
      <c r="AJ97" s="5">
        <v>6.5</v>
      </c>
      <c r="AK97" s="5">
        <v>1.9656000000000002</v>
      </c>
      <c r="AL97" s="5" t="s">
        <v>291</v>
      </c>
      <c r="AM97" s="5">
        <f t="shared" si="36"/>
        <v>57.967778590104622</v>
      </c>
      <c r="AN97" s="5">
        <v>88</v>
      </c>
      <c r="AO97" s="11" t="s">
        <v>90</v>
      </c>
    </row>
    <row r="98" spans="1:41" x14ac:dyDescent="0.3">
      <c r="A98" s="11">
        <v>97</v>
      </c>
      <c r="B98" s="3" t="s">
        <v>290</v>
      </c>
      <c r="C98" s="3" t="s">
        <v>93</v>
      </c>
      <c r="D98" s="5">
        <v>5</v>
      </c>
      <c r="E98" s="5">
        <v>13.86244561904762</v>
      </c>
      <c r="F98" s="5">
        <f t="shared" si="37"/>
        <v>50.940860215053725</v>
      </c>
      <c r="G98" s="5">
        <f t="shared" si="38"/>
        <v>6.1827956989247266</v>
      </c>
      <c r="H98" s="5">
        <f t="shared" si="39"/>
        <v>0.13440860215053735</v>
      </c>
      <c r="I98" s="5">
        <f t="shared" si="40"/>
        <v>0.53763440860215039</v>
      </c>
      <c r="J98" s="5">
        <f t="shared" si="41"/>
        <v>42.204301075268788</v>
      </c>
      <c r="K98" s="5">
        <v>1.5873015873015874</v>
      </c>
      <c r="L98" s="5">
        <v>24.4</v>
      </c>
      <c r="M98" s="5">
        <v>86.63000000000001</v>
      </c>
      <c r="N98" s="5">
        <v>11.9</v>
      </c>
      <c r="O98" s="5" t="s">
        <v>291</v>
      </c>
      <c r="P98" s="5" t="s">
        <v>291</v>
      </c>
      <c r="Q98" s="5" t="s">
        <v>291</v>
      </c>
      <c r="R98" s="5">
        <v>810</v>
      </c>
      <c r="S98" s="5" t="s">
        <v>39</v>
      </c>
      <c r="T98" s="5" t="s">
        <v>75</v>
      </c>
      <c r="U98" s="5" t="s">
        <v>291</v>
      </c>
      <c r="V98" s="5" t="s">
        <v>291</v>
      </c>
      <c r="W98" s="5">
        <v>0.46</v>
      </c>
      <c r="X98" s="5" t="s">
        <v>33</v>
      </c>
      <c r="Y98" s="5" t="s">
        <v>79</v>
      </c>
      <c r="Z98" s="5" t="s">
        <v>295</v>
      </c>
      <c r="AA98" s="5">
        <v>0</v>
      </c>
      <c r="AB98" s="5" t="s">
        <v>294</v>
      </c>
      <c r="AC98" s="5">
        <v>61.897275980775966</v>
      </c>
      <c r="AD98" s="5">
        <v>5.4729024098934973</v>
      </c>
      <c r="AE98" s="5">
        <v>12.361210615449107</v>
      </c>
      <c r="AF98" s="5">
        <v>15.758184525038175</v>
      </c>
      <c r="AG98" s="5">
        <v>3.0195323640791711</v>
      </c>
      <c r="AH98" s="5">
        <v>0.84924347739726691</v>
      </c>
      <c r="AI98" s="5">
        <v>3.9000794452930325</v>
      </c>
      <c r="AJ98" s="5">
        <v>4.25</v>
      </c>
      <c r="AK98" s="5">
        <v>2.0411999999999999</v>
      </c>
      <c r="AL98" s="5" t="s">
        <v>291</v>
      </c>
      <c r="AM98" s="5">
        <f t="shared" si="36"/>
        <v>57.427400492692172</v>
      </c>
      <c r="AN98" s="5">
        <v>92</v>
      </c>
      <c r="AO98" s="11" t="s">
        <v>90</v>
      </c>
    </row>
    <row r="99" spans="1:41" x14ac:dyDescent="0.3">
      <c r="A99" s="11">
        <v>98</v>
      </c>
      <c r="B99" s="3" t="s">
        <v>290</v>
      </c>
      <c r="C99" s="3" t="s">
        <v>93</v>
      </c>
      <c r="D99" s="5">
        <v>5</v>
      </c>
      <c r="E99" s="5">
        <f>17.8-(9*((G99/100)*((100+L99)/100))*Calculations!$B$16)</f>
        <v>16.185036945169713</v>
      </c>
      <c r="F99" s="5">
        <f>54.2199488491049*(100/(100-K99))</f>
        <v>55.35248041775462</v>
      </c>
      <c r="G99" s="5">
        <f>6.39386189258312*(100/(100-K99))</f>
        <v>6.5274151436031334</v>
      </c>
      <c r="H99" s="5">
        <f>0.255754475703325*(100/(100-K99))</f>
        <v>0.26109660574412552</v>
      </c>
      <c r="I99" s="5">
        <f>0.895140664961637*(100/(100-K99))</f>
        <v>0.91383812010443899</v>
      </c>
      <c r="J99" s="5">
        <f>36.1892583120205*(100/(100-K99))</f>
        <v>36.945169712793778</v>
      </c>
      <c r="K99" s="5">
        <v>2.0460358056265986</v>
      </c>
      <c r="L99" s="5">
        <v>21.8</v>
      </c>
      <c r="M99" s="5">
        <v>84.360000000000014</v>
      </c>
      <c r="N99" s="5">
        <v>13.8</v>
      </c>
      <c r="O99" s="5" t="s">
        <v>291</v>
      </c>
      <c r="P99" s="5" t="s">
        <v>291</v>
      </c>
      <c r="Q99" s="5" t="s">
        <v>291</v>
      </c>
      <c r="R99" s="5">
        <v>745</v>
      </c>
      <c r="S99" s="5" t="s">
        <v>39</v>
      </c>
      <c r="T99" s="5" t="s">
        <v>75</v>
      </c>
      <c r="U99" s="5" t="s">
        <v>291</v>
      </c>
      <c r="V99" s="5" t="s">
        <v>291</v>
      </c>
      <c r="W99" s="5">
        <v>0.3</v>
      </c>
      <c r="X99" s="5" t="s">
        <v>33</v>
      </c>
      <c r="Y99" s="5" t="s">
        <v>79</v>
      </c>
      <c r="Z99" s="5" t="s">
        <v>295</v>
      </c>
      <c r="AA99" s="5">
        <v>0</v>
      </c>
      <c r="AB99" s="5" t="s">
        <v>294</v>
      </c>
      <c r="AC99" s="5">
        <v>59.279175518737858</v>
      </c>
      <c r="AD99" s="5">
        <v>5.4863386277149599</v>
      </c>
      <c r="AE99" s="5">
        <v>14.020643159716009</v>
      </c>
      <c r="AF99" s="5">
        <v>15.646224975335256</v>
      </c>
      <c r="AG99" s="5">
        <v>3.6575590851433066</v>
      </c>
      <c r="AH99" s="5">
        <v>1.2191863617144356</v>
      </c>
      <c r="AI99" s="5">
        <v>4.5998341359055575</v>
      </c>
      <c r="AJ99" s="5">
        <v>15</v>
      </c>
      <c r="AK99" s="5">
        <v>1.7204000000000002</v>
      </c>
      <c r="AL99" s="5" t="s">
        <v>291</v>
      </c>
      <c r="AM99" s="5">
        <f t="shared" si="36"/>
        <v>48.894263721613903</v>
      </c>
      <c r="AN99" s="5">
        <v>74</v>
      </c>
      <c r="AO99" s="11" t="s">
        <v>90</v>
      </c>
    </row>
    <row r="100" spans="1:41" x14ac:dyDescent="0.3">
      <c r="A100" s="11">
        <v>99</v>
      </c>
      <c r="B100" s="3" t="s">
        <v>290</v>
      </c>
      <c r="C100" s="3" t="s">
        <v>93</v>
      </c>
      <c r="D100" s="5">
        <v>5</v>
      </c>
      <c r="E100" s="5">
        <v>16.218079667519198</v>
      </c>
      <c r="F100" s="5">
        <f t="shared" ref="F100:F103" si="42">54.2199488491049*(100/(100-K100))</f>
        <v>55.35248041775462</v>
      </c>
      <c r="G100" s="5">
        <f t="shared" ref="G100:G103" si="43">6.39386189258312*(100/(100-K100))</f>
        <v>6.5274151436031334</v>
      </c>
      <c r="H100" s="5">
        <f t="shared" ref="H100:H103" si="44">0.255754475703325*(100/(100-K100))</f>
        <v>0.26109660574412552</v>
      </c>
      <c r="I100" s="5">
        <f t="shared" ref="I100:I103" si="45">0.895140664961637*(100/(100-K100))</f>
        <v>0.91383812010443899</v>
      </c>
      <c r="J100" s="5">
        <f t="shared" ref="J100:J103" si="46">36.1892583120205*(100/(100-K100))</f>
        <v>36.945169712793778</v>
      </c>
      <c r="K100" s="5">
        <v>2.0460358056265986</v>
      </c>
      <c r="L100" s="5">
        <v>21.8</v>
      </c>
      <c r="M100" s="5">
        <v>84.360000000000014</v>
      </c>
      <c r="N100" s="5">
        <v>13.8</v>
      </c>
      <c r="O100" s="5" t="s">
        <v>291</v>
      </c>
      <c r="P100" s="5" t="s">
        <v>291</v>
      </c>
      <c r="Q100" s="5" t="s">
        <v>291</v>
      </c>
      <c r="R100" s="5">
        <v>770</v>
      </c>
      <c r="S100" s="5" t="s">
        <v>39</v>
      </c>
      <c r="T100" s="5" t="s">
        <v>75</v>
      </c>
      <c r="U100" s="5" t="s">
        <v>291</v>
      </c>
      <c r="V100" s="5" t="s">
        <v>291</v>
      </c>
      <c r="W100" s="5">
        <v>0.34</v>
      </c>
      <c r="X100" s="5" t="s">
        <v>33</v>
      </c>
      <c r="Y100" s="5" t="s">
        <v>79</v>
      </c>
      <c r="Z100" s="5" t="s">
        <v>295</v>
      </c>
      <c r="AA100" s="5">
        <v>0</v>
      </c>
      <c r="AB100" s="5" t="s">
        <v>294</v>
      </c>
      <c r="AC100" s="5">
        <v>59.416463624786587</v>
      </c>
      <c r="AD100" s="5">
        <v>6.1211970400020226</v>
      </c>
      <c r="AE100" s="5">
        <v>13.67067338933785</v>
      </c>
      <c r="AF100" s="5">
        <v>15.507032501338458</v>
      </c>
      <c r="AG100" s="5">
        <v>3.4686783226678126</v>
      </c>
      <c r="AH100" s="5">
        <v>1.1222194573337041</v>
      </c>
      <c r="AI100" s="5">
        <v>4.4882433199243632</v>
      </c>
      <c r="AJ100" s="5">
        <v>12</v>
      </c>
      <c r="AK100" s="5">
        <v>1.8767999999999998</v>
      </c>
      <c r="AL100" s="5" t="s">
        <v>291</v>
      </c>
      <c r="AM100" s="5">
        <f t="shared" si="36"/>
        <v>51.939164411088086</v>
      </c>
      <c r="AN100" s="5">
        <v>80</v>
      </c>
      <c r="AO100" s="11" t="s">
        <v>90</v>
      </c>
    </row>
    <row r="101" spans="1:41" x14ac:dyDescent="0.3">
      <c r="A101" s="11">
        <v>100</v>
      </c>
      <c r="B101" s="3" t="s">
        <v>290</v>
      </c>
      <c r="C101" s="3" t="s">
        <v>93</v>
      </c>
      <c r="D101" s="5">
        <v>5</v>
      </c>
      <c r="E101" s="5">
        <v>16.218079667519184</v>
      </c>
      <c r="F101" s="5">
        <f t="shared" si="42"/>
        <v>55.35248041775462</v>
      </c>
      <c r="G101" s="5">
        <f t="shared" si="43"/>
        <v>6.5274151436031334</v>
      </c>
      <c r="H101" s="5">
        <f t="shared" si="44"/>
        <v>0.26109660574412552</v>
      </c>
      <c r="I101" s="5">
        <f t="shared" si="45"/>
        <v>0.91383812010443899</v>
      </c>
      <c r="J101" s="5">
        <f t="shared" si="46"/>
        <v>36.945169712793778</v>
      </c>
      <c r="K101" s="5">
        <v>2.0460358056265986</v>
      </c>
      <c r="L101" s="5">
        <v>21.8</v>
      </c>
      <c r="M101" s="5">
        <v>84.360000000000014</v>
      </c>
      <c r="N101" s="5">
        <v>13.8</v>
      </c>
      <c r="O101" s="5" t="s">
        <v>291</v>
      </c>
      <c r="P101" s="5" t="s">
        <v>291</v>
      </c>
      <c r="Q101" s="5" t="s">
        <v>291</v>
      </c>
      <c r="R101" s="5">
        <v>775</v>
      </c>
      <c r="S101" s="5" t="s">
        <v>39</v>
      </c>
      <c r="T101" s="5" t="s">
        <v>75</v>
      </c>
      <c r="U101" s="5" t="s">
        <v>291</v>
      </c>
      <c r="V101" s="5" t="s">
        <v>291</v>
      </c>
      <c r="W101" s="5">
        <v>0.38</v>
      </c>
      <c r="X101" s="5" t="s">
        <v>33</v>
      </c>
      <c r="Y101" s="5" t="s">
        <v>79</v>
      </c>
      <c r="Z101" s="5" t="s">
        <v>295</v>
      </c>
      <c r="AA101" s="5">
        <v>0</v>
      </c>
      <c r="AB101" s="5" t="s">
        <v>294</v>
      </c>
      <c r="AC101" s="5">
        <v>60.473979960454308</v>
      </c>
      <c r="AD101" s="5">
        <v>6.295831962496079</v>
      </c>
      <c r="AE101" s="5">
        <v>12.985153422648162</v>
      </c>
      <c r="AF101" s="5">
        <v>15.050973285342188</v>
      </c>
      <c r="AG101" s="5">
        <v>3.4430331044900431</v>
      </c>
      <c r="AH101" s="5">
        <v>1.0820961185540137</v>
      </c>
      <c r="AI101" s="5">
        <v>4.38505495349282</v>
      </c>
      <c r="AJ101" s="5">
        <v>8.5</v>
      </c>
      <c r="AK101" s="5">
        <v>2.1114000000000002</v>
      </c>
      <c r="AL101" s="5" t="s">
        <v>291</v>
      </c>
      <c r="AM101" s="5">
        <f t="shared" si="36"/>
        <v>57.088170847670973</v>
      </c>
      <c r="AN101" s="5">
        <v>86</v>
      </c>
      <c r="AO101" s="11" t="s">
        <v>90</v>
      </c>
    </row>
    <row r="102" spans="1:41" x14ac:dyDescent="0.3">
      <c r="A102" s="11">
        <v>101</v>
      </c>
      <c r="B102" s="3" t="s">
        <v>290</v>
      </c>
      <c r="C102" s="3" t="s">
        <v>93</v>
      </c>
      <c r="D102" s="5">
        <v>5</v>
      </c>
      <c r="E102" s="5">
        <v>16.218079667519184</v>
      </c>
      <c r="F102" s="5">
        <f t="shared" si="42"/>
        <v>55.35248041775462</v>
      </c>
      <c r="G102" s="5">
        <f t="shared" si="43"/>
        <v>6.5274151436031334</v>
      </c>
      <c r="H102" s="5">
        <f t="shared" si="44"/>
        <v>0.26109660574412552</v>
      </c>
      <c r="I102" s="5">
        <f t="shared" si="45"/>
        <v>0.91383812010443899</v>
      </c>
      <c r="J102" s="5">
        <f t="shared" si="46"/>
        <v>36.945169712793778</v>
      </c>
      <c r="K102" s="5">
        <v>2.0460358056265986</v>
      </c>
      <c r="L102" s="5">
        <v>21.8</v>
      </c>
      <c r="M102" s="5">
        <v>84.360000000000014</v>
      </c>
      <c r="N102" s="5">
        <v>13.8</v>
      </c>
      <c r="O102" s="5" t="s">
        <v>291</v>
      </c>
      <c r="P102" s="5" t="s">
        <v>291</v>
      </c>
      <c r="Q102" s="5" t="s">
        <v>291</v>
      </c>
      <c r="R102" s="5">
        <v>790</v>
      </c>
      <c r="S102" s="5" t="s">
        <v>39</v>
      </c>
      <c r="T102" s="5" t="s">
        <v>75</v>
      </c>
      <c r="U102" s="5" t="s">
        <v>291</v>
      </c>
      <c r="V102" s="5" t="s">
        <v>291</v>
      </c>
      <c r="W102" s="5">
        <v>0.4</v>
      </c>
      <c r="X102" s="5" t="s">
        <v>33</v>
      </c>
      <c r="Y102" s="5" t="s">
        <v>79</v>
      </c>
      <c r="Z102" s="5" t="s">
        <v>295</v>
      </c>
      <c r="AA102" s="5">
        <v>0</v>
      </c>
      <c r="AB102" s="5" t="s">
        <v>294</v>
      </c>
      <c r="AC102" s="5">
        <v>60.684428735733917</v>
      </c>
      <c r="AD102" s="5">
        <v>6.0817500458695042</v>
      </c>
      <c r="AE102" s="5">
        <v>12.948242033141524</v>
      </c>
      <c r="AF102" s="5">
        <v>15.204375114673759</v>
      </c>
      <c r="AG102" s="5">
        <v>3.4332459936360102</v>
      </c>
      <c r="AH102" s="5">
        <v>0.98092742675314581</v>
      </c>
      <c r="AI102" s="5">
        <v>4.2889635164928457</v>
      </c>
      <c r="AJ102" s="5">
        <v>7</v>
      </c>
      <c r="AK102" s="5">
        <v>2.1505000000000001</v>
      </c>
      <c r="AL102" s="5" t="s">
        <v>291</v>
      </c>
      <c r="AM102" s="5">
        <f t="shared" si="36"/>
        <v>56.871197030127391</v>
      </c>
      <c r="AN102" s="5">
        <v>88</v>
      </c>
      <c r="AO102" s="11" t="s">
        <v>90</v>
      </c>
    </row>
    <row r="103" spans="1:41" ht="14.5" thickBot="1" x14ac:dyDescent="0.35">
      <c r="A103" s="11">
        <v>102</v>
      </c>
      <c r="B103" s="3" t="s">
        <v>290</v>
      </c>
      <c r="C103" s="3" t="s">
        <v>93</v>
      </c>
      <c r="D103" s="5">
        <v>5</v>
      </c>
      <c r="E103" s="5">
        <v>16.218079667519184</v>
      </c>
      <c r="F103" s="5">
        <f t="shared" si="42"/>
        <v>55.35248041775462</v>
      </c>
      <c r="G103" s="5">
        <f t="shared" si="43"/>
        <v>6.5274151436031334</v>
      </c>
      <c r="H103" s="5">
        <f t="shared" si="44"/>
        <v>0.26109660574412552</v>
      </c>
      <c r="I103" s="5">
        <f t="shared" si="45"/>
        <v>0.91383812010443899</v>
      </c>
      <c r="J103" s="5">
        <f t="shared" si="46"/>
        <v>36.945169712793778</v>
      </c>
      <c r="K103" s="5">
        <v>2.0460358056265986</v>
      </c>
      <c r="L103" s="5">
        <v>21.8</v>
      </c>
      <c r="M103" s="5">
        <v>84.360000000000014</v>
      </c>
      <c r="N103" s="5">
        <v>13.8</v>
      </c>
      <c r="O103" s="5" t="s">
        <v>291</v>
      </c>
      <c r="P103" s="5" t="s">
        <v>291</v>
      </c>
      <c r="Q103" s="5" t="s">
        <v>291</v>
      </c>
      <c r="R103" s="5">
        <v>825</v>
      </c>
      <c r="S103" s="5" t="s">
        <v>39</v>
      </c>
      <c r="T103" s="5" t="s">
        <v>75</v>
      </c>
      <c r="U103" s="5" t="s">
        <v>291</v>
      </c>
      <c r="V103" s="5" t="s">
        <v>291</v>
      </c>
      <c r="W103" s="5">
        <v>0.45</v>
      </c>
      <c r="X103" s="5" t="s">
        <v>33</v>
      </c>
      <c r="Y103" s="5" t="s">
        <v>79</v>
      </c>
      <c r="Z103" s="5" t="s">
        <v>295</v>
      </c>
      <c r="AA103" s="5">
        <v>0</v>
      </c>
      <c r="AB103" s="5" t="s">
        <v>294</v>
      </c>
      <c r="AC103" s="5">
        <v>61.60035038174729</v>
      </c>
      <c r="AD103" s="5">
        <v>5.5568355235994433</v>
      </c>
      <c r="AE103" s="5">
        <v>12.742398700667689</v>
      </c>
      <c r="AF103" s="5">
        <v>15.233393935384681</v>
      </c>
      <c r="AG103" s="5">
        <v>3.3532628159651812</v>
      </c>
      <c r="AH103" s="5">
        <v>0.86226758124818947</v>
      </c>
      <c r="AI103" s="5">
        <v>4.0985470512082012</v>
      </c>
      <c r="AJ103" s="5">
        <v>3</v>
      </c>
      <c r="AK103" s="5">
        <v>2.3460000000000001</v>
      </c>
      <c r="AL103" s="5" t="s">
        <v>291</v>
      </c>
      <c r="AM103" s="5">
        <f t="shared" si="36"/>
        <v>59.286867368097219</v>
      </c>
      <c r="AN103" s="5">
        <v>95</v>
      </c>
      <c r="AO103" s="11" t="s">
        <v>90</v>
      </c>
    </row>
    <row r="104" spans="1:41" ht="14.5" thickBot="1" x14ac:dyDescent="0.35">
      <c r="A104" s="11">
        <v>103</v>
      </c>
      <c r="B104" s="3" t="s">
        <v>289</v>
      </c>
      <c r="C104" s="3" t="s">
        <v>93</v>
      </c>
      <c r="D104" s="5">
        <v>11</v>
      </c>
      <c r="E104" s="5">
        <v>20.004999999999999</v>
      </c>
      <c r="F104" s="5">
        <f>50.4*(100/(100-K104))</f>
        <v>50.653266331658287</v>
      </c>
      <c r="G104" s="5">
        <f>(100/(100-K104))*5.6</f>
        <v>5.6281407035175874</v>
      </c>
      <c r="H104" s="5">
        <f>(100/(100-K104))*0.12</f>
        <v>0.12060301507537687</v>
      </c>
      <c r="I104" s="5">
        <f>(100/(100-K104))*0.017</f>
        <v>1.7085427135678392E-2</v>
      </c>
      <c r="J104" s="5">
        <f>(100/(100-K104))*43.4</f>
        <v>43.618090452261299</v>
      </c>
      <c r="K104" s="5">
        <v>0.5</v>
      </c>
      <c r="L104" s="5">
        <v>6.6</v>
      </c>
      <c r="M104" s="5">
        <v>82.2</v>
      </c>
      <c r="N104" s="5" t="s">
        <v>291</v>
      </c>
      <c r="O104" s="22">
        <v>40.6</v>
      </c>
      <c r="P104" s="13">
        <v>29.6</v>
      </c>
      <c r="Q104" s="19">
        <v>26.3</v>
      </c>
      <c r="R104" s="5">
        <v>594</v>
      </c>
      <c r="S104" s="5" t="s">
        <v>115</v>
      </c>
      <c r="T104" s="5" t="s">
        <v>291</v>
      </c>
      <c r="U104" s="5">
        <v>255</v>
      </c>
      <c r="V104" s="5" t="s">
        <v>291</v>
      </c>
      <c r="W104" s="5">
        <v>0.49</v>
      </c>
      <c r="X104" s="5" t="s">
        <v>33</v>
      </c>
      <c r="Y104" s="5" t="s">
        <v>292</v>
      </c>
      <c r="Z104" s="5" t="s">
        <v>291</v>
      </c>
      <c r="AA104" s="5">
        <v>0</v>
      </c>
      <c r="AB104" s="5" t="s">
        <v>294</v>
      </c>
      <c r="AC104" s="5">
        <f t="shared" ref="AC104:AC118" si="47">100-AD104-AE104-AF104-AG104</f>
        <v>56.29999999999999</v>
      </c>
      <c r="AD104" s="5">
        <v>11.9</v>
      </c>
      <c r="AE104" s="5">
        <v>19.7</v>
      </c>
      <c r="AF104" s="5">
        <v>10</v>
      </c>
      <c r="AG104" s="5">
        <v>2.1</v>
      </c>
      <c r="AH104" s="5" t="s">
        <v>291</v>
      </c>
      <c r="AI104" s="5">
        <v>4.5</v>
      </c>
      <c r="AJ104" s="5">
        <v>26.77</v>
      </c>
      <c r="AK104" s="5">
        <v>2.06</v>
      </c>
      <c r="AL104" s="5">
        <v>242.25</v>
      </c>
      <c r="AM104" s="5">
        <v>45.1</v>
      </c>
      <c r="AN104" s="5">
        <v>67.3</v>
      </c>
      <c r="AO104" s="11" t="s">
        <v>108</v>
      </c>
    </row>
    <row r="105" spans="1:41" ht="14.5" thickBot="1" x14ac:dyDescent="0.35">
      <c r="A105" s="11">
        <v>104</v>
      </c>
      <c r="B105" s="3" t="s">
        <v>289</v>
      </c>
      <c r="C105" s="3" t="s">
        <v>93</v>
      </c>
      <c r="D105" s="5">
        <v>11</v>
      </c>
      <c r="E105" s="5">
        <v>20.004999999999999</v>
      </c>
      <c r="F105" s="5">
        <f t="shared" ref="F105:F106" si="48">50.4*(100/(100-K105))</f>
        <v>50.653266331658287</v>
      </c>
      <c r="G105" s="5">
        <f t="shared" ref="G105:G106" si="49">(100/(100-K105))*5.6</f>
        <v>5.6281407035175874</v>
      </c>
      <c r="H105" s="5">
        <f t="shared" ref="H105:H106" si="50">(100/(100-K105))*0.12</f>
        <v>0.12060301507537687</v>
      </c>
      <c r="I105" s="5">
        <f t="shared" ref="I105:I106" si="51">(100/(100-K105))*0.017</f>
        <v>1.7085427135678392E-2</v>
      </c>
      <c r="J105" s="5">
        <f t="shared" ref="J105:J106" si="52">(100/(100-K105))*43.4</f>
        <v>43.618090452261299</v>
      </c>
      <c r="K105" s="5">
        <v>0.5</v>
      </c>
      <c r="L105" s="5">
        <v>8.6</v>
      </c>
      <c r="M105" s="5">
        <v>82.2</v>
      </c>
      <c r="N105" s="5" t="s">
        <v>291</v>
      </c>
      <c r="O105" s="22">
        <v>40.6</v>
      </c>
      <c r="P105" s="13">
        <v>29.6</v>
      </c>
      <c r="Q105" s="19">
        <v>26.3</v>
      </c>
      <c r="R105" s="5">
        <v>684</v>
      </c>
      <c r="S105" s="5" t="s">
        <v>115</v>
      </c>
      <c r="T105" s="5" t="s">
        <v>291</v>
      </c>
      <c r="U105" s="5">
        <v>366</v>
      </c>
      <c r="V105" s="5" t="s">
        <v>291</v>
      </c>
      <c r="W105" s="5">
        <v>0.48499999999999999</v>
      </c>
      <c r="X105" s="5" t="s">
        <v>33</v>
      </c>
      <c r="Y105" s="5" t="s">
        <v>292</v>
      </c>
      <c r="Z105" s="5" t="s">
        <v>291</v>
      </c>
      <c r="AA105" s="5">
        <v>0</v>
      </c>
      <c r="AB105" s="5" t="s">
        <v>294</v>
      </c>
      <c r="AC105" s="5">
        <f t="shared" si="47"/>
        <v>57.700000000000017</v>
      </c>
      <c r="AD105" s="5">
        <v>10.3</v>
      </c>
      <c r="AE105" s="5">
        <v>19.399999999999999</v>
      </c>
      <c r="AF105" s="5">
        <v>10.3</v>
      </c>
      <c r="AG105" s="5">
        <v>2.2999999999999998</v>
      </c>
      <c r="AH105" s="5" t="s">
        <v>291</v>
      </c>
      <c r="AI105" s="5">
        <v>4.4000000000000004</v>
      </c>
      <c r="AJ105" s="5">
        <v>13.21</v>
      </c>
      <c r="AK105" s="5">
        <v>2.02</v>
      </c>
      <c r="AL105" s="5">
        <v>104.15</v>
      </c>
      <c r="AM105" s="5">
        <v>44.1</v>
      </c>
      <c r="AN105" s="5">
        <v>68.5</v>
      </c>
      <c r="AO105" s="11" t="s">
        <v>108</v>
      </c>
    </row>
    <row r="106" spans="1:41" ht="14.5" thickBot="1" x14ac:dyDescent="0.35">
      <c r="A106" s="11">
        <v>105</v>
      </c>
      <c r="B106" s="3" t="s">
        <v>289</v>
      </c>
      <c r="C106" s="3" t="s">
        <v>93</v>
      </c>
      <c r="D106" s="5">
        <v>11</v>
      </c>
      <c r="E106" s="5">
        <v>20.004999999999999</v>
      </c>
      <c r="F106" s="5">
        <f t="shared" si="48"/>
        <v>50.653266331658287</v>
      </c>
      <c r="G106" s="5">
        <f t="shared" si="49"/>
        <v>5.6281407035175874</v>
      </c>
      <c r="H106" s="5">
        <f t="shared" si="50"/>
        <v>0.12060301507537687</v>
      </c>
      <c r="I106" s="5">
        <f t="shared" si="51"/>
        <v>1.7085427135678392E-2</v>
      </c>
      <c r="J106" s="5">
        <f t="shared" si="52"/>
        <v>43.618090452261299</v>
      </c>
      <c r="K106" s="5">
        <v>0.5</v>
      </c>
      <c r="L106" s="5">
        <v>8.3000000000000007</v>
      </c>
      <c r="M106" s="5">
        <v>82.2</v>
      </c>
      <c r="N106" s="5" t="s">
        <v>291</v>
      </c>
      <c r="O106" s="22">
        <v>40.6</v>
      </c>
      <c r="P106" s="13">
        <v>29.6</v>
      </c>
      <c r="Q106" s="19">
        <v>26.3</v>
      </c>
      <c r="R106" s="5">
        <v>625</v>
      </c>
      <c r="S106" s="5" t="s">
        <v>115</v>
      </c>
      <c r="T106" s="5" t="s">
        <v>291</v>
      </c>
      <c r="U106" s="5">
        <v>336</v>
      </c>
      <c r="V106" s="5" t="s">
        <v>291</v>
      </c>
      <c r="W106" s="5">
        <v>0.5</v>
      </c>
      <c r="X106" s="5" t="s">
        <v>33</v>
      </c>
      <c r="Y106" s="5" t="s">
        <v>292</v>
      </c>
      <c r="Z106" s="5" t="s">
        <v>291</v>
      </c>
      <c r="AA106" s="5">
        <v>0</v>
      </c>
      <c r="AB106" s="5" t="s">
        <v>294</v>
      </c>
      <c r="AC106" s="5">
        <f t="shared" si="47"/>
        <v>59.2</v>
      </c>
      <c r="AD106" s="5">
        <v>11</v>
      </c>
      <c r="AE106" s="5">
        <v>18.5</v>
      </c>
      <c r="AF106" s="5">
        <v>9.5</v>
      </c>
      <c r="AG106" s="5">
        <v>1.8</v>
      </c>
      <c r="AH106" s="5" t="s">
        <v>291</v>
      </c>
      <c r="AI106" s="5">
        <v>4.2</v>
      </c>
      <c r="AJ106" s="5">
        <v>9.94</v>
      </c>
      <c r="AK106" s="5">
        <v>2.17</v>
      </c>
      <c r="AL106" s="5">
        <v>48.41</v>
      </c>
      <c r="AM106" s="5">
        <v>44.3</v>
      </c>
      <c r="AN106" s="5">
        <v>68.5</v>
      </c>
      <c r="AO106" s="11" t="s">
        <v>108</v>
      </c>
    </row>
    <row r="107" spans="1:41" ht="14.5" thickBot="1" x14ac:dyDescent="0.35">
      <c r="A107" s="11">
        <v>106</v>
      </c>
      <c r="B107" s="3" t="s">
        <v>289</v>
      </c>
      <c r="C107" s="3" t="s">
        <v>93</v>
      </c>
      <c r="D107" s="5">
        <v>11</v>
      </c>
      <c r="E107" s="5">
        <v>18.896000000000001</v>
      </c>
      <c r="F107" s="5">
        <f>(100/(100-K107))*48.9</f>
        <v>49.59432048681542</v>
      </c>
      <c r="G107" s="5">
        <f>(100/(100-K107))*6</f>
        <v>6.0851926977687629</v>
      </c>
      <c r="H107" s="5">
        <f>(100/(100-K107))*0.2</f>
        <v>0.20283975659229211</v>
      </c>
      <c r="I107" s="5">
        <f>(100/(100-K107))*0.018</f>
        <v>1.8255578093306288E-2</v>
      </c>
      <c r="J107" s="5">
        <f>(100/(100-K107))*43.5</f>
        <v>44.117647058823529</v>
      </c>
      <c r="K107" s="5">
        <v>1.4</v>
      </c>
      <c r="L107" s="5">
        <v>7.4</v>
      </c>
      <c r="M107" s="5">
        <v>82.9</v>
      </c>
      <c r="N107" s="5" t="s">
        <v>291</v>
      </c>
      <c r="O107" s="22">
        <v>38.1</v>
      </c>
      <c r="P107" s="13">
        <v>26.1</v>
      </c>
      <c r="Q107" s="19">
        <v>25.9</v>
      </c>
      <c r="R107" s="5">
        <v>647</v>
      </c>
      <c r="S107" s="5" t="s">
        <v>115</v>
      </c>
      <c r="T107" s="5" t="s">
        <v>291</v>
      </c>
      <c r="U107" s="5">
        <v>282</v>
      </c>
      <c r="V107" s="5" t="s">
        <v>291</v>
      </c>
      <c r="W107" s="5">
        <v>0.52</v>
      </c>
      <c r="X107" s="5" t="s">
        <v>33</v>
      </c>
      <c r="Y107" s="5" t="s">
        <v>292</v>
      </c>
      <c r="Z107" s="5" t="s">
        <v>291</v>
      </c>
      <c r="AA107" s="5">
        <v>0</v>
      </c>
      <c r="AB107" s="5" t="s">
        <v>294</v>
      </c>
      <c r="AC107" s="5">
        <f t="shared" si="47"/>
        <v>57.999999999999993</v>
      </c>
      <c r="AD107" s="5">
        <v>9</v>
      </c>
      <c r="AE107" s="5">
        <v>21.7</v>
      </c>
      <c r="AF107" s="5">
        <v>9.1</v>
      </c>
      <c r="AG107" s="5">
        <v>2.2000000000000002</v>
      </c>
      <c r="AH107" s="5" t="s">
        <v>291</v>
      </c>
      <c r="AI107" s="5">
        <v>4.5</v>
      </c>
      <c r="AJ107" s="5">
        <v>22.41</v>
      </c>
      <c r="AK107" s="5">
        <v>2.13</v>
      </c>
      <c r="AL107" s="5">
        <v>93.06</v>
      </c>
      <c r="AM107" s="5">
        <v>52.5</v>
      </c>
      <c r="AN107" s="5">
        <v>79.5</v>
      </c>
      <c r="AO107" s="11" t="s">
        <v>108</v>
      </c>
    </row>
    <row r="108" spans="1:41" ht="14.5" thickBot="1" x14ac:dyDescent="0.35">
      <c r="A108" s="11">
        <v>107</v>
      </c>
      <c r="B108" s="3" t="s">
        <v>289</v>
      </c>
      <c r="C108" s="3" t="s">
        <v>93</v>
      </c>
      <c r="D108" s="5">
        <v>11</v>
      </c>
      <c r="E108" s="5">
        <v>18.896000000000001</v>
      </c>
      <c r="F108" s="5">
        <f t="shared" ref="F108:F109" si="53">(100/(100-K108))*48.9</f>
        <v>49.59432048681542</v>
      </c>
      <c r="G108" s="5">
        <f t="shared" ref="G108:G109" si="54">(100/(100-K108))*6</f>
        <v>6.0851926977687629</v>
      </c>
      <c r="H108" s="5">
        <f t="shared" ref="H108:H109" si="55">(100/(100-K108))*0.2</f>
        <v>0.20283975659229211</v>
      </c>
      <c r="I108" s="5">
        <f t="shared" ref="I108:I109" si="56">(100/(100-K108))*0.018</f>
        <v>1.8255578093306288E-2</v>
      </c>
      <c r="J108" s="5">
        <f t="shared" ref="J108:J109" si="57">(100/(100-K108))*43.5</f>
        <v>44.117647058823529</v>
      </c>
      <c r="K108" s="5">
        <v>1.4</v>
      </c>
      <c r="L108" s="5">
        <v>6.7</v>
      </c>
      <c r="M108" s="5">
        <v>82.9</v>
      </c>
      <c r="N108" s="5" t="s">
        <v>291</v>
      </c>
      <c r="O108" s="22">
        <v>38.1</v>
      </c>
      <c r="P108" s="13">
        <v>26.1</v>
      </c>
      <c r="Q108" s="19">
        <v>25.9</v>
      </c>
      <c r="R108" s="5">
        <v>600</v>
      </c>
      <c r="S108" s="5" t="s">
        <v>115</v>
      </c>
      <c r="T108" s="5" t="s">
        <v>291</v>
      </c>
      <c r="U108" s="5">
        <v>250</v>
      </c>
      <c r="V108" s="5" t="s">
        <v>291</v>
      </c>
      <c r="W108" s="5">
        <v>0.56999999999999995</v>
      </c>
      <c r="X108" s="5" t="s">
        <v>33</v>
      </c>
      <c r="Y108" s="5" t="s">
        <v>292</v>
      </c>
      <c r="Z108" s="5" t="s">
        <v>291</v>
      </c>
      <c r="AA108" s="5">
        <v>0</v>
      </c>
      <c r="AB108" s="5" t="s">
        <v>294</v>
      </c>
      <c r="AC108" s="5">
        <f t="shared" si="47"/>
        <v>55.000000000000007</v>
      </c>
      <c r="AD108" s="5">
        <v>11.1</v>
      </c>
      <c r="AE108" s="5">
        <v>20.3</v>
      </c>
      <c r="AF108" s="5">
        <v>11.1</v>
      </c>
      <c r="AG108" s="5">
        <v>2.5</v>
      </c>
      <c r="AH108" s="5" t="s">
        <v>291</v>
      </c>
      <c r="AI108" s="5">
        <v>4.5999999999999996</v>
      </c>
      <c r="AJ108" s="5">
        <v>39.32</v>
      </c>
      <c r="AK108" s="5">
        <v>2.0499999999999998</v>
      </c>
      <c r="AL108" s="5">
        <v>82.99</v>
      </c>
      <c r="AM108" s="5">
        <v>50.9</v>
      </c>
      <c r="AN108" s="5">
        <v>76.5</v>
      </c>
      <c r="AO108" s="11" t="s">
        <v>108</v>
      </c>
    </row>
    <row r="109" spans="1:41" ht="14.5" thickBot="1" x14ac:dyDescent="0.35">
      <c r="A109" s="11">
        <v>108</v>
      </c>
      <c r="B109" s="3" t="s">
        <v>289</v>
      </c>
      <c r="C109" s="3" t="s">
        <v>93</v>
      </c>
      <c r="D109" s="5">
        <v>11</v>
      </c>
      <c r="E109" s="5">
        <v>18.896000000000001</v>
      </c>
      <c r="F109" s="5">
        <f t="shared" si="53"/>
        <v>49.59432048681542</v>
      </c>
      <c r="G109" s="5">
        <f t="shared" si="54"/>
        <v>6.0851926977687629</v>
      </c>
      <c r="H109" s="5">
        <f t="shared" si="55"/>
        <v>0.20283975659229211</v>
      </c>
      <c r="I109" s="5">
        <f t="shared" si="56"/>
        <v>1.8255578093306288E-2</v>
      </c>
      <c r="J109" s="5">
        <f t="shared" si="57"/>
        <v>44.117647058823529</v>
      </c>
      <c r="K109" s="5">
        <v>1.4</v>
      </c>
      <c r="L109" s="5">
        <v>6.7</v>
      </c>
      <c r="M109" s="5">
        <v>82.9</v>
      </c>
      <c r="N109" s="5" t="s">
        <v>291</v>
      </c>
      <c r="O109" s="22">
        <v>38.1</v>
      </c>
      <c r="P109" s="13">
        <v>26.1</v>
      </c>
      <c r="Q109" s="19">
        <v>25.9</v>
      </c>
      <c r="R109" s="5">
        <v>575</v>
      </c>
      <c r="S109" s="5" t="s">
        <v>115</v>
      </c>
      <c r="T109" s="5" t="s">
        <v>291</v>
      </c>
      <c r="U109" s="5">
        <v>347</v>
      </c>
      <c r="V109" s="5" t="s">
        <v>291</v>
      </c>
      <c r="W109" s="5">
        <v>0.51500000000000001</v>
      </c>
      <c r="X109" s="5" t="s">
        <v>33</v>
      </c>
      <c r="Y109" s="5" t="s">
        <v>292</v>
      </c>
      <c r="Z109" s="5" t="s">
        <v>291</v>
      </c>
      <c r="AA109" s="5">
        <v>0</v>
      </c>
      <c r="AB109" s="5" t="s">
        <v>294</v>
      </c>
      <c r="AC109" s="5">
        <f t="shared" si="47"/>
        <v>63.769999999999989</v>
      </c>
      <c r="AD109" s="5">
        <v>8.5</v>
      </c>
      <c r="AE109" s="5">
        <v>16.399999999999999</v>
      </c>
      <c r="AF109" s="5">
        <v>9.73</v>
      </c>
      <c r="AG109" s="5">
        <v>1.6</v>
      </c>
      <c r="AH109" s="5" t="s">
        <v>291</v>
      </c>
      <c r="AI109" s="5">
        <v>4.3</v>
      </c>
      <c r="AJ109" s="5">
        <v>30.91</v>
      </c>
      <c r="AK109" s="5">
        <v>2.3199999999999998</v>
      </c>
      <c r="AL109" s="5">
        <v>220.34</v>
      </c>
      <c r="AM109" s="5">
        <v>50</v>
      </c>
      <c r="AN109" s="5">
        <v>72.3</v>
      </c>
      <c r="AO109" s="11" t="s">
        <v>108</v>
      </c>
    </row>
    <row r="110" spans="1:41" ht="14.5" thickBot="1" x14ac:dyDescent="0.35">
      <c r="A110" s="11">
        <v>109</v>
      </c>
      <c r="B110" s="3" t="s">
        <v>289</v>
      </c>
      <c r="C110" s="3" t="s">
        <v>93</v>
      </c>
      <c r="D110" s="5">
        <v>11</v>
      </c>
      <c r="E110" s="5">
        <v>20.271000000000001</v>
      </c>
      <c r="F110" s="5">
        <f>(100/(100-K110))*50.7</f>
        <v>51.057401812688823</v>
      </c>
      <c r="G110" s="5">
        <f>(100/(100-K110))*6</f>
        <v>6.0422960725075523</v>
      </c>
      <c r="H110" s="5">
        <f>(100/(100-K110))*0.14</f>
        <v>0.14098690835850958</v>
      </c>
      <c r="I110" s="5">
        <f>(100/(100-K110))*0.011</f>
        <v>1.1077542799597179E-2</v>
      </c>
      <c r="J110" s="5">
        <f>(100/(100-K110))*42.4</f>
        <v>42.698892245720039</v>
      </c>
      <c r="K110" s="5">
        <v>0.7</v>
      </c>
      <c r="L110" s="5">
        <v>6.3</v>
      </c>
      <c r="M110" s="5">
        <v>82.6</v>
      </c>
      <c r="N110" s="5" t="s">
        <v>291</v>
      </c>
      <c r="O110" s="22">
        <v>44.5</v>
      </c>
      <c r="P110" s="13">
        <v>20.6</v>
      </c>
      <c r="Q110" s="19">
        <v>27.8</v>
      </c>
      <c r="R110" s="5">
        <v>565</v>
      </c>
      <c r="S110" s="5" t="s">
        <v>115</v>
      </c>
      <c r="T110" s="5" t="s">
        <v>291</v>
      </c>
      <c r="U110" s="5">
        <v>250</v>
      </c>
      <c r="V110" s="5" t="s">
        <v>291</v>
      </c>
      <c r="W110" s="5">
        <v>0.48499999999999999</v>
      </c>
      <c r="X110" s="5" t="s">
        <v>33</v>
      </c>
      <c r="Y110" s="5" t="s">
        <v>292</v>
      </c>
      <c r="Z110" s="5" t="s">
        <v>291</v>
      </c>
      <c r="AA110" s="5">
        <v>0</v>
      </c>
      <c r="AB110" s="5" t="s">
        <v>294</v>
      </c>
      <c r="AC110" s="5">
        <f t="shared" si="47"/>
        <v>61.4</v>
      </c>
      <c r="AD110" s="5">
        <v>9.1999999999999993</v>
      </c>
      <c r="AE110" s="5">
        <v>18.3</v>
      </c>
      <c r="AF110" s="5">
        <v>9.4</v>
      </c>
      <c r="AG110" s="5">
        <v>1.7</v>
      </c>
      <c r="AH110" s="5" t="s">
        <v>291</v>
      </c>
      <c r="AI110" s="5">
        <v>3.9</v>
      </c>
      <c r="AJ110" s="5">
        <v>34.67</v>
      </c>
      <c r="AK110" s="5">
        <v>1.89</v>
      </c>
      <c r="AL110" s="5">
        <v>102.74</v>
      </c>
      <c r="AM110" s="5">
        <v>34.9</v>
      </c>
      <c r="AN110" s="5">
        <v>56</v>
      </c>
      <c r="AO110" s="11" t="s">
        <v>108</v>
      </c>
    </row>
    <row r="111" spans="1:41" ht="14.5" thickBot="1" x14ac:dyDescent="0.35">
      <c r="A111" s="11">
        <v>110</v>
      </c>
      <c r="B111" s="3" t="s">
        <v>289</v>
      </c>
      <c r="C111" s="3" t="s">
        <v>93</v>
      </c>
      <c r="D111" s="5">
        <v>11</v>
      </c>
      <c r="E111" s="5">
        <v>20.271000000000001</v>
      </c>
      <c r="F111" s="5">
        <f t="shared" ref="F111:F112" si="58">(100/(100-K111))*50.7</f>
        <v>51.057401812688823</v>
      </c>
      <c r="G111" s="5">
        <f t="shared" ref="G111:G112" si="59">(100/(100-K111))*6</f>
        <v>6.0422960725075523</v>
      </c>
      <c r="H111" s="5">
        <f t="shared" ref="H111:H112" si="60">(100/(100-K111))*0.14</f>
        <v>0.14098690835850958</v>
      </c>
      <c r="I111" s="5">
        <f t="shared" ref="I111:I112" si="61">(100/(100-K111))*0.011</f>
        <v>1.1077542799597179E-2</v>
      </c>
      <c r="J111" s="5">
        <f t="shared" ref="J111:J112" si="62">(100/(100-K111))*42.4</f>
        <v>42.698892245720039</v>
      </c>
      <c r="K111" s="5">
        <v>0.7</v>
      </c>
      <c r="L111" s="5">
        <v>6.6</v>
      </c>
      <c r="M111" s="5">
        <v>82.6</v>
      </c>
      <c r="N111" s="5" t="s">
        <v>291</v>
      </c>
      <c r="O111" s="22">
        <v>44.5</v>
      </c>
      <c r="P111" s="13">
        <v>20.6</v>
      </c>
      <c r="Q111" s="19">
        <v>27.8</v>
      </c>
      <c r="R111" s="5">
        <v>602</v>
      </c>
      <c r="S111" s="5" t="s">
        <v>115</v>
      </c>
      <c r="T111" s="5" t="s">
        <v>291</v>
      </c>
      <c r="U111" s="5">
        <v>283</v>
      </c>
      <c r="V111" s="5" t="s">
        <v>291</v>
      </c>
      <c r="W111" s="5">
        <v>0.46</v>
      </c>
      <c r="X111" s="5" t="s">
        <v>33</v>
      </c>
      <c r="Y111" s="5" t="s">
        <v>292</v>
      </c>
      <c r="Z111" s="5" t="s">
        <v>291</v>
      </c>
      <c r="AA111" s="5">
        <v>0</v>
      </c>
      <c r="AB111" s="5" t="s">
        <v>294</v>
      </c>
      <c r="AC111" s="5">
        <f t="shared" si="47"/>
        <v>59.70000000000001</v>
      </c>
      <c r="AD111" s="5">
        <v>10</v>
      </c>
      <c r="AE111" s="5">
        <v>20.6</v>
      </c>
      <c r="AF111" s="5">
        <v>7.9</v>
      </c>
      <c r="AG111" s="5">
        <v>1.8</v>
      </c>
      <c r="AH111" s="5" t="s">
        <v>291</v>
      </c>
      <c r="AI111" s="5">
        <v>4.3</v>
      </c>
      <c r="AJ111" s="5">
        <v>60</v>
      </c>
      <c r="AK111" s="5">
        <v>1.81</v>
      </c>
      <c r="AL111" s="5">
        <v>140.07</v>
      </c>
      <c r="AM111" s="5">
        <v>38.6</v>
      </c>
      <c r="AN111" s="5">
        <v>58.2</v>
      </c>
      <c r="AO111" s="11" t="s">
        <v>108</v>
      </c>
    </row>
    <row r="112" spans="1:41" ht="14.5" thickBot="1" x14ac:dyDescent="0.35">
      <c r="A112" s="11">
        <v>111</v>
      </c>
      <c r="B112" s="3" t="s">
        <v>289</v>
      </c>
      <c r="C112" s="3" t="s">
        <v>93</v>
      </c>
      <c r="D112" s="5">
        <v>11</v>
      </c>
      <c r="E112" s="5">
        <v>20.271000000000001</v>
      </c>
      <c r="F112" s="5">
        <f t="shared" si="58"/>
        <v>51.057401812688823</v>
      </c>
      <c r="G112" s="5">
        <f t="shared" si="59"/>
        <v>6.0422960725075523</v>
      </c>
      <c r="H112" s="5">
        <f t="shared" si="60"/>
        <v>0.14098690835850958</v>
      </c>
      <c r="I112" s="5">
        <f t="shared" si="61"/>
        <v>1.1077542799597179E-2</v>
      </c>
      <c r="J112" s="5">
        <f t="shared" si="62"/>
        <v>42.698892245720039</v>
      </c>
      <c r="K112" s="5">
        <v>0.7</v>
      </c>
      <c r="L112" s="5">
        <v>11</v>
      </c>
      <c r="M112" s="5">
        <v>82.6</v>
      </c>
      <c r="N112" s="5" t="s">
        <v>291</v>
      </c>
      <c r="O112" s="22">
        <v>44.5</v>
      </c>
      <c r="P112" s="13">
        <v>20.6</v>
      </c>
      <c r="Q112" s="19">
        <v>27.8</v>
      </c>
      <c r="R112" s="5">
        <v>553</v>
      </c>
      <c r="S112" s="5" t="s">
        <v>115</v>
      </c>
      <c r="T112" s="5" t="s">
        <v>291</v>
      </c>
      <c r="U112" s="5">
        <v>241</v>
      </c>
      <c r="V112" s="5" t="s">
        <v>291</v>
      </c>
      <c r="W112" s="5">
        <v>0.42499999999999999</v>
      </c>
      <c r="X112" s="5" t="s">
        <v>33</v>
      </c>
      <c r="Y112" s="5" t="s">
        <v>292</v>
      </c>
      <c r="Z112" s="5" t="s">
        <v>291</v>
      </c>
      <c r="AA112" s="5">
        <v>0</v>
      </c>
      <c r="AB112" s="5" t="s">
        <v>294</v>
      </c>
      <c r="AC112" s="5">
        <f t="shared" si="47"/>
        <v>60.899999999999991</v>
      </c>
      <c r="AD112" s="5">
        <v>8.4</v>
      </c>
      <c r="AE112" s="5">
        <v>20.5</v>
      </c>
      <c r="AF112" s="5">
        <v>8.6</v>
      </c>
      <c r="AG112" s="5">
        <v>1.6</v>
      </c>
      <c r="AH112" s="5" t="s">
        <v>291</v>
      </c>
      <c r="AI112" s="5">
        <v>4</v>
      </c>
      <c r="AJ112" s="5">
        <v>28.88</v>
      </c>
      <c r="AK112" s="5">
        <v>1.67</v>
      </c>
      <c r="AL112" s="5">
        <v>201.72</v>
      </c>
      <c r="AM112" s="5">
        <v>32.799999999999997</v>
      </c>
      <c r="AN112" s="5">
        <v>70</v>
      </c>
      <c r="AO112" s="11" t="s">
        <v>108</v>
      </c>
    </row>
    <row r="113" spans="1:41" ht="14.5" thickBot="1" x14ac:dyDescent="0.35">
      <c r="A113" s="11">
        <v>112</v>
      </c>
      <c r="B113" s="3" t="s">
        <v>289</v>
      </c>
      <c r="C113" s="3" t="s">
        <v>93</v>
      </c>
      <c r="D113" s="5">
        <v>11</v>
      </c>
      <c r="E113" s="5">
        <v>19.672999999999998</v>
      </c>
      <c r="F113" s="5">
        <f>(100/(100-K113))*49.4</f>
        <v>49.848637739656908</v>
      </c>
      <c r="G113" s="5">
        <f>(100/(100-K113))*6</f>
        <v>6.0544904137235118</v>
      </c>
      <c r="H113" s="5">
        <f>(100/(100-K113))*0.22</f>
        <v>0.22199798183652875</v>
      </c>
      <c r="I113" s="5">
        <f>(100/(100-K113))*0.019</f>
        <v>1.9172552976791119E-2</v>
      </c>
      <c r="J113" s="5">
        <f>(100/(100-K113))*43.5</f>
        <v>43.895055499495456</v>
      </c>
      <c r="K113" s="5">
        <v>0.9</v>
      </c>
      <c r="L113" s="5">
        <v>9.8000000000000007</v>
      </c>
      <c r="M113" s="5">
        <v>83.9</v>
      </c>
      <c r="N113" s="5" t="s">
        <v>291</v>
      </c>
      <c r="O113" s="22">
        <v>46.2</v>
      </c>
      <c r="P113" s="13">
        <v>24.4</v>
      </c>
      <c r="Q113" s="19">
        <v>24.5</v>
      </c>
      <c r="R113" s="5">
        <v>711</v>
      </c>
      <c r="S113" s="5" t="s">
        <v>115</v>
      </c>
      <c r="T113" s="5" t="s">
        <v>291</v>
      </c>
      <c r="U113" s="5">
        <v>403</v>
      </c>
      <c r="V113" s="5" t="s">
        <v>291</v>
      </c>
      <c r="W113" s="5">
        <v>0.52500000000000002</v>
      </c>
      <c r="X113" s="5" t="s">
        <v>33</v>
      </c>
      <c r="Y113" s="5" t="s">
        <v>292</v>
      </c>
      <c r="Z113" s="5" t="s">
        <v>291</v>
      </c>
      <c r="AA113" s="5">
        <v>0</v>
      </c>
      <c r="AB113" s="5" t="s">
        <v>294</v>
      </c>
      <c r="AC113" s="5">
        <f t="shared" si="47"/>
        <v>57.2</v>
      </c>
      <c r="AD113" s="5">
        <v>14.2</v>
      </c>
      <c r="AE113" s="5">
        <v>19</v>
      </c>
      <c r="AF113" s="5">
        <v>8.8000000000000007</v>
      </c>
      <c r="AG113" s="5">
        <v>0.8</v>
      </c>
      <c r="AH113" s="5" t="s">
        <v>291</v>
      </c>
      <c r="AI113" s="5">
        <v>4.2</v>
      </c>
      <c r="AJ113" s="5">
        <v>11.75</v>
      </c>
      <c r="AK113" s="5">
        <v>2.2999999999999998</v>
      </c>
      <c r="AL113" s="5">
        <v>63.41</v>
      </c>
      <c r="AM113" s="5">
        <v>49.3</v>
      </c>
      <c r="AN113" s="5">
        <v>71.599999999999994</v>
      </c>
      <c r="AO113" s="11" t="s">
        <v>108</v>
      </c>
    </row>
    <row r="114" spans="1:41" ht="14.5" thickBot="1" x14ac:dyDescent="0.35">
      <c r="A114" s="11">
        <v>113</v>
      </c>
      <c r="B114" s="3" t="s">
        <v>289</v>
      </c>
      <c r="C114" s="3" t="s">
        <v>93</v>
      </c>
      <c r="D114" s="5">
        <v>11</v>
      </c>
      <c r="E114" s="5">
        <v>19.672999999999998</v>
      </c>
      <c r="F114" s="5">
        <f t="shared" ref="F114:F115" si="63">(100/(100-K114))*49.4</f>
        <v>49.848637739656908</v>
      </c>
      <c r="G114" s="5">
        <f t="shared" ref="G114:G115" si="64">(100/(100-K114))*6</f>
        <v>6.0544904137235118</v>
      </c>
      <c r="H114" s="5">
        <f t="shared" ref="H114:H115" si="65">(100/(100-K114))*0.22</f>
        <v>0.22199798183652875</v>
      </c>
      <c r="I114" s="5">
        <f t="shared" ref="I114:I115" si="66">(100/(100-K114))*0.019</f>
        <v>1.9172552976791119E-2</v>
      </c>
      <c r="J114" s="5">
        <f t="shared" ref="J114:J115" si="67">(100/(100-K114))*43.5</f>
        <v>43.895055499495456</v>
      </c>
      <c r="K114" s="5">
        <v>0.9</v>
      </c>
      <c r="L114" s="5">
        <v>10</v>
      </c>
      <c r="M114" s="5">
        <v>83.9</v>
      </c>
      <c r="N114" s="5" t="s">
        <v>291</v>
      </c>
      <c r="O114" s="22">
        <v>46.2</v>
      </c>
      <c r="P114" s="13">
        <v>24.4</v>
      </c>
      <c r="Q114" s="19">
        <v>24.5</v>
      </c>
      <c r="R114" s="5">
        <v>620</v>
      </c>
      <c r="S114" s="5" t="s">
        <v>115</v>
      </c>
      <c r="T114" s="5" t="s">
        <v>291</v>
      </c>
      <c r="U114" s="5">
        <v>297</v>
      </c>
      <c r="V114" s="5" t="s">
        <v>291</v>
      </c>
      <c r="W114" s="5">
        <v>0.48</v>
      </c>
      <c r="X114" s="5" t="s">
        <v>33</v>
      </c>
      <c r="Y114" s="5" t="s">
        <v>292</v>
      </c>
      <c r="Z114" s="5" t="s">
        <v>291</v>
      </c>
      <c r="AA114" s="5">
        <v>0</v>
      </c>
      <c r="AB114" s="5" t="s">
        <v>294</v>
      </c>
      <c r="AC114" s="5">
        <f t="shared" si="47"/>
        <v>60.8</v>
      </c>
      <c r="AD114" s="5">
        <v>10.9</v>
      </c>
      <c r="AE114" s="5">
        <v>19.5</v>
      </c>
      <c r="AF114" s="5">
        <v>7.9</v>
      </c>
      <c r="AG114" s="5">
        <v>0.9</v>
      </c>
      <c r="AH114" s="5" t="s">
        <v>291</v>
      </c>
      <c r="AI114" s="5">
        <v>3.9</v>
      </c>
      <c r="AJ114" s="5">
        <v>22.38</v>
      </c>
      <c r="AK114" s="5">
        <v>1.91</v>
      </c>
      <c r="AL114" s="5">
        <v>175.43</v>
      </c>
      <c r="AM114" s="5">
        <v>39</v>
      </c>
      <c r="AN114" s="5">
        <v>59.2</v>
      </c>
      <c r="AO114" s="11" t="s">
        <v>108</v>
      </c>
    </row>
    <row r="115" spans="1:41" ht="14.5" thickBot="1" x14ac:dyDescent="0.35">
      <c r="A115" s="11">
        <v>114</v>
      </c>
      <c r="B115" s="3" t="s">
        <v>289</v>
      </c>
      <c r="C115" s="3" t="s">
        <v>93</v>
      </c>
      <c r="D115" s="5">
        <v>11</v>
      </c>
      <c r="E115" s="5">
        <v>19.672999999999998</v>
      </c>
      <c r="F115" s="5">
        <f t="shared" si="63"/>
        <v>49.848637739656908</v>
      </c>
      <c r="G115" s="5">
        <f t="shared" si="64"/>
        <v>6.0544904137235118</v>
      </c>
      <c r="H115" s="5">
        <f t="shared" si="65"/>
        <v>0.22199798183652875</v>
      </c>
      <c r="I115" s="5">
        <f t="shared" si="66"/>
        <v>1.9172552976791119E-2</v>
      </c>
      <c r="J115" s="5">
        <f t="shared" si="67"/>
        <v>43.895055499495456</v>
      </c>
      <c r="K115" s="5">
        <v>0.9</v>
      </c>
      <c r="L115" s="5">
        <v>10.5</v>
      </c>
      <c r="M115" s="5">
        <v>83.9</v>
      </c>
      <c r="N115" s="5" t="s">
        <v>291</v>
      </c>
      <c r="O115" s="22">
        <v>46.2</v>
      </c>
      <c r="P115" s="13">
        <v>24.4</v>
      </c>
      <c r="Q115" s="19">
        <v>24.5</v>
      </c>
      <c r="R115" s="5">
        <v>668</v>
      </c>
      <c r="S115" s="5" t="s">
        <v>115</v>
      </c>
      <c r="T115" s="5" t="s">
        <v>291</v>
      </c>
      <c r="U115" s="5">
        <v>275</v>
      </c>
      <c r="V115" s="5" t="s">
        <v>291</v>
      </c>
      <c r="W115" s="5">
        <v>0.43</v>
      </c>
      <c r="X115" s="5" t="s">
        <v>33</v>
      </c>
      <c r="Y115" s="5" t="s">
        <v>292</v>
      </c>
      <c r="Z115" s="5" t="s">
        <v>291</v>
      </c>
      <c r="AA115" s="5">
        <v>0</v>
      </c>
      <c r="AB115" s="5" t="s">
        <v>294</v>
      </c>
      <c r="AC115" s="5">
        <f t="shared" si="47"/>
        <v>54.1</v>
      </c>
      <c r="AD115" s="5">
        <v>15.3</v>
      </c>
      <c r="AE115" s="5">
        <v>19.7</v>
      </c>
      <c r="AF115" s="5">
        <v>9.6</v>
      </c>
      <c r="AG115" s="5">
        <v>1.3</v>
      </c>
      <c r="AH115" s="5" t="s">
        <v>291</v>
      </c>
      <c r="AI115" s="5">
        <v>4.5999999999999996</v>
      </c>
      <c r="AJ115" s="5">
        <v>9.5500000000000007</v>
      </c>
      <c r="AK115" s="5">
        <v>1.93</v>
      </c>
      <c r="AL115" s="5">
        <v>60.32</v>
      </c>
      <c r="AM115" s="5">
        <v>40.299999999999997</v>
      </c>
      <c r="AN115" s="5">
        <v>68.599999999999994</v>
      </c>
      <c r="AO115" s="11" t="s">
        <v>108</v>
      </c>
    </row>
    <row r="116" spans="1:41" ht="14.5" thickBot="1" x14ac:dyDescent="0.35">
      <c r="A116" s="11">
        <v>115</v>
      </c>
      <c r="B116" s="3" t="s">
        <v>289</v>
      </c>
      <c r="C116" s="3" t="s">
        <v>93</v>
      </c>
      <c r="D116" s="5">
        <v>11</v>
      </c>
      <c r="E116" s="5">
        <v>19.803000000000001</v>
      </c>
      <c r="F116" s="5">
        <f>(100/(100-K116))*49.9</f>
        <v>50.557244174265456</v>
      </c>
      <c r="G116" s="5">
        <f>(100/(100-K116))*5.9</f>
        <v>5.9777102330293825</v>
      </c>
      <c r="H116" s="5">
        <f>(100/(100-K116))*0.53</f>
        <v>0.53698074974670729</v>
      </c>
      <c r="I116" s="5">
        <f>(100/(100-K116))*0.038</f>
        <v>3.8500506585612972E-2</v>
      </c>
      <c r="J116" s="5">
        <f>(100/(100-K116))*42.4</f>
        <v>42.958459979736574</v>
      </c>
      <c r="K116" s="5">
        <v>1.3</v>
      </c>
      <c r="L116" s="5">
        <v>6.9</v>
      </c>
      <c r="M116" s="5">
        <v>80.7</v>
      </c>
      <c r="N116" s="5" t="s">
        <v>291</v>
      </c>
      <c r="O116" s="22">
        <v>38.5</v>
      </c>
      <c r="P116" s="13">
        <v>17.600000000000001</v>
      </c>
      <c r="Q116" s="19">
        <v>26.3</v>
      </c>
      <c r="R116" s="5">
        <v>609</v>
      </c>
      <c r="S116" s="5" t="s">
        <v>115</v>
      </c>
      <c r="T116" s="5" t="s">
        <v>291</v>
      </c>
      <c r="U116" s="5">
        <v>325</v>
      </c>
      <c r="V116" s="5" t="s">
        <v>291</v>
      </c>
      <c r="W116" s="5">
        <v>0.53</v>
      </c>
      <c r="X116" s="5" t="s">
        <v>33</v>
      </c>
      <c r="Y116" s="5" t="s">
        <v>292</v>
      </c>
      <c r="Z116" s="5" t="s">
        <v>291</v>
      </c>
      <c r="AA116" s="5">
        <v>0</v>
      </c>
      <c r="AB116" s="5" t="s">
        <v>294</v>
      </c>
      <c r="AC116" s="5">
        <f t="shared" si="47"/>
        <v>56.699999999999989</v>
      </c>
      <c r="AD116" s="5">
        <v>12.9</v>
      </c>
      <c r="AE116" s="5">
        <v>19</v>
      </c>
      <c r="AF116" s="5">
        <v>10.199999999999999</v>
      </c>
      <c r="AG116" s="5">
        <v>1.2</v>
      </c>
      <c r="AH116" s="5" t="s">
        <v>291</v>
      </c>
      <c r="AI116" s="5">
        <v>4.2</v>
      </c>
      <c r="AJ116" s="5">
        <v>30.68</v>
      </c>
      <c r="AK116" s="5">
        <v>2.0299999999999998</v>
      </c>
      <c r="AL116" s="5">
        <v>62.37</v>
      </c>
      <c r="AM116" s="5">
        <v>42.9</v>
      </c>
      <c r="AN116" s="5">
        <v>65.8</v>
      </c>
      <c r="AO116" s="11" t="s">
        <v>108</v>
      </c>
    </row>
    <row r="117" spans="1:41" ht="14.5" thickBot="1" x14ac:dyDescent="0.35">
      <c r="A117" s="11">
        <v>116</v>
      </c>
      <c r="B117" s="3" t="s">
        <v>289</v>
      </c>
      <c r="C117" s="3" t="s">
        <v>93</v>
      </c>
      <c r="D117" s="5">
        <v>11</v>
      </c>
      <c r="E117" s="5">
        <v>19.803000000000001</v>
      </c>
      <c r="F117" s="5">
        <f t="shared" ref="F117:F118" si="68">(100/(100-K117))*49.9</f>
        <v>50.557244174265456</v>
      </c>
      <c r="G117" s="5">
        <f t="shared" ref="G117:G118" si="69">(100/(100-K117))*5.9</f>
        <v>5.9777102330293825</v>
      </c>
      <c r="H117" s="5">
        <f t="shared" ref="H117:H118" si="70">(100/(100-K117))*0.53</f>
        <v>0.53698074974670729</v>
      </c>
      <c r="I117" s="5">
        <f t="shared" ref="I117:I118" si="71">(100/(100-K117))*0.038</f>
        <v>3.8500506585612972E-2</v>
      </c>
      <c r="J117" s="5">
        <f t="shared" ref="J117:J118" si="72">(100/(100-K117))*42.4</f>
        <v>42.958459979736574</v>
      </c>
      <c r="K117" s="5">
        <v>1.3</v>
      </c>
      <c r="L117" s="5">
        <v>7.7</v>
      </c>
      <c r="M117" s="5">
        <v>80.7</v>
      </c>
      <c r="N117" s="5" t="s">
        <v>291</v>
      </c>
      <c r="O117" s="22">
        <v>38.5</v>
      </c>
      <c r="P117" s="13">
        <v>17.600000000000001</v>
      </c>
      <c r="Q117" s="19">
        <v>26.3</v>
      </c>
      <c r="R117" s="5">
        <v>667</v>
      </c>
      <c r="S117" s="5" t="s">
        <v>115</v>
      </c>
      <c r="T117" s="5" t="s">
        <v>291</v>
      </c>
      <c r="U117" s="5">
        <v>275</v>
      </c>
      <c r="V117" s="5" t="s">
        <v>291</v>
      </c>
      <c r="W117" s="5">
        <v>0.31</v>
      </c>
      <c r="X117" s="5" t="s">
        <v>33</v>
      </c>
      <c r="Y117" s="5" t="s">
        <v>292</v>
      </c>
      <c r="Z117" s="5" t="s">
        <v>291</v>
      </c>
      <c r="AA117" s="5">
        <v>0</v>
      </c>
      <c r="AB117" s="5" t="s">
        <v>294</v>
      </c>
      <c r="AC117" s="5">
        <f t="shared" si="47"/>
        <v>59.9</v>
      </c>
      <c r="AD117" s="5">
        <v>12.1</v>
      </c>
      <c r="AE117" s="5">
        <v>16.899999999999999</v>
      </c>
      <c r="AF117" s="5">
        <v>9.6</v>
      </c>
      <c r="AG117" s="5">
        <v>1.5</v>
      </c>
      <c r="AH117" s="5" t="s">
        <v>291</v>
      </c>
      <c r="AI117" s="5">
        <v>3.95</v>
      </c>
      <c r="AJ117" s="5">
        <v>50.95</v>
      </c>
      <c r="AK117" s="5">
        <v>1.45</v>
      </c>
      <c r="AL117" s="5">
        <v>102.15</v>
      </c>
      <c r="AM117" s="5">
        <v>28.9</v>
      </c>
      <c r="AN117" s="5">
        <v>50.4</v>
      </c>
      <c r="AO117" s="11" t="s">
        <v>108</v>
      </c>
    </row>
    <row r="118" spans="1:41" ht="14.5" thickBot="1" x14ac:dyDescent="0.35">
      <c r="A118" s="11">
        <v>117</v>
      </c>
      <c r="B118" s="3" t="s">
        <v>289</v>
      </c>
      <c r="C118" s="3" t="s">
        <v>93</v>
      </c>
      <c r="D118" s="5">
        <v>11</v>
      </c>
      <c r="E118" s="5">
        <v>19.803000000000001</v>
      </c>
      <c r="F118" s="5">
        <f t="shared" si="68"/>
        <v>50.557244174265456</v>
      </c>
      <c r="G118" s="5">
        <f t="shared" si="69"/>
        <v>5.9777102330293825</v>
      </c>
      <c r="H118" s="5">
        <f t="shared" si="70"/>
        <v>0.53698074974670729</v>
      </c>
      <c r="I118" s="5">
        <f t="shared" si="71"/>
        <v>3.8500506585612972E-2</v>
      </c>
      <c r="J118" s="5">
        <f t="shared" si="72"/>
        <v>42.958459979736574</v>
      </c>
      <c r="K118" s="5">
        <v>1.3</v>
      </c>
      <c r="L118" s="5">
        <v>9.8000000000000007</v>
      </c>
      <c r="M118" s="5">
        <v>80.7</v>
      </c>
      <c r="N118" s="5" t="s">
        <v>291</v>
      </c>
      <c r="O118" s="22">
        <v>38.5</v>
      </c>
      <c r="P118" s="13">
        <v>17.600000000000001</v>
      </c>
      <c r="Q118" s="19">
        <v>26.3</v>
      </c>
      <c r="R118" s="5">
        <v>755</v>
      </c>
      <c r="S118" s="5" t="s">
        <v>115</v>
      </c>
      <c r="T118" s="5" t="s">
        <v>291</v>
      </c>
      <c r="U118" s="5">
        <v>346</v>
      </c>
      <c r="V118" s="5" t="s">
        <v>291</v>
      </c>
      <c r="W118" s="5">
        <v>0.52</v>
      </c>
      <c r="X118" s="5" t="s">
        <v>33</v>
      </c>
      <c r="Y118" s="5" t="s">
        <v>292</v>
      </c>
      <c r="Z118" s="5" t="s">
        <v>291</v>
      </c>
      <c r="AA118" s="5">
        <v>0</v>
      </c>
      <c r="AB118" s="5" t="s">
        <v>294</v>
      </c>
      <c r="AC118" s="5">
        <f t="shared" si="47"/>
        <v>58.699999999999996</v>
      </c>
      <c r="AD118" s="5">
        <v>11.4</v>
      </c>
      <c r="AE118" s="5">
        <v>17.3</v>
      </c>
      <c r="AF118" s="5">
        <v>11</v>
      </c>
      <c r="AG118" s="5">
        <v>1.6</v>
      </c>
      <c r="AH118" s="5" t="s">
        <v>291</v>
      </c>
      <c r="AI118" s="5">
        <v>3.97</v>
      </c>
      <c r="AJ118" s="5">
        <v>13.72</v>
      </c>
      <c r="AK118" s="5">
        <v>2.2200000000000002</v>
      </c>
      <c r="AL118" s="5">
        <v>180.64</v>
      </c>
      <c r="AM118" s="5">
        <v>43.1</v>
      </c>
      <c r="AN118" s="5">
        <v>69.599999999999994</v>
      </c>
      <c r="AO118" s="11" t="s">
        <v>108</v>
      </c>
    </row>
    <row r="119" spans="1:41" x14ac:dyDescent="0.3">
      <c r="A119" s="11">
        <v>118</v>
      </c>
      <c r="B119" s="3" t="s">
        <v>288</v>
      </c>
      <c r="C119" s="3" t="s">
        <v>42</v>
      </c>
      <c r="D119" s="5">
        <v>6</v>
      </c>
      <c r="E119" s="5">
        <f>16.69*((100-L119)/100)</f>
        <v>15.232963</v>
      </c>
      <c r="F119" s="5">
        <f>(100/(100-K119))*41.6</f>
        <v>50.109964365843993</v>
      </c>
      <c r="G119" s="5">
        <f>(100/(100-K119))*4.9</f>
        <v>5.9023756103998943</v>
      </c>
      <c r="H119" s="5">
        <f>(100/(100-K119))*2.39</f>
        <v>2.8789138181338259</v>
      </c>
      <c r="I119" s="5">
        <f>(100/(100-K119))*0.25</f>
        <v>0.30114161277550477</v>
      </c>
      <c r="J119" s="5">
        <f>(100/(100-K119))*33.94</f>
        <v>40.882985350402528</v>
      </c>
      <c r="K119" s="5">
        <f>(100/(100-L119))*15.5</f>
        <v>16.982579160731895</v>
      </c>
      <c r="L119" s="5">
        <v>8.73</v>
      </c>
      <c r="M119" s="5">
        <f>(100/(100-L119))*74.4</f>
        <v>81.516379971513103</v>
      </c>
      <c r="N119" s="5" t="s">
        <v>291</v>
      </c>
      <c r="O119" s="5">
        <v>29.6</v>
      </c>
      <c r="P119" s="5">
        <v>14</v>
      </c>
      <c r="Q119" s="5">
        <v>14</v>
      </c>
      <c r="R119" s="5">
        <v>775</v>
      </c>
      <c r="S119" s="5" t="s">
        <v>39</v>
      </c>
      <c r="T119" s="5" t="s">
        <v>291</v>
      </c>
      <c r="U119" s="5">
        <v>200</v>
      </c>
      <c r="V119" s="5" t="s">
        <v>291</v>
      </c>
      <c r="W119" s="5">
        <v>0.25</v>
      </c>
      <c r="X119" s="5" t="s">
        <v>33</v>
      </c>
      <c r="Y119" s="5" t="s">
        <v>79</v>
      </c>
      <c r="Z119" s="5" t="s">
        <v>295</v>
      </c>
      <c r="AA119" s="5">
        <v>0</v>
      </c>
      <c r="AB119" s="5" t="s">
        <v>293</v>
      </c>
      <c r="AC119" s="5">
        <v>51.5</v>
      </c>
      <c r="AD119" s="5">
        <v>13.02</v>
      </c>
      <c r="AE119" s="5">
        <v>8.43</v>
      </c>
      <c r="AF119" s="5">
        <v>20.309999999999999</v>
      </c>
      <c r="AG119" s="5">
        <v>2.77</v>
      </c>
      <c r="AH119" s="5">
        <v>1.06</v>
      </c>
      <c r="AI119" s="5">
        <v>4.13</v>
      </c>
      <c r="AJ119" s="5">
        <v>1.1499999999999999</v>
      </c>
      <c r="AK119" s="5">
        <v>1.36</v>
      </c>
      <c r="AL119" s="5">
        <v>301.52</v>
      </c>
      <c r="AM119" s="5">
        <v>33.799999999999997</v>
      </c>
      <c r="AN119" s="5">
        <f>100*(AK119/F119)*(AE119*Calculations!$B$5*Calculations!$B$9+AF119*Calculations!$B$6*Calculations!$B$10+AG119*Calculations!$B$7*Calculations!$B$11+AH119*Calculations!$B$8*Calculations!$B$12)</f>
        <v>47.558207722656299</v>
      </c>
      <c r="AO119" s="11" t="s">
        <v>121</v>
      </c>
    </row>
    <row r="120" spans="1:41" x14ac:dyDescent="0.3">
      <c r="A120" s="11">
        <v>119</v>
      </c>
      <c r="B120" s="3" t="s">
        <v>288</v>
      </c>
      <c r="C120" s="3" t="s">
        <v>42</v>
      </c>
      <c r="D120" s="5">
        <v>6</v>
      </c>
      <c r="E120" s="5">
        <f t="shared" ref="E120:E122" si="73">16.69*((100-L120)/100)</f>
        <v>15.232963</v>
      </c>
      <c r="F120" s="5">
        <f t="shared" ref="F120:F122" si="74">(100/(100-K120))*41.6</f>
        <v>50.109964365843993</v>
      </c>
      <c r="G120" s="5">
        <f t="shared" ref="G120:G122" si="75">(100/(100-K120))*4.9</f>
        <v>5.9023756103998943</v>
      </c>
      <c r="H120" s="5">
        <f t="shared" ref="H120:H122" si="76">(100/(100-K120))*2.39</f>
        <v>2.8789138181338259</v>
      </c>
      <c r="I120" s="5">
        <f t="shared" ref="I120:I122" si="77">(100/(100-K120))*0.25</f>
        <v>0.30114161277550477</v>
      </c>
      <c r="J120" s="5">
        <f t="shared" ref="J120:J122" si="78">(100/(100-K120))*33.94</f>
        <v>40.882985350402528</v>
      </c>
      <c r="K120" s="5">
        <f t="shared" ref="K120:K122" si="79">(100/(100-L120))*15.5</f>
        <v>16.982579160731895</v>
      </c>
      <c r="L120" s="5">
        <v>8.73</v>
      </c>
      <c r="M120" s="5">
        <f t="shared" ref="M120:M122" si="80">(100/(100-L120))*74.4</f>
        <v>81.516379971513103</v>
      </c>
      <c r="N120" s="5" t="s">
        <v>291</v>
      </c>
      <c r="O120" s="5">
        <v>29.6</v>
      </c>
      <c r="P120" s="5">
        <v>14</v>
      </c>
      <c r="Q120" s="5">
        <v>14</v>
      </c>
      <c r="R120" s="5">
        <v>775</v>
      </c>
      <c r="S120" s="5" t="s">
        <v>39</v>
      </c>
      <c r="T120" s="5" t="s">
        <v>291</v>
      </c>
      <c r="U120" s="5">
        <v>200</v>
      </c>
      <c r="V120" s="5" t="s">
        <v>291</v>
      </c>
      <c r="W120" s="5">
        <v>0.3</v>
      </c>
      <c r="X120" s="5" t="s">
        <v>33</v>
      </c>
      <c r="Y120" s="5" t="s">
        <v>79</v>
      </c>
      <c r="Z120" s="5" t="s">
        <v>295</v>
      </c>
      <c r="AA120" s="5">
        <v>0</v>
      </c>
      <c r="AB120" s="5" t="s">
        <v>293</v>
      </c>
      <c r="AC120" s="5">
        <v>50.6</v>
      </c>
      <c r="AD120" s="5">
        <v>12.91</v>
      </c>
      <c r="AE120" s="5">
        <v>9.08</v>
      </c>
      <c r="AF120" s="5">
        <v>19.600000000000001</v>
      </c>
      <c r="AG120" s="5">
        <v>2.67</v>
      </c>
      <c r="AH120" s="5">
        <v>1.1200000000000001</v>
      </c>
      <c r="AI120" s="5">
        <v>4.21</v>
      </c>
      <c r="AJ120" s="5" t="s">
        <v>291</v>
      </c>
      <c r="AK120" s="5">
        <v>1.66</v>
      </c>
      <c r="AL120" s="5" t="s">
        <v>291</v>
      </c>
      <c r="AM120" s="5">
        <v>42.14</v>
      </c>
      <c r="AN120" s="5">
        <f>100*(AK120/F120)*(AE120*Calculations!$B$5*Calculations!$B$9+AF120*Calculations!$B$6*Calculations!$B$10+AG120*Calculations!$B$7*Calculations!$B$11+AH120*Calculations!$B$8*Calculations!$B$12)</f>
        <v>57.868718019558337</v>
      </c>
      <c r="AO120" s="11" t="s">
        <v>121</v>
      </c>
    </row>
    <row r="121" spans="1:41" x14ac:dyDescent="0.3">
      <c r="A121" s="11">
        <v>120</v>
      </c>
      <c r="B121" s="3" t="s">
        <v>288</v>
      </c>
      <c r="C121" s="3" t="s">
        <v>42</v>
      </c>
      <c r="D121" s="5">
        <v>6</v>
      </c>
      <c r="E121" s="5">
        <f t="shared" si="73"/>
        <v>15.232963</v>
      </c>
      <c r="F121" s="5">
        <f t="shared" si="74"/>
        <v>50.109964365843993</v>
      </c>
      <c r="G121" s="5">
        <f t="shared" si="75"/>
        <v>5.9023756103998943</v>
      </c>
      <c r="H121" s="5">
        <f t="shared" si="76"/>
        <v>2.8789138181338259</v>
      </c>
      <c r="I121" s="5">
        <f t="shared" si="77"/>
        <v>0.30114161277550477</v>
      </c>
      <c r="J121" s="5">
        <f t="shared" si="78"/>
        <v>40.882985350402528</v>
      </c>
      <c r="K121" s="5">
        <f t="shared" si="79"/>
        <v>16.982579160731895</v>
      </c>
      <c r="L121" s="5">
        <v>8.73</v>
      </c>
      <c r="M121" s="5">
        <f t="shared" si="80"/>
        <v>81.516379971513103</v>
      </c>
      <c r="N121" s="5" t="s">
        <v>291</v>
      </c>
      <c r="O121" s="5">
        <v>29.6</v>
      </c>
      <c r="P121" s="5">
        <v>14</v>
      </c>
      <c r="Q121" s="5">
        <v>14</v>
      </c>
      <c r="R121" s="5">
        <v>775</v>
      </c>
      <c r="S121" s="5" t="s">
        <v>39</v>
      </c>
      <c r="T121" s="5" t="s">
        <v>291</v>
      </c>
      <c r="U121" s="5">
        <v>200</v>
      </c>
      <c r="V121" s="5" t="s">
        <v>291</v>
      </c>
      <c r="W121" s="5">
        <v>0.25</v>
      </c>
      <c r="X121" s="5" t="s">
        <v>33</v>
      </c>
      <c r="Y121" s="5" t="s">
        <v>79</v>
      </c>
      <c r="Z121" s="5" t="s">
        <v>295</v>
      </c>
      <c r="AA121" s="5">
        <v>0</v>
      </c>
      <c r="AB121" s="5" t="s">
        <v>293</v>
      </c>
      <c r="AC121" s="5">
        <v>54.14</v>
      </c>
      <c r="AD121" s="5">
        <v>13.5</v>
      </c>
      <c r="AE121" s="5">
        <v>8.42</v>
      </c>
      <c r="AF121" s="5">
        <v>20.04</v>
      </c>
      <c r="AG121" s="5">
        <v>2.7</v>
      </c>
      <c r="AH121" s="5">
        <v>1.2</v>
      </c>
      <c r="AI121" s="5">
        <v>4.25</v>
      </c>
      <c r="AJ121" s="5">
        <v>1.0900000000000001</v>
      </c>
      <c r="AK121" s="5">
        <v>1.35</v>
      </c>
      <c r="AL121" s="5">
        <v>261.92</v>
      </c>
      <c r="AM121" s="5">
        <v>34.76</v>
      </c>
      <c r="AN121" s="5">
        <f>100*(AK121/F121)*(AE121*Calculations!$B$5*Calculations!$B$9+AF121*Calculations!$B$6*Calculations!$B$10+AG121*Calculations!$B$7*Calculations!$B$11+AH121*Calculations!$B$8*Calculations!$B$12)</f>
        <v>47.091112043117235</v>
      </c>
      <c r="AO121" s="11" t="s">
        <v>121</v>
      </c>
    </row>
    <row r="122" spans="1:41" x14ac:dyDescent="0.3">
      <c r="A122" s="11">
        <v>121</v>
      </c>
      <c r="B122" s="3" t="s">
        <v>288</v>
      </c>
      <c r="C122" s="3" t="s">
        <v>42</v>
      </c>
      <c r="D122" s="5">
        <v>6</v>
      </c>
      <c r="E122" s="5">
        <f t="shared" si="73"/>
        <v>15.232963</v>
      </c>
      <c r="F122" s="5">
        <f t="shared" si="74"/>
        <v>50.109964365843993</v>
      </c>
      <c r="G122" s="5">
        <f t="shared" si="75"/>
        <v>5.9023756103998943</v>
      </c>
      <c r="H122" s="5">
        <f t="shared" si="76"/>
        <v>2.8789138181338259</v>
      </c>
      <c r="I122" s="5">
        <f t="shared" si="77"/>
        <v>0.30114161277550477</v>
      </c>
      <c r="J122" s="5">
        <f t="shared" si="78"/>
        <v>40.882985350402528</v>
      </c>
      <c r="K122" s="5">
        <f t="shared" si="79"/>
        <v>16.982579160731895</v>
      </c>
      <c r="L122" s="5">
        <v>8.73</v>
      </c>
      <c r="M122" s="5">
        <f t="shared" si="80"/>
        <v>81.516379971513103</v>
      </c>
      <c r="N122" s="5" t="s">
        <v>291</v>
      </c>
      <c r="O122" s="5">
        <v>29.6</v>
      </c>
      <c r="P122" s="5">
        <v>14</v>
      </c>
      <c r="Q122" s="5">
        <v>14</v>
      </c>
      <c r="R122" s="5">
        <v>775</v>
      </c>
      <c r="S122" s="5" t="s">
        <v>39</v>
      </c>
      <c r="T122" s="5" t="s">
        <v>291</v>
      </c>
      <c r="U122" s="5">
        <v>200</v>
      </c>
      <c r="V122" s="5" t="s">
        <v>291</v>
      </c>
      <c r="W122" s="5">
        <v>0.3</v>
      </c>
      <c r="X122" s="5" t="s">
        <v>33</v>
      </c>
      <c r="Y122" s="5" t="s">
        <v>79</v>
      </c>
      <c r="Z122" s="5" t="s">
        <v>295</v>
      </c>
      <c r="AA122" s="5">
        <v>0</v>
      </c>
      <c r="AB122" s="5" t="s">
        <v>293</v>
      </c>
      <c r="AC122" s="5">
        <v>54.45</v>
      </c>
      <c r="AD122" s="5">
        <v>12.73</v>
      </c>
      <c r="AE122" s="5">
        <v>9.15</v>
      </c>
      <c r="AF122" s="5">
        <v>19.899999999999999</v>
      </c>
      <c r="AG122" s="5">
        <v>2.65</v>
      </c>
      <c r="AH122" s="5">
        <v>1.0900000000000001</v>
      </c>
      <c r="AI122" s="5">
        <v>4.1900000000000004</v>
      </c>
      <c r="AJ122" s="5" t="s">
        <v>291</v>
      </c>
      <c r="AK122" s="5">
        <v>1.38</v>
      </c>
      <c r="AL122" s="5" t="s">
        <v>291</v>
      </c>
      <c r="AM122" s="5">
        <v>34.85</v>
      </c>
      <c r="AN122" s="5">
        <f>100*(AK122/F122)*(AE122*Calculations!$B$5*Calculations!$B$9+AF122*Calculations!$B$6*Calculations!$B$10+AG122*Calculations!$B$7*Calculations!$B$11+AH122*Calculations!$B$8*Calculations!$B$12)</f>
        <v>48.537350492096344</v>
      </c>
      <c r="AO122" s="11" t="s">
        <v>121</v>
      </c>
    </row>
    <row r="123" spans="1:41" x14ac:dyDescent="0.3">
      <c r="A123" s="11">
        <v>122</v>
      </c>
      <c r="B123" s="3" t="s">
        <v>288</v>
      </c>
      <c r="C123" s="3" t="s">
        <v>290</v>
      </c>
      <c r="D123" s="5" t="s">
        <v>291</v>
      </c>
      <c r="E123" s="5">
        <v>14.22</v>
      </c>
      <c r="F123" s="5">
        <f>(100/(100-K123))*37.6</f>
        <v>47</v>
      </c>
      <c r="G123" s="5">
        <f>(100/(100-K123))*5.42</f>
        <v>6.7750000000000004</v>
      </c>
      <c r="H123" s="5">
        <f>(100/(100-K123))*0.38</f>
        <v>0.47499999999999998</v>
      </c>
      <c r="I123" s="5">
        <f>(100/(100-K123))*0.03</f>
        <v>3.7499999999999999E-2</v>
      </c>
      <c r="J123" s="5">
        <f>(100/(100-K123))*36.56</f>
        <v>45.7</v>
      </c>
      <c r="K123" s="5">
        <v>20</v>
      </c>
      <c r="L123" s="5">
        <v>9.08</v>
      </c>
      <c r="M123" s="5">
        <v>66.400000000000006</v>
      </c>
      <c r="N123" s="5">
        <v>13.6</v>
      </c>
      <c r="O123" s="5" t="s">
        <v>291</v>
      </c>
      <c r="P123" s="5" t="s">
        <v>291</v>
      </c>
      <c r="Q123" s="5" t="s">
        <v>291</v>
      </c>
      <c r="R123" s="5">
        <v>665</v>
      </c>
      <c r="S123" s="5" t="s">
        <v>39</v>
      </c>
      <c r="T123" s="5" t="s">
        <v>291</v>
      </c>
      <c r="U123" s="5" t="s">
        <v>291</v>
      </c>
      <c r="V123" s="5" t="s">
        <v>291</v>
      </c>
      <c r="W123" s="5">
        <v>0.25</v>
      </c>
      <c r="X123" s="5" t="s">
        <v>33</v>
      </c>
      <c r="Y123" s="5" t="s">
        <v>79</v>
      </c>
      <c r="Z123" s="5" t="s">
        <v>154</v>
      </c>
      <c r="AA123" s="5">
        <v>0</v>
      </c>
      <c r="AB123" s="5" t="s">
        <v>293</v>
      </c>
      <c r="AC123" s="5">
        <v>56.57</v>
      </c>
      <c r="AD123" s="5">
        <v>4</v>
      </c>
      <c r="AE123" s="5">
        <v>19.899999999999999</v>
      </c>
      <c r="AF123" s="5">
        <v>14.45</v>
      </c>
      <c r="AG123" s="5">
        <v>2.9</v>
      </c>
      <c r="AH123" s="5">
        <v>2.14</v>
      </c>
      <c r="AI123" s="5">
        <v>4.9569707024000005</v>
      </c>
      <c r="AJ123" s="5" t="s">
        <v>291</v>
      </c>
      <c r="AK123" s="5">
        <v>1.5</v>
      </c>
      <c r="AL123" s="5" t="s">
        <v>291</v>
      </c>
      <c r="AM123" s="5">
        <f t="shared" ref="AM123:AM154" si="81">100*(AI123*AK123)/E123</f>
        <v>52.288720489451478</v>
      </c>
      <c r="AN123" s="5">
        <v>76</v>
      </c>
      <c r="AO123" s="11" t="s">
        <v>138</v>
      </c>
    </row>
    <row r="124" spans="1:41" x14ac:dyDescent="0.3">
      <c r="A124" s="11">
        <v>123</v>
      </c>
      <c r="B124" s="3" t="s">
        <v>288</v>
      </c>
      <c r="C124" s="3" t="s">
        <v>290</v>
      </c>
      <c r="D124" s="5" t="s">
        <v>291</v>
      </c>
      <c r="E124" s="5">
        <v>14.22</v>
      </c>
      <c r="F124" s="5">
        <f t="shared" ref="F124:F131" si="82">(100/(100-K124))*37.6</f>
        <v>47</v>
      </c>
      <c r="G124" s="5">
        <f t="shared" ref="G124:G131" si="83">(100/(100-K124))*5.42</f>
        <v>6.7750000000000004</v>
      </c>
      <c r="H124" s="5">
        <f t="shared" ref="H124:H131" si="84">(100/(100-K124))*0.38</f>
        <v>0.47499999999999998</v>
      </c>
      <c r="I124" s="5">
        <f t="shared" ref="I124:I131" si="85">(100/(100-K124))*0.03</f>
        <v>3.7499999999999999E-2</v>
      </c>
      <c r="J124" s="5">
        <f t="shared" ref="J124:J131" si="86">(100/(100-K124))*36.56</f>
        <v>45.7</v>
      </c>
      <c r="K124" s="5">
        <v>20</v>
      </c>
      <c r="L124" s="5">
        <v>9.08</v>
      </c>
      <c r="M124" s="5">
        <v>66.400000000000006</v>
      </c>
      <c r="N124" s="5">
        <v>13.6</v>
      </c>
      <c r="O124" s="5" t="s">
        <v>291</v>
      </c>
      <c r="P124" s="5" t="s">
        <v>291</v>
      </c>
      <c r="Q124" s="5" t="s">
        <v>291</v>
      </c>
      <c r="R124" s="5">
        <v>744</v>
      </c>
      <c r="S124" s="5" t="s">
        <v>39</v>
      </c>
      <c r="T124" s="5" t="s">
        <v>291</v>
      </c>
      <c r="U124" s="5" t="s">
        <v>291</v>
      </c>
      <c r="V124" s="5" t="s">
        <v>291</v>
      </c>
      <c r="W124" s="5">
        <v>0.3</v>
      </c>
      <c r="X124" s="5" t="s">
        <v>33</v>
      </c>
      <c r="Y124" s="5" t="s">
        <v>79</v>
      </c>
      <c r="Z124" s="5" t="s">
        <v>154</v>
      </c>
      <c r="AA124" s="5">
        <v>0</v>
      </c>
      <c r="AB124" s="5" t="s">
        <v>293</v>
      </c>
      <c r="AC124" s="5">
        <v>61.3</v>
      </c>
      <c r="AD124" s="5">
        <v>3.78</v>
      </c>
      <c r="AE124" s="5">
        <v>14.95</v>
      </c>
      <c r="AF124" s="5">
        <v>16.23</v>
      </c>
      <c r="AG124" s="5">
        <v>2.37</v>
      </c>
      <c r="AH124" s="5">
        <v>1.29</v>
      </c>
      <c r="AI124" s="5">
        <v>3.7609873137680001</v>
      </c>
      <c r="AJ124" s="5" t="s">
        <v>291</v>
      </c>
      <c r="AK124" s="5">
        <v>1.73</v>
      </c>
      <c r="AL124" s="5" t="s">
        <v>291</v>
      </c>
      <c r="AM124" s="5">
        <f t="shared" si="81"/>
        <v>45.756034126713359</v>
      </c>
      <c r="AN124" s="5">
        <v>78.3</v>
      </c>
      <c r="AO124" s="11" t="s">
        <v>138</v>
      </c>
    </row>
    <row r="125" spans="1:41" x14ac:dyDescent="0.3">
      <c r="A125" s="11">
        <v>124</v>
      </c>
      <c r="B125" s="3" t="s">
        <v>288</v>
      </c>
      <c r="C125" s="3" t="s">
        <v>290</v>
      </c>
      <c r="D125" s="5" t="s">
        <v>291</v>
      </c>
      <c r="E125" s="5">
        <v>14.22</v>
      </c>
      <c r="F125" s="5">
        <f t="shared" si="82"/>
        <v>47</v>
      </c>
      <c r="G125" s="5">
        <f t="shared" si="83"/>
        <v>6.7750000000000004</v>
      </c>
      <c r="H125" s="5">
        <f t="shared" si="84"/>
        <v>0.47499999999999998</v>
      </c>
      <c r="I125" s="5">
        <f t="shared" si="85"/>
        <v>3.7499999999999999E-2</v>
      </c>
      <c r="J125" s="5">
        <f t="shared" si="86"/>
        <v>45.7</v>
      </c>
      <c r="K125" s="5">
        <v>20</v>
      </c>
      <c r="L125" s="5">
        <v>9.08</v>
      </c>
      <c r="M125" s="5">
        <v>66.400000000000006</v>
      </c>
      <c r="N125" s="5">
        <v>13.6</v>
      </c>
      <c r="O125" s="5" t="s">
        <v>291</v>
      </c>
      <c r="P125" s="5" t="s">
        <v>291</v>
      </c>
      <c r="Q125" s="5" t="s">
        <v>291</v>
      </c>
      <c r="R125" s="5">
        <v>811</v>
      </c>
      <c r="S125" s="5" t="s">
        <v>39</v>
      </c>
      <c r="T125" s="5" t="s">
        <v>291</v>
      </c>
      <c r="U125" s="5" t="s">
        <v>291</v>
      </c>
      <c r="V125" s="5" t="s">
        <v>291</v>
      </c>
      <c r="W125" s="5">
        <v>0.35</v>
      </c>
      <c r="X125" s="5" t="s">
        <v>33</v>
      </c>
      <c r="Y125" s="5" t="s">
        <v>79</v>
      </c>
      <c r="Z125" s="5" t="s">
        <v>154</v>
      </c>
      <c r="AA125" s="5">
        <v>0</v>
      </c>
      <c r="AB125" s="5" t="s">
        <v>293</v>
      </c>
      <c r="AC125" s="5">
        <v>63.59</v>
      </c>
      <c r="AD125" s="5">
        <v>3.39</v>
      </c>
      <c r="AE125" s="5">
        <v>12.75</v>
      </c>
      <c r="AF125" s="5">
        <v>17.14</v>
      </c>
      <c r="AG125" s="5">
        <v>1.98</v>
      </c>
      <c r="AH125" s="5">
        <v>1.1300000000000001</v>
      </c>
      <c r="AI125" s="5">
        <v>3.2181076702839997</v>
      </c>
      <c r="AJ125" s="5" t="s">
        <v>291</v>
      </c>
      <c r="AK125" s="5">
        <v>1.98</v>
      </c>
      <c r="AL125" s="5" t="s">
        <v>291</v>
      </c>
      <c r="AM125" s="5">
        <f t="shared" si="81"/>
        <v>44.809094143194926</v>
      </c>
      <c r="AN125" s="5">
        <v>81</v>
      </c>
      <c r="AO125" s="11" t="s">
        <v>138</v>
      </c>
    </row>
    <row r="126" spans="1:41" x14ac:dyDescent="0.3">
      <c r="A126" s="11">
        <v>125</v>
      </c>
      <c r="B126" s="3" t="s">
        <v>288</v>
      </c>
      <c r="C126" s="3" t="s">
        <v>290</v>
      </c>
      <c r="D126" s="5" t="s">
        <v>291</v>
      </c>
      <c r="E126" s="5">
        <v>14.22</v>
      </c>
      <c r="F126" s="5">
        <f t="shared" si="82"/>
        <v>47</v>
      </c>
      <c r="G126" s="5">
        <f t="shared" si="83"/>
        <v>6.7750000000000004</v>
      </c>
      <c r="H126" s="5">
        <f t="shared" si="84"/>
        <v>0.47499999999999998</v>
      </c>
      <c r="I126" s="5">
        <f t="shared" si="85"/>
        <v>3.7499999999999999E-2</v>
      </c>
      <c r="J126" s="5">
        <f t="shared" si="86"/>
        <v>45.7</v>
      </c>
      <c r="K126" s="5">
        <v>20</v>
      </c>
      <c r="L126" s="5">
        <v>9.08</v>
      </c>
      <c r="M126" s="5">
        <v>66.400000000000006</v>
      </c>
      <c r="N126" s="5">
        <v>13.6</v>
      </c>
      <c r="O126" s="5" t="s">
        <v>291</v>
      </c>
      <c r="P126" s="5" t="s">
        <v>291</v>
      </c>
      <c r="Q126" s="5" t="s">
        <v>291</v>
      </c>
      <c r="R126" s="5">
        <v>670</v>
      </c>
      <c r="S126" s="5" t="s">
        <v>39</v>
      </c>
      <c r="T126" s="5" t="s">
        <v>291</v>
      </c>
      <c r="U126" s="5" t="s">
        <v>291</v>
      </c>
      <c r="V126" s="5" t="s">
        <v>291</v>
      </c>
      <c r="W126" s="5">
        <v>0.25</v>
      </c>
      <c r="X126" s="5" t="s">
        <v>33</v>
      </c>
      <c r="Y126" s="5" t="s">
        <v>79</v>
      </c>
      <c r="Z126" s="5" t="s">
        <v>154</v>
      </c>
      <c r="AA126" s="5">
        <v>0</v>
      </c>
      <c r="AB126" s="5" t="s">
        <v>293</v>
      </c>
      <c r="AC126" s="5">
        <v>59.46</v>
      </c>
      <c r="AD126" s="5">
        <v>3.77</v>
      </c>
      <c r="AE126" s="5">
        <v>18.29</v>
      </c>
      <c r="AF126" s="5">
        <v>14.5</v>
      </c>
      <c r="AG126" s="5">
        <v>2.36</v>
      </c>
      <c r="AH126" s="5">
        <v>1.6199999999999999</v>
      </c>
      <c r="AI126" s="5">
        <v>4.3111698870120003</v>
      </c>
      <c r="AJ126" s="5" t="s">
        <v>291</v>
      </c>
      <c r="AK126" s="5">
        <v>1.49</v>
      </c>
      <c r="AL126" s="5" t="s">
        <v>291</v>
      </c>
      <c r="AM126" s="5">
        <f t="shared" si="81"/>
        <v>45.173299097383129</v>
      </c>
      <c r="AN126" s="5">
        <v>70.400000000000006</v>
      </c>
      <c r="AO126" s="11" t="s">
        <v>138</v>
      </c>
    </row>
    <row r="127" spans="1:41" x14ac:dyDescent="0.3">
      <c r="A127" s="11">
        <v>126</v>
      </c>
      <c r="B127" s="3" t="s">
        <v>288</v>
      </c>
      <c r="C127" s="3" t="s">
        <v>290</v>
      </c>
      <c r="D127" s="5" t="s">
        <v>291</v>
      </c>
      <c r="E127" s="5">
        <v>14.22</v>
      </c>
      <c r="F127" s="5">
        <f t="shared" si="82"/>
        <v>47</v>
      </c>
      <c r="G127" s="5">
        <f t="shared" si="83"/>
        <v>6.7750000000000004</v>
      </c>
      <c r="H127" s="5">
        <f t="shared" si="84"/>
        <v>0.47499999999999998</v>
      </c>
      <c r="I127" s="5">
        <f t="shared" si="85"/>
        <v>3.7499999999999999E-2</v>
      </c>
      <c r="J127" s="5">
        <f t="shared" si="86"/>
        <v>45.7</v>
      </c>
      <c r="K127" s="5">
        <v>20</v>
      </c>
      <c r="L127" s="5">
        <v>9.08</v>
      </c>
      <c r="M127" s="5">
        <v>66.400000000000006</v>
      </c>
      <c r="N127" s="5">
        <v>13.6</v>
      </c>
      <c r="O127" s="5" t="s">
        <v>291</v>
      </c>
      <c r="P127" s="5" t="s">
        <v>291</v>
      </c>
      <c r="Q127" s="5" t="s">
        <v>291</v>
      </c>
      <c r="R127" s="5">
        <v>750</v>
      </c>
      <c r="S127" s="5" t="s">
        <v>39</v>
      </c>
      <c r="T127" s="5" t="s">
        <v>291</v>
      </c>
      <c r="U127" s="5" t="s">
        <v>291</v>
      </c>
      <c r="V127" s="5" t="s">
        <v>291</v>
      </c>
      <c r="W127" s="5">
        <v>0.3</v>
      </c>
      <c r="X127" s="5" t="s">
        <v>33</v>
      </c>
      <c r="Y127" s="5" t="s">
        <v>79</v>
      </c>
      <c r="Z127" s="5" t="s">
        <v>154</v>
      </c>
      <c r="AA127" s="5">
        <v>0</v>
      </c>
      <c r="AB127" s="5" t="s">
        <v>293</v>
      </c>
      <c r="AC127" s="5">
        <v>62.42</v>
      </c>
      <c r="AD127" s="5">
        <v>3.4</v>
      </c>
      <c r="AE127" s="5">
        <v>14.43</v>
      </c>
      <c r="AF127" s="5">
        <v>16.46</v>
      </c>
      <c r="AG127" s="5">
        <v>2</v>
      </c>
      <c r="AH127" s="5">
        <v>1.21</v>
      </c>
      <c r="AI127" s="5">
        <v>3.47792509704</v>
      </c>
      <c r="AJ127" s="5" t="s">
        <v>291</v>
      </c>
      <c r="AK127" s="5">
        <v>1.71</v>
      </c>
      <c r="AL127" s="5" t="s">
        <v>291</v>
      </c>
      <c r="AM127" s="5">
        <f t="shared" si="81"/>
        <v>41.823149901113915</v>
      </c>
      <c r="AN127" s="5">
        <v>72.599999999999994</v>
      </c>
      <c r="AO127" s="11" t="s">
        <v>138</v>
      </c>
    </row>
    <row r="128" spans="1:41" x14ac:dyDescent="0.3">
      <c r="A128" s="11">
        <v>127</v>
      </c>
      <c r="B128" s="3" t="s">
        <v>288</v>
      </c>
      <c r="C128" s="3" t="s">
        <v>290</v>
      </c>
      <c r="D128" s="5" t="s">
        <v>291</v>
      </c>
      <c r="E128" s="5">
        <v>14.22</v>
      </c>
      <c r="F128" s="5">
        <f t="shared" si="82"/>
        <v>47</v>
      </c>
      <c r="G128" s="5">
        <f t="shared" si="83"/>
        <v>6.7750000000000004</v>
      </c>
      <c r="H128" s="5">
        <f t="shared" si="84"/>
        <v>0.47499999999999998</v>
      </c>
      <c r="I128" s="5">
        <f t="shared" si="85"/>
        <v>3.7499999999999999E-2</v>
      </c>
      <c r="J128" s="5">
        <f t="shared" si="86"/>
        <v>45.7</v>
      </c>
      <c r="K128" s="5">
        <v>20</v>
      </c>
      <c r="L128" s="5">
        <v>9.08</v>
      </c>
      <c r="M128" s="5">
        <v>66.400000000000006</v>
      </c>
      <c r="N128" s="5">
        <v>13.6</v>
      </c>
      <c r="O128" s="5" t="s">
        <v>291</v>
      </c>
      <c r="P128" s="5" t="s">
        <v>291</v>
      </c>
      <c r="Q128" s="5" t="s">
        <v>291</v>
      </c>
      <c r="R128" s="5">
        <v>822</v>
      </c>
      <c r="S128" s="5" t="s">
        <v>39</v>
      </c>
      <c r="T128" s="5" t="s">
        <v>291</v>
      </c>
      <c r="U128" s="5" t="s">
        <v>291</v>
      </c>
      <c r="V128" s="5" t="s">
        <v>291</v>
      </c>
      <c r="W128" s="5">
        <v>0.35</v>
      </c>
      <c r="X128" s="5" t="s">
        <v>33</v>
      </c>
      <c r="Y128" s="5" t="s">
        <v>79</v>
      </c>
      <c r="Z128" s="5" t="s">
        <v>154</v>
      </c>
      <c r="AA128" s="5">
        <v>0</v>
      </c>
      <c r="AB128" s="5" t="s">
        <v>293</v>
      </c>
      <c r="AC128" s="5">
        <v>64.11</v>
      </c>
      <c r="AD128" s="5">
        <v>3.26</v>
      </c>
      <c r="AE128" s="5">
        <v>12.5</v>
      </c>
      <c r="AF128" s="5">
        <v>17.23</v>
      </c>
      <c r="AG128" s="5">
        <v>1.85</v>
      </c>
      <c r="AH128" s="5">
        <v>1.05</v>
      </c>
      <c r="AI128" s="5">
        <v>3.090481122456</v>
      </c>
      <c r="AJ128" s="5" t="s">
        <v>291</v>
      </c>
      <c r="AK128" s="5">
        <v>1.97</v>
      </c>
      <c r="AL128" s="5" t="s">
        <v>291</v>
      </c>
      <c r="AM128" s="5">
        <f t="shared" si="81"/>
        <v>42.814682216865826</v>
      </c>
      <c r="AN128" s="5">
        <v>78.599999999999994</v>
      </c>
      <c r="AO128" s="11" t="s">
        <v>138</v>
      </c>
    </row>
    <row r="129" spans="1:41" x14ac:dyDescent="0.3">
      <c r="A129" s="11">
        <v>128</v>
      </c>
      <c r="B129" s="3" t="s">
        <v>288</v>
      </c>
      <c r="C129" s="3" t="s">
        <v>290</v>
      </c>
      <c r="D129" s="5" t="s">
        <v>291</v>
      </c>
      <c r="E129" s="5">
        <v>14.22</v>
      </c>
      <c r="F129" s="5">
        <f t="shared" si="82"/>
        <v>47</v>
      </c>
      <c r="G129" s="5">
        <f t="shared" si="83"/>
        <v>6.7750000000000004</v>
      </c>
      <c r="H129" s="5">
        <f t="shared" si="84"/>
        <v>0.47499999999999998</v>
      </c>
      <c r="I129" s="5">
        <f t="shared" si="85"/>
        <v>3.7499999999999999E-2</v>
      </c>
      <c r="J129" s="5">
        <f t="shared" si="86"/>
        <v>45.7</v>
      </c>
      <c r="K129" s="5">
        <v>20</v>
      </c>
      <c r="L129" s="5">
        <v>9.08</v>
      </c>
      <c r="M129" s="5">
        <v>66.400000000000006</v>
      </c>
      <c r="N129" s="5">
        <v>13.6</v>
      </c>
      <c r="O129" s="5" t="s">
        <v>291</v>
      </c>
      <c r="P129" s="5" t="s">
        <v>291</v>
      </c>
      <c r="Q129" s="5" t="s">
        <v>291</v>
      </c>
      <c r="R129" s="5">
        <v>700</v>
      </c>
      <c r="S129" s="5" t="s">
        <v>39</v>
      </c>
      <c r="T129" s="5" t="s">
        <v>291</v>
      </c>
      <c r="U129" s="5" t="s">
        <v>291</v>
      </c>
      <c r="V129" s="5" t="s">
        <v>291</v>
      </c>
      <c r="W129" s="5">
        <v>0.25</v>
      </c>
      <c r="X129" s="5" t="s">
        <v>33</v>
      </c>
      <c r="Y129" s="5" t="s">
        <v>79</v>
      </c>
      <c r="Z129" s="5" t="s">
        <v>154</v>
      </c>
      <c r="AA129" s="5">
        <v>0</v>
      </c>
      <c r="AB129" s="5" t="s">
        <v>293</v>
      </c>
      <c r="AC129" s="5">
        <v>63.13</v>
      </c>
      <c r="AD129" s="5">
        <v>3.41</v>
      </c>
      <c r="AE129" s="5">
        <v>15.13</v>
      </c>
      <c r="AF129" s="5">
        <v>14.82</v>
      </c>
      <c r="AG129" s="5">
        <v>2</v>
      </c>
      <c r="AH129" s="5">
        <v>1.51</v>
      </c>
      <c r="AI129" s="5">
        <v>3.687742523796</v>
      </c>
      <c r="AJ129" s="5" t="s">
        <v>291</v>
      </c>
      <c r="AK129" s="5">
        <v>1.3</v>
      </c>
      <c r="AL129" s="5" t="s">
        <v>291</v>
      </c>
      <c r="AM129" s="5">
        <f t="shared" si="81"/>
        <v>33.71353924708017</v>
      </c>
      <c r="AN129" s="5">
        <v>55</v>
      </c>
      <c r="AO129" s="11" t="s">
        <v>138</v>
      </c>
    </row>
    <row r="130" spans="1:41" x14ac:dyDescent="0.3">
      <c r="A130" s="11">
        <v>129</v>
      </c>
      <c r="B130" s="3" t="s">
        <v>288</v>
      </c>
      <c r="C130" s="3" t="s">
        <v>290</v>
      </c>
      <c r="D130" s="5" t="s">
        <v>291</v>
      </c>
      <c r="E130" s="5">
        <v>14.22</v>
      </c>
      <c r="F130" s="5">
        <f t="shared" si="82"/>
        <v>47</v>
      </c>
      <c r="G130" s="5">
        <f t="shared" si="83"/>
        <v>6.7750000000000004</v>
      </c>
      <c r="H130" s="5">
        <f t="shared" si="84"/>
        <v>0.47499999999999998</v>
      </c>
      <c r="I130" s="5">
        <f t="shared" si="85"/>
        <v>3.7499999999999999E-2</v>
      </c>
      <c r="J130" s="5">
        <f t="shared" si="86"/>
        <v>45.7</v>
      </c>
      <c r="K130" s="5">
        <v>20</v>
      </c>
      <c r="L130" s="5">
        <v>9.08</v>
      </c>
      <c r="M130" s="5">
        <v>66.400000000000006</v>
      </c>
      <c r="N130" s="5">
        <v>13.6</v>
      </c>
      <c r="O130" s="5" t="s">
        <v>291</v>
      </c>
      <c r="P130" s="5" t="s">
        <v>291</v>
      </c>
      <c r="Q130" s="5" t="s">
        <v>291</v>
      </c>
      <c r="R130" s="5">
        <v>766</v>
      </c>
      <c r="S130" s="5" t="s">
        <v>39</v>
      </c>
      <c r="T130" s="5" t="s">
        <v>291</v>
      </c>
      <c r="U130" s="5" t="s">
        <v>291</v>
      </c>
      <c r="V130" s="5" t="s">
        <v>291</v>
      </c>
      <c r="W130" s="5">
        <v>0.3</v>
      </c>
      <c r="X130" s="5" t="s">
        <v>33</v>
      </c>
      <c r="Y130" s="5" t="s">
        <v>79</v>
      </c>
      <c r="Z130" s="5" t="s">
        <v>154</v>
      </c>
      <c r="AA130" s="5">
        <v>0</v>
      </c>
      <c r="AB130" s="5" t="s">
        <v>293</v>
      </c>
      <c r="AC130" s="5">
        <v>63.98</v>
      </c>
      <c r="AD130" s="5">
        <v>3.32</v>
      </c>
      <c r="AE130" s="5">
        <v>13</v>
      </c>
      <c r="AF130" s="5">
        <v>16.62</v>
      </c>
      <c r="AG130" s="5">
        <v>1.91</v>
      </c>
      <c r="AH130" s="5">
        <v>1.0900000000000001</v>
      </c>
      <c r="AI130" s="5">
        <v>3.1993856829919998</v>
      </c>
      <c r="AJ130" s="5" t="s">
        <v>291</v>
      </c>
      <c r="AK130" s="5">
        <v>1.5</v>
      </c>
      <c r="AL130" s="5" t="s">
        <v>291</v>
      </c>
      <c r="AM130" s="5">
        <f t="shared" si="81"/>
        <v>33.748794124388176</v>
      </c>
      <c r="AN130" s="5">
        <v>60</v>
      </c>
      <c r="AO130" s="11" t="s">
        <v>138</v>
      </c>
    </row>
    <row r="131" spans="1:41" x14ac:dyDescent="0.3">
      <c r="A131" s="11">
        <v>130</v>
      </c>
      <c r="B131" s="3" t="s">
        <v>288</v>
      </c>
      <c r="C131" s="3" t="s">
        <v>290</v>
      </c>
      <c r="D131" s="5" t="s">
        <v>291</v>
      </c>
      <c r="E131" s="5">
        <v>14.22</v>
      </c>
      <c r="F131" s="5">
        <f t="shared" si="82"/>
        <v>47</v>
      </c>
      <c r="G131" s="5">
        <f t="shared" si="83"/>
        <v>6.7750000000000004</v>
      </c>
      <c r="H131" s="5">
        <f t="shared" si="84"/>
        <v>0.47499999999999998</v>
      </c>
      <c r="I131" s="5">
        <f t="shared" si="85"/>
        <v>3.7499999999999999E-2</v>
      </c>
      <c r="J131" s="5">
        <f t="shared" si="86"/>
        <v>45.7</v>
      </c>
      <c r="K131" s="5">
        <v>20</v>
      </c>
      <c r="L131" s="5">
        <v>9.08</v>
      </c>
      <c r="M131" s="5">
        <v>66.400000000000006</v>
      </c>
      <c r="N131" s="5">
        <v>13.6</v>
      </c>
      <c r="O131" s="5" t="s">
        <v>291</v>
      </c>
      <c r="P131" s="5" t="s">
        <v>291</v>
      </c>
      <c r="Q131" s="5" t="s">
        <v>291</v>
      </c>
      <c r="R131" s="5">
        <v>828</v>
      </c>
      <c r="S131" s="5" t="s">
        <v>39</v>
      </c>
      <c r="T131" s="5" t="s">
        <v>291</v>
      </c>
      <c r="U131" s="5" t="s">
        <v>291</v>
      </c>
      <c r="V131" s="5" t="s">
        <v>291</v>
      </c>
      <c r="W131" s="5">
        <v>0.35</v>
      </c>
      <c r="X131" s="5" t="s">
        <v>33</v>
      </c>
      <c r="Y131" s="5" t="s">
        <v>79</v>
      </c>
      <c r="Z131" s="5" t="s">
        <v>154</v>
      </c>
      <c r="AA131" s="5">
        <v>0</v>
      </c>
      <c r="AB131" s="5" t="s">
        <v>293</v>
      </c>
      <c r="AC131" s="5">
        <v>64.209999999999994</v>
      </c>
      <c r="AD131" s="17">
        <v>3.25</v>
      </c>
      <c r="AE131" s="5">
        <v>12.29</v>
      </c>
      <c r="AF131" s="5">
        <v>17.420000000000002</v>
      </c>
      <c r="AG131" s="5">
        <v>1.84</v>
      </c>
      <c r="AH131" s="5">
        <v>0.98</v>
      </c>
      <c r="AI131" s="5">
        <v>3.0306636956999999</v>
      </c>
      <c r="AJ131" s="5" t="s">
        <v>291</v>
      </c>
      <c r="AK131" s="5">
        <v>1.7</v>
      </c>
      <c r="AL131" s="5" t="s">
        <v>291</v>
      </c>
      <c r="AM131" s="5">
        <f t="shared" si="81"/>
        <v>36.231563169409277</v>
      </c>
      <c r="AN131" s="5">
        <v>67</v>
      </c>
      <c r="AO131" s="11" t="s">
        <v>138</v>
      </c>
    </row>
    <row r="132" spans="1:41" x14ac:dyDescent="0.3">
      <c r="A132" s="11">
        <v>131</v>
      </c>
      <c r="B132" s="5" t="s">
        <v>288</v>
      </c>
      <c r="C132" s="3" t="s">
        <v>290</v>
      </c>
      <c r="D132" s="5" t="s">
        <v>291</v>
      </c>
      <c r="E132" s="5">
        <f>15.68-(9*((G132/100*((100+L132)/100)))*Calculations!$B$16)</f>
        <v>14.833093268416311</v>
      </c>
      <c r="F132" s="5">
        <f>(100/(100-K132))*38.43</f>
        <v>49.065950659293918</v>
      </c>
      <c r="G132" s="5">
        <f>(100/(100-K132))*2.97</f>
        <v>3.7919821352615912</v>
      </c>
      <c r="H132" s="5">
        <f>(100/(100-K132))*0.49</f>
        <v>0.62561321423507732</v>
      </c>
      <c r="I132" s="5">
        <f>(100/(100-K132))*0.07</f>
        <v>8.9373316319296764E-2</v>
      </c>
      <c r="J132" s="5">
        <f>(100/(100-K132))*36.36</f>
        <v>46.423054019566145</v>
      </c>
      <c r="K132" s="5">
        <f>19.52*(100/(100-L132))</f>
        <v>21.67684619655747</v>
      </c>
      <c r="L132" s="5">
        <v>9.9499999999999993</v>
      </c>
      <c r="M132" s="5">
        <f>55.54*(100/(100-L132))</f>
        <v>61.676846196557477</v>
      </c>
      <c r="N132" s="5">
        <f>14.99*(100/(100-L132))</f>
        <v>16.646307606885067</v>
      </c>
      <c r="O132" s="5" t="s">
        <v>291</v>
      </c>
      <c r="P132" s="5" t="s">
        <v>291</v>
      </c>
      <c r="Q132" s="5" t="s">
        <v>291</v>
      </c>
      <c r="R132" s="5">
        <v>750</v>
      </c>
      <c r="S132" s="5" t="s">
        <v>39</v>
      </c>
      <c r="T132" s="5" t="s">
        <v>144</v>
      </c>
      <c r="U132" s="5" t="s">
        <v>291</v>
      </c>
      <c r="V132" s="5">
        <v>0.5</v>
      </c>
      <c r="W132" s="5">
        <v>0.35</v>
      </c>
      <c r="X132" s="5" t="s">
        <v>81</v>
      </c>
      <c r="Y132" s="5" t="s">
        <v>79</v>
      </c>
      <c r="Z132" s="5" t="s">
        <v>295</v>
      </c>
      <c r="AA132" s="5">
        <v>0</v>
      </c>
      <c r="AB132" s="5" t="s">
        <v>294</v>
      </c>
      <c r="AC132" s="5">
        <v>55.1</v>
      </c>
      <c r="AD132" s="5">
        <v>9.1999999999999993</v>
      </c>
      <c r="AE132" s="5">
        <v>12.8</v>
      </c>
      <c r="AF132" s="5">
        <v>20.8</v>
      </c>
      <c r="AG132" s="5">
        <v>2.1</v>
      </c>
      <c r="AH132" s="5" t="s">
        <v>291</v>
      </c>
      <c r="AI132" s="5">
        <v>3.38</v>
      </c>
      <c r="AJ132" s="5" t="s">
        <v>291</v>
      </c>
      <c r="AK132" s="5">
        <v>1.3127645530260963</v>
      </c>
      <c r="AL132" s="5" t="s">
        <v>291</v>
      </c>
      <c r="AM132" s="5">
        <f t="shared" si="81"/>
        <v>29.9138157425066</v>
      </c>
      <c r="AN132" s="5">
        <v>71.900000000000006</v>
      </c>
      <c r="AO132" s="11" t="s">
        <v>142</v>
      </c>
    </row>
    <row r="133" spans="1:41" x14ac:dyDescent="0.3">
      <c r="A133" s="11">
        <v>132</v>
      </c>
      <c r="B133" s="5" t="s">
        <v>288</v>
      </c>
      <c r="C133" s="3" t="s">
        <v>290</v>
      </c>
      <c r="D133" s="5" t="s">
        <v>291</v>
      </c>
      <c r="E133" s="5">
        <f>15.68-(9*((G133/100*((100+L133)/100)))*Calculations!$B$16)</f>
        <v>14.833093268416311</v>
      </c>
      <c r="F133" s="5">
        <f t="shared" ref="F133:F139" si="87">(100/(100-K133))*38.43</f>
        <v>49.065950659293918</v>
      </c>
      <c r="G133" s="5">
        <f t="shared" ref="G133:G139" si="88">(100/(100-K133))*2.97</f>
        <v>3.7919821352615912</v>
      </c>
      <c r="H133" s="5">
        <f t="shared" ref="H133:H139" si="89">(100/(100-K133))*0.49</f>
        <v>0.62561321423507732</v>
      </c>
      <c r="I133" s="5">
        <f t="shared" ref="I133:I139" si="90">(100/(100-K133))*0.07</f>
        <v>8.9373316319296764E-2</v>
      </c>
      <c r="J133" s="5">
        <f t="shared" ref="J133:J139" si="91">(100/(100-K133))*36.36</f>
        <v>46.423054019566145</v>
      </c>
      <c r="K133" s="5">
        <f>19.52*(100/(100-L133))</f>
        <v>21.67684619655747</v>
      </c>
      <c r="L133" s="5">
        <v>9.9499999999999993</v>
      </c>
      <c r="M133" s="5">
        <f>55.54*(100/(100-L133))</f>
        <v>61.676846196557477</v>
      </c>
      <c r="N133" s="5">
        <f>14.99*(100/(100-L133))</f>
        <v>16.646307606885067</v>
      </c>
      <c r="O133" s="5" t="s">
        <v>291</v>
      </c>
      <c r="P133" s="5" t="s">
        <v>291</v>
      </c>
      <c r="Q133" s="5" t="s">
        <v>291</v>
      </c>
      <c r="R133" s="5">
        <v>800</v>
      </c>
      <c r="S133" s="5" t="s">
        <v>39</v>
      </c>
      <c r="T133" s="5" t="s">
        <v>144</v>
      </c>
      <c r="U133" s="5" t="s">
        <v>291</v>
      </c>
      <c r="V133" s="5">
        <v>0.5</v>
      </c>
      <c r="W133" s="5">
        <v>0.3</v>
      </c>
      <c r="X133" s="5" t="s">
        <v>81</v>
      </c>
      <c r="Y133" s="5" t="s">
        <v>79</v>
      </c>
      <c r="Z133" s="5" t="s">
        <v>295</v>
      </c>
      <c r="AA133" s="5">
        <v>0</v>
      </c>
      <c r="AB133" s="5" t="s">
        <v>294</v>
      </c>
      <c r="AC133" s="5">
        <v>52.5</v>
      </c>
      <c r="AD133" s="5">
        <v>11.6</v>
      </c>
      <c r="AE133" s="5">
        <v>14.7</v>
      </c>
      <c r="AF133" s="5">
        <v>18.399999999999999</v>
      </c>
      <c r="AG133" s="5">
        <v>2.8</v>
      </c>
      <c r="AH133" s="5" t="s">
        <v>291</v>
      </c>
      <c r="AI133" s="5">
        <v>4.13</v>
      </c>
      <c r="AJ133" s="5" t="s">
        <v>291</v>
      </c>
      <c r="AK133" s="5">
        <v>1.3401138145474734</v>
      </c>
      <c r="AL133" s="5" t="s">
        <v>291</v>
      </c>
      <c r="AM133" s="5">
        <f t="shared" si="81"/>
        <v>37.312986266093816</v>
      </c>
      <c r="AN133" s="5">
        <v>73.3</v>
      </c>
      <c r="AO133" s="11" t="s">
        <v>142</v>
      </c>
    </row>
    <row r="134" spans="1:41" x14ac:dyDescent="0.3">
      <c r="A134" s="11">
        <v>133</v>
      </c>
      <c r="B134" s="5" t="s">
        <v>288</v>
      </c>
      <c r="C134" s="3" t="s">
        <v>290</v>
      </c>
      <c r="D134" s="5" t="s">
        <v>291</v>
      </c>
      <c r="E134" s="5">
        <f>15.68-(9*((G134/100*((100+L134)/100)))*Calculations!$B$16)</f>
        <v>14.833093268416311</v>
      </c>
      <c r="F134" s="5">
        <f t="shared" si="87"/>
        <v>49.065950659293918</v>
      </c>
      <c r="G134" s="5">
        <f t="shared" si="88"/>
        <v>3.7919821352615912</v>
      </c>
      <c r="H134" s="5">
        <f t="shared" si="89"/>
        <v>0.62561321423507732</v>
      </c>
      <c r="I134" s="5">
        <f t="shared" si="90"/>
        <v>8.9373316319296764E-2</v>
      </c>
      <c r="J134" s="5">
        <f t="shared" si="91"/>
        <v>46.423054019566145</v>
      </c>
      <c r="K134" s="5">
        <f t="shared" ref="K134:K139" si="92">19.52*(100/(100-L134))</f>
        <v>21.67684619655747</v>
      </c>
      <c r="L134" s="5">
        <v>9.9499999999999993</v>
      </c>
      <c r="M134" s="5">
        <f t="shared" ref="M134:M139" si="93">55.54*(100/(100-L134))</f>
        <v>61.676846196557477</v>
      </c>
      <c r="N134" s="5">
        <f t="shared" ref="N134:N139" si="94">14.99*(100/(100-L134))</f>
        <v>16.646307606885067</v>
      </c>
      <c r="O134" s="5" t="s">
        <v>291</v>
      </c>
      <c r="P134" s="5" t="s">
        <v>291</v>
      </c>
      <c r="Q134" s="5" t="s">
        <v>291</v>
      </c>
      <c r="R134" s="5">
        <v>800</v>
      </c>
      <c r="S134" s="5" t="s">
        <v>39</v>
      </c>
      <c r="T134" s="5" t="s">
        <v>144</v>
      </c>
      <c r="U134" s="5" t="s">
        <v>291</v>
      </c>
      <c r="V134" s="5">
        <v>0.2</v>
      </c>
      <c r="W134" s="5">
        <v>0.35</v>
      </c>
      <c r="X134" s="5" t="s">
        <v>81</v>
      </c>
      <c r="Y134" s="5" t="s">
        <v>79</v>
      </c>
      <c r="Z134" s="5" t="s">
        <v>295</v>
      </c>
      <c r="AA134" s="5">
        <v>0</v>
      </c>
      <c r="AB134" s="5" t="s">
        <v>294</v>
      </c>
      <c r="AC134" s="5">
        <v>57.3</v>
      </c>
      <c r="AD134" s="5">
        <v>7.6</v>
      </c>
      <c r="AE134" s="5">
        <v>13.7</v>
      </c>
      <c r="AF134" s="5">
        <v>18.600000000000001</v>
      </c>
      <c r="AG134" s="5">
        <v>2.8</v>
      </c>
      <c r="AH134" s="5" t="s">
        <v>291</v>
      </c>
      <c r="AI134" s="5">
        <v>3.57</v>
      </c>
      <c r="AJ134" s="5" t="s">
        <v>291</v>
      </c>
      <c r="AK134" s="5">
        <v>1.4153242837312601</v>
      </c>
      <c r="AL134" s="5" t="s">
        <v>291</v>
      </c>
      <c r="AM134" s="5">
        <f t="shared" si="81"/>
        <v>34.063749222686994</v>
      </c>
      <c r="AN134" s="5">
        <v>77.099999999999994</v>
      </c>
      <c r="AO134" s="11" t="s">
        <v>142</v>
      </c>
    </row>
    <row r="135" spans="1:41" x14ac:dyDescent="0.3">
      <c r="A135" s="11">
        <v>134</v>
      </c>
      <c r="B135" s="5" t="s">
        <v>288</v>
      </c>
      <c r="C135" s="3" t="s">
        <v>290</v>
      </c>
      <c r="D135" s="5" t="s">
        <v>291</v>
      </c>
      <c r="E135" s="5">
        <f>15.68-(9*((G135/100*((100+L135)/100)))*Calculations!$B$16)</f>
        <v>14.833093268416311</v>
      </c>
      <c r="F135" s="5">
        <f t="shared" si="87"/>
        <v>49.065950659293918</v>
      </c>
      <c r="G135" s="5">
        <f t="shared" si="88"/>
        <v>3.7919821352615912</v>
      </c>
      <c r="H135" s="5">
        <f t="shared" si="89"/>
        <v>0.62561321423507732</v>
      </c>
      <c r="I135" s="5">
        <f t="shared" si="90"/>
        <v>8.9373316319296764E-2</v>
      </c>
      <c r="J135" s="5">
        <f t="shared" si="91"/>
        <v>46.423054019566145</v>
      </c>
      <c r="K135" s="5">
        <f t="shared" si="92"/>
        <v>21.67684619655747</v>
      </c>
      <c r="L135" s="5">
        <v>9.9499999999999993</v>
      </c>
      <c r="M135" s="5">
        <f t="shared" si="93"/>
        <v>61.676846196557477</v>
      </c>
      <c r="N135" s="5">
        <f t="shared" si="94"/>
        <v>16.646307606885067</v>
      </c>
      <c r="O135" s="5" t="s">
        <v>291</v>
      </c>
      <c r="P135" s="5" t="s">
        <v>291</v>
      </c>
      <c r="Q135" s="5" t="s">
        <v>291</v>
      </c>
      <c r="R135" s="5">
        <v>800</v>
      </c>
      <c r="S135" s="5" t="s">
        <v>39</v>
      </c>
      <c r="T135" s="5" t="s">
        <v>144</v>
      </c>
      <c r="U135" s="5" t="s">
        <v>291</v>
      </c>
      <c r="V135" s="5">
        <v>0.5</v>
      </c>
      <c r="W135" s="5">
        <v>0.35</v>
      </c>
      <c r="X135" s="5" t="s">
        <v>81</v>
      </c>
      <c r="Y135" s="5" t="s">
        <v>79</v>
      </c>
      <c r="Z135" s="5" t="s">
        <v>295</v>
      </c>
      <c r="AA135" s="5">
        <v>0</v>
      </c>
      <c r="AB135" s="5" t="s">
        <v>294</v>
      </c>
      <c r="AC135" s="5">
        <v>53.3</v>
      </c>
      <c r="AD135" s="5">
        <v>10.4</v>
      </c>
      <c r="AE135" s="5">
        <v>13.4</v>
      </c>
      <c r="AF135" s="5">
        <v>20.3</v>
      </c>
      <c r="AG135" s="5">
        <v>2.6</v>
      </c>
      <c r="AH135" s="5" t="s">
        <v>291</v>
      </c>
      <c r="AI135" s="5">
        <v>3.76</v>
      </c>
      <c r="AJ135" s="5" t="s">
        <v>291</v>
      </c>
      <c r="AK135" s="5">
        <v>1.4358362298722931</v>
      </c>
      <c r="AL135" s="5" t="s">
        <v>291</v>
      </c>
      <c r="AM135" s="5">
        <f t="shared" si="81"/>
        <v>36.396617526940361</v>
      </c>
      <c r="AN135" s="5">
        <v>78.2</v>
      </c>
      <c r="AO135" s="11" t="s">
        <v>142</v>
      </c>
    </row>
    <row r="136" spans="1:41" x14ac:dyDescent="0.3">
      <c r="A136" s="11">
        <v>135</v>
      </c>
      <c r="B136" s="5" t="s">
        <v>288</v>
      </c>
      <c r="C136" s="3" t="s">
        <v>290</v>
      </c>
      <c r="D136" s="5" t="s">
        <v>291</v>
      </c>
      <c r="E136" s="5">
        <f>15.68-(9*((G136/100*((100+L136)/100)))*Calculations!$B$16)</f>
        <v>14.833093268416311</v>
      </c>
      <c r="F136" s="5">
        <f t="shared" si="87"/>
        <v>49.065950659293918</v>
      </c>
      <c r="G136" s="5">
        <f t="shared" si="88"/>
        <v>3.7919821352615912</v>
      </c>
      <c r="H136" s="5">
        <f t="shared" si="89"/>
        <v>0.62561321423507732</v>
      </c>
      <c r="I136" s="5">
        <f t="shared" si="90"/>
        <v>8.9373316319296764E-2</v>
      </c>
      <c r="J136" s="5">
        <f t="shared" si="91"/>
        <v>46.423054019566145</v>
      </c>
      <c r="K136" s="5">
        <f t="shared" si="92"/>
        <v>21.67684619655747</v>
      </c>
      <c r="L136" s="5">
        <v>9.9499999999999993</v>
      </c>
      <c r="M136" s="5">
        <f t="shared" si="93"/>
        <v>61.676846196557477</v>
      </c>
      <c r="N136" s="5">
        <f t="shared" si="94"/>
        <v>16.646307606885067</v>
      </c>
      <c r="O136" s="5" t="s">
        <v>291</v>
      </c>
      <c r="P136" s="5" t="s">
        <v>291</v>
      </c>
      <c r="Q136" s="5" t="s">
        <v>291</v>
      </c>
      <c r="R136" s="5">
        <v>800</v>
      </c>
      <c r="S136" s="5" t="s">
        <v>39</v>
      </c>
      <c r="T136" s="5" t="s">
        <v>144</v>
      </c>
      <c r="U136" s="5" t="s">
        <v>291</v>
      </c>
      <c r="V136" s="5">
        <v>0.5</v>
      </c>
      <c r="W136" s="5">
        <v>0.4</v>
      </c>
      <c r="X136" s="5" t="s">
        <v>81</v>
      </c>
      <c r="Y136" s="5" t="s">
        <v>79</v>
      </c>
      <c r="Z136" s="5" t="s">
        <v>295</v>
      </c>
      <c r="AA136" s="5">
        <v>0</v>
      </c>
      <c r="AB136" s="5" t="s">
        <v>294</v>
      </c>
      <c r="AC136" s="5">
        <v>54.5</v>
      </c>
      <c r="AD136" s="5">
        <v>9.6</v>
      </c>
      <c r="AE136" s="5">
        <v>12.2</v>
      </c>
      <c r="AF136" s="5">
        <v>21.5</v>
      </c>
      <c r="AG136" s="5">
        <v>2.2000000000000002</v>
      </c>
      <c r="AH136" s="5" t="s">
        <v>291</v>
      </c>
      <c r="AI136" s="5">
        <v>3.38</v>
      </c>
      <c r="AJ136" s="5" t="s">
        <v>291</v>
      </c>
      <c r="AK136" s="5">
        <v>1.5657452220988337</v>
      </c>
      <c r="AL136" s="5" t="s">
        <v>291</v>
      </c>
      <c r="AM136" s="5">
        <f t="shared" si="81"/>
        <v>35.678457317885474</v>
      </c>
      <c r="AN136" s="5">
        <v>85.5</v>
      </c>
      <c r="AO136" s="11" t="s">
        <v>142</v>
      </c>
    </row>
    <row r="137" spans="1:41" x14ac:dyDescent="0.3">
      <c r="A137" s="11">
        <v>136</v>
      </c>
      <c r="B137" s="5" t="s">
        <v>288</v>
      </c>
      <c r="C137" s="3" t="s">
        <v>290</v>
      </c>
      <c r="D137" s="5" t="s">
        <v>291</v>
      </c>
      <c r="E137" s="5">
        <f>15.68-(9*((G137/100*((100+L137)/100)))*Calculations!$B$16)</f>
        <v>14.833093268416311</v>
      </c>
      <c r="F137" s="5">
        <f t="shared" si="87"/>
        <v>49.065950659293918</v>
      </c>
      <c r="G137" s="5">
        <f t="shared" si="88"/>
        <v>3.7919821352615912</v>
      </c>
      <c r="H137" s="5">
        <f t="shared" si="89"/>
        <v>0.62561321423507732</v>
      </c>
      <c r="I137" s="5">
        <f t="shared" si="90"/>
        <v>8.9373316319296764E-2</v>
      </c>
      <c r="J137" s="5">
        <f t="shared" si="91"/>
        <v>46.423054019566145</v>
      </c>
      <c r="K137" s="5">
        <f t="shared" si="92"/>
        <v>21.67684619655747</v>
      </c>
      <c r="L137" s="5">
        <v>9.9499999999999993</v>
      </c>
      <c r="M137" s="5">
        <f t="shared" si="93"/>
        <v>61.676846196557477</v>
      </c>
      <c r="N137" s="5">
        <f t="shared" si="94"/>
        <v>16.646307606885067</v>
      </c>
      <c r="O137" s="5" t="s">
        <v>291</v>
      </c>
      <c r="P137" s="5" t="s">
        <v>291</v>
      </c>
      <c r="Q137" s="5" t="s">
        <v>291</v>
      </c>
      <c r="R137" s="5">
        <v>850</v>
      </c>
      <c r="S137" s="5" t="s">
        <v>39</v>
      </c>
      <c r="T137" s="5" t="s">
        <v>144</v>
      </c>
      <c r="U137" s="5" t="s">
        <v>291</v>
      </c>
      <c r="V137" s="5">
        <v>0.5</v>
      </c>
      <c r="W137" s="5">
        <v>0.35</v>
      </c>
      <c r="X137" s="5" t="s">
        <v>81</v>
      </c>
      <c r="Y137" s="5" t="s">
        <v>79</v>
      </c>
      <c r="Z137" s="5" t="s">
        <v>295</v>
      </c>
      <c r="AA137" s="5">
        <v>0</v>
      </c>
      <c r="AB137" s="5" t="s">
        <v>294</v>
      </c>
      <c r="AC137" s="5">
        <v>51.8</v>
      </c>
      <c r="AD137" s="5">
        <v>12.3</v>
      </c>
      <c r="AE137" s="5">
        <v>14.5</v>
      </c>
      <c r="AF137" s="5">
        <v>18.399999999999999</v>
      </c>
      <c r="AG137" s="5">
        <v>3</v>
      </c>
      <c r="AH137" s="5" t="s">
        <v>291</v>
      </c>
      <c r="AI137" s="5">
        <v>4.25</v>
      </c>
      <c r="AJ137" s="5" t="s">
        <v>291</v>
      </c>
      <c r="AK137" s="5">
        <v>1.5794198528595222</v>
      </c>
      <c r="AL137" s="5" t="s">
        <v>291</v>
      </c>
      <c r="AM137" s="5">
        <f t="shared" si="81"/>
        <v>45.253773121927175</v>
      </c>
      <c r="AN137" s="5">
        <v>86.1</v>
      </c>
      <c r="AO137" s="11" t="s">
        <v>142</v>
      </c>
    </row>
    <row r="138" spans="1:41" x14ac:dyDescent="0.3">
      <c r="A138" s="11">
        <v>137</v>
      </c>
      <c r="B138" s="5" t="s">
        <v>288</v>
      </c>
      <c r="C138" s="3" t="s">
        <v>290</v>
      </c>
      <c r="D138" s="5" t="s">
        <v>291</v>
      </c>
      <c r="E138" s="5">
        <f>15.68-(9*((G138/100*((100+L138)/100)))*Calculations!$B$16)</f>
        <v>14.833093268416311</v>
      </c>
      <c r="F138" s="5">
        <f t="shared" si="87"/>
        <v>49.065950659293918</v>
      </c>
      <c r="G138" s="5">
        <f t="shared" si="88"/>
        <v>3.7919821352615912</v>
      </c>
      <c r="H138" s="5">
        <f t="shared" si="89"/>
        <v>0.62561321423507732</v>
      </c>
      <c r="I138" s="5">
        <f t="shared" si="90"/>
        <v>8.9373316319296764E-2</v>
      </c>
      <c r="J138" s="5">
        <f t="shared" si="91"/>
        <v>46.423054019566145</v>
      </c>
      <c r="K138" s="5">
        <f t="shared" si="92"/>
        <v>21.67684619655747</v>
      </c>
      <c r="L138" s="5">
        <v>9.9499999999999993</v>
      </c>
      <c r="M138" s="5">
        <f t="shared" si="93"/>
        <v>61.676846196557477</v>
      </c>
      <c r="N138" s="5">
        <f t="shared" si="94"/>
        <v>16.646307606885067</v>
      </c>
      <c r="O138" s="5" t="s">
        <v>291</v>
      </c>
      <c r="P138" s="5" t="s">
        <v>291</v>
      </c>
      <c r="Q138" s="5" t="s">
        <v>291</v>
      </c>
      <c r="R138" s="5">
        <v>800</v>
      </c>
      <c r="S138" s="5" t="s">
        <v>39</v>
      </c>
      <c r="T138" s="5" t="s">
        <v>144</v>
      </c>
      <c r="U138" s="5" t="s">
        <v>291</v>
      </c>
      <c r="V138" s="5">
        <v>0.8</v>
      </c>
      <c r="W138" s="5">
        <v>0.35</v>
      </c>
      <c r="X138" s="5" t="s">
        <v>81</v>
      </c>
      <c r="Y138" s="5" t="s">
        <v>79</v>
      </c>
      <c r="Z138" s="5" t="s">
        <v>295</v>
      </c>
      <c r="AA138" s="5">
        <v>0</v>
      </c>
      <c r="AB138" s="5" t="s">
        <v>294</v>
      </c>
      <c r="AC138" s="5">
        <v>51.9</v>
      </c>
      <c r="AD138" s="5">
        <v>11.8</v>
      </c>
      <c r="AE138" s="5">
        <v>12.7</v>
      </c>
      <c r="AF138" s="5">
        <v>21.1</v>
      </c>
      <c r="AG138" s="5">
        <v>2.5</v>
      </c>
      <c r="AH138" s="5" t="s">
        <v>291</v>
      </c>
      <c r="AI138" s="5">
        <v>3.79</v>
      </c>
      <c r="AJ138" s="5" t="s">
        <v>291</v>
      </c>
      <c r="AK138" s="5">
        <v>1.4563481760133257</v>
      </c>
      <c r="AL138" s="5" t="s">
        <v>291</v>
      </c>
      <c r="AM138" s="5">
        <f t="shared" si="81"/>
        <v>37.211116300624546</v>
      </c>
      <c r="AN138" s="5">
        <v>79.599999999999994</v>
      </c>
      <c r="AO138" s="11" t="s">
        <v>142</v>
      </c>
    </row>
    <row r="139" spans="1:41" x14ac:dyDescent="0.3">
      <c r="A139" s="11">
        <v>138</v>
      </c>
      <c r="B139" s="5" t="s">
        <v>288</v>
      </c>
      <c r="C139" s="3" t="s">
        <v>290</v>
      </c>
      <c r="D139" s="5" t="s">
        <v>291</v>
      </c>
      <c r="E139" s="5">
        <f>15.68-(9*((G139/100*((100+L139)/100)))*Calculations!$B$16)</f>
        <v>14.833093268416311</v>
      </c>
      <c r="F139" s="5">
        <f t="shared" si="87"/>
        <v>49.065950659293918</v>
      </c>
      <c r="G139" s="5">
        <f t="shared" si="88"/>
        <v>3.7919821352615912</v>
      </c>
      <c r="H139" s="5">
        <f t="shared" si="89"/>
        <v>0.62561321423507732</v>
      </c>
      <c r="I139" s="5">
        <f t="shared" si="90"/>
        <v>8.9373316319296764E-2</v>
      </c>
      <c r="J139" s="5">
        <f t="shared" si="91"/>
        <v>46.423054019566145</v>
      </c>
      <c r="K139" s="5">
        <f t="shared" si="92"/>
        <v>21.67684619655747</v>
      </c>
      <c r="L139" s="5">
        <v>9.9499999999999993</v>
      </c>
      <c r="M139" s="5">
        <f t="shared" si="93"/>
        <v>61.676846196557477</v>
      </c>
      <c r="N139" s="5">
        <f t="shared" si="94"/>
        <v>16.646307606885067</v>
      </c>
      <c r="O139" s="5" t="s">
        <v>291</v>
      </c>
      <c r="P139" s="5" t="s">
        <v>291</v>
      </c>
      <c r="Q139" s="5" t="s">
        <v>291</v>
      </c>
      <c r="R139" s="5">
        <v>850</v>
      </c>
      <c r="S139" s="5" t="s">
        <v>39</v>
      </c>
      <c r="T139" s="5" t="s">
        <v>144</v>
      </c>
      <c r="U139" s="5" t="s">
        <v>291</v>
      </c>
      <c r="V139" s="5">
        <v>0.8</v>
      </c>
      <c r="W139" s="5">
        <v>0.35</v>
      </c>
      <c r="X139" s="5" t="s">
        <v>81</v>
      </c>
      <c r="Y139" s="5" t="s">
        <v>79</v>
      </c>
      <c r="Z139" s="5" t="s">
        <v>295</v>
      </c>
      <c r="AA139" s="5">
        <v>0</v>
      </c>
      <c r="AB139" s="5" t="s">
        <v>294</v>
      </c>
      <c r="AC139" s="5">
        <v>49.4</v>
      </c>
      <c r="AD139" s="5">
        <v>13.1</v>
      </c>
      <c r="AE139" s="5">
        <v>14.2</v>
      </c>
      <c r="AF139" s="5">
        <v>20.399999999999999</v>
      </c>
      <c r="AG139" s="5">
        <v>2.9</v>
      </c>
      <c r="AH139" s="5" t="s">
        <v>291</v>
      </c>
      <c r="AI139" s="5">
        <v>4.26</v>
      </c>
      <c r="AJ139" s="5" t="s">
        <v>291</v>
      </c>
      <c r="AK139" s="5">
        <v>1.5999317990005548</v>
      </c>
      <c r="AL139" s="5" t="s">
        <v>291</v>
      </c>
      <c r="AM139" s="5">
        <f t="shared" si="81"/>
        <v>45.949346777552201</v>
      </c>
      <c r="AN139" s="5">
        <v>87.3</v>
      </c>
      <c r="AO139" s="11" t="s">
        <v>142</v>
      </c>
    </row>
    <row r="140" spans="1:41" x14ac:dyDescent="0.3">
      <c r="A140" s="11">
        <v>139</v>
      </c>
      <c r="B140" s="3" t="s">
        <v>289</v>
      </c>
      <c r="C140" s="3" t="s">
        <v>290</v>
      </c>
      <c r="D140" s="5">
        <v>1.25</v>
      </c>
      <c r="E140" s="5">
        <v>19.3</v>
      </c>
      <c r="F140" s="5">
        <f>(100/(100-K140))*49</f>
        <v>49.196787148594382</v>
      </c>
      <c r="G140" s="5">
        <f>(100/(100-K140))*6.1</f>
        <v>6.1244979919678713</v>
      </c>
      <c r="H140" s="5">
        <f>(100/(100-K140))*0.1</f>
        <v>0.10040160642570282</v>
      </c>
      <c r="I140" s="5">
        <f>(100/(100-K140))*0.01</f>
        <v>1.0040160642570281E-2</v>
      </c>
      <c r="J140" s="5">
        <f>(100/(100-K140))*44.4</f>
        <v>44.578313253012048</v>
      </c>
      <c r="K140" s="5">
        <v>0.4</v>
      </c>
      <c r="L140" s="5">
        <v>7</v>
      </c>
      <c r="M140" s="5" t="s">
        <v>291</v>
      </c>
      <c r="N140" s="5" t="s">
        <v>291</v>
      </c>
      <c r="O140" s="5" t="s">
        <v>291</v>
      </c>
      <c r="P140" s="5" t="s">
        <v>291</v>
      </c>
      <c r="Q140" s="5" t="s">
        <v>291</v>
      </c>
      <c r="R140" s="5">
        <v>700</v>
      </c>
      <c r="S140" s="5" t="s">
        <v>39</v>
      </c>
      <c r="T140" s="5" t="s">
        <v>75</v>
      </c>
      <c r="U140" s="5">
        <v>60</v>
      </c>
      <c r="V140" s="5" t="s">
        <v>291</v>
      </c>
      <c r="W140" s="5">
        <v>0.21</v>
      </c>
      <c r="X140" s="5" t="s">
        <v>146</v>
      </c>
      <c r="Y140" s="5" t="s">
        <v>79</v>
      </c>
      <c r="Z140" s="5" t="s">
        <v>154</v>
      </c>
      <c r="AA140" s="5">
        <v>0</v>
      </c>
      <c r="AB140" s="5" t="s">
        <v>294</v>
      </c>
      <c r="AC140" s="5">
        <v>0</v>
      </c>
      <c r="AD140" s="5">
        <v>22.05</v>
      </c>
      <c r="AE140" s="5">
        <v>29.87</v>
      </c>
      <c r="AF140" s="5">
        <v>34.19</v>
      </c>
      <c r="AG140" s="5">
        <v>9.5399999999999991</v>
      </c>
      <c r="AH140" s="5">
        <v>4.05</v>
      </c>
      <c r="AI140" s="5">
        <v>11.96</v>
      </c>
      <c r="AJ140" s="5">
        <v>36.640625</v>
      </c>
      <c r="AK140" s="5">
        <v>0.64</v>
      </c>
      <c r="AL140" s="5" t="s">
        <v>291</v>
      </c>
      <c r="AM140" s="5">
        <f t="shared" si="81"/>
        <v>39.660103626943005</v>
      </c>
      <c r="AN140" s="5">
        <v>60</v>
      </c>
      <c r="AO140" s="11" t="s">
        <v>231</v>
      </c>
    </row>
    <row r="141" spans="1:41" x14ac:dyDescent="0.3">
      <c r="A141" s="11">
        <v>140</v>
      </c>
      <c r="B141" s="3" t="s">
        <v>289</v>
      </c>
      <c r="C141" s="3" t="s">
        <v>290</v>
      </c>
      <c r="D141" s="5">
        <v>1.25</v>
      </c>
      <c r="E141" s="5">
        <v>19.3</v>
      </c>
      <c r="F141" s="5">
        <f t="shared" ref="F141:F157" si="95">(100/(100-K141))*49</f>
        <v>49.196787148594382</v>
      </c>
      <c r="G141" s="5">
        <f t="shared" ref="G141:G157" si="96">(100/(100-K141))*6.1</f>
        <v>6.1244979919678713</v>
      </c>
      <c r="H141" s="5">
        <f t="shared" ref="H141:H157" si="97">(100/(100-K141))*0.1</f>
        <v>0.10040160642570282</v>
      </c>
      <c r="I141" s="5">
        <f t="shared" ref="I141:I157" si="98">(100/(100-K141))*0.01</f>
        <v>1.0040160642570281E-2</v>
      </c>
      <c r="J141" s="5">
        <f t="shared" ref="J141:J157" si="99">(100/(100-K141))*44.4</f>
        <v>44.578313253012048</v>
      </c>
      <c r="K141" s="5">
        <v>0.4</v>
      </c>
      <c r="L141" s="5">
        <v>7</v>
      </c>
      <c r="M141" s="5" t="s">
        <v>291</v>
      </c>
      <c r="N141" s="5" t="s">
        <v>291</v>
      </c>
      <c r="O141" s="5" t="s">
        <v>291</v>
      </c>
      <c r="P141" s="5" t="s">
        <v>291</v>
      </c>
      <c r="Q141" s="5" t="s">
        <v>291</v>
      </c>
      <c r="R141" s="5">
        <v>700</v>
      </c>
      <c r="S141" s="5" t="s">
        <v>39</v>
      </c>
      <c r="T141" s="5" t="s">
        <v>75</v>
      </c>
      <c r="U141" s="5">
        <v>75</v>
      </c>
      <c r="V141" s="5" t="s">
        <v>291</v>
      </c>
      <c r="W141" s="5">
        <v>0.21</v>
      </c>
      <c r="X141" s="5" t="s">
        <v>146</v>
      </c>
      <c r="Y141" s="5" t="s">
        <v>79</v>
      </c>
      <c r="Z141" s="5" t="s">
        <v>154</v>
      </c>
      <c r="AA141" s="5">
        <v>1</v>
      </c>
      <c r="AB141" s="5" t="s">
        <v>294</v>
      </c>
      <c r="AC141" s="5">
        <v>0</v>
      </c>
      <c r="AD141" s="5">
        <v>24.2</v>
      </c>
      <c r="AE141" s="5">
        <v>32.76</v>
      </c>
      <c r="AF141" s="5">
        <v>30.02</v>
      </c>
      <c r="AG141" s="5">
        <v>9.92</v>
      </c>
      <c r="AH141" s="5">
        <v>2.85</v>
      </c>
      <c r="AI141" s="5">
        <v>11.99</v>
      </c>
      <c r="AJ141" s="5">
        <v>21.526315789473685</v>
      </c>
      <c r="AK141" s="5">
        <v>0.76</v>
      </c>
      <c r="AL141" s="5" t="s">
        <v>291</v>
      </c>
      <c r="AM141" s="5">
        <f t="shared" si="81"/>
        <v>47.214507772020731</v>
      </c>
      <c r="AN141" s="5">
        <v>64</v>
      </c>
      <c r="AO141" s="11" t="s">
        <v>231</v>
      </c>
    </row>
    <row r="142" spans="1:41" x14ac:dyDescent="0.3">
      <c r="A142" s="11">
        <v>141</v>
      </c>
      <c r="B142" s="3" t="s">
        <v>289</v>
      </c>
      <c r="C142" s="3" t="s">
        <v>290</v>
      </c>
      <c r="D142" s="5">
        <v>1.25</v>
      </c>
      <c r="E142" s="5">
        <v>19.3</v>
      </c>
      <c r="F142" s="5">
        <f t="shared" si="95"/>
        <v>49.196787148594382</v>
      </c>
      <c r="G142" s="5">
        <f t="shared" si="96"/>
        <v>6.1244979919678713</v>
      </c>
      <c r="H142" s="5">
        <f t="shared" si="97"/>
        <v>0.10040160642570282</v>
      </c>
      <c r="I142" s="5">
        <f t="shared" si="98"/>
        <v>1.0040160642570281E-2</v>
      </c>
      <c r="J142" s="5">
        <f t="shared" si="99"/>
        <v>44.578313253012048</v>
      </c>
      <c r="K142" s="5">
        <v>0.4</v>
      </c>
      <c r="L142" s="5">
        <v>7</v>
      </c>
      <c r="M142" s="5" t="s">
        <v>291</v>
      </c>
      <c r="N142" s="5" t="s">
        <v>291</v>
      </c>
      <c r="O142" s="5" t="s">
        <v>291</v>
      </c>
      <c r="P142" s="5" t="s">
        <v>291</v>
      </c>
      <c r="Q142" s="5" t="s">
        <v>291</v>
      </c>
      <c r="R142" s="5">
        <v>700</v>
      </c>
      <c r="S142" s="5" t="s">
        <v>39</v>
      </c>
      <c r="T142" s="5" t="s">
        <v>75</v>
      </c>
      <c r="U142" s="5">
        <v>55</v>
      </c>
      <c r="V142" s="5" t="s">
        <v>291</v>
      </c>
      <c r="W142" s="5">
        <v>0.21</v>
      </c>
      <c r="X142" s="5" t="s">
        <v>146</v>
      </c>
      <c r="Y142" s="5" t="s">
        <v>79</v>
      </c>
      <c r="Z142" s="5" t="s">
        <v>154</v>
      </c>
      <c r="AA142" s="5">
        <v>0</v>
      </c>
      <c r="AB142" s="5" t="s">
        <v>294</v>
      </c>
      <c r="AC142" s="5">
        <v>0</v>
      </c>
      <c r="AD142" s="5">
        <v>20.27</v>
      </c>
      <c r="AE142" s="5">
        <v>30.61</v>
      </c>
      <c r="AF142" s="5">
        <v>34.729999999999997</v>
      </c>
      <c r="AG142" s="5">
        <v>10.18</v>
      </c>
      <c r="AH142" s="5">
        <v>3.65</v>
      </c>
      <c r="AI142" s="5">
        <v>11.87</v>
      </c>
      <c r="AJ142" s="5">
        <v>35.17977528089888</v>
      </c>
      <c r="AK142" s="5">
        <v>0.89</v>
      </c>
      <c r="AL142" s="5" t="s">
        <v>291</v>
      </c>
      <c r="AM142" s="5">
        <f t="shared" si="81"/>
        <v>54.737305699481858</v>
      </c>
      <c r="AN142" s="5">
        <v>81</v>
      </c>
      <c r="AO142" s="11" t="s">
        <v>231</v>
      </c>
    </row>
    <row r="143" spans="1:41" x14ac:dyDescent="0.3">
      <c r="A143" s="11">
        <v>142</v>
      </c>
      <c r="B143" s="3" t="s">
        <v>289</v>
      </c>
      <c r="C143" s="3" t="s">
        <v>290</v>
      </c>
      <c r="D143" s="5">
        <v>1.25</v>
      </c>
      <c r="E143" s="5">
        <v>19.3</v>
      </c>
      <c r="F143" s="5">
        <f t="shared" si="95"/>
        <v>49.196787148594382</v>
      </c>
      <c r="G143" s="5">
        <f t="shared" si="96"/>
        <v>6.1244979919678713</v>
      </c>
      <c r="H143" s="5">
        <f t="shared" si="97"/>
        <v>0.10040160642570282</v>
      </c>
      <c r="I143" s="5">
        <f t="shared" si="98"/>
        <v>1.0040160642570281E-2</v>
      </c>
      <c r="J143" s="5">
        <f t="shared" si="99"/>
        <v>44.578313253012048</v>
      </c>
      <c r="K143" s="5">
        <v>0.4</v>
      </c>
      <c r="L143" s="5">
        <v>7</v>
      </c>
      <c r="M143" s="5" t="s">
        <v>291</v>
      </c>
      <c r="N143" s="5" t="s">
        <v>291</v>
      </c>
      <c r="O143" s="5" t="s">
        <v>291</v>
      </c>
      <c r="P143" s="5" t="s">
        <v>291</v>
      </c>
      <c r="Q143" s="5" t="s">
        <v>291</v>
      </c>
      <c r="R143" s="5">
        <v>700</v>
      </c>
      <c r="S143" s="5" t="s">
        <v>39</v>
      </c>
      <c r="T143" s="5" t="s">
        <v>75</v>
      </c>
      <c r="U143" s="5">
        <v>68</v>
      </c>
      <c r="V143" s="5" t="s">
        <v>291</v>
      </c>
      <c r="W143" s="5">
        <v>0.21</v>
      </c>
      <c r="X143" s="5" t="s">
        <v>146</v>
      </c>
      <c r="Y143" s="5" t="s">
        <v>79</v>
      </c>
      <c r="Z143" s="5" t="s">
        <v>154</v>
      </c>
      <c r="AA143" s="5">
        <v>1</v>
      </c>
      <c r="AB143" s="5" t="s">
        <v>294</v>
      </c>
      <c r="AC143" s="5">
        <v>0</v>
      </c>
      <c r="AD143" s="5">
        <v>22.98</v>
      </c>
      <c r="AE143" s="5">
        <v>33.299999999999997</v>
      </c>
      <c r="AF143" s="5">
        <v>30.51</v>
      </c>
      <c r="AG143" s="5">
        <v>10.15</v>
      </c>
      <c r="AH143" s="5">
        <v>2.4300000000000002</v>
      </c>
      <c r="AI143" s="5">
        <v>11.81</v>
      </c>
      <c r="AJ143" s="5">
        <v>22.333333333333329</v>
      </c>
      <c r="AK143" s="5">
        <v>1.02</v>
      </c>
      <c r="AL143" s="5" t="s">
        <v>291</v>
      </c>
      <c r="AM143" s="5">
        <f t="shared" si="81"/>
        <v>62.415544041450779</v>
      </c>
      <c r="AN143" s="5">
        <v>89</v>
      </c>
      <c r="AO143" s="11" t="s">
        <v>231</v>
      </c>
    </row>
    <row r="144" spans="1:41" x14ac:dyDescent="0.3">
      <c r="A144" s="11">
        <v>143</v>
      </c>
      <c r="B144" s="3" t="s">
        <v>289</v>
      </c>
      <c r="C144" s="3" t="s">
        <v>290</v>
      </c>
      <c r="D144" s="5">
        <v>1.25</v>
      </c>
      <c r="E144" s="5">
        <v>19.3</v>
      </c>
      <c r="F144" s="5">
        <f t="shared" si="95"/>
        <v>49.196787148594382</v>
      </c>
      <c r="G144" s="5">
        <f t="shared" si="96"/>
        <v>6.1244979919678713</v>
      </c>
      <c r="H144" s="5">
        <f t="shared" si="97"/>
        <v>0.10040160642570282</v>
      </c>
      <c r="I144" s="5">
        <f t="shared" si="98"/>
        <v>1.0040160642570281E-2</v>
      </c>
      <c r="J144" s="5">
        <f t="shared" si="99"/>
        <v>44.578313253012048</v>
      </c>
      <c r="K144" s="5">
        <v>0.4</v>
      </c>
      <c r="L144" s="5">
        <v>7</v>
      </c>
      <c r="M144" s="5" t="s">
        <v>291</v>
      </c>
      <c r="N144" s="5" t="s">
        <v>291</v>
      </c>
      <c r="O144" s="5" t="s">
        <v>291</v>
      </c>
      <c r="P144" s="5" t="s">
        <v>291</v>
      </c>
      <c r="Q144" s="5" t="s">
        <v>291</v>
      </c>
      <c r="R144" s="5">
        <v>700</v>
      </c>
      <c r="S144" s="5" t="s">
        <v>39</v>
      </c>
      <c r="T144" s="5" t="s">
        <v>75</v>
      </c>
      <c r="U144" s="5">
        <v>45</v>
      </c>
      <c r="V144" s="5" t="s">
        <v>291</v>
      </c>
      <c r="W144" s="5">
        <v>0.21</v>
      </c>
      <c r="X144" s="5" t="s">
        <v>146</v>
      </c>
      <c r="Y144" s="5" t="s">
        <v>79</v>
      </c>
      <c r="Z144" s="5" t="s">
        <v>154</v>
      </c>
      <c r="AA144" s="5">
        <v>0</v>
      </c>
      <c r="AB144" s="5" t="s">
        <v>294</v>
      </c>
      <c r="AC144" s="5">
        <v>0</v>
      </c>
      <c r="AD144" s="5">
        <v>21.54</v>
      </c>
      <c r="AE144" s="5">
        <v>31.29</v>
      </c>
      <c r="AF144" s="5">
        <v>34.590000000000003</v>
      </c>
      <c r="AG144" s="5">
        <v>9.76</v>
      </c>
      <c r="AH144" s="5">
        <v>2.4900000000000002</v>
      </c>
      <c r="AI144" s="5">
        <v>11.26</v>
      </c>
      <c r="AJ144" s="5">
        <v>33.252873563218387</v>
      </c>
      <c r="AK144" s="5">
        <v>0.87</v>
      </c>
      <c r="AL144" s="5" t="s">
        <v>291</v>
      </c>
      <c r="AM144" s="5">
        <f t="shared" si="81"/>
        <v>50.757512953367865</v>
      </c>
      <c r="AN144" s="5">
        <v>80</v>
      </c>
      <c r="AO144" s="11" t="s">
        <v>231</v>
      </c>
    </row>
    <row r="145" spans="1:41" x14ac:dyDescent="0.3">
      <c r="A145" s="11">
        <v>144</v>
      </c>
      <c r="B145" s="3" t="s">
        <v>289</v>
      </c>
      <c r="C145" s="3" t="s">
        <v>290</v>
      </c>
      <c r="D145" s="5">
        <v>1.25</v>
      </c>
      <c r="E145" s="5">
        <v>19.3</v>
      </c>
      <c r="F145" s="5">
        <f t="shared" si="95"/>
        <v>49.196787148594382</v>
      </c>
      <c r="G145" s="5">
        <f t="shared" si="96"/>
        <v>6.1244979919678713</v>
      </c>
      <c r="H145" s="5">
        <f t="shared" si="97"/>
        <v>0.10040160642570282</v>
      </c>
      <c r="I145" s="5">
        <f t="shared" si="98"/>
        <v>1.0040160642570281E-2</v>
      </c>
      <c r="J145" s="5">
        <f t="shared" si="99"/>
        <v>44.578313253012048</v>
      </c>
      <c r="K145" s="5">
        <v>0.4</v>
      </c>
      <c r="L145" s="5">
        <v>7</v>
      </c>
      <c r="M145" s="5" t="s">
        <v>291</v>
      </c>
      <c r="N145" s="5" t="s">
        <v>291</v>
      </c>
      <c r="O145" s="5" t="s">
        <v>291</v>
      </c>
      <c r="P145" s="5" t="s">
        <v>291</v>
      </c>
      <c r="Q145" s="5" t="s">
        <v>291</v>
      </c>
      <c r="R145" s="5">
        <v>700</v>
      </c>
      <c r="S145" s="5" t="s">
        <v>39</v>
      </c>
      <c r="T145" s="5" t="s">
        <v>75</v>
      </c>
      <c r="U145" s="5">
        <v>75</v>
      </c>
      <c r="V145" s="5" t="s">
        <v>291</v>
      </c>
      <c r="W145" s="5">
        <v>0.21</v>
      </c>
      <c r="X145" s="5" t="s">
        <v>146</v>
      </c>
      <c r="Y145" s="5" t="s">
        <v>79</v>
      </c>
      <c r="Z145" s="5" t="s">
        <v>154</v>
      </c>
      <c r="AA145" s="5">
        <v>1</v>
      </c>
      <c r="AB145" s="5" t="s">
        <v>294</v>
      </c>
      <c r="AC145" s="5">
        <v>0</v>
      </c>
      <c r="AD145" s="5">
        <v>23.15</v>
      </c>
      <c r="AE145" s="5">
        <v>33.46</v>
      </c>
      <c r="AF145" s="5">
        <v>30.92</v>
      </c>
      <c r="AG145" s="5">
        <v>10.23</v>
      </c>
      <c r="AH145" s="5">
        <v>1.98</v>
      </c>
      <c r="AI145" s="5">
        <v>11.67</v>
      </c>
      <c r="AJ145" s="5">
        <v>20.597938144329898</v>
      </c>
      <c r="AK145" s="5">
        <v>0.97</v>
      </c>
      <c r="AL145" s="5" t="s">
        <v>291</v>
      </c>
      <c r="AM145" s="5">
        <f t="shared" si="81"/>
        <v>58.652331606217601</v>
      </c>
      <c r="AN145" s="5">
        <v>85.1</v>
      </c>
      <c r="AO145" s="11" t="s">
        <v>231</v>
      </c>
    </row>
    <row r="146" spans="1:41" x14ac:dyDescent="0.3">
      <c r="A146" s="11">
        <v>145</v>
      </c>
      <c r="B146" s="3" t="s">
        <v>289</v>
      </c>
      <c r="C146" s="3" t="s">
        <v>290</v>
      </c>
      <c r="D146" s="5">
        <v>1.25</v>
      </c>
      <c r="E146" s="5">
        <v>19.3</v>
      </c>
      <c r="F146" s="5">
        <f t="shared" si="95"/>
        <v>49.196787148594382</v>
      </c>
      <c r="G146" s="5">
        <f t="shared" si="96"/>
        <v>6.1244979919678713</v>
      </c>
      <c r="H146" s="5">
        <f t="shared" si="97"/>
        <v>0.10040160642570282</v>
      </c>
      <c r="I146" s="5">
        <f t="shared" si="98"/>
        <v>1.0040160642570281E-2</v>
      </c>
      <c r="J146" s="5">
        <f t="shared" si="99"/>
        <v>44.578313253012048</v>
      </c>
      <c r="K146" s="5">
        <v>0.4</v>
      </c>
      <c r="L146" s="5">
        <v>7</v>
      </c>
      <c r="M146" s="5" t="s">
        <v>291</v>
      </c>
      <c r="N146" s="5" t="s">
        <v>291</v>
      </c>
      <c r="O146" s="5" t="s">
        <v>291</v>
      </c>
      <c r="P146" s="5" t="s">
        <v>291</v>
      </c>
      <c r="Q146" s="5" t="s">
        <v>291</v>
      </c>
      <c r="R146" s="5">
        <v>750</v>
      </c>
      <c r="S146" s="5" t="s">
        <v>39</v>
      </c>
      <c r="T146" s="5" t="s">
        <v>75</v>
      </c>
      <c r="U146" s="5">
        <v>40</v>
      </c>
      <c r="V146" s="5" t="s">
        <v>291</v>
      </c>
      <c r="W146" s="5">
        <v>0.25</v>
      </c>
      <c r="X146" s="5" t="s">
        <v>146</v>
      </c>
      <c r="Y146" s="5" t="s">
        <v>79</v>
      </c>
      <c r="Z146" s="5" t="s">
        <v>154</v>
      </c>
      <c r="AA146" s="5">
        <v>0</v>
      </c>
      <c r="AB146" s="5" t="s">
        <v>294</v>
      </c>
      <c r="AC146" s="5">
        <v>0</v>
      </c>
      <c r="AD146" s="5">
        <v>18.059999999999999</v>
      </c>
      <c r="AE146" s="5">
        <v>34.83</v>
      </c>
      <c r="AF146" s="5">
        <v>31.88</v>
      </c>
      <c r="AG146" s="5">
        <v>10.19</v>
      </c>
      <c r="AH146" s="5">
        <v>4.45</v>
      </c>
      <c r="AI146" s="5">
        <v>12.63</v>
      </c>
      <c r="AJ146" s="5">
        <v>31.42</v>
      </c>
      <c r="AK146" s="5">
        <v>1</v>
      </c>
      <c r="AL146" s="5" t="s">
        <v>291</v>
      </c>
      <c r="AM146" s="5">
        <f t="shared" si="81"/>
        <v>65.440414507772019</v>
      </c>
      <c r="AN146" s="5">
        <v>94.5</v>
      </c>
      <c r="AO146" s="11" t="s">
        <v>231</v>
      </c>
    </row>
    <row r="147" spans="1:41" x14ac:dyDescent="0.3">
      <c r="A147" s="11">
        <v>146</v>
      </c>
      <c r="B147" s="3" t="s">
        <v>289</v>
      </c>
      <c r="C147" s="3" t="s">
        <v>290</v>
      </c>
      <c r="D147" s="5">
        <v>1.25</v>
      </c>
      <c r="E147" s="5">
        <v>19.3</v>
      </c>
      <c r="F147" s="5">
        <f t="shared" si="95"/>
        <v>49.196787148594382</v>
      </c>
      <c r="G147" s="5">
        <f t="shared" si="96"/>
        <v>6.1244979919678713</v>
      </c>
      <c r="H147" s="5">
        <f t="shared" si="97"/>
        <v>0.10040160642570282</v>
      </c>
      <c r="I147" s="5">
        <f t="shared" si="98"/>
        <v>1.0040160642570281E-2</v>
      </c>
      <c r="J147" s="5">
        <f t="shared" si="99"/>
        <v>44.578313253012048</v>
      </c>
      <c r="K147" s="5">
        <v>0.4</v>
      </c>
      <c r="L147" s="5">
        <v>7</v>
      </c>
      <c r="M147" s="5" t="s">
        <v>291</v>
      </c>
      <c r="N147" s="5" t="s">
        <v>291</v>
      </c>
      <c r="O147" s="5" t="s">
        <v>291</v>
      </c>
      <c r="P147" s="5" t="s">
        <v>291</v>
      </c>
      <c r="Q147" s="5" t="s">
        <v>291</v>
      </c>
      <c r="R147" s="5">
        <v>750</v>
      </c>
      <c r="S147" s="5" t="s">
        <v>39</v>
      </c>
      <c r="T147" s="5" t="s">
        <v>75</v>
      </c>
      <c r="U147" s="5">
        <v>50</v>
      </c>
      <c r="V147" s="5" t="s">
        <v>291</v>
      </c>
      <c r="W147" s="5">
        <v>0.25</v>
      </c>
      <c r="X147" s="5" t="s">
        <v>146</v>
      </c>
      <c r="Y147" s="5" t="s">
        <v>79</v>
      </c>
      <c r="Z147" s="5" t="s">
        <v>154</v>
      </c>
      <c r="AA147" s="5">
        <v>1</v>
      </c>
      <c r="AB147" s="5" t="s">
        <v>294</v>
      </c>
      <c r="AC147" s="5">
        <v>0</v>
      </c>
      <c r="AD147" s="5">
        <v>21.87</v>
      </c>
      <c r="AE147" s="5">
        <v>33.92</v>
      </c>
      <c r="AF147" s="5">
        <v>31.19</v>
      </c>
      <c r="AG147" s="5">
        <v>10</v>
      </c>
      <c r="AH147" s="5">
        <v>2.4600000000000004</v>
      </c>
      <c r="AI147" s="5">
        <v>11.69</v>
      </c>
      <c r="AJ147" s="5">
        <v>20.084112149532711</v>
      </c>
      <c r="AK147" s="5">
        <v>1.07</v>
      </c>
      <c r="AL147" s="5" t="s">
        <v>291</v>
      </c>
      <c r="AM147" s="5">
        <f t="shared" si="81"/>
        <v>64.809844559585486</v>
      </c>
      <c r="AN147" s="5">
        <v>94.59</v>
      </c>
      <c r="AO147" s="11" t="s">
        <v>231</v>
      </c>
    </row>
    <row r="148" spans="1:41" x14ac:dyDescent="0.3">
      <c r="A148" s="11">
        <v>147</v>
      </c>
      <c r="B148" s="3" t="s">
        <v>289</v>
      </c>
      <c r="C148" s="3" t="s">
        <v>290</v>
      </c>
      <c r="D148" s="5">
        <v>1.25</v>
      </c>
      <c r="E148" s="5">
        <v>19.3</v>
      </c>
      <c r="F148" s="5">
        <f t="shared" si="95"/>
        <v>49.196787148594382</v>
      </c>
      <c r="G148" s="5">
        <f t="shared" si="96"/>
        <v>6.1244979919678713</v>
      </c>
      <c r="H148" s="5">
        <f t="shared" si="97"/>
        <v>0.10040160642570282</v>
      </c>
      <c r="I148" s="5">
        <f t="shared" si="98"/>
        <v>1.0040160642570281E-2</v>
      </c>
      <c r="J148" s="5">
        <f t="shared" si="99"/>
        <v>44.578313253012048</v>
      </c>
      <c r="K148" s="5">
        <v>0.4</v>
      </c>
      <c r="L148" s="5">
        <v>7</v>
      </c>
      <c r="M148" s="5" t="s">
        <v>291</v>
      </c>
      <c r="N148" s="5" t="s">
        <v>291</v>
      </c>
      <c r="O148" s="5" t="s">
        <v>291</v>
      </c>
      <c r="P148" s="5" t="s">
        <v>291</v>
      </c>
      <c r="Q148" s="5" t="s">
        <v>291</v>
      </c>
      <c r="R148" s="5">
        <v>750</v>
      </c>
      <c r="S148" s="5" t="s">
        <v>39</v>
      </c>
      <c r="T148" s="5" t="s">
        <v>75</v>
      </c>
      <c r="U148" s="5">
        <v>50</v>
      </c>
      <c r="V148" s="5" t="s">
        <v>291</v>
      </c>
      <c r="W148" s="5">
        <v>0.24</v>
      </c>
      <c r="X148" s="5" t="s">
        <v>146</v>
      </c>
      <c r="Y148" s="5" t="s">
        <v>79</v>
      </c>
      <c r="Z148" s="5" t="s">
        <v>154</v>
      </c>
      <c r="AA148" s="5">
        <v>0</v>
      </c>
      <c r="AB148" s="5" t="s">
        <v>294</v>
      </c>
      <c r="AC148" s="5">
        <v>0</v>
      </c>
      <c r="AD148" s="5">
        <v>18.93</v>
      </c>
      <c r="AE148" s="5">
        <v>33.69</v>
      </c>
      <c r="AF148" s="5">
        <v>32.42</v>
      </c>
      <c r="AG148" s="5">
        <v>10.02</v>
      </c>
      <c r="AH148" s="5">
        <v>4.28</v>
      </c>
      <c r="AI148" s="5">
        <v>12.43</v>
      </c>
      <c r="AJ148" s="5">
        <v>40.27835051546392</v>
      </c>
      <c r="AK148" s="5">
        <v>0.97</v>
      </c>
      <c r="AL148" s="5" t="s">
        <v>291</v>
      </c>
      <c r="AM148" s="5">
        <f t="shared" si="81"/>
        <v>62.472020725388603</v>
      </c>
      <c r="AN148" s="5">
        <v>94.87</v>
      </c>
      <c r="AO148" s="11" t="s">
        <v>231</v>
      </c>
    </row>
    <row r="149" spans="1:41" x14ac:dyDescent="0.3">
      <c r="A149" s="11">
        <v>148</v>
      </c>
      <c r="B149" s="3" t="s">
        <v>289</v>
      </c>
      <c r="C149" s="3" t="s">
        <v>290</v>
      </c>
      <c r="D149" s="5">
        <v>1.25</v>
      </c>
      <c r="E149" s="5">
        <v>19.3</v>
      </c>
      <c r="F149" s="5">
        <f t="shared" si="95"/>
        <v>49.196787148594382</v>
      </c>
      <c r="G149" s="5">
        <f t="shared" si="96"/>
        <v>6.1244979919678713</v>
      </c>
      <c r="H149" s="5">
        <f t="shared" si="97"/>
        <v>0.10040160642570282</v>
      </c>
      <c r="I149" s="5">
        <f t="shared" si="98"/>
        <v>1.0040160642570281E-2</v>
      </c>
      <c r="J149" s="5">
        <f t="shared" si="99"/>
        <v>44.578313253012048</v>
      </c>
      <c r="K149" s="5">
        <v>0.4</v>
      </c>
      <c r="L149" s="5">
        <v>7</v>
      </c>
      <c r="M149" s="5" t="s">
        <v>291</v>
      </c>
      <c r="N149" s="5" t="s">
        <v>291</v>
      </c>
      <c r="O149" s="5" t="s">
        <v>291</v>
      </c>
      <c r="P149" s="5" t="s">
        <v>291</v>
      </c>
      <c r="Q149" s="5" t="s">
        <v>291</v>
      </c>
      <c r="R149" s="5">
        <v>750</v>
      </c>
      <c r="S149" s="5" t="s">
        <v>39</v>
      </c>
      <c r="T149" s="5" t="s">
        <v>75</v>
      </c>
      <c r="U149" s="5">
        <v>50</v>
      </c>
      <c r="V149" s="5" t="s">
        <v>291</v>
      </c>
      <c r="W149" s="5">
        <v>0.24</v>
      </c>
      <c r="X149" s="5" t="s">
        <v>146</v>
      </c>
      <c r="Y149" s="5" t="s">
        <v>79</v>
      </c>
      <c r="Z149" s="5" t="s">
        <v>154</v>
      </c>
      <c r="AA149" s="5">
        <v>1</v>
      </c>
      <c r="AB149" s="5" t="s">
        <v>294</v>
      </c>
      <c r="AC149" s="5">
        <v>0</v>
      </c>
      <c r="AD149" s="5">
        <v>21.93</v>
      </c>
      <c r="AE149" s="5">
        <v>34.28</v>
      </c>
      <c r="AF149" s="5">
        <v>30.6</v>
      </c>
      <c r="AG149" s="5">
        <v>9.7200000000000006</v>
      </c>
      <c r="AH149" s="5">
        <v>2.8400000000000003</v>
      </c>
      <c r="AI149" s="5">
        <v>11.86</v>
      </c>
      <c r="AJ149" s="5">
        <v>26.36538461538461</v>
      </c>
      <c r="AK149" s="5">
        <v>1.04</v>
      </c>
      <c r="AL149" s="5" t="s">
        <v>291</v>
      </c>
      <c r="AM149" s="5">
        <f t="shared" si="81"/>
        <v>63.908808290155442</v>
      </c>
      <c r="AN149" s="5">
        <v>91.22</v>
      </c>
      <c r="AO149" s="11" t="s">
        <v>231</v>
      </c>
    </row>
    <row r="150" spans="1:41" x14ac:dyDescent="0.3">
      <c r="A150" s="11">
        <v>149</v>
      </c>
      <c r="B150" s="3" t="s">
        <v>289</v>
      </c>
      <c r="C150" s="3" t="s">
        <v>290</v>
      </c>
      <c r="D150" s="5">
        <v>1.25</v>
      </c>
      <c r="E150" s="5">
        <v>19.3</v>
      </c>
      <c r="F150" s="5">
        <f t="shared" si="95"/>
        <v>49.196787148594382</v>
      </c>
      <c r="G150" s="5">
        <f t="shared" si="96"/>
        <v>6.1244979919678713</v>
      </c>
      <c r="H150" s="5">
        <f t="shared" si="97"/>
        <v>0.10040160642570282</v>
      </c>
      <c r="I150" s="5">
        <f t="shared" si="98"/>
        <v>1.0040160642570281E-2</v>
      </c>
      <c r="J150" s="5">
        <f t="shared" si="99"/>
        <v>44.578313253012048</v>
      </c>
      <c r="K150" s="5">
        <v>0.4</v>
      </c>
      <c r="L150" s="5">
        <v>7</v>
      </c>
      <c r="M150" s="5" t="s">
        <v>291</v>
      </c>
      <c r="N150" s="5" t="s">
        <v>291</v>
      </c>
      <c r="O150" s="5" t="s">
        <v>291</v>
      </c>
      <c r="P150" s="5" t="s">
        <v>291</v>
      </c>
      <c r="Q150" s="5" t="s">
        <v>291</v>
      </c>
      <c r="R150" s="5">
        <v>750</v>
      </c>
      <c r="S150" s="5" t="s">
        <v>39</v>
      </c>
      <c r="T150" s="5" t="s">
        <v>75</v>
      </c>
      <c r="U150" s="5">
        <v>55</v>
      </c>
      <c r="V150" s="5" t="s">
        <v>291</v>
      </c>
      <c r="W150" s="5">
        <v>0.24</v>
      </c>
      <c r="X150" s="5" t="s">
        <v>146</v>
      </c>
      <c r="Y150" s="5" t="s">
        <v>79</v>
      </c>
      <c r="Z150" s="5" t="s">
        <v>154</v>
      </c>
      <c r="AA150" s="5">
        <v>0</v>
      </c>
      <c r="AB150" s="5" t="s">
        <v>294</v>
      </c>
      <c r="AC150" s="5">
        <v>0</v>
      </c>
      <c r="AD150" s="5">
        <v>20.2</v>
      </c>
      <c r="AE150" s="5">
        <v>31.92</v>
      </c>
      <c r="AF150" s="5">
        <v>33.19</v>
      </c>
      <c r="AG150" s="5">
        <v>9.84</v>
      </c>
      <c r="AH150" s="5">
        <v>4.2300000000000004</v>
      </c>
      <c r="AI150" s="5">
        <v>12.24</v>
      </c>
      <c r="AJ150" s="5">
        <v>33.163265306122447</v>
      </c>
      <c r="AK150" s="5">
        <v>0.98</v>
      </c>
      <c r="AL150" s="5" t="s">
        <v>291</v>
      </c>
      <c r="AM150" s="5">
        <f t="shared" si="81"/>
        <v>62.151295336787562</v>
      </c>
      <c r="AN150" s="5">
        <v>92.8</v>
      </c>
      <c r="AO150" s="11" t="s">
        <v>231</v>
      </c>
    </row>
    <row r="151" spans="1:41" x14ac:dyDescent="0.3">
      <c r="A151" s="11">
        <v>150</v>
      </c>
      <c r="B151" s="3" t="s">
        <v>289</v>
      </c>
      <c r="C151" s="3" t="s">
        <v>290</v>
      </c>
      <c r="D151" s="5">
        <v>1.25</v>
      </c>
      <c r="E151" s="5">
        <v>19.3</v>
      </c>
      <c r="F151" s="5">
        <f t="shared" si="95"/>
        <v>49.196787148594382</v>
      </c>
      <c r="G151" s="5">
        <f t="shared" si="96"/>
        <v>6.1244979919678713</v>
      </c>
      <c r="H151" s="5">
        <f t="shared" si="97"/>
        <v>0.10040160642570282</v>
      </c>
      <c r="I151" s="5">
        <f t="shared" si="98"/>
        <v>1.0040160642570281E-2</v>
      </c>
      <c r="J151" s="5">
        <f t="shared" si="99"/>
        <v>44.578313253012048</v>
      </c>
      <c r="K151" s="5">
        <v>0.4</v>
      </c>
      <c r="L151" s="5">
        <v>7</v>
      </c>
      <c r="M151" s="5" t="s">
        <v>291</v>
      </c>
      <c r="N151" s="5" t="s">
        <v>291</v>
      </c>
      <c r="O151" s="5" t="s">
        <v>291</v>
      </c>
      <c r="P151" s="5" t="s">
        <v>291</v>
      </c>
      <c r="Q151" s="5" t="s">
        <v>291</v>
      </c>
      <c r="R151" s="5">
        <v>750</v>
      </c>
      <c r="S151" s="5" t="s">
        <v>39</v>
      </c>
      <c r="T151" s="5" t="s">
        <v>75</v>
      </c>
      <c r="U151" s="5">
        <v>51</v>
      </c>
      <c r="V151" s="5" t="s">
        <v>291</v>
      </c>
      <c r="W151" s="5">
        <v>0.24</v>
      </c>
      <c r="X151" s="5" t="s">
        <v>146</v>
      </c>
      <c r="Y151" s="5" t="s">
        <v>79</v>
      </c>
      <c r="Z151" s="5" t="s">
        <v>154</v>
      </c>
      <c r="AA151" s="5">
        <v>1</v>
      </c>
      <c r="AB151" s="5" t="s">
        <v>294</v>
      </c>
      <c r="AC151" s="5">
        <v>0</v>
      </c>
      <c r="AD151" s="5">
        <v>22.08</v>
      </c>
      <c r="AE151" s="5">
        <v>34.15</v>
      </c>
      <c r="AF151" s="5">
        <v>30.5</v>
      </c>
      <c r="AG151" s="5">
        <v>9.5399999999999991</v>
      </c>
      <c r="AH151" s="5">
        <v>3.08</v>
      </c>
      <c r="AI151" s="5">
        <v>11.95</v>
      </c>
      <c r="AJ151" s="5">
        <v>24.495238095238093</v>
      </c>
      <c r="AK151" s="5">
        <v>1.05</v>
      </c>
      <c r="AL151" s="5" t="s">
        <v>291</v>
      </c>
      <c r="AM151" s="5">
        <f t="shared" si="81"/>
        <v>65.012953367875639</v>
      </c>
      <c r="AN151" s="5">
        <v>93.7</v>
      </c>
      <c r="AO151" s="11" t="s">
        <v>231</v>
      </c>
    </row>
    <row r="152" spans="1:41" x14ac:dyDescent="0.3">
      <c r="A152" s="11">
        <v>151</v>
      </c>
      <c r="B152" s="3" t="s">
        <v>289</v>
      </c>
      <c r="C152" s="3" t="s">
        <v>290</v>
      </c>
      <c r="D152" s="5">
        <v>1.25</v>
      </c>
      <c r="E152" s="5">
        <v>19.3</v>
      </c>
      <c r="F152" s="5">
        <f t="shared" si="95"/>
        <v>49.196787148594382</v>
      </c>
      <c r="G152" s="5">
        <f t="shared" si="96"/>
        <v>6.1244979919678713</v>
      </c>
      <c r="H152" s="5">
        <f t="shared" si="97"/>
        <v>0.10040160642570282</v>
      </c>
      <c r="I152" s="5">
        <f t="shared" si="98"/>
        <v>1.0040160642570281E-2</v>
      </c>
      <c r="J152" s="5">
        <f t="shared" si="99"/>
        <v>44.578313253012048</v>
      </c>
      <c r="K152" s="5">
        <v>0.4</v>
      </c>
      <c r="L152" s="5">
        <v>7</v>
      </c>
      <c r="M152" s="5" t="s">
        <v>291</v>
      </c>
      <c r="N152" s="5" t="s">
        <v>291</v>
      </c>
      <c r="O152" s="5" t="s">
        <v>291</v>
      </c>
      <c r="P152" s="5" t="s">
        <v>291</v>
      </c>
      <c r="Q152" s="5" t="s">
        <v>291</v>
      </c>
      <c r="R152" s="5">
        <v>800</v>
      </c>
      <c r="S152" s="5" t="s">
        <v>39</v>
      </c>
      <c r="T152" s="5" t="s">
        <v>75</v>
      </c>
      <c r="U152" s="5">
        <v>40</v>
      </c>
      <c r="V152" s="5" t="s">
        <v>291</v>
      </c>
      <c r="W152" s="5">
        <v>0.23</v>
      </c>
      <c r="X152" s="5" t="s">
        <v>146</v>
      </c>
      <c r="Y152" s="5" t="s">
        <v>79</v>
      </c>
      <c r="Z152" s="5" t="s">
        <v>154</v>
      </c>
      <c r="AA152" s="5">
        <v>0</v>
      </c>
      <c r="AB152" s="5" t="s">
        <v>294</v>
      </c>
      <c r="AC152" s="5">
        <v>0</v>
      </c>
      <c r="AD152" s="5">
        <v>19.87</v>
      </c>
      <c r="AE152" s="5">
        <v>36.630000000000003</v>
      </c>
      <c r="AF152" s="5">
        <v>29.73</v>
      </c>
      <c r="AG152" s="5">
        <v>9.81</v>
      </c>
      <c r="AH152" s="5">
        <v>3.29</v>
      </c>
      <c r="AI152" s="5">
        <v>12.25</v>
      </c>
      <c r="AJ152" s="5">
        <v>35.66346153846154</v>
      </c>
      <c r="AK152" s="5">
        <v>1.04</v>
      </c>
      <c r="AL152" s="5" t="s">
        <v>291</v>
      </c>
      <c r="AM152" s="5">
        <f t="shared" si="81"/>
        <v>66.010362694300511</v>
      </c>
      <c r="AN152" s="5">
        <v>96</v>
      </c>
      <c r="AO152" s="11" t="s">
        <v>231</v>
      </c>
    </row>
    <row r="153" spans="1:41" x14ac:dyDescent="0.3">
      <c r="A153" s="11">
        <v>152</v>
      </c>
      <c r="B153" s="3" t="s">
        <v>289</v>
      </c>
      <c r="C153" s="3" t="s">
        <v>290</v>
      </c>
      <c r="D153" s="5">
        <v>1.25</v>
      </c>
      <c r="E153" s="5">
        <v>19.3</v>
      </c>
      <c r="F153" s="5">
        <f t="shared" si="95"/>
        <v>49.196787148594382</v>
      </c>
      <c r="G153" s="5">
        <f t="shared" si="96"/>
        <v>6.1244979919678713</v>
      </c>
      <c r="H153" s="5">
        <f t="shared" si="97"/>
        <v>0.10040160642570282</v>
      </c>
      <c r="I153" s="5">
        <f t="shared" si="98"/>
        <v>1.0040160642570281E-2</v>
      </c>
      <c r="J153" s="5">
        <f t="shared" si="99"/>
        <v>44.578313253012048</v>
      </c>
      <c r="K153" s="5">
        <v>0.4</v>
      </c>
      <c r="L153" s="5">
        <v>7</v>
      </c>
      <c r="M153" s="5" t="s">
        <v>291</v>
      </c>
      <c r="N153" s="5" t="s">
        <v>291</v>
      </c>
      <c r="O153" s="5" t="s">
        <v>291</v>
      </c>
      <c r="P153" s="5" t="s">
        <v>291</v>
      </c>
      <c r="Q153" s="5" t="s">
        <v>291</v>
      </c>
      <c r="R153" s="5">
        <v>800</v>
      </c>
      <c r="S153" s="5" t="s">
        <v>39</v>
      </c>
      <c r="T153" s="5" t="s">
        <v>75</v>
      </c>
      <c r="U153" s="5">
        <v>54</v>
      </c>
      <c r="V153" s="5" t="s">
        <v>291</v>
      </c>
      <c r="W153" s="5">
        <v>0.23</v>
      </c>
      <c r="X153" s="5" t="s">
        <v>146</v>
      </c>
      <c r="Y153" s="5" t="s">
        <v>79</v>
      </c>
      <c r="Z153" s="5" t="s">
        <v>154</v>
      </c>
      <c r="AA153" s="5">
        <v>1</v>
      </c>
      <c r="AB153" s="5" t="s">
        <v>294</v>
      </c>
      <c r="AC153" s="5">
        <v>0</v>
      </c>
      <c r="AD153" s="5">
        <v>22.53</v>
      </c>
      <c r="AE153" s="5">
        <v>35.71</v>
      </c>
      <c r="AF153" s="5">
        <v>29.26</v>
      </c>
      <c r="AG153" s="5">
        <v>9.93</v>
      </c>
      <c r="AH153" s="5">
        <v>1.97</v>
      </c>
      <c r="AI153" s="5">
        <v>11.68</v>
      </c>
      <c r="AJ153" s="5">
        <v>21.401785714285712</v>
      </c>
      <c r="AK153" s="5">
        <v>1.1200000000000001</v>
      </c>
      <c r="AL153" s="5" t="s">
        <v>291</v>
      </c>
      <c r="AM153" s="5">
        <f t="shared" si="81"/>
        <v>67.78031088082902</v>
      </c>
      <c r="AN153" s="5">
        <v>98</v>
      </c>
      <c r="AO153" s="11" t="s">
        <v>231</v>
      </c>
    </row>
    <row r="154" spans="1:41" x14ac:dyDescent="0.3">
      <c r="A154" s="11">
        <v>153</v>
      </c>
      <c r="B154" s="3" t="s">
        <v>289</v>
      </c>
      <c r="C154" s="3" t="s">
        <v>290</v>
      </c>
      <c r="D154" s="5">
        <v>1.25</v>
      </c>
      <c r="E154" s="5">
        <v>19.3</v>
      </c>
      <c r="F154" s="5">
        <f t="shared" si="95"/>
        <v>49.196787148594382</v>
      </c>
      <c r="G154" s="5">
        <f t="shared" si="96"/>
        <v>6.1244979919678713</v>
      </c>
      <c r="H154" s="5">
        <f t="shared" si="97"/>
        <v>0.10040160642570282</v>
      </c>
      <c r="I154" s="5">
        <f t="shared" si="98"/>
        <v>1.0040160642570281E-2</v>
      </c>
      <c r="J154" s="5">
        <f t="shared" si="99"/>
        <v>44.578313253012048</v>
      </c>
      <c r="K154" s="5">
        <v>0.4</v>
      </c>
      <c r="L154" s="5">
        <v>7</v>
      </c>
      <c r="M154" s="5" t="s">
        <v>291</v>
      </c>
      <c r="N154" s="5" t="s">
        <v>291</v>
      </c>
      <c r="O154" s="5" t="s">
        <v>291</v>
      </c>
      <c r="P154" s="5" t="s">
        <v>291</v>
      </c>
      <c r="Q154" s="5" t="s">
        <v>291</v>
      </c>
      <c r="R154" s="5">
        <v>800</v>
      </c>
      <c r="S154" s="5" t="s">
        <v>39</v>
      </c>
      <c r="T154" s="5" t="s">
        <v>75</v>
      </c>
      <c r="U154" s="5">
        <v>45</v>
      </c>
      <c r="V154" s="5" t="s">
        <v>291</v>
      </c>
      <c r="W154" s="5">
        <v>0.23</v>
      </c>
      <c r="X154" s="5" t="s">
        <v>146</v>
      </c>
      <c r="Y154" s="5" t="s">
        <v>79</v>
      </c>
      <c r="Z154" s="5" t="s">
        <v>154</v>
      </c>
      <c r="AA154" s="5">
        <v>0</v>
      </c>
      <c r="AB154" s="5" t="s">
        <v>294</v>
      </c>
      <c r="AC154" s="5">
        <v>0</v>
      </c>
      <c r="AD154" s="5">
        <v>20.75</v>
      </c>
      <c r="AE154" s="5">
        <v>34.159999999999997</v>
      </c>
      <c r="AF154" s="5">
        <v>31.82</v>
      </c>
      <c r="AG154" s="5">
        <v>9.5</v>
      </c>
      <c r="AH154" s="5">
        <v>3.13</v>
      </c>
      <c r="AI154" s="5">
        <v>11.82</v>
      </c>
      <c r="AJ154" s="5">
        <v>26.970297029702969</v>
      </c>
      <c r="AK154" s="5">
        <v>1.01</v>
      </c>
      <c r="AL154" s="5" t="s">
        <v>291</v>
      </c>
      <c r="AM154" s="5">
        <f t="shared" si="81"/>
        <v>61.855958549222791</v>
      </c>
      <c r="AN154" s="5">
        <v>86</v>
      </c>
      <c r="AO154" s="11" t="s">
        <v>231</v>
      </c>
    </row>
    <row r="155" spans="1:41" x14ac:dyDescent="0.3">
      <c r="A155" s="11">
        <v>154</v>
      </c>
      <c r="B155" s="3" t="s">
        <v>289</v>
      </c>
      <c r="C155" s="3" t="s">
        <v>290</v>
      </c>
      <c r="D155" s="5">
        <v>1.25</v>
      </c>
      <c r="E155" s="5">
        <v>19.3</v>
      </c>
      <c r="F155" s="5">
        <f t="shared" si="95"/>
        <v>49.196787148594382</v>
      </c>
      <c r="G155" s="5">
        <f t="shared" si="96"/>
        <v>6.1244979919678713</v>
      </c>
      <c r="H155" s="5">
        <f t="shared" si="97"/>
        <v>0.10040160642570282</v>
      </c>
      <c r="I155" s="5">
        <f t="shared" si="98"/>
        <v>1.0040160642570281E-2</v>
      </c>
      <c r="J155" s="5">
        <f t="shared" si="99"/>
        <v>44.578313253012048</v>
      </c>
      <c r="K155" s="5">
        <v>0.4</v>
      </c>
      <c r="L155" s="5">
        <v>7</v>
      </c>
      <c r="M155" s="5" t="s">
        <v>291</v>
      </c>
      <c r="N155" s="5" t="s">
        <v>291</v>
      </c>
      <c r="O155" s="5" t="s">
        <v>291</v>
      </c>
      <c r="P155" s="5" t="s">
        <v>291</v>
      </c>
      <c r="Q155" s="5" t="s">
        <v>291</v>
      </c>
      <c r="R155" s="5">
        <v>800</v>
      </c>
      <c r="S155" s="5" t="s">
        <v>39</v>
      </c>
      <c r="T155" s="5" t="s">
        <v>75</v>
      </c>
      <c r="U155" s="5">
        <v>45</v>
      </c>
      <c r="V155" s="5" t="s">
        <v>291</v>
      </c>
      <c r="W155" s="5">
        <v>0.23</v>
      </c>
      <c r="X155" s="5" t="s">
        <v>146</v>
      </c>
      <c r="Y155" s="5" t="s">
        <v>79</v>
      </c>
      <c r="Z155" s="5" t="s">
        <v>154</v>
      </c>
      <c r="AA155" s="5">
        <v>1</v>
      </c>
      <c r="AB155" s="5" t="s">
        <v>294</v>
      </c>
      <c r="AC155" s="5">
        <v>0</v>
      </c>
      <c r="AD155" s="5">
        <v>22.18</v>
      </c>
      <c r="AE155" s="5">
        <v>33.950000000000003</v>
      </c>
      <c r="AF155" s="5">
        <v>31.95</v>
      </c>
      <c r="AG155" s="5">
        <v>9.16</v>
      </c>
      <c r="AH155" s="5">
        <v>2.12</v>
      </c>
      <c r="AI155" s="5">
        <v>11.23</v>
      </c>
      <c r="AJ155" s="5">
        <v>22.323232323232325</v>
      </c>
      <c r="AK155" s="5">
        <v>0.99</v>
      </c>
      <c r="AL155" s="5" t="s">
        <v>291</v>
      </c>
      <c r="AM155" s="5">
        <f t="shared" ref="AM155:AM183" si="100">100*(AI155*AK155)/E155</f>
        <v>57.604663212435241</v>
      </c>
      <c r="AN155" s="5">
        <v>87</v>
      </c>
      <c r="AO155" s="11" t="s">
        <v>231</v>
      </c>
    </row>
    <row r="156" spans="1:41" x14ac:dyDescent="0.3">
      <c r="A156" s="11">
        <v>155</v>
      </c>
      <c r="B156" s="3" t="s">
        <v>289</v>
      </c>
      <c r="C156" s="3" t="s">
        <v>290</v>
      </c>
      <c r="D156" s="5">
        <v>1.25</v>
      </c>
      <c r="E156" s="5">
        <v>19.3</v>
      </c>
      <c r="F156" s="5">
        <f t="shared" si="95"/>
        <v>49.196787148594382</v>
      </c>
      <c r="G156" s="5">
        <f t="shared" si="96"/>
        <v>6.1244979919678713</v>
      </c>
      <c r="H156" s="5">
        <f t="shared" si="97"/>
        <v>0.10040160642570282</v>
      </c>
      <c r="I156" s="5">
        <f t="shared" si="98"/>
        <v>1.0040160642570281E-2</v>
      </c>
      <c r="J156" s="5">
        <f t="shared" si="99"/>
        <v>44.578313253012048</v>
      </c>
      <c r="K156" s="5">
        <v>0.4</v>
      </c>
      <c r="L156" s="5">
        <v>7</v>
      </c>
      <c r="M156" s="5" t="s">
        <v>291</v>
      </c>
      <c r="N156" s="5" t="s">
        <v>291</v>
      </c>
      <c r="O156" s="5" t="s">
        <v>291</v>
      </c>
      <c r="P156" s="5" t="s">
        <v>291</v>
      </c>
      <c r="Q156" s="5" t="s">
        <v>291</v>
      </c>
      <c r="R156" s="5">
        <v>800</v>
      </c>
      <c r="S156" s="5" t="s">
        <v>39</v>
      </c>
      <c r="T156" s="5" t="s">
        <v>75</v>
      </c>
      <c r="U156" s="5">
        <v>30</v>
      </c>
      <c r="V156" s="5" t="s">
        <v>291</v>
      </c>
      <c r="W156" s="5">
        <v>0.22</v>
      </c>
      <c r="X156" s="5" t="s">
        <v>146</v>
      </c>
      <c r="Y156" s="5" t="s">
        <v>79</v>
      </c>
      <c r="Z156" s="5" t="s">
        <v>154</v>
      </c>
      <c r="AA156" s="5">
        <v>0</v>
      </c>
      <c r="AB156" s="5" t="s">
        <v>294</v>
      </c>
      <c r="AC156" s="5">
        <v>0</v>
      </c>
      <c r="AD156" s="5">
        <v>19.87</v>
      </c>
      <c r="AE156" s="5">
        <v>36.630000000000003</v>
      </c>
      <c r="AF156" s="5">
        <v>29.73</v>
      </c>
      <c r="AG156" s="5">
        <v>9.81</v>
      </c>
      <c r="AH156" s="5">
        <v>3.29</v>
      </c>
      <c r="AI156" s="5">
        <v>12.25</v>
      </c>
      <c r="AJ156" s="5">
        <v>33.762376237623762</v>
      </c>
      <c r="AK156" s="5">
        <v>1.01</v>
      </c>
      <c r="AL156" s="5" t="s">
        <v>291</v>
      </c>
      <c r="AM156" s="5">
        <f t="shared" si="100"/>
        <v>64.106217616580309</v>
      </c>
      <c r="AN156" s="5">
        <v>91</v>
      </c>
      <c r="AO156" s="11" t="s">
        <v>231</v>
      </c>
    </row>
    <row r="157" spans="1:41" x14ac:dyDescent="0.3">
      <c r="A157" s="11">
        <v>156</v>
      </c>
      <c r="B157" s="3" t="s">
        <v>289</v>
      </c>
      <c r="C157" s="3" t="s">
        <v>290</v>
      </c>
      <c r="D157" s="5">
        <v>1.25</v>
      </c>
      <c r="E157" s="5">
        <v>19.3</v>
      </c>
      <c r="F157" s="5">
        <f t="shared" si="95"/>
        <v>49.196787148594382</v>
      </c>
      <c r="G157" s="5">
        <f t="shared" si="96"/>
        <v>6.1244979919678713</v>
      </c>
      <c r="H157" s="5">
        <f t="shared" si="97"/>
        <v>0.10040160642570282</v>
      </c>
      <c r="I157" s="5">
        <f t="shared" si="98"/>
        <v>1.0040160642570281E-2</v>
      </c>
      <c r="J157" s="5">
        <f t="shared" si="99"/>
        <v>44.578313253012048</v>
      </c>
      <c r="K157" s="5">
        <v>0.4</v>
      </c>
      <c r="L157" s="5">
        <v>7</v>
      </c>
      <c r="M157" s="5" t="s">
        <v>291</v>
      </c>
      <c r="N157" s="5" t="s">
        <v>291</v>
      </c>
      <c r="O157" s="5" t="s">
        <v>291</v>
      </c>
      <c r="P157" s="5" t="s">
        <v>291</v>
      </c>
      <c r="Q157" s="5" t="s">
        <v>291</v>
      </c>
      <c r="R157" s="5">
        <v>800</v>
      </c>
      <c r="S157" s="5" t="s">
        <v>39</v>
      </c>
      <c r="T157" s="5" t="s">
        <v>75</v>
      </c>
      <c r="U157" s="5">
        <v>61</v>
      </c>
      <c r="V157" s="5" t="s">
        <v>291</v>
      </c>
      <c r="W157" s="5">
        <v>0.22</v>
      </c>
      <c r="X157" s="5" t="s">
        <v>146</v>
      </c>
      <c r="Y157" s="5" t="s">
        <v>79</v>
      </c>
      <c r="Z157" s="5" t="s">
        <v>154</v>
      </c>
      <c r="AA157" s="5">
        <v>1</v>
      </c>
      <c r="AB157" s="5" t="s">
        <v>294</v>
      </c>
      <c r="AC157" s="5">
        <v>0</v>
      </c>
      <c r="AD157" s="5">
        <v>22.49</v>
      </c>
      <c r="AE157" s="5">
        <v>34.94</v>
      </c>
      <c r="AF157" s="5">
        <v>29.62</v>
      </c>
      <c r="AG157" s="5">
        <v>9.7200000000000006</v>
      </c>
      <c r="AH157" s="5">
        <v>2.56</v>
      </c>
      <c r="AI157" s="5">
        <v>11.84</v>
      </c>
      <c r="AJ157" s="5">
        <v>24.292452830188676</v>
      </c>
      <c r="AK157" s="5">
        <v>1.06</v>
      </c>
      <c r="AL157" s="5" t="s">
        <v>291</v>
      </c>
      <c r="AM157" s="5">
        <f t="shared" si="100"/>
        <v>65.027979274611397</v>
      </c>
      <c r="AN157" s="5">
        <v>94</v>
      </c>
      <c r="AO157" s="11" t="s">
        <v>145</v>
      </c>
    </row>
    <row r="158" spans="1:41" x14ac:dyDescent="0.3">
      <c r="A158" s="11">
        <v>157</v>
      </c>
      <c r="B158" s="3" t="s">
        <v>157</v>
      </c>
      <c r="C158" s="3" t="s">
        <v>159</v>
      </c>
      <c r="D158" s="5">
        <v>5</v>
      </c>
      <c r="E158" s="5">
        <v>20.286999999999999</v>
      </c>
      <c r="F158" s="5">
        <v>51.81</v>
      </c>
      <c r="G158" s="5">
        <v>5.76</v>
      </c>
      <c r="H158" s="5">
        <v>0.26</v>
      </c>
      <c r="I158" s="5">
        <v>0.36</v>
      </c>
      <c r="J158" s="5">
        <v>41.81</v>
      </c>
      <c r="K158" s="5">
        <v>5.64</v>
      </c>
      <c r="L158" s="5">
        <v>0</v>
      </c>
      <c r="M158" s="5">
        <v>79.900000000000006</v>
      </c>
      <c r="N158" s="5">
        <v>14.46</v>
      </c>
      <c r="O158" s="5" t="s">
        <v>291</v>
      </c>
      <c r="P158" s="5" t="s">
        <v>291</v>
      </c>
      <c r="Q158" s="5" t="s">
        <v>291</v>
      </c>
      <c r="R158" s="5">
        <v>700</v>
      </c>
      <c r="S158" s="5" t="s">
        <v>39</v>
      </c>
      <c r="T158" s="5" t="s">
        <v>75</v>
      </c>
      <c r="U158" s="5" t="s">
        <v>291</v>
      </c>
      <c r="V158" s="5">
        <f>2.41*((100-F158)/100)</f>
        <v>1.1613790000000002</v>
      </c>
      <c r="W158" s="5" t="s">
        <v>291</v>
      </c>
      <c r="X158" s="5" t="s">
        <v>161</v>
      </c>
      <c r="Y158" s="5" t="s">
        <v>292</v>
      </c>
      <c r="Z158" s="5" t="s">
        <v>291</v>
      </c>
      <c r="AA158" s="5">
        <v>1</v>
      </c>
      <c r="AB158" s="5" t="s">
        <v>294</v>
      </c>
      <c r="AC158" s="5">
        <v>0</v>
      </c>
      <c r="AD158" s="5">
        <v>34.01</v>
      </c>
      <c r="AE158" s="5">
        <v>11.34</v>
      </c>
      <c r="AF158" s="5">
        <v>38.25</v>
      </c>
      <c r="AG158" s="5">
        <v>10.3</v>
      </c>
      <c r="AH158" s="5">
        <v>6.1</v>
      </c>
      <c r="AI158" s="5">
        <f>(AD158*Calculations!$B$23+AE158*Calculations!$B$21+AG158*Calculations!$B$22+AH158*Calculations!$B$24)/100</f>
        <v>12.422706499999999</v>
      </c>
      <c r="AJ158" s="5">
        <v>94.090909090909093</v>
      </c>
      <c r="AK158" s="5">
        <v>0.88</v>
      </c>
      <c r="AL158" s="5">
        <v>175</v>
      </c>
      <c r="AM158" s="5">
        <f t="shared" si="100"/>
        <v>53.886635382264501</v>
      </c>
      <c r="AN158" s="5">
        <v>65.599999999999994</v>
      </c>
      <c r="AO158" s="11" t="s">
        <v>162</v>
      </c>
    </row>
    <row r="159" spans="1:41" x14ac:dyDescent="0.3">
      <c r="A159" s="11">
        <v>158</v>
      </c>
      <c r="B159" s="3" t="s">
        <v>157</v>
      </c>
      <c r="C159" s="3" t="s">
        <v>159</v>
      </c>
      <c r="D159" s="5">
        <v>5</v>
      </c>
      <c r="E159" s="5">
        <v>20.286999999999999</v>
      </c>
      <c r="F159" s="5">
        <v>51.81</v>
      </c>
      <c r="G159" s="5">
        <v>5.76</v>
      </c>
      <c r="H159" s="5">
        <v>0.26</v>
      </c>
      <c r="I159" s="5">
        <v>0.36</v>
      </c>
      <c r="J159" s="5">
        <v>41.81</v>
      </c>
      <c r="K159" s="5">
        <v>5.64</v>
      </c>
      <c r="L159" s="5">
        <v>0</v>
      </c>
      <c r="M159" s="5">
        <v>79.900000000000006</v>
      </c>
      <c r="N159" s="5">
        <v>14.46</v>
      </c>
      <c r="O159" s="5" t="s">
        <v>291</v>
      </c>
      <c r="P159" s="5" t="s">
        <v>291</v>
      </c>
      <c r="Q159" s="5" t="s">
        <v>291</v>
      </c>
      <c r="R159" s="5">
        <v>750</v>
      </c>
      <c r="S159" s="5" t="s">
        <v>39</v>
      </c>
      <c r="T159" s="5" t="s">
        <v>75</v>
      </c>
      <c r="U159" s="5" t="s">
        <v>291</v>
      </c>
      <c r="V159" s="5">
        <f>2.41*((100-F159)/100)</f>
        <v>1.1613790000000002</v>
      </c>
      <c r="W159" s="5" t="s">
        <v>291</v>
      </c>
      <c r="X159" s="5" t="s">
        <v>161</v>
      </c>
      <c r="Y159" s="5" t="s">
        <v>292</v>
      </c>
      <c r="Z159" s="5" t="s">
        <v>291</v>
      </c>
      <c r="AA159" s="5">
        <v>1</v>
      </c>
      <c r="AB159" s="5" t="s">
        <v>294</v>
      </c>
      <c r="AC159" s="5">
        <v>0</v>
      </c>
      <c r="AD159" s="5">
        <v>40.47</v>
      </c>
      <c r="AE159" s="5">
        <v>13.26</v>
      </c>
      <c r="AF159" s="5">
        <v>36.76</v>
      </c>
      <c r="AG159" s="5">
        <v>5.89</v>
      </c>
      <c r="AH159" s="5">
        <v>3.62</v>
      </c>
      <c r="AI159" s="5">
        <f>(AD159*Calculations!$B$23+AE159*Calculations!$B$21+AG159*Calculations!$B$22+AH159*Calculations!$B$24)/100</f>
        <v>10.304867999999999</v>
      </c>
      <c r="AJ159" s="5">
        <v>63.157894736842103</v>
      </c>
      <c r="AK159" s="5">
        <v>0.95</v>
      </c>
      <c r="AL159" s="5">
        <v>170</v>
      </c>
      <c r="AM159" s="5">
        <f t="shared" si="100"/>
        <v>48.25565435993493</v>
      </c>
      <c r="AN159" s="5">
        <v>62.03</v>
      </c>
      <c r="AO159" s="11" t="s">
        <v>162</v>
      </c>
    </row>
    <row r="160" spans="1:41" x14ac:dyDescent="0.3">
      <c r="A160" s="11">
        <v>159</v>
      </c>
      <c r="B160" s="3" t="s">
        <v>157</v>
      </c>
      <c r="C160" s="3" t="s">
        <v>159</v>
      </c>
      <c r="D160" s="5">
        <v>5</v>
      </c>
      <c r="E160" s="5">
        <v>20.286999999999999</v>
      </c>
      <c r="F160" s="5">
        <v>51.81</v>
      </c>
      <c r="G160" s="5">
        <v>5.76</v>
      </c>
      <c r="H160" s="5">
        <v>0.26</v>
      </c>
      <c r="I160" s="5">
        <v>0.36</v>
      </c>
      <c r="J160" s="5">
        <v>41.81</v>
      </c>
      <c r="K160" s="5">
        <v>5.64</v>
      </c>
      <c r="L160" s="5">
        <v>0</v>
      </c>
      <c r="M160" s="5">
        <v>79.900000000000006</v>
      </c>
      <c r="N160" s="5">
        <v>14.46</v>
      </c>
      <c r="O160" s="5" t="s">
        <v>291</v>
      </c>
      <c r="P160" s="5" t="s">
        <v>291</v>
      </c>
      <c r="Q160" s="5" t="s">
        <v>291</v>
      </c>
      <c r="R160" s="5">
        <v>800</v>
      </c>
      <c r="S160" s="5" t="s">
        <v>39</v>
      </c>
      <c r="T160" s="5" t="s">
        <v>75</v>
      </c>
      <c r="U160" s="5" t="s">
        <v>291</v>
      </c>
      <c r="V160" s="5">
        <f>2.41*((100-F160)/100)</f>
        <v>1.1613790000000002</v>
      </c>
      <c r="W160" s="5" t="s">
        <v>291</v>
      </c>
      <c r="X160" s="5" t="s">
        <v>161</v>
      </c>
      <c r="Y160" s="5" t="s">
        <v>292</v>
      </c>
      <c r="Z160" s="5" t="s">
        <v>291</v>
      </c>
      <c r="AA160" s="5">
        <v>1</v>
      </c>
      <c r="AB160" s="5" t="s">
        <v>294</v>
      </c>
      <c r="AC160" s="5">
        <v>0</v>
      </c>
      <c r="AD160" s="5">
        <v>46.54</v>
      </c>
      <c r="AE160" s="5">
        <v>14.65</v>
      </c>
      <c r="AF160" s="5">
        <v>32.61</v>
      </c>
      <c r="AG160" s="5">
        <v>2.87</v>
      </c>
      <c r="AH160" s="5">
        <v>3.33</v>
      </c>
      <c r="AI160" s="5">
        <f>(AD160*Calculations!$B$23+AE160*Calculations!$B$21+AG160*Calculations!$B$22+AH160*Calculations!$B$24)/100</f>
        <v>9.8789028999999999</v>
      </c>
      <c r="AJ160" s="5">
        <v>31.25</v>
      </c>
      <c r="AK160" s="5">
        <v>1.28</v>
      </c>
      <c r="AL160" s="5">
        <v>155</v>
      </c>
      <c r="AM160" s="5">
        <f t="shared" si="100"/>
        <v>62.330535377335245</v>
      </c>
      <c r="AN160" s="5">
        <v>75.16</v>
      </c>
      <c r="AO160" s="11" t="s">
        <v>162</v>
      </c>
    </row>
    <row r="161" spans="1:41" x14ac:dyDescent="0.3">
      <c r="A161" s="11">
        <v>160</v>
      </c>
      <c r="B161" s="3" t="s">
        <v>157</v>
      </c>
      <c r="C161" s="3" t="s">
        <v>159</v>
      </c>
      <c r="D161" s="5">
        <v>5</v>
      </c>
      <c r="E161" s="5">
        <v>20.286999999999999</v>
      </c>
      <c r="F161" s="5">
        <v>51.81</v>
      </c>
      <c r="G161" s="5">
        <v>5.76</v>
      </c>
      <c r="H161" s="5">
        <v>0.26</v>
      </c>
      <c r="I161" s="5">
        <v>0.36</v>
      </c>
      <c r="J161" s="5">
        <v>41.81</v>
      </c>
      <c r="K161" s="5">
        <v>5.64</v>
      </c>
      <c r="L161" s="5">
        <v>0</v>
      </c>
      <c r="M161" s="5">
        <v>79.900000000000006</v>
      </c>
      <c r="N161" s="5">
        <v>14.46</v>
      </c>
      <c r="O161" s="5" t="s">
        <v>291</v>
      </c>
      <c r="P161" s="5" t="s">
        <v>291</v>
      </c>
      <c r="Q161" s="5" t="s">
        <v>291</v>
      </c>
      <c r="R161" s="5">
        <v>850</v>
      </c>
      <c r="S161" s="5" t="s">
        <v>39</v>
      </c>
      <c r="T161" s="5" t="s">
        <v>75</v>
      </c>
      <c r="U161" s="5" t="s">
        <v>291</v>
      </c>
      <c r="V161" s="5">
        <f>2.41*((100-F161)/100)</f>
        <v>1.1613790000000002</v>
      </c>
      <c r="W161" s="5" t="s">
        <v>291</v>
      </c>
      <c r="X161" s="5" t="s">
        <v>161</v>
      </c>
      <c r="Y161" s="5" t="s">
        <v>292</v>
      </c>
      <c r="Z161" s="5" t="s">
        <v>291</v>
      </c>
      <c r="AA161" s="5">
        <v>1</v>
      </c>
      <c r="AB161" s="5" t="s">
        <v>294</v>
      </c>
      <c r="AC161" s="5">
        <v>0</v>
      </c>
      <c r="AD161" s="5">
        <v>51.16</v>
      </c>
      <c r="AE161" s="5">
        <v>15.66</v>
      </c>
      <c r="AF161" s="5">
        <v>28.23</v>
      </c>
      <c r="AG161" s="5">
        <v>2.14</v>
      </c>
      <c r="AH161" s="5">
        <v>2.81</v>
      </c>
      <c r="AI161" s="5">
        <f>(AD161*Calculations!$B$23+AE161*Calculations!$B$21+AG161*Calculations!$B$22+AH161*Calculations!$B$24)/100</f>
        <v>9.9335484999999988</v>
      </c>
      <c r="AJ161" s="5">
        <v>3.1818181818181821</v>
      </c>
      <c r="AK161" s="5">
        <v>1.32</v>
      </c>
      <c r="AL161" s="5">
        <v>100</v>
      </c>
      <c r="AM161" s="5">
        <f t="shared" si="100"/>
        <v>64.633923300635871</v>
      </c>
      <c r="AN161" s="5">
        <v>70.5</v>
      </c>
      <c r="AO161" s="11" t="s">
        <v>162</v>
      </c>
    </row>
    <row r="162" spans="1:41" x14ac:dyDescent="0.3">
      <c r="A162" s="11">
        <v>161</v>
      </c>
      <c r="B162" s="3" t="s">
        <v>157</v>
      </c>
      <c r="C162" s="3" t="s">
        <v>159</v>
      </c>
      <c r="D162" s="5">
        <v>5</v>
      </c>
      <c r="E162" s="5">
        <v>20.286999999999999</v>
      </c>
      <c r="F162" s="5">
        <v>51.81</v>
      </c>
      <c r="G162" s="5">
        <v>5.76</v>
      </c>
      <c r="H162" s="5">
        <v>0.26</v>
      </c>
      <c r="I162" s="5">
        <v>0.36</v>
      </c>
      <c r="J162" s="5">
        <v>41.81</v>
      </c>
      <c r="K162" s="5">
        <v>5.64</v>
      </c>
      <c r="L162" s="5">
        <v>0</v>
      </c>
      <c r="M162" s="5">
        <v>79.900000000000006</v>
      </c>
      <c r="N162" s="5">
        <v>14.46</v>
      </c>
      <c r="O162" s="5" t="s">
        <v>291</v>
      </c>
      <c r="P162" s="5" t="s">
        <v>291</v>
      </c>
      <c r="Q162" s="5" t="s">
        <v>291</v>
      </c>
      <c r="R162" s="5">
        <v>900</v>
      </c>
      <c r="S162" s="5" t="s">
        <v>39</v>
      </c>
      <c r="T162" s="5" t="s">
        <v>75</v>
      </c>
      <c r="U162" s="5" t="s">
        <v>291</v>
      </c>
      <c r="V162" s="5">
        <f>2.41*((100-F162)/100)</f>
        <v>1.1613790000000002</v>
      </c>
      <c r="W162" s="5" t="s">
        <v>291</v>
      </c>
      <c r="X162" s="5" t="s">
        <v>161</v>
      </c>
      <c r="Y162" s="5" t="s">
        <v>292</v>
      </c>
      <c r="Z162" s="5" t="s">
        <v>291</v>
      </c>
      <c r="AA162" s="5">
        <v>1</v>
      </c>
      <c r="AB162" s="5" t="s">
        <v>294</v>
      </c>
      <c r="AC162" s="5">
        <v>0</v>
      </c>
      <c r="AD162" s="5">
        <v>54.22</v>
      </c>
      <c r="AE162" s="5">
        <v>22.72</v>
      </c>
      <c r="AF162" s="5">
        <v>20.61</v>
      </c>
      <c r="AG162" s="5">
        <v>1.33</v>
      </c>
      <c r="AH162" s="5">
        <v>1.1200000000000001</v>
      </c>
      <c r="AI162" s="5">
        <f>(AD162*Calculations!$B$23+AE162*Calculations!$B$21+AG162*Calculations!$B$22+AH162*Calculations!$B$24)/100</f>
        <v>9.8599224999999997</v>
      </c>
      <c r="AJ162" s="5">
        <v>0</v>
      </c>
      <c r="AK162" s="5">
        <v>1.75</v>
      </c>
      <c r="AL162" s="5">
        <v>90</v>
      </c>
      <c r="AM162" s="5">
        <f t="shared" si="100"/>
        <v>85.053799847192792</v>
      </c>
      <c r="AN162" s="5">
        <v>84.87</v>
      </c>
      <c r="AO162" s="11" t="s">
        <v>162</v>
      </c>
    </row>
    <row r="163" spans="1:41" x14ac:dyDescent="0.3">
      <c r="A163" s="11">
        <v>162</v>
      </c>
      <c r="B163" s="3" t="s">
        <v>157</v>
      </c>
      <c r="C163" s="3" t="s">
        <v>159</v>
      </c>
      <c r="D163" s="5">
        <v>5</v>
      </c>
      <c r="E163" s="5">
        <v>20.286999999999999</v>
      </c>
      <c r="F163" s="5">
        <v>51.81</v>
      </c>
      <c r="G163" s="5">
        <v>5.76</v>
      </c>
      <c r="H163" s="5">
        <v>0.26</v>
      </c>
      <c r="I163" s="5">
        <v>0.36</v>
      </c>
      <c r="J163" s="5">
        <v>41.81</v>
      </c>
      <c r="K163" s="5">
        <v>5.64</v>
      </c>
      <c r="L163" s="5">
        <v>0</v>
      </c>
      <c r="M163" s="5">
        <v>79.900000000000006</v>
      </c>
      <c r="N163" s="5">
        <v>14.46</v>
      </c>
      <c r="O163" s="5" t="s">
        <v>291</v>
      </c>
      <c r="P163" s="5" t="s">
        <v>291</v>
      </c>
      <c r="Q163" s="5" t="s">
        <v>291</v>
      </c>
      <c r="R163" s="5">
        <v>900</v>
      </c>
      <c r="S163" s="5" t="s">
        <v>39</v>
      </c>
      <c r="T163" s="5" t="s">
        <v>75</v>
      </c>
      <c r="U163" s="5" t="s">
        <v>291</v>
      </c>
      <c r="V163" s="5">
        <v>0.25058800000000003</v>
      </c>
      <c r="W163" s="5" t="s">
        <v>291</v>
      </c>
      <c r="X163" s="5" t="s">
        <v>161</v>
      </c>
      <c r="Y163" s="5" t="s">
        <v>292</v>
      </c>
      <c r="Z163" s="5" t="s">
        <v>291</v>
      </c>
      <c r="AA163" s="5">
        <v>1</v>
      </c>
      <c r="AB163" s="5" t="s">
        <v>294</v>
      </c>
      <c r="AC163" s="5">
        <v>0</v>
      </c>
      <c r="AD163" s="5">
        <v>38.619999999999997</v>
      </c>
      <c r="AE163" s="5">
        <v>47.57</v>
      </c>
      <c r="AF163" s="5">
        <v>12.11</v>
      </c>
      <c r="AG163" s="5">
        <v>0.61</v>
      </c>
      <c r="AH163" s="5">
        <v>1.0899999999999999</v>
      </c>
      <c r="AI163" s="5">
        <f>(AD163*Calculations!$B$23+AE163*Calculations!$B$21+AG163*Calculations!$B$22+AH163*Calculations!$B$24)/100</f>
        <v>11.040880299999996</v>
      </c>
      <c r="AJ163" s="5">
        <v>14.87179487179487</v>
      </c>
      <c r="AK163" s="5">
        <v>0.78</v>
      </c>
      <c r="AL163" s="5">
        <v>145.39999999999998</v>
      </c>
      <c r="AM163" s="5">
        <f t="shared" si="100"/>
        <v>42.450271770099071</v>
      </c>
      <c r="AN163" s="5">
        <v>50.38</v>
      </c>
      <c r="AO163" s="11" t="s">
        <v>162</v>
      </c>
    </row>
    <row r="164" spans="1:41" x14ac:dyDescent="0.3">
      <c r="A164" s="11">
        <v>163</v>
      </c>
      <c r="B164" s="3" t="s">
        <v>157</v>
      </c>
      <c r="C164" s="3" t="s">
        <v>159</v>
      </c>
      <c r="D164" s="5">
        <v>5</v>
      </c>
      <c r="E164" s="5">
        <v>20.286999999999999</v>
      </c>
      <c r="F164" s="5">
        <v>51.81</v>
      </c>
      <c r="G164" s="5">
        <v>5.76</v>
      </c>
      <c r="H164" s="5">
        <v>0.26</v>
      </c>
      <c r="I164" s="5">
        <v>0.36</v>
      </c>
      <c r="J164" s="5">
        <v>41.81</v>
      </c>
      <c r="K164" s="5">
        <v>5.64</v>
      </c>
      <c r="L164" s="5">
        <v>0</v>
      </c>
      <c r="M164" s="5">
        <v>79.900000000000006</v>
      </c>
      <c r="N164" s="5">
        <v>14.46</v>
      </c>
      <c r="O164" s="5" t="s">
        <v>291</v>
      </c>
      <c r="P164" s="5" t="s">
        <v>291</v>
      </c>
      <c r="Q164" s="5" t="s">
        <v>291</v>
      </c>
      <c r="R164" s="5">
        <v>900</v>
      </c>
      <c r="S164" s="5" t="s">
        <v>39</v>
      </c>
      <c r="T164" s="5" t="s">
        <v>75</v>
      </c>
      <c r="U164" s="5" t="s">
        <v>291</v>
      </c>
      <c r="V164" s="5">
        <v>0.40479599999999999</v>
      </c>
      <c r="W164" s="5" t="s">
        <v>291</v>
      </c>
      <c r="X164" s="5" t="s">
        <v>161</v>
      </c>
      <c r="Y164" s="5" t="s">
        <v>292</v>
      </c>
      <c r="Z164" s="5" t="s">
        <v>291</v>
      </c>
      <c r="AA164" s="5">
        <v>1</v>
      </c>
      <c r="AB164" s="5" t="s">
        <v>294</v>
      </c>
      <c r="AC164" s="5">
        <v>0</v>
      </c>
      <c r="AD164" s="5">
        <v>40.92</v>
      </c>
      <c r="AE164" s="5">
        <v>42.33</v>
      </c>
      <c r="AF164" s="5">
        <v>13.28</v>
      </c>
      <c r="AG164" s="5">
        <v>2.44</v>
      </c>
      <c r="AH164" s="5">
        <v>1.03</v>
      </c>
      <c r="AI164" s="5">
        <f>(AD164*Calculations!$B$23+AE164*Calculations!$B$21+AG164*Calculations!$B$22+AH164*Calculations!$B$24)/100</f>
        <v>11.247904799999999</v>
      </c>
      <c r="AJ164" s="5">
        <v>6.7032967032967017</v>
      </c>
      <c r="AK164" s="5">
        <v>0.91</v>
      </c>
      <c r="AL164" s="5">
        <v>131.1</v>
      </c>
      <c r="AM164" s="5">
        <f t="shared" si="100"/>
        <v>50.453952619904371</v>
      </c>
      <c r="AN164" s="5">
        <v>54.68</v>
      </c>
      <c r="AO164" s="11" t="s">
        <v>162</v>
      </c>
    </row>
    <row r="165" spans="1:41" x14ac:dyDescent="0.3">
      <c r="A165" s="11">
        <v>164</v>
      </c>
      <c r="B165" s="3" t="s">
        <v>157</v>
      </c>
      <c r="C165" s="3" t="s">
        <v>159</v>
      </c>
      <c r="D165" s="5">
        <v>5</v>
      </c>
      <c r="E165" s="5">
        <v>20.286999999999999</v>
      </c>
      <c r="F165" s="5">
        <v>51.81</v>
      </c>
      <c r="G165" s="5">
        <v>5.76</v>
      </c>
      <c r="H165" s="5">
        <v>0.26</v>
      </c>
      <c r="I165" s="5">
        <v>0.36</v>
      </c>
      <c r="J165" s="5">
        <v>41.81</v>
      </c>
      <c r="K165" s="5">
        <v>5.64</v>
      </c>
      <c r="L165" s="5">
        <v>0</v>
      </c>
      <c r="M165" s="5">
        <v>79.900000000000006</v>
      </c>
      <c r="N165" s="5">
        <v>14.46</v>
      </c>
      <c r="O165" s="5" t="s">
        <v>291</v>
      </c>
      <c r="P165" s="5" t="s">
        <v>291</v>
      </c>
      <c r="Q165" s="5" t="s">
        <v>291</v>
      </c>
      <c r="R165" s="5">
        <v>900</v>
      </c>
      <c r="S165" s="5" t="s">
        <v>39</v>
      </c>
      <c r="T165" s="5" t="s">
        <v>75</v>
      </c>
      <c r="U165" s="5" t="s">
        <v>291</v>
      </c>
      <c r="V165" s="5">
        <v>0.73248800000000003</v>
      </c>
      <c r="W165" s="5" t="s">
        <v>291</v>
      </c>
      <c r="X165" s="5" t="s">
        <v>161</v>
      </c>
      <c r="Y165" s="5" t="s">
        <v>292</v>
      </c>
      <c r="Z165" s="5" t="s">
        <v>291</v>
      </c>
      <c r="AA165" s="5">
        <v>1</v>
      </c>
      <c r="AB165" s="5" t="s">
        <v>294</v>
      </c>
      <c r="AC165" s="5">
        <v>0</v>
      </c>
      <c r="AD165" s="5">
        <v>52.7</v>
      </c>
      <c r="AE165" s="5">
        <v>25.91</v>
      </c>
      <c r="AF165" s="5">
        <v>17.75</v>
      </c>
      <c r="AG165" s="5">
        <v>2.2599999999999998</v>
      </c>
      <c r="AH165" s="5">
        <v>1.3800000000000001</v>
      </c>
      <c r="AI165" s="5">
        <f>(AD165*Calculations!$B$23+AE165*Calculations!$B$21+AG165*Calculations!$B$22+AH165*Calculations!$B$24)/100</f>
        <v>10.587313699999999</v>
      </c>
      <c r="AJ165" s="5">
        <v>0</v>
      </c>
      <c r="AK165" s="5">
        <v>1.1399999999999999</v>
      </c>
      <c r="AL165" s="5">
        <v>96.7</v>
      </c>
      <c r="AM165" s="5">
        <f t="shared" si="100"/>
        <v>59.493949908808595</v>
      </c>
      <c r="AN165" s="5">
        <v>57.38</v>
      </c>
      <c r="AO165" s="11" t="s">
        <v>162</v>
      </c>
    </row>
    <row r="166" spans="1:41" x14ac:dyDescent="0.3">
      <c r="A166" s="11">
        <v>165</v>
      </c>
      <c r="B166" s="3" t="s">
        <v>157</v>
      </c>
      <c r="C166" s="3" t="s">
        <v>159</v>
      </c>
      <c r="D166" s="5">
        <v>5</v>
      </c>
      <c r="E166" s="5">
        <v>20.286999999999999</v>
      </c>
      <c r="F166" s="5">
        <v>51.81</v>
      </c>
      <c r="G166" s="5">
        <v>5.76</v>
      </c>
      <c r="H166" s="5">
        <v>0.26</v>
      </c>
      <c r="I166" s="5">
        <v>0.36</v>
      </c>
      <c r="J166" s="5">
        <v>41.81</v>
      </c>
      <c r="K166" s="5">
        <v>5.64</v>
      </c>
      <c r="L166" s="5">
        <v>0</v>
      </c>
      <c r="M166" s="5">
        <v>79.900000000000006</v>
      </c>
      <c r="N166" s="5">
        <v>14.46</v>
      </c>
      <c r="O166" s="5" t="s">
        <v>291</v>
      </c>
      <c r="P166" s="5" t="s">
        <v>291</v>
      </c>
      <c r="Q166" s="5" t="s">
        <v>291</v>
      </c>
      <c r="R166" s="5">
        <v>900</v>
      </c>
      <c r="S166" s="5" t="s">
        <v>39</v>
      </c>
      <c r="T166" s="5" t="s">
        <v>75</v>
      </c>
      <c r="U166" s="5" t="s">
        <v>291</v>
      </c>
      <c r="V166" s="5">
        <v>0.90597199999999989</v>
      </c>
      <c r="W166" s="5" t="s">
        <v>291</v>
      </c>
      <c r="X166" s="5" t="s">
        <v>161</v>
      </c>
      <c r="Y166" s="5" t="s">
        <v>292</v>
      </c>
      <c r="Z166" s="5" t="s">
        <v>291</v>
      </c>
      <c r="AA166" s="5">
        <v>1</v>
      </c>
      <c r="AB166" s="5" t="s">
        <v>294</v>
      </c>
      <c r="AC166" s="5">
        <v>0</v>
      </c>
      <c r="AD166" s="5">
        <v>53.94</v>
      </c>
      <c r="AE166" s="5">
        <v>23.57</v>
      </c>
      <c r="AF166" s="5">
        <v>20.8</v>
      </c>
      <c r="AG166" s="5">
        <v>1.34</v>
      </c>
      <c r="AH166" s="5">
        <v>0.35</v>
      </c>
      <c r="AI166" s="5">
        <f>(AD166*Calculations!$B$23+AE166*Calculations!$B$21+AG166*Calculations!$B$22+AH166*Calculations!$B$24)/100</f>
        <v>9.4828799999999998</v>
      </c>
      <c r="AJ166" s="5">
        <v>0</v>
      </c>
      <c r="AK166" s="5">
        <v>1.31</v>
      </c>
      <c r="AL166" s="5">
        <v>96.199999999999989</v>
      </c>
      <c r="AM166" s="5">
        <f t="shared" si="100"/>
        <v>61.234153891654756</v>
      </c>
      <c r="AN166" s="5">
        <v>62.86</v>
      </c>
      <c r="AO166" s="11" t="s">
        <v>162</v>
      </c>
    </row>
    <row r="167" spans="1:41" x14ac:dyDescent="0.3">
      <c r="A167" s="11">
        <v>166</v>
      </c>
      <c r="B167" s="3" t="s">
        <v>157</v>
      </c>
      <c r="C167" s="3" t="s">
        <v>159</v>
      </c>
      <c r="D167" s="5">
        <v>5</v>
      </c>
      <c r="E167" s="5">
        <v>20.286999999999999</v>
      </c>
      <c r="F167" s="5">
        <v>51.81</v>
      </c>
      <c r="G167" s="5">
        <v>5.76</v>
      </c>
      <c r="H167" s="5">
        <v>0.26</v>
      </c>
      <c r="I167" s="5">
        <v>0.36</v>
      </c>
      <c r="J167" s="5">
        <v>41.81</v>
      </c>
      <c r="K167" s="5">
        <v>5.64</v>
      </c>
      <c r="L167" s="5">
        <v>0</v>
      </c>
      <c r="M167" s="5">
        <v>79.900000000000006</v>
      </c>
      <c r="N167" s="5">
        <v>14.46</v>
      </c>
      <c r="O167" s="5" t="s">
        <v>291</v>
      </c>
      <c r="P167" s="5" t="s">
        <v>291</v>
      </c>
      <c r="Q167" s="5" t="s">
        <v>291</v>
      </c>
      <c r="R167" s="5">
        <v>900</v>
      </c>
      <c r="S167" s="5" t="s">
        <v>39</v>
      </c>
      <c r="T167" s="5" t="s">
        <v>75</v>
      </c>
      <c r="U167" s="5" t="s">
        <v>291</v>
      </c>
      <c r="V167" s="5">
        <v>1.1613790000000002</v>
      </c>
      <c r="W167" s="5" t="s">
        <v>291</v>
      </c>
      <c r="X167" s="5" t="s">
        <v>161</v>
      </c>
      <c r="Y167" s="5" t="s">
        <v>292</v>
      </c>
      <c r="Z167" s="5" t="s">
        <v>291</v>
      </c>
      <c r="AA167" s="5">
        <v>1</v>
      </c>
      <c r="AB167" s="5" t="s">
        <v>294</v>
      </c>
      <c r="AC167" s="5">
        <v>0</v>
      </c>
      <c r="AD167" s="5">
        <v>54.22</v>
      </c>
      <c r="AE167" s="5">
        <v>22.72</v>
      </c>
      <c r="AF167" s="5">
        <v>20.61</v>
      </c>
      <c r="AG167" s="5">
        <v>1.33</v>
      </c>
      <c r="AH167" s="5">
        <v>1.1200000000000001</v>
      </c>
      <c r="AI167" s="5">
        <f>(AD167*Calculations!$B$23+AE167*Calculations!$B$21+AG167*Calculations!$B$22+AH167*Calculations!$B$24)/100</f>
        <v>9.8599224999999997</v>
      </c>
      <c r="AJ167" s="5">
        <v>0</v>
      </c>
      <c r="AK167" s="5">
        <v>1.75</v>
      </c>
      <c r="AL167" s="5">
        <v>94.5</v>
      </c>
      <c r="AM167" s="5">
        <f t="shared" si="100"/>
        <v>85.053799847192792</v>
      </c>
      <c r="AN167" s="5">
        <v>84.87</v>
      </c>
      <c r="AO167" s="11" t="s">
        <v>162</v>
      </c>
    </row>
    <row r="168" spans="1:41" x14ac:dyDescent="0.3">
      <c r="A168" s="11">
        <v>167</v>
      </c>
      <c r="B168" s="3" t="s">
        <v>289</v>
      </c>
      <c r="C168" s="3" t="s">
        <v>290</v>
      </c>
      <c r="D168" s="5">
        <v>1.5</v>
      </c>
      <c r="E168" s="5">
        <f>18.46-(9*((G168/100*((100+L168)/100)))*Calculations!$B$16)</f>
        <v>17.19534349576</v>
      </c>
      <c r="F168" s="5">
        <v>49.74</v>
      </c>
      <c r="G168" s="5">
        <v>5.68</v>
      </c>
      <c r="H168" s="5">
        <v>1.02</v>
      </c>
      <c r="I168" s="5">
        <v>0.27</v>
      </c>
      <c r="J168" s="5">
        <v>43.36</v>
      </c>
      <c r="K168" s="5">
        <v>4.3099999999999996</v>
      </c>
      <c r="L168" s="5">
        <v>9.61</v>
      </c>
      <c r="M168" s="5">
        <v>80.92</v>
      </c>
      <c r="N168" s="5">
        <v>14.67</v>
      </c>
      <c r="O168" s="5" t="s">
        <v>291</v>
      </c>
      <c r="P168" s="5" t="s">
        <v>291</v>
      </c>
      <c r="Q168" s="5" t="s">
        <v>291</v>
      </c>
      <c r="R168" s="5">
        <v>675</v>
      </c>
      <c r="S168" s="5" t="s">
        <v>39</v>
      </c>
      <c r="T168" s="5" t="s">
        <v>75</v>
      </c>
      <c r="U168" s="5" t="s">
        <v>291</v>
      </c>
      <c r="V168" s="5">
        <v>2</v>
      </c>
      <c r="W168" s="5" t="s">
        <v>291</v>
      </c>
      <c r="X168" s="5" t="s">
        <v>161</v>
      </c>
      <c r="Y168" s="5" t="s">
        <v>79</v>
      </c>
      <c r="Z168" s="5" t="s">
        <v>170</v>
      </c>
      <c r="AA168" s="5">
        <v>1</v>
      </c>
      <c r="AB168" s="5" t="s">
        <v>293</v>
      </c>
      <c r="AC168" s="5">
        <v>11.688997524871013</v>
      </c>
      <c r="AD168" s="5">
        <v>55.200998547741086</v>
      </c>
      <c r="AE168" s="5">
        <v>12.687753504975037</v>
      </c>
      <c r="AF168" s="5">
        <v>10.171393206493558</v>
      </c>
      <c r="AG168" s="5">
        <v>10.250857215919289</v>
      </c>
      <c r="AH168" s="5" t="s">
        <v>291</v>
      </c>
      <c r="AI168" s="5">
        <v>12.72</v>
      </c>
      <c r="AJ168" s="5" t="s">
        <v>291</v>
      </c>
      <c r="AK168" s="5">
        <v>0.63</v>
      </c>
      <c r="AL168" s="5">
        <v>62.98</v>
      </c>
      <c r="AM168" s="5">
        <f t="shared" si="100"/>
        <v>46.603314449496054</v>
      </c>
      <c r="AN168" s="5">
        <v>23.12</v>
      </c>
      <c r="AO168" s="11" t="s">
        <v>211</v>
      </c>
    </row>
    <row r="169" spans="1:41" x14ac:dyDescent="0.3">
      <c r="A169" s="11">
        <v>168</v>
      </c>
      <c r="B169" s="3" t="s">
        <v>289</v>
      </c>
      <c r="C169" s="3" t="s">
        <v>290</v>
      </c>
      <c r="D169" s="5">
        <v>1.5</v>
      </c>
      <c r="E169" s="5">
        <f>18.46-(9*((G169/100*((100+L169)/100)))*Calculations!$B$16)</f>
        <v>17.19534349576</v>
      </c>
      <c r="F169" s="5">
        <v>49.74</v>
      </c>
      <c r="G169" s="5">
        <v>5.68</v>
      </c>
      <c r="H169" s="5">
        <v>1.02</v>
      </c>
      <c r="I169" s="5">
        <v>0.27</v>
      </c>
      <c r="J169" s="5">
        <v>43.36</v>
      </c>
      <c r="K169" s="5">
        <v>4.3099999999999996</v>
      </c>
      <c r="L169" s="5">
        <v>9.61</v>
      </c>
      <c r="M169" s="5">
        <v>80.92</v>
      </c>
      <c r="N169" s="5">
        <v>14.67</v>
      </c>
      <c r="O169" s="5" t="s">
        <v>291</v>
      </c>
      <c r="P169" s="5" t="s">
        <v>291</v>
      </c>
      <c r="Q169" s="5" t="s">
        <v>291</v>
      </c>
      <c r="R169" s="5">
        <v>675</v>
      </c>
      <c r="S169" s="5" t="s">
        <v>39</v>
      </c>
      <c r="T169" s="5" t="s">
        <v>75</v>
      </c>
      <c r="U169" s="5" t="s">
        <v>291</v>
      </c>
      <c r="V169" s="5">
        <v>2</v>
      </c>
      <c r="W169" s="5" t="s">
        <v>291</v>
      </c>
      <c r="X169" s="5" t="s">
        <v>161</v>
      </c>
      <c r="Y169" s="5" t="s">
        <v>79</v>
      </c>
      <c r="Z169" s="5" t="s">
        <v>170</v>
      </c>
      <c r="AA169" s="5">
        <v>1</v>
      </c>
      <c r="AB169" s="5" t="s">
        <v>293</v>
      </c>
      <c r="AC169" s="5">
        <v>12.964626114068679</v>
      </c>
      <c r="AD169" s="5">
        <v>71.471892687006914</v>
      </c>
      <c r="AE169" s="5">
        <v>5.6143430499475659</v>
      </c>
      <c r="AF169" s="5">
        <v>0</v>
      </c>
      <c r="AG169" s="5">
        <v>9.9491381489768482</v>
      </c>
      <c r="AH169" s="5" t="s">
        <v>291</v>
      </c>
      <c r="AI169" s="5">
        <v>13.78</v>
      </c>
      <c r="AJ169" s="5" t="s">
        <v>291</v>
      </c>
      <c r="AK169" s="5">
        <v>1.19</v>
      </c>
      <c r="AL169" s="5">
        <v>27.33</v>
      </c>
      <c r="AM169" s="5">
        <f t="shared" si="100"/>
        <v>95.364189753135449</v>
      </c>
      <c r="AN169" s="5">
        <v>20.96</v>
      </c>
      <c r="AO169" s="11" t="s">
        <v>211</v>
      </c>
    </row>
    <row r="170" spans="1:41" x14ac:dyDescent="0.3">
      <c r="A170" s="11">
        <v>169</v>
      </c>
      <c r="B170" s="3" t="s">
        <v>289</v>
      </c>
      <c r="C170" s="3" t="s">
        <v>290</v>
      </c>
      <c r="D170" s="5">
        <v>1.5</v>
      </c>
      <c r="E170" s="5">
        <f>18.46-(9*((G170/100*((100+L170)/100)))*Calculations!$B$16)</f>
        <v>17.19534349576</v>
      </c>
      <c r="F170" s="5">
        <v>49.74</v>
      </c>
      <c r="G170" s="5">
        <v>5.68</v>
      </c>
      <c r="H170" s="5">
        <v>1.02</v>
      </c>
      <c r="I170" s="5">
        <v>0.27</v>
      </c>
      <c r="J170" s="5">
        <v>43.36</v>
      </c>
      <c r="K170" s="5">
        <v>4.3099999999999996</v>
      </c>
      <c r="L170" s="5">
        <v>9.61</v>
      </c>
      <c r="M170" s="5">
        <v>80.92</v>
      </c>
      <c r="N170" s="5">
        <v>14.67</v>
      </c>
      <c r="O170" s="5" t="s">
        <v>291</v>
      </c>
      <c r="P170" s="5" t="s">
        <v>291</v>
      </c>
      <c r="Q170" s="5" t="s">
        <v>291</v>
      </c>
      <c r="R170" s="5">
        <v>675</v>
      </c>
      <c r="S170" s="5" t="s">
        <v>39</v>
      </c>
      <c r="T170" s="5" t="s">
        <v>75</v>
      </c>
      <c r="U170" s="5" t="s">
        <v>291</v>
      </c>
      <c r="V170" s="5">
        <v>2</v>
      </c>
      <c r="W170" s="5" t="s">
        <v>291</v>
      </c>
      <c r="X170" s="5" t="s">
        <v>161</v>
      </c>
      <c r="Y170" s="5" t="s">
        <v>79</v>
      </c>
      <c r="Z170" s="5" t="s">
        <v>170</v>
      </c>
      <c r="AA170" s="5">
        <v>1</v>
      </c>
      <c r="AB170" s="5" t="s">
        <v>293</v>
      </c>
      <c r="AC170" s="5">
        <v>12.740692141230866</v>
      </c>
      <c r="AD170" s="5">
        <v>73.846210931183563</v>
      </c>
      <c r="AE170" s="5">
        <v>3.7263450800774494</v>
      </c>
      <c r="AF170" s="5">
        <v>1.0035823986157066</v>
      </c>
      <c r="AG170" s="5">
        <v>8.6831694488924178</v>
      </c>
      <c r="AH170" s="5" t="s">
        <v>291</v>
      </c>
      <c r="AI170" s="5">
        <v>13.34</v>
      </c>
      <c r="AJ170" s="5" t="s">
        <v>291</v>
      </c>
      <c r="AK170" s="5">
        <v>1.3</v>
      </c>
      <c r="AL170" s="5">
        <v>23.62</v>
      </c>
      <c r="AM170" s="5">
        <f t="shared" si="100"/>
        <v>100.85288499340628</v>
      </c>
      <c r="AN170" s="5">
        <v>20.61</v>
      </c>
      <c r="AO170" s="11" t="s">
        <v>211</v>
      </c>
    </row>
    <row r="171" spans="1:41" x14ac:dyDescent="0.3">
      <c r="A171" s="11">
        <v>170</v>
      </c>
      <c r="B171" s="3" t="s">
        <v>289</v>
      </c>
      <c r="C171" s="3" t="s">
        <v>290</v>
      </c>
      <c r="D171" s="5">
        <f>(0.5+0.355)/2</f>
        <v>0.42749999999999999</v>
      </c>
      <c r="E171" s="5">
        <f>18.46-(9*((G171/100*((100+L171)/100)))*Calculations!$B$16)</f>
        <v>17.19534349576</v>
      </c>
      <c r="F171" s="5">
        <v>49.74</v>
      </c>
      <c r="G171" s="5">
        <v>5.68</v>
      </c>
      <c r="H171" s="5">
        <v>1.02</v>
      </c>
      <c r="I171" s="5">
        <v>0.27</v>
      </c>
      <c r="J171" s="5">
        <v>43.36</v>
      </c>
      <c r="K171" s="5">
        <v>4.3099999999999996</v>
      </c>
      <c r="L171" s="5">
        <v>9.61</v>
      </c>
      <c r="M171" s="5">
        <v>80.92</v>
      </c>
      <c r="N171" s="5">
        <v>14.67</v>
      </c>
      <c r="O171" s="5" t="s">
        <v>291</v>
      </c>
      <c r="P171" s="5" t="s">
        <v>291</v>
      </c>
      <c r="Q171" s="5" t="s">
        <v>291</v>
      </c>
      <c r="R171" s="5">
        <v>676</v>
      </c>
      <c r="S171" s="5" t="s">
        <v>39</v>
      </c>
      <c r="T171" s="5" t="s">
        <v>75</v>
      </c>
      <c r="U171" s="5" t="s">
        <v>291</v>
      </c>
      <c r="V171" s="5">
        <v>2</v>
      </c>
      <c r="W171" s="5" t="s">
        <v>291</v>
      </c>
      <c r="X171" s="5" t="s">
        <v>161</v>
      </c>
      <c r="Y171" s="5" t="s">
        <v>79</v>
      </c>
      <c r="Z171" s="5" t="s">
        <v>170</v>
      </c>
      <c r="AA171" s="5">
        <v>1</v>
      </c>
      <c r="AB171" s="5" t="s">
        <v>293</v>
      </c>
      <c r="AC171" s="5">
        <v>13.284786001261679</v>
      </c>
      <c r="AD171" s="5">
        <v>71.449244604378805</v>
      </c>
      <c r="AE171" s="5">
        <v>10.72345493516338</v>
      </c>
      <c r="AF171" s="5">
        <v>3.3895480029497831</v>
      </c>
      <c r="AG171" s="5">
        <v>1.1529664562463458</v>
      </c>
      <c r="AH171" s="5" t="s">
        <v>291</v>
      </c>
      <c r="AI171" s="5">
        <v>10.92</v>
      </c>
      <c r="AJ171" s="5" t="s">
        <v>291</v>
      </c>
      <c r="AK171" s="5">
        <v>1.2</v>
      </c>
      <c r="AL171" s="5">
        <v>25.91</v>
      </c>
      <c r="AM171" s="5">
        <f t="shared" si="100"/>
        <v>76.20667771615706</v>
      </c>
      <c r="AN171" s="5">
        <v>20.76</v>
      </c>
      <c r="AO171" s="11" t="s">
        <v>211</v>
      </c>
    </row>
    <row r="172" spans="1:41" x14ac:dyDescent="0.3">
      <c r="A172" s="11">
        <v>171</v>
      </c>
      <c r="B172" s="3" t="s">
        <v>157</v>
      </c>
      <c r="C172" s="3" t="s">
        <v>159</v>
      </c>
      <c r="D172" s="5">
        <v>5</v>
      </c>
      <c r="E172" s="5">
        <v>19.989999999999998</v>
      </c>
      <c r="F172" s="5">
        <f>(100/(100-K172))*49.51</f>
        <v>53.305340223944874</v>
      </c>
      <c r="G172" s="5">
        <f>(100/(100-K172))*6.42</f>
        <v>6.9121447028423768</v>
      </c>
      <c r="H172" s="5">
        <f>(100/(100-K172))*0.78</f>
        <v>0.83979328165374678</v>
      </c>
      <c r="I172" s="5">
        <f>(100/(100-K172))*0.48</f>
        <v>0.51679586563307489</v>
      </c>
      <c r="J172" s="5">
        <f>(100/(100-K172))*31.86</f>
        <v>34.302325581395344</v>
      </c>
      <c r="K172" s="5">
        <v>7.12</v>
      </c>
      <c r="L172" s="5">
        <v>9.34</v>
      </c>
      <c r="M172" s="5">
        <v>77.52</v>
      </c>
      <c r="N172" s="5">
        <v>15.36</v>
      </c>
      <c r="O172" s="5" t="s">
        <v>291</v>
      </c>
      <c r="P172" s="5" t="s">
        <v>291</v>
      </c>
      <c r="Q172" s="5" t="s">
        <v>291</v>
      </c>
      <c r="R172" s="5">
        <v>700</v>
      </c>
      <c r="S172" s="5" t="s">
        <v>39</v>
      </c>
      <c r="T172" s="5" t="s">
        <v>75</v>
      </c>
      <c r="U172" s="5" t="s">
        <v>291</v>
      </c>
      <c r="V172" s="5">
        <v>1.23</v>
      </c>
      <c r="W172" s="5" t="s">
        <v>291</v>
      </c>
      <c r="X172" s="5" t="s">
        <v>161</v>
      </c>
      <c r="Y172" s="5" t="s">
        <v>292</v>
      </c>
      <c r="Z172" s="5" t="s">
        <v>291</v>
      </c>
      <c r="AA172" s="5">
        <v>1</v>
      </c>
      <c r="AB172" s="5" t="s">
        <v>294</v>
      </c>
      <c r="AC172" s="5">
        <v>0</v>
      </c>
      <c r="AD172" s="5">
        <v>33</v>
      </c>
      <c r="AE172" s="5">
        <v>30</v>
      </c>
      <c r="AF172" s="5">
        <v>19</v>
      </c>
      <c r="AG172" s="5">
        <v>15.5</v>
      </c>
      <c r="AH172" s="5">
        <v>3</v>
      </c>
      <c r="AI172" s="5">
        <v>13.15</v>
      </c>
      <c r="AJ172" s="5">
        <v>1.85</v>
      </c>
      <c r="AK172" s="5">
        <v>1.03</v>
      </c>
      <c r="AL172" s="5" t="s">
        <v>291</v>
      </c>
      <c r="AM172" s="5">
        <f t="shared" si="100"/>
        <v>67.756378189094548</v>
      </c>
      <c r="AN172" s="5">
        <v>75.2</v>
      </c>
      <c r="AO172" s="11" t="s">
        <v>178</v>
      </c>
    </row>
    <row r="173" spans="1:41" x14ac:dyDescent="0.3">
      <c r="A173" s="11">
        <v>172</v>
      </c>
      <c r="B173" s="3" t="s">
        <v>157</v>
      </c>
      <c r="C173" s="3" t="s">
        <v>159</v>
      </c>
      <c r="D173" s="5">
        <v>5</v>
      </c>
      <c r="E173" s="5">
        <v>19.989999999999998</v>
      </c>
      <c r="F173" s="5">
        <f t="shared" ref="F173:F183" si="101">(100/(100-K173))*49.51</f>
        <v>53.305340223944874</v>
      </c>
      <c r="G173" s="5">
        <f t="shared" ref="G173:G183" si="102">(100/(100-K173))*6.42</f>
        <v>6.9121447028423768</v>
      </c>
      <c r="H173" s="5">
        <f t="shared" ref="H173:H183" si="103">(100/(100-K173))*0.78</f>
        <v>0.83979328165374678</v>
      </c>
      <c r="I173" s="5">
        <f t="shared" ref="I173:I183" si="104">(100/(100-K173))*0.48</f>
        <v>0.51679586563307489</v>
      </c>
      <c r="J173" s="5">
        <f t="shared" ref="J173:J183" si="105">(100/(100-K173))*31.86</f>
        <v>34.302325581395344</v>
      </c>
      <c r="K173" s="5">
        <v>7.12</v>
      </c>
      <c r="L173" s="5">
        <v>9.34</v>
      </c>
      <c r="M173" s="5">
        <v>77.52</v>
      </c>
      <c r="N173" s="5">
        <v>15.36</v>
      </c>
      <c r="O173" s="5" t="s">
        <v>291</v>
      </c>
      <c r="P173" s="5" t="s">
        <v>291</v>
      </c>
      <c r="Q173" s="5" t="s">
        <v>291</v>
      </c>
      <c r="R173" s="5">
        <v>750</v>
      </c>
      <c r="S173" s="5" t="s">
        <v>39</v>
      </c>
      <c r="T173" s="5" t="s">
        <v>75</v>
      </c>
      <c r="U173" s="5" t="s">
        <v>291</v>
      </c>
      <c r="V173" s="5">
        <v>1.23</v>
      </c>
      <c r="W173" s="5" t="s">
        <v>291</v>
      </c>
      <c r="X173" s="5" t="s">
        <v>161</v>
      </c>
      <c r="Y173" s="5" t="s">
        <v>292</v>
      </c>
      <c r="Z173" s="5" t="s">
        <v>291</v>
      </c>
      <c r="AA173" s="5">
        <v>1</v>
      </c>
      <c r="AB173" s="5" t="s">
        <v>294</v>
      </c>
      <c r="AC173" s="5">
        <v>0</v>
      </c>
      <c r="AD173" s="5">
        <v>47</v>
      </c>
      <c r="AE173" s="5">
        <v>24</v>
      </c>
      <c r="AF173" s="5">
        <v>19.5</v>
      </c>
      <c r="AG173" s="5">
        <v>7.5</v>
      </c>
      <c r="AH173" s="5">
        <v>3</v>
      </c>
      <c r="AI173" s="5">
        <v>10.85</v>
      </c>
      <c r="AJ173" s="5">
        <v>0.78</v>
      </c>
      <c r="AK173" s="5">
        <v>1.31</v>
      </c>
      <c r="AL173" s="5" t="s">
        <v>291</v>
      </c>
      <c r="AM173" s="5">
        <f t="shared" si="100"/>
        <v>71.103051525762879</v>
      </c>
      <c r="AN173" s="5">
        <v>75.8</v>
      </c>
      <c r="AO173" s="11" t="s">
        <v>178</v>
      </c>
    </row>
    <row r="174" spans="1:41" x14ac:dyDescent="0.3">
      <c r="A174" s="11">
        <v>173</v>
      </c>
      <c r="B174" s="3" t="s">
        <v>157</v>
      </c>
      <c r="C174" s="3" t="s">
        <v>159</v>
      </c>
      <c r="D174" s="5">
        <v>5</v>
      </c>
      <c r="E174" s="5">
        <v>19.989999999999998</v>
      </c>
      <c r="F174" s="5">
        <f t="shared" si="101"/>
        <v>53.305340223944874</v>
      </c>
      <c r="G174" s="5">
        <f t="shared" si="102"/>
        <v>6.9121447028423768</v>
      </c>
      <c r="H174" s="5">
        <f t="shared" si="103"/>
        <v>0.83979328165374678</v>
      </c>
      <c r="I174" s="5">
        <f t="shared" si="104"/>
        <v>0.51679586563307489</v>
      </c>
      <c r="J174" s="5">
        <f t="shared" si="105"/>
        <v>34.302325581395344</v>
      </c>
      <c r="K174" s="5">
        <v>7.12</v>
      </c>
      <c r="L174" s="5">
        <v>9.34</v>
      </c>
      <c r="M174" s="5">
        <v>77.52</v>
      </c>
      <c r="N174" s="5">
        <v>15.36</v>
      </c>
      <c r="O174" s="5" t="s">
        <v>291</v>
      </c>
      <c r="P174" s="5" t="s">
        <v>291</v>
      </c>
      <c r="Q174" s="5" t="s">
        <v>291</v>
      </c>
      <c r="R174" s="5">
        <v>800</v>
      </c>
      <c r="S174" s="5" t="s">
        <v>39</v>
      </c>
      <c r="T174" s="5" t="s">
        <v>75</v>
      </c>
      <c r="U174" s="5" t="s">
        <v>291</v>
      </c>
      <c r="V174" s="5">
        <v>1.23</v>
      </c>
      <c r="W174" s="5" t="s">
        <v>291</v>
      </c>
      <c r="X174" s="5" t="s">
        <v>161</v>
      </c>
      <c r="Y174" s="5" t="s">
        <v>292</v>
      </c>
      <c r="Z174" s="5" t="s">
        <v>291</v>
      </c>
      <c r="AA174" s="5">
        <v>1</v>
      </c>
      <c r="AB174" s="5" t="s">
        <v>294</v>
      </c>
      <c r="AC174" s="5">
        <v>0</v>
      </c>
      <c r="AD174" s="5">
        <v>57</v>
      </c>
      <c r="AE174" s="5">
        <v>15</v>
      </c>
      <c r="AF174" s="5">
        <v>21.5</v>
      </c>
      <c r="AG174" s="5">
        <v>4.5</v>
      </c>
      <c r="AH174" s="5">
        <v>2</v>
      </c>
      <c r="AI174" s="5">
        <v>9.76</v>
      </c>
      <c r="AJ174" s="5">
        <v>0.22</v>
      </c>
      <c r="AK174" s="5">
        <v>1.66</v>
      </c>
      <c r="AL174" s="5" t="s">
        <v>291</v>
      </c>
      <c r="AM174" s="5">
        <f t="shared" si="100"/>
        <v>81.048524262131068</v>
      </c>
      <c r="AN174" s="5">
        <v>78.5</v>
      </c>
      <c r="AO174" s="11" t="s">
        <v>178</v>
      </c>
    </row>
    <row r="175" spans="1:41" x14ac:dyDescent="0.3">
      <c r="A175" s="11">
        <v>174</v>
      </c>
      <c r="B175" s="3" t="s">
        <v>157</v>
      </c>
      <c r="C175" s="3" t="s">
        <v>159</v>
      </c>
      <c r="D175" s="5">
        <v>5</v>
      </c>
      <c r="E175" s="5">
        <v>19.989999999999998</v>
      </c>
      <c r="F175" s="5">
        <f t="shared" si="101"/>
        <v>53.305340223944874</v>
      </c>
      <c r="G175" s="5">
        <f t="shared" si="102"/>
        <v>6.9121447028423768</v>
      </c>
      <c r="H175" s="5">
        <f t="shared" si="103"/>
        <v>0.83979328165374678</v>
      </c>
      <c r="I175" s="5">
        <f t="shared" si="104"/>
        <v>0.51679586563307489</v>
      </c>
      <c r="J175" s="5">
        <f t="shared" si="105"/>
        <v>34.302325581395344</v>
      </c>
      <c r="K175" s="5">
        <v>7.12</v>
      </c>
      <c r="L175" s="5">
        <v>9.34</v>
      </c>
      <c r="M175" s="5">
        <v>77.52</v>
      </c>
      <c r="N175" s="5">
        <v>15.36</v>
      </c>
      <c r="O175" s="5" t="s">
        <v>291</v>
      </c>
      <c r="P175" s="5" t="s">
        <v>291</v>
      </c>
      <c r="Q175" s="5" t="s">
        <v>291</v>
      </c>
      <c r="R175" s="5">
        <v>850</v>
      </c>
      <c r="S175" s="5" t="s">
        <v>39</v>
      </c>
      <c r="T175" s="5" t="s">
        <v>75</v>
      </c>
      <c r="U175" s="5" t="s">
        <v>291</v>
      </c>
      <c r="V175" s="5">
        <v>1.23</v>
      </c>
      <c r="W175" s="5" t="s">
        <v>291</v>
      </c>
      <c r="X175" s="5" t="s">
        <v>161</v>
      </c>
      <c r="Y175" s="5" t="s">
        <v>292</v>
      </c>
      <c r="Z175" s="5" t="s">
        <v>291</v>
      </c>
      <c r="AA175" s="5">
        <v>1</v>
      </c>
      <c r="AB175" s="5" t="s">
        <v>294</v>
      </c>
      <c r="AC175" s="5">
        <v>0</v>
      </c>
      <c r="AD175" s="5">
        <v>59</v>
      </c>
      <c r="AE175" s="5">
        <v>16.5</v>
      </c>
      <c r="AF175" s="5">
        <v>22</v>
      </c>
      <c r="AG175" s="5">
        <v>2.5</v>
      </c>
      <c r="AH175" s="5">
        <v>1.5</v>
      </c>
      <c r="AI175" s="5">
        <v>9.34</v>
      </c>
      <c r="AJ175" s="5">
        <v>0.18</v>
      </c>
      <c r="AK175" s="5">
        <v>1.85</v>
      </c>
      <c r="AL175" s="5" t="s">
        <v>291</v>
      </c>
      <c r="AM175" s="5">
        <f t="shared" si="100"/>
        <v>86.438219109554794</v>
      </c>
      <c r="AN175" s="5">
        <v>80.86</v>
      </c>
      <c r="AO175" s="11" t="s">
        <v>178</v>
      </c>
    </row>
    <row r="176" spans="1:41" x14ac:dyDescent="0.3">
      <c r="A176" s="11">
        <v>175</v>
      </c>
      <c r="B176" s="3" t="s">
        <v>157</v>
      </c>
      <c r="C176" s="3" t="s">
        <v>159</v>
      </c>
      <c r="D176" s="5">
        <v>5</v>
      </c>
      <c r="E176" s="5">
        <v>19.989999999999998</v>
      </c>
      <c r="F176" s="5">
        <f t="shared" si="101"/>
        <v>53.305340223944874</v>
      </c>
      <c r="G176" s="5">
        <f t="shared" si="102"/>
        <v>6.9121447028423768</v>
      </c>
      <c r="H176" s="5">
        <f t="shared" si="103"/>
        <v>0.83979328165374678</v>
      </c>
      <c r="I176" s="5">
        <f t="shared" si="104"/>
        <v>0.51679586563307489</v>
      </c>
      <c r="J176" s="5">
        <f t="shared" si="105"/>
        <v>34.302325581395344</v>
      </c>
      <c r="K176" s="5">
        <v>7.12</v>
      </c>
      <c r="L176" s="5">
        <v>9.34</v>
      </c>
      <c r="M176" s="5">
        <v>77.52</v>
      </c>
      <c r="N176" s="5">
        <v>15.36</v>
      </c>
      <c r="O176" s="5" t="s">
        <v>291</v>
      </c>
      <c r="P176" s="5" t="s">
        <v>291</v>
      </c>
      <c r="Q176" s="5" t="s">
        <v>291</v>
      </c>
      <c r="R176" s="5">
        <v>800</v>
      </c>
      <c r="S176" s="5" t="s">
        <v>39</v>
      </c>
      <c r="T176" s="5" t="s">
        <v>75</v>
      </c>
      <c r="U176" s="5" t="s">
        <v>291</v>
      </c>
      <c r="V176" s="5">
        <v>0</v>
      </c>
      <c r="W176" s="5" t="s">
        <v>291</v>
      </c>
      <c r="X176" s="5" t="s">
        <v>290</v>
      </c>
      <c r="Y176" s="5" t="s">
        <v>292</v>
      </c>
      <c r="Z176" s="5" t="s">
        <v>291</v>
      </c>
      <c r="AA176" s="5">
        <v>1</v>
      </c>
      <c r="AB176" s="5" t="s">
        <v>294</v>
      </c>
      <c r="AC176" s="5">
        <v>0</v>
      </c>
      <c r="AD176" s="5">
        <v>28</v>
      </c>
      <c r="AE176" s="5">
        <v>35.5</v>
      </c>
      <c r="AF176" s="5">
        <v>13.5</v>
      </c>
      <c r="AG176" s="5">
        <v>16</v>
      </c>
      <c r="AH176" s="5">
        <v>7</v>
      </c>
      <c r="AI176" s="5">
        <v>13.62</v>
      </c>
      <c r="AJ176" s="5">
        <v>40.15</v>
      </c>
      <c r="AK176" s="5">
        <v>0.72</v>
      </c>
      <c r="AL176" s="5" t="s">
        <v>291</v>
      </c>
      <c r="AM176" s="5">
        <f t="shared" si="100"/>
        <v>49.056528264132062</v>
      </c>
      <c r="AN176" s="5">
        <v>59.19</v>
      </c>
      <c r="AO176" s="11" t="s">
        <v>178</v>
      </c>
    </row>
    <row r="177" spans="1:41" x14ac:dyDescent="0.3">
      <c r="A177" s="11">
        <v>176</v>
      </c>
      <c r="B177" s="3" t="s">
        <v>157</v>
      </c>
      <c r="C177" s="3" t="s">
        <v>159</v>
      </c>
      <c r="D177" s="5">
        <v>5</v>
      </c>
      <c r="E177" s="5">
        <v>19.989999999999998</v>
      </c>
      <c r="F177" s="5">
        <f t="shared" si="101"/>
        <v>53.305340223944874</v>
      </c>
      <c r="G177" s="5">
        <f t="shared" si="102"/>
        <v>6.9121447028423768</v>
      </c>
      <c r="H177" s="5">
        <f t="shared" si="103"/>
        <v>0.83979328165374678</v>
      </c>
      <c r="I177" s="5">
        <f t="shared" si="104"/>
        <v>0.51679586563307489</v>
      </c>
      <c r="J177" s="5">
        <f t="shared" si="105"/>
        <v>34.302325581395344</v>
      </c>
      <c r="K177" s="5">
        <v>7.12</v>
      </c>
      <c r="L177" s="5">
        <v>9.34</v>
      </c>
      <c r="M177" s="5">
        <v>77.52</v>
      </c>
      <c r="N177" s="5">
        <v>15.36</v>
      </c>
      <c r="O177" s="5" t="s">
        <v>291</v>
      </c>
      <c r="P177" s="5" t="s">
        <v>291</v>
      </c>
      <c r="Q177" s="5" t="s">
        <v>291</v>
      </c>
      <c r="R177" s="5">
        <v>800</v>
      </c>
      <c r="S177" s="5" t="s">
        <v>39</v>
      </c>
      <c r="T177" s="5" t="s">
        <v>75</v>
      </c>
      <c r="U177" s="5" t="s">
        <v>291</v>
      </c>
      <c r="V177" s="5">
        <v>0.73</v>
      </c>
      <c r="W177" s="5" t="s">
        <v>291</v>
      </c>
      <c r="X177" s="5" t="s">
        <v>161</v>
      </c>
      <c r="Y177" s="5" t="s">
        <v>292</v>
      </c>
      <c r="Z177" s="5" t="s">
        <v>291</v>
      </c>
      <c r="AA177" s="5">
        <v>1</v>
      </c>
      <c r="AB177" s="5" t="s">
        <v>294</v>
      </c>
      <c r="AC177" s="5">
        <v>0</v>
      </c>
      <c r="AD177" s="5">
        <v>48.5</v>
      </c>
      <c r="AE177" s="5">
        <v>22.5</v>
      </c>
      <c r="AF177" s="5">
        <v>15.5</v>
      </c>
      <c r="AG177" s="5">
        <v>11.5</v>
      </c>
      <c r="AH177" s="5">
        <v>3</v>
      </c>
      <c r="AI177" s="5">
        <v>12.11</v>
      </c>
      <c r="AJ177" s="5">
        <v>8.02</v>
      </c>
      <c r="AK177" s="5">
        <v>1.26</v>
      </c>
      <c r="AL177" s="5" t="s">
        <v>291</v>
      </c>
      <c r="AM177" s="5">
        <f t="shared" si="100"/>
        <v>76.3311655827914</v>
      </c>
      <c r="AN177" s="5">
        <v>71</v>
      </c>
      <c r="AO177" s="11" t="s">
        <v>178</v>
      </c>
    </row>
    <row r="178" spans="1:41" x14ac:dyDescent="0.3">
      <c r="A178" s="11">
        <v>177</v>
      </c>
      <c r="B178" s="3" t="s">
        <v>157</v>
      </c>
      <c r="C178" s="3" t="s">
        <v>159</v>
      </c>
      <c r="D178" s="5">
        <v>5</v>
      </c>
      <c r="E178" s="5">
        <v>19.989999999999998</v>
      </c>
      <c r="F178" s="5">
        <f t="shared" si="101"/>
        <v>53.305340223944874</v>
      </c>
      <c r="G178" s="5">
        <f t="shared" si="102"/>
        <v>6.9121447028423768</v>
      </c>
      <c r="H178" s="5">
        <f t="shared" si="103"/>
        <v>0.83979328165374678</v>
      </c>
      <c r="I178" s="5">
        <f t="shared" si="104"/>
        <v>0.51679586563307489</v>
      </c>
      <c r="J178" s="5">
        <f t="shared" si="105"/>
        <v>34.302325581395344</v>
      </c>
      <c r="K178" s="5">
        <v>7.12</v>
      </c>
      <c r="L178" s="5">
        <v>9.34</v>
      </c>
      <c r="M178" s="5">
        <v>77.52</v>
      </c>
      <c r="N178" s="5">
        <v>15.36</v>
      </c>
      <c r="O178" s="5" t="s">
        <v>291</v>
      </c>
      <c r="P178" s="5" t="s">
        <v>291</v>
      </c>
      <c r="Q178" s="5" t="s">
        <v>291</v>
      </c>
      <c r="R178" s="5">
        <v>800</v>
      </c>
      <c r="S178" s="5" t="s">
        <v>39</v>
      </c>
      <c r="T178" s="5" t="s">
        <v>75</v>
      </c>
      <c r="U178" s="5" t="s">
        <v>291</v>
      </c>
      <c r="V178" s="5">
        <v>1.23</v>
      </c>
      <c r="W178" s="5" t="s">
        <v>291</v>
      </c>
      <c r="X178" s="5" t="s">
        <v>161</v>
      </c>
      <c r="Y178" s="5" t="s">
        <v>292</v>
      </c>
      <c r="Z178" s="5" t="s">
        <v>291</v>
      </c>
      <c r="AA178" s="5">
        <v>1</v>
      </c>
      <c r="AB178" s="5" t="s">
        <v>294</v>
      </c>
      <c r="AC178" s="5">
        <v>0</v>
      </c>
      <c r="AD178" s="5">
        <v>56</v>
      </c>
      <c r="AE178" s="5">
        <v>17.5</v>
      </c>
      <c r="AF178" s="5">
        <v>21</v>
      </c>
      <c r="AG178" s="5">
        <v>5</v>
      </c>
      <c r="AH178" s="5">
        <v>1</v>
      </c>
      <c r="AI178" s="5">
        <v>10.09</v>
      </c>
      <c r="AJ178" s="5">
        <v>0.23</v>
      </c>
      <c r="AK178" s="5">
        <v>1.62</v>
      </c>
      <c r="AL178" s="5" t="s">
        <v>291</v>
      </c>
      <c r="AM178" s="5">
        <f t="shared" si="100"/>
        <v>81.769884942471251</v>
      </c>
      <c r="AN178" s="5">
        <v>76.790000000000006</v>
      </c>
      <c r="AO178" s="11" t="s">
        <v>178</v>
      </c>
    </row>
    <row r="179" spans="1:41" x14ac:dyDescent="0.3">
      <c r="A179" s="11">
        <v>178</v>
      </c>
      <c r="B179" s="3" t="s">
        <v>157</v>
      </c>
      <c r="C179" s="3" t="s">
        <v>159</v>
      </c>
      <c r="D179" s="5">
        <v>5</v>
      </c>
      <c r="E179" s="5">
        <v>19.989999999999998</v>
      </c>
      <c r="F179" s="5">
        <f t="shared" si="101"/>
        <v>53.305340223944874</v>
      </c>
      <c r="G179" s="5">
        <f t="shared" si="102"/>
        <v>6.9121447028423768</v>
      </c>
      <c r="H179" s="5">
        <f t="shared" si="103"/>
        <v>0.83979328165374678</v>
      </c>
      <c r="I179" s="5">
        <f t="shared" si="104"/>
        <v>0.51679586563307489</v>
      </c>
      <c r="J179" s="5">
        <f t="shared" si="105"/>
        <v>34.302325581395344</v>
      </c>
      <c r="K179" s="5">
        <v>7.12</v>
      </c>
      <c r="L179" s="5">
        <v>9.34</v>
      </c>
      <c r="M179" s="5">
        <v>77.52</v>
      </c>
      <c r="N179" s="5">
        <v>15.36</v>
      </c>
      <c r="O179" s="5" t="s">
        <v>291</v>
      </c>
      <c r="P179" s="5" t="s">
        <v>291</v>
      </c>
      <c r="Q179" s="5" t="s">
        <v>291</v>
      </c>
      <c r="R179" s="5">
        <v>800</v>
      </c>
      <c r="S179" s="5" t="s">
        <v>39</v>
      </c>
      <c r="T179" s="5" t="s">
        <v>75</v>
      </c>
      <c r="U179" s="5" t="s">
        <v>291</v>
      </c>
      <c r="V179" s="5">
        <v>2.08</v>
      </c>
      <c r="W179" s="5" t="s">
        <v>291</v>
      </c>
      <c r="X179" s="5" t="s">
        <v>161</v>
      </c>
      <c r="Y179" s="5" t="s">
        <v>292</v>
      </c>
      <c r="Z179" s="5" t="s">
        <v>291</v>
      </c>
      <c r="AA179" s="5">
        <v>1</v>
      </c>
      <c r="AB179" s="5" t="s">
        <v>294</v>
      </c>
      <c r="AC179" s="5">
        <v>0</v>
      </c>
      <c r="AD179" s="5">
        <v>53.5</v>
      </c>
      <c r="AE179" s="5">
        <v>17</v>
      </c>
      <c r="AF179" s="5">
        <v>24</v>
      </c>
      <c r="AG179" s="5">
        <v>4</v>
      </c>
      <c r="AH179" s="5">
        <v>2</v>
      </c>
      <c r="AI179" s="5">
        <v>9.3800000000000008</v>
      </c>
      <c r="AJ179" s="5">
        <v>0.85</v>
      </c>
      <c r="AK179" s="5">
        <v>1.5</v>
      </c>
      <c r="AL179" s="5" t="s">
        <v>291</v>
      </c>
      <c r="AM179" s="5">
        <f t="shared" si="100"/>
        <v>70.385192596298154</v>
      </c>
      <c r="AN179" s="5">
        <v>75.73</v>
      </c>
      <c r="AO179" s="11" t="s">
        <v>178</v>
      </c>
    </row>
    <row r="180" spans="1:41" x14ac:dyDescent="0.3">
      <c r="A180" s="11">
        <v>179</v>
      </c>
      <c r="B180" s="3" t="s">
        <v>157</v>
      </c>
      <c r="C180" s="3" t="s">
        <v>159</v>
      </c>
      <c r="D180" s="5">
        <v>5</v>
      </c>
      <c r="E180" s="5">
        <v>19.989999999999998</v>
      </c>
      <c r="F180" s="5">
        <f t="shared" si="101"/>
        <v>53.305340223944874</v>
      </c>
      <c r="G180" s="5">
        <f t="shared" si="102"/>
        <v>6.9121447028423768</v>
      </c>
      <c r="H180" s="5">
        <f t="shared" si="103"/>
        <v>0.83979328165374678</v>
      </c>
      <c r="I180" s="5">
        <f t="shared" si="104"/>
        <v>0.51679586563307489</v>
      </c>
      <c r="J180" s="5">
        <f t="shared" si="105"/>
        <v>34.302325581395344</v>
      </c>
      <c r="K180" s="5">
        <v>7.12</v>
      </c>
      <c r="L180" s="5">
        <v>9.34</v>
      </c>
      <c r="M180" s="5">
        <v>77.52</v>
      </c>
      <c r="N180" s="5">
        <v>15.36</v>
      </c>
      <c r="O180" s="5" t="s">
        <v>291</v>
      </c>
      <c r="P180" s="5" t="s">
        <v>291</v>
      </c>
      <c r="Q180" s="5" t="s">
        <v>291</v>
      </c>
      <c r="R180" s="5">
        <v>800</v>
      </c>
      <c r="S180" s="5" t="s">
        <v>39</v>
      </c>
      <c r="T180" s="5" t="s">
        <v>75</v>
      </c>
      <c r="U180" s="5" t="s">
        <v>291</v>
      </c>
      <c r="V180" s="5">
        <v>2.77</v>
      </c>
      <c r="W180" s="5" t="s">
        <v>291</v>
      </c>
      <c r="X180" s="5" t="s">
        <v>161</v>
      </c>
      <c r="Y180" s="5" t="s">
        <v>292</v>
      </c>
      <c r="Z180" s="5" t="s">
        <v>291</v>
      </c>
      <c r="AA180" s="5">
        <v>1</v>
      </c>
      <c r="AB180" s="5" t="s">
        <v>294</v>
      </c>
      <c r="AC180" s="5">
        <v>0</v>
      </c>
      <c r="AD180" s="5">
        <v>53</v>
      </c>
      <c r="AE180" s="5">
        <v>16</v>
      </c>
      <c r="AF180" s="5">
        <v>25</v>
      </c>
      <c r="AG180" s="5">
        <v>5.5</v>
      </c>
      <c r="AH180" s="5">
        <v>1</v>
      </c>
      <c r="AI180" s="5">
        <v>9.73</v>
      </c>
      <c r="AJ180" s="5">
        <v>1.78</v>
      </c>
      <c r="AK180" s="5">
        <v>1.43</v>
      </c>
      <c r="AL180" s="5" t="s">
        <v>291</v>
      </c>
      <c r="AM180" s="5">
        <f t="shared" si="100"/>
        <v>69.604302151075544</v>
      </c>
      <c r="AN180" s="5">
        <v>71.78</v>
      </c>
      <c r="AO180" s="11" t="s">
        <v>178</v>
      </c>
    </row>
    <row r="181" spans="1:41" x14ac:dyDescent="0.3">
      <c r="A181" s="11">
        <v>180</v>
      </c>
      <c r="B181" s="3" t="s">
        <v>157</v>
      </c>
      <c r="C181" s="3" t="s">
        <v>159</v>
      </c>
      <c r="D181" s="5">
        <v>5</v>
      </c>
      <c r="E181" s="5">
        <v>19.989999999999998</v>
      </c>
      <c r="F181" s="5">
        <f t="shared" si="101"/>
        <v>53.305340223944874</v>
      </c>
      <c r="G181" s="5">
        <f t="shared" si="102"/>
        <v>6.9121447028423768</v>
      </c>
      <c r="H181" s="5">
        <f t="shared" si="103"/>
        <v>0.83979328165374678</v>
      </c>
      <c r="I181" s="5">
        <f t="shared" si="104"/>
        <v>0.51679586563307489</v>
      </c>
      <c r="J181" s="5">
        <f t="shared" si="105"/>
        <v>34.302325581395344</v>
      </c>
      <c r="K181" s="5">
        <v>7.12</v>
      </c>
      <c r="L181" s="5">
        <v>9.34</v>
      </c>
      <c r="M181" s="5">
        <v>77.52</v>
      </c>
      <c r="N181" s="5">
        <v>15.36</v>
      </c>
      <c r="O181" s="5" t="s">
        <v>291</v>
      </c>
      <c r="P181" s="5" t="s">
        <v>291</v>
      </c>
      <c r="Q181" s="5" t="s">
        <v>291</v>
      </c>
      <c r="R181" s="5">
        <v>800</v>
      </c>
      <c r="S181" s="5" t="s">
        <v>39</v>
      </c>
      <c r="T181" s="5" t="s">
        <v>75</v>
      </c>
      <c r="U181" s="5" t="s">
        <v>291</v>
      </c>
      <c r="V181" s="5">
        <v>3.08</v>
      </c>
      <c r="W181" s="5" t="s">
        <v>291</v>
      </c>
      <c r="X181" s="5" t="s">
        <v>161</v>
      </c>
      <c r="Y181" s="5" t="s">
        <v>292</v>
      </c>
      <c r="Z181" s="5" t="s">
        <v>291</v>
      </c>
      <c r="AA181" s="5">
        <v>1</v>
      </c>
      <c r="AB181" s="5" t="s">
        <v>294</v>
      </c>
      <c r="AC181" s="5">
        <v>0</v>
      </c>
      <c r="AD181" s="5">
        <v>52</v>
      </c>
      <c r="AE181" s="5">
        <v>15</v>
      </c>
      <c r="AF181" s="5">
        <v>26.5</v>
      </c>
      <c r="AG181" s="5">
        <v>5</v>
      </c>
      <c r="AH181" s="5">
        <v>2</v>
      </c>
      <c r="AI181" s="5">
        <v>9.4</v>
      </c>
      <c r="AJ181" s="5">
        <v>2.86</v>
      </c>
      <c r="AK181" s="5">
        <v>1.38</v>
      </c>
      <c r="AL181" s="5" t="s">
        <v>291</v>
      </c>
      <c r="AM181" s="5">
        <f t="shared" si="100"/>
        <v>64.892446223111563</v>
      </c>
      <c r="AN181" s="5">
        <v>71.16</v>
      </c>
      <c r="AO181" s="11" t="s">
        <v>178</v>
      </c>
    </row>
    <row r="182" spans="1:41" x14ac:dyDescent="0.3">
      <c r="A182" s="11">
        <v>181</v>
      </c>
      <c r="B182" s="3" t="s">
        <v>157</v>
      </c>
      <c r="C182" s="3" t="s">
        <v>159</v>
      </c>
      <c r="D182" s="5">
        <v>5</v>
      </c>
      <c r="E182" s="5">
        <v>19.989999999999998</v>
      </c>
      <c r="F182" s="5">
        <f t="shared" si="101"/>
        <v>53.305340223944874</v>
      </c>
      <c r="G182" s="5">
        <f t="shared" si="102"/>
        <v>6.9121447028423768</v>
      </c>
      <c r="H182" s="5">
        <f t="shared" si="103"/>
        <v>0.83979328165374678</v>
      </c>
      <c r="I182" s="5">
        <f t="shared" si="104"/>
        <v>0.51679586563307489</v>
      </c>
      <c r="J182" s="5">
        <f t="shared" si="105"/>
        <v>34.302325581395344</v>
      </c>
      <c r="K182" s="5">
        <v>7.12</v>
      </c>
      <c r="L182" s="5">
        <v>9.34</v>
      </c>
      <c r="M182" s="5">
        <v>77.52</v>
      </c>
      <c r="N182" s="5">
        <v>15.36</v>
      </c>
      <c r="O182" s="5" t="s">
        <v>291</v>
      </c>
      <c r="P182" s="5" t="s">
        <v>291</v>
      </c>
      <c r="Q182" s="5" t="s">
        <v>291</v>
      </c>
      <c r="R182" s="5">
        <v>800</v>
      </c>
      <c r="S182" s="5" t="s">
        <v>39</v>
      </c>
      <c r="T182" s="5" t="s">
        <v>75</v>
      </c>
      <c r="U182" s="5" t="s">
        <v>291</v>
      </c>
      <c r="V182" s="5">
        <v>1.23</v>
      </c>
      <c r="W182" s="5" t="s">
        <v>291</v>
      </c>
      <c r="X182" s="5" t="s">
        <v>161</v>
      </c>
      <c r="Y182" s="5" t="s">
        <v>292</v>
      </c>
      <c r="Z182" s="5" t="s">
        <v>291</v>
      </c>
      <c r="AA182" s="5">
        <v>0</v>
      </c>
      <c r="AB182" s="5" t="s">
        <v>294</v>
      </c>
      <c r="AC182" s="5">
        <v>0</v>
      </c>
      <c r="AD182" s="5">
        <v>31.5</v>
      </c>
      <c r="AE182" s="5">
        <v>22</v>
      </c>
      <c r="AF182" s="5">
        <v>23.5</v>
      </c>
      <c r="AG182" s="5">
        <v>13.5</v>
      </c>
      <c r="AH182" s="5">
        <v>9.5</v>
      </c>
      <c r="AI182" s="5">
        <f>(107.98*AD182+126.36*AE182+358.18*AG182+59.036*5+63.772*4.5)/1000</f>
        <v>11.598874000000002</v>
      </c>
      <c r="AJ182" s="5">
        <v>38.67</v>
      </c>
      <c r="AK182" s="5">
        <v>0.78</v>
      </c>
      <c r="AL182" s="5" t="s">
        <v>291</v>
      </c>
      <c r="AM182" s="5">
        <f t="shared" si="100"/>
        <v>45.258237718859441</v>
      </c>
      <c r="AN182" s="5">
        <f>100*(AK182/F182)*(AE182*Calculations!$B$5*Calculations!$B$9+AF182*Calculations!$B$6*Calculations!$B$10+AG182*Calculations!$B$7*Calculations!$B$11+AH182*Calculations!$B$8*Calculations!$B$12)</f>
        <v>58.09066933721904</v>
      </c>
      <c r="AO182" s="11" t="s">
        <v>178</v>
      </c>
    </row>
    <row r="183" spans="1:41" x14ac:dyDescent="0.3">
      <c r="A183" s="11">
        <v>182</v>
      </c>
      <c r="B183" s="3" t="s">
        <v>157</v>
      </c>
      <c r="C183" s="3" t="s">
        <v>159</v>
      </c>
      <c r="D183" s="5">
        <v>5</v>
      </c>
      <c r="E183" s="5">
        <v>19.989999999999998</v>
      </c>
      <c r="F183" s="5">
        <f t="shared" si="101"/>
        <v>53.305340223944874</v>
      </c>
      <c r="G183" s="5">
        <f t="shared" si="102"/>
        <v>6.9121447028423768</v>
      </c>
      <c r="H183" s="5">
        <f t="shared" si="103"/>
        <v>0.83979328165374678</v>
      </c>
      <c r="I183" s="5">
        <f t="shared" si="104"/>
        <v>0.51679586563307489</v>
      </c>
      <c r="J183" s="5">
        <f t="shared" si="105"/>
        <v>34.302325581395344</v>
      </c>
      <c r="K183" s="5">
        <v>7.12</v>
      </c>
      <c r="L183" s="5">
        <v>9.34</v>
      </c>
      <c r="M183" s="5">
        <v>77.52</v>
      </c>
      <c r="N183" s="5">
        <v>15.36</v>
      </c>
      <c r="O183" s="5" t="s">
        <v>291</v>
      </c>
      <c r="P183" s="5" t="s">
        <v>291</v>
      </c>
      <c r="Q183" s="5" t="s">
        <v>291</v>
      </c>
      <c r="R183" s="5">
        <v>800</v>
      </c>
      <c r="S183" s="5" t="s">
        <v>39</v>
      </c>
      <c r="T183" s="5" t="s">
        <v>75</v>
      </c>
      <c r="U183" s="5" t="s">
        <v>291</v>
      </c>
      <c r="V183" s="5">
        <v>1.23</v>
      </c>
      <c r="W183" s="5" t="s">
        <v>291</v>
      </c>
      <c r="X183" s="5" t="s">
        <v>161</v>
      </c>
      <c r="Y183" s="5" t="s">
        <v>292</v>
      </c>
      <c r="Z183" s="5" t="s">
        <v>291</v>
      </c>
      <c r="AA183" s="5">
        <v>1</v>
      </c>
      <c r="AB183" s="5" t="s">
        <v>294</v>
      </c>
      <c r="AC183" s="5">
        <v>0</v>
      </c>
      <c r="AD183" s="5">
        <v>51</v>
      </c>
      <c r="AE183" s="5">
        <v>19</v>
      </c>
      <c r="AF183" s="5">
        <v>21.5</v>
      </c>
      <c r="AG183" s="5">
        <v>7.5</v>
      </c>
      <c r="AH183" s="5">
        <v>2</v>
      </c>
      <c r="AI183" s="5">
        <f>(107.98*AD183+126.36*AE183+358.18*AG183+59.036*AH183)/1000</f>
        <v>10.712242</v>
      </c>
      <c r="AJ183" s="5">
        <v>0.76</v>
      </c>
      <c r="AK183" s="5">
        <v>1.4</v>
      </c>
      <c r="AL183" s="5" t="s">
        <v>291</v>
      </c>
      <c r="AM183" s="5">
        <f t="shared" si="100"/>
        <v>75.023205602801397</v>
      </c>
      <c r="AN183" s="5">
        <f>100*(AK183/F183)*(AE183*Calculations!$B$5*Calculations!$B$9+AF183*Calculations!$B$6*Calculations!$B$10+AG183*Calculations!$B$7*Calculations!$B$11+AH183*Calculations!$B$8*Calculations!$B$12)</f>
        <v>69.891449606140156</v>
      </c>
      <c r="AO183" s="11" t="s">
        <v>178</v>
      </c>
    </row>
    <row r="184" spans="1:41" x14ac:dyDescent="0.3">
      <c r="A184" s="11">
        <v>183</v>
      </c>
      <c r="B184" s="3" t="s">
        <v>289</v>
      </c>
      <c r="C184" s="3" t="s">
        <v>159</v>
      </c>
      <c r="D184" s="5">
        <f t="shared" ref="D184:D198" si="106">(0.5+2)/2</f>
        <v>1.25</v>
      </c>
      <c r="E184" s="5">
        <v>18.196000000000002</v>
      </c>
      <c r="F184" s="5">
        <f>(100/(100-K184))*53.77</f>
        <v>54.839367669556353</v>
      </c>
      <c r="G184" s="5">
        <f>(100/(100-K184))*5.39</f>
        <v>5.497195308516063</v>
      </c>
      <c r="H184" s="5">
        <f>(100/(100-K184))*0.43</f>
        <v>0.43855175930647627</v>
      </c>
      <c r="I184" s="5">
        <f>(100/(100-K184))*0.12</f>
        <v>0.12238653748087709</v>
      </c>
      <c r="J184" s="5">
        <f>(100/(100-K184))*38.34</f>
        <v>39.102498725140237</v>
      </c>
      <c r="K184" s="5">
        <v>1.95</v>
      </c>
      <c r="L184" s="5">
        <v>0</v>
      </c>
      <c r="M184" s="5">
        <v>74.23</v>
      </c>
      <c r="N184" s="5">
        <v>23.82</v>
      </c>
      <c r="O184" s="5" t="s">
        <v>291</v>
      </c>
      <c r="P184" s="5" t="s">
        <v>291</v>
      </c>
      <c r="Q184" s="5" t="s">
        <v>291</v>
      </c>
      <c r="R184" s="5">
        <v>770</v>
      </c>
      <c r="S184" s="5" t="s">
        <v>39</v>
      </c>
      <c r="T184" s="5" t="s">
        <v>75</v>
      </c>
      <c r="U184" s="5">
        <v>40</v>
      </c>
      <c r="V184" s="5" t="s">
        <v>291</v>
      </c>
      <c r="W184" s="5">
        <v>0.19</v>
      </c>
      <c r="X184" s="5" t="s">
        <v>33</v>
      </c>
      <c r="Y184" s="5" t="s">
        <v>79</v>
      </c>
      <c r="Z184" s="5" t="s">
        <v>295</v>
      </c>
      <c r="AA184" s="5">
        <v>0</v>
      </c>
      <c r="AB184" s="5" t="s">
        <v>294</v>
      </c>
      <c r="AC184" s="5">
        <f>100-AD184-AE184-AF184-AG184</f>
        <v>55.5</v>
      </c>
      <c r="AD184" s="5">
        <v>8.4</v>
      </c>
      <c r="AE184" s="5">
        <v>17.100000000000001</v>
      </c>
      <c r="AF184" s="5">
        <v>13.8</v>
      </c>
      <c r="AG184" s="5">
        <v>5.2</v>
      </c>
      <c r="AH184" s="5" t="s">
        <v>291</v>
      </c>
      <c r="AI184" s="5">
        <v>5</v>
      </c>
      <c r="AJ184" s="5" t="s">
        <v>291</v>
      </c>
      <c r="AK184" s="5" t="s">
        <v>291</v>
      </c>
      <c r="AL184" s="5" t="s">
        <v>291</v>
      </c>
      <c r="AM184" s="5" t="s">
        <v>291</v>
      </c>
      <c r="AN184" s="5" t="s">
        <v>291</v>
      </c>
      <c r="AO184" s="11" t="s">
        <v>184</v>
      </c>
    </row>
    <row r="185" spans="1:41" x14ac:dyDescent="0.3">
      <c r="A185" s="11">
        <v>184</v>
      </c>
      <c r="B185" s="3" t="s">
        <v>289</v>
      </c>
      <c r="C185" s="3" t="s">
        <v>159</v>
      </c>
      <c r="D185" s="5">
        <f t="shared" si="106"/>
        <v>1.25</v>
      </c>
      <c r="E185" s="5">
        <v>18.196000000000002</v>
      </c>
      <c r="F185" s="5">
        <f t="shared" ref="F185:F187" si="107">(100/(100-K185))*53.77</f>
        <v>54.839367669556353</v>
      </c>
      <c r="G185" s="5">
        <f t="shared" ref="G185:G187" si="108">(100/(100-K185))*5.39</f>
        <v>5.497195308516063</v>
      </c>
      <c r="H185" s="5">
        <f t="shared" ref="H185:H187" si="109">(100/(100-K185))*0.43</f>
        <v>0.43855175930647627</v>
      </c>
      <c r="I185" s="5">
        <f t="shared" ref="I185:I187" si="110">(100/(100-K185))*0.12</f>
        <v>0.12238653748087709</v>
      </c>
      <c r="J185" s="5">
        <f t="shared" ref="J185:J187" si="111">(100/(100-K185))*38.34</f>
        <v>39.102498725140237</v>
      </c>
      <c r="K185" s="5">
        <v>1.95</v>
      </c>
      <c r="L185" s="5">
        <v>0</v>
      </c>
      <c r="M185" s="5">
        <v>74.23</v>
      </c>
      <c r="N185" s="5">
        <v>23.82</v>
      </c>
      <c r="O185" s="5" t="s">
        <v>291</v>
      </c>
      <c r="P185" s="5" t="s">
        <v>291</v>
      </c>
      <c r="Q185" s="5" t="s">
        <v>291</v>
      </c>
      <c r="R185" s="5">
        <v>770</v>
      </c>
      <c r="S185" s="5" t="s">
        <v>39</v>
      </c>
      <c r="T185" s="5" t="s">
        <v>75</v>
      </c>
      <c r="U185" s="5">
        <v>40</v>
      </c>
      <c r="V185" s="5" t="s">
        <v>291</v>
      </c>
      <c r="W185" s="5">
        <v>0.24</v>
      </c>
      <c r="X185" s="5" t="s">
        <v>33</v>
      </c>
      <c r="Y185" s="5" t="s">
        <v>79</v>
      </c>
      <c r="Z185" s="5" t="s">
        <v>295</v>
      </c>
      <c r="AA185" s="5">
        <v>0</v>
      </c>
      <c r="AB185" s="5" t="s">
        <v>294</v>
      </c>
      <c r="AC185" s="5">
        <f t="shared" ref="AC185:AC195" si="112">100-AD185-AE185-AF185-AG185</f>
        <v>58.2</v>
      </c>
      <c r="AD185" s="5">
        <v>6.7</v>
      </c>
      <c r="AE185" s="5">
        <v>15.6</v>
      </c>
      <c r="AF185" s="5">
        <v>14.9</v>
      </c>
      <c r="AG185" s="5">
        <v>4.5999999999999996</v>
      </c>
      <c r="AH185" s="5" t="s">
        <v>291</v>
      </c>
      <c r="AI185" s="5">
        <v>4.4000000000000004</v>
      </c>
      <c r="AJ185" s="5" t="s">
        <v>291</v>
      </c>
      <c r="AK185" s="5" t="s">
        <v>291</v>
      </c>
      <c r="AL185" s="5" t="s">
        <v>291</v>
      </c>
      <c r="AM185" s="5" t="s">
        <v>291</v>
      </c>
      <c r="AN185" s="5" t="s">
        <v>291</v>
      </c>
      <c r="AO185" s="11" t="s">
        <v>184</v>
      </c>
    </row>
    <row r="186" spans="1:41" x14ac:dyDescent="0.3">
      <c r="A186" s="11">
        <v>185</v>
      </c>
      <c r="B186" s="3" t="s">
        <v>289</v>
      </c>
      <c r="C186" s="3" t="s">
        <v>159</v>
      </c>
      <c r="D186" s="5">
        <f t="shared" si="106"/>
        <v>1.25</v>
      </c>
      <c r="E186" s="5">
        <v>18.196000000000002</v>
      </c>
      <c r="F186" s="5">
        <f t="shared" si="107"/>
        <v>54.839367669556353</v>
      </c>
      <c r="G186" s="5">
        <f t="shared" si="108"/>
        <v>5.497195308516063</v>
      </c>
      <c r="H186" s="5">
        <f t="shared" si="109"/>
        <v>0.43855175930647627</v>
      </c>
      <c r="I186" s="5">
        <f t="shared" si="110"/>
        <v>0.12238653748087709</v>
      </c>
      <c r="J186" s="5">
        <f t="shared" si="111"/>
        <v>39.102498725140237</v>
      </c>
      <c r="K186" s="5">
        <v>1.95</v>
      </c>
      <c r="L186" s="5">
        <v>0</v>
      </c>
      <c r="M186" s="5">
        <v>74.23</v>
      </c>
      <c r="N186" s="5">
        <v>23.82</v>
      </c>
      <c r="O186" s="5" t="s">
        <v>291</v>
      </c>
      <c r="P186" s="5" t="s">
        <v>291</v>
      </c>
      <c r="Q186" s="5" t="s">
        <v>291</v>
      </c>
      <c r="R186" s="5">
        <v>770</v>
      </c>
      <c r="S186" s="5" t="s">
        <v>39</v>
      </c>
      <c r="T186" s="5" t="s">
        <v>75</v>
      </c>
      <c r="U186" s="5">
        <v>40</v>
      </c>
      <c r="V186" s="5" t="s">
        <v>291</v>
      </c>
      <c r="W186" s="5">
        <v>0.31</v>
      </c>
      <c r="X186" s="5" t="s">
        <v>33</v>
      </c>
      <c r="Y186" s="5" t="s">
        <v>79</v>
      </c>
      <c r="Z186" s="5" t="s">
        <v>295</v>
      </c>
      <c r="AA186" s="5">
        <v>0</v>
      </c>
      <c r="AB186" s="5" t="s">
        <v>294</v>
      </c>
      <c r="AC186" s="5">
        <f t="shared" si="112"/>
        <v>63.8</v>
      </c>
      <c r="AD186" s="5">
        <v>4.2</v>
      </c>
      <c r="AE186" s="5">
        <v>12.2</v>
      </c>
      <c r="AF186" s="5">
        <v>15.8</v>
      </c>
      <c r="AG186" s="5">
        <v>4</v>
      </c>
      <c r="AH186" s="5" t="s">
        <v>291</v>
      </c>
      <c r="AI186" s="5">
        <v>3.4</v>
      </c>
      <c r="AJ186" s="5" t="s">
        <v>291</v>
      </c>
      <c r="AK186" s="5" t="s">
        <v>291</v>
      </c>
      <c r="AL186" s="5" t="s">
        <v>291</v>
      </c>
      <c r="AM186" s="5" t="s">
        <v>291</v>
      </c>
      <c r="AN186" s="5" t="s">
        <v>291</v>
      </c>
      <c r="AO186" s="11" t="s">
        <v>184</v>
      </c>
    </row>
    <row r="187" spans="1:41" x14ac:dyDescent="0.3">
      <c r="A187" s="11">
        <v>186</v>
      </c>
      <c r="B187" s="3" t="s">
        <v>289</v>
      </c>
      <c r="C187" s="3" t="s">
        <v>159</v>
      </c>
      <c r="D187" s="5">
        <f t="shared" si="106"/>
        <v>1.25</v>
      </c>
      <c r="E187" s="5">
        <v>18.196000000000002</v>
      </c>
      <c r="F187" s="5">
        <f t="shared" si="107"/>
        <v>54.839367669556353</v>
      </c>
      <c r="G187" s="5">
        <f t="shared" si="108"/>
        <v>5.497195308516063</v>
      </c>
      <c r="H187" s="5">
        <f t="shared" si="109"/>
        <v>0.43855175930647627</v>
      </c>
      <c r="I187" s="5">
        <f t="shared" si="110"/>
        <v>0.12238653748087709</v>
      </c>
      <c r="J187" s="5">
        <f t="shared" si="111"/>
        <v>39.102498725140237</v>
      </c>
      <c r="K187" s="5">
        <v>1.95</v>
      </c>
      <c r="L187" s="5">
        <v>0</v>
      </c>
      <c r="M187" s="5">
        <v>74.23</v>
      </c>
      <c r="N187" s="5">
        <v>23.82</v>
      </c>
      <c r="O187" s="5" t="s">
        <v>291</v>
      </c>
      <c r="P187" s="5" t="s">
        <v>291</v>
      </c>
      <c r="Q187" s="5" t="s">
        <v>291</v>
      </c>
      <c r="R187" s="5">
        <v>770</v>
      </c>
      <c r="S187" s="5" t="s">
        <v>39</v>
      </c>
      <c r="T187" s="5" t="s">
        <v>75</v>
      </c>
      <c r="U187" s="5">
        <v>40</v>
      </c>
      <c r="V187" s="5" t="s">
        <v>291</v>
      </c>
      <c r="W187" s="5">
        <v>0.37</v>
      </c>
      <c r="X187" s="5" t="s">
        <v>33</v>
      </c>
      <c r="Y187" s="5" t="s">
        <v>79</v>
      </c>
      <c r="Z187" s="5" t="s">
        <v>295</v>
      </c>
      <c r="AA187" s="5">
        <v>0</v>
      </c>
      <c r="AB187" s="5" t="s">
        <v>294</v>
      </c>
      <c r="AC187" s="5">
        <f t="shared" si="112"/>
        <v>66.5</v>
      </c>
      <c r="AD187" s="5">
        <v>3.2</v>
      </c>
      <c r="AE187" s="5">
        <v>10.7</v>
      </c>
      <c r="AF187" s="5">
        <v>16.3</v>
      </c>
      <c r="AG187" s="5">
        <v>3.3</v>
      </c>
      <c r="AH187" s="5" t="s">
        <v>291</v>
      </c>
      <c r="AI187" s="5">
        <v>2.8</v>
      </c>
      <c r="AJ187" s="5" t="s">
        <v>291</v>
      </c>
      <c r="AK187" s="5" t="s">
        <v>291</v>
      </c>
      <c r="AL187" s="5" t="s">
        <v>291</v>
      </c>
      <c r="AM187" s="5" t="s">
        <v>291</v>
      </c>
      <c r="AN187" s="5" t="s">
        <v>291</v>
      </c>
      <c r="AO187" s="11" t="s">
        <v>184</v>
      </c>
    </row>
    <row r="188" spans="1:41" x14ac:dyDescent="0.3">
      <c r="A188" s="11">
        <v>187</v>
      </c>
      <c r="B188" s="3" t="s">
        <v>289</v>
      </c>
      <c r="C188" s="3" t="s">
        <v>159</v>
      </c>
      <c r="D188" s="5">
        <f t="shared" si="106"/>
        <v>1.25</v>
      </c>
      <c r="E188" s="5">
        <v>17.82</v>
      </c>
      <c r="F188" s="5">
        <f>(100/(100-K188))*49.89</f>
        <v>50.025067682743405</v>
      </c>
      <c r="G188" s="5">
        <f>(100/(100-K188))*5.91</f>
        <v>5.9260002005414618</v>
      </c>
      <c r="H188" s="5">
        <f>(100/(100-K188))*0.4</f>
        <v>0.40108292389451522</v>
      </c>
      <c r="I188" s="5">
        <f>(100/(100-K188))*0.1</f>
        <v>0.1002707309736288</v>
      </c>
      <c r="J188" s="5">
        <f>(100/(100-K188))*43.43</f>
        <v>43.547578461846989</v>
      </c>
      <c r="K188" s="5">
        <v>0.27</v>
      </c>
      <c r="L188" s="5">
        <v>0</v>
      </c>
      <c r="M188" s="5">
        <v>83.17</v>
      </c>
      <c r="N188" s="5">
        <v>16.559999999999999</v>
      </c>
      <c r="O188" s="5" t="s">
        <v>291</v>
      </c>
      <c r="P188" s="5" t="s">
        <v>291</v>
      </c>
      <c r="Q188" s="5" t="s">
        <v>291</v>
      </c>
      <c r="R188" s="5">
        <v>770</v>
      </c>
      <c r="S188" s="5" t="s">
        <v>39</v>
      </c>
      <c r="T188" s="5" t="s">
        <v>75</v>
      </c>
      <c r="U188" s="5">
        <v>40</v>
      </c>
      <c r="V188" s="5" t="s">
        <v>291</v>
      </c>
      <c r="W188" s="5">
        <v>0.19</v>
      </c>
      <c r="X188" s="5" t="s">
        <v>33</v>
      </c>
      <c r="Y188" s="5" t="s">
        <v>79</v>
      </c>
      <c r="Z188" s="5" t="s">
        <v>295</v>
      </c>
      <c r="AA188" s="5">
        <v>0</v>
      </c>
      <c r="AB188" s="5" t="s">
        <v>294</v>
      </c>
      <c r="AC188" s="5">
        <f t="shared" si="112"/>
        <v>54.800000000000011</v>
      </c>
      <c r="AD188" s="5">
        <v>5.6</v>
      </c>
      <c r="AE188" s="5">
        <v>19.100000000000001</v>
      </c>
      <c r="AF188" s="5">
        <v>13.8</v>
      </c>
      <c r="AG188" s="5">
        <v>6.7</v>
      </c>
      <c r="AH188" s="5" t="s">
        <v>291</v>
      </c>
      <c r="AI188" s="5">
        <v>5.4</v>
      </c>
      <c r="AJ188" s="5" t="s">
        <v>291</v>
      </c>
      <c r="AK188" s="5" t="s">
        <v>291</v>
      </c>
      <c r="AL188" s="5" t="s">
        <v>291</v>
      </c>
      <c r="AM188" s="5" t="s">
        <v>291</v>
      </c>
      <c r="AN188" s="5" t="s">
        <v>291</v>
      </c>
      <c r="AO188" s="11" t="s">
        <v>184</v>
      </c>
    </row>
    <row r="189" spans="1:41" x14ac:dyDescent="0.3">
      <c r="A189" s="11">
        <v>188</v>
      </c>
      <c r="B189" s="3" t="s">
        <v>289</v>
      </c>
      <c r="C189" s="3" t="s">
        <v>159</v>
      </c>
      <c r="D189" s="5">
        <f t="shared" si="106"/>
        <v>1.25</v>
      </c>
      <c r="E189" s="5">
        <v>17.82</v>
      </c>
      <c r="F189" s="5">
        <f t="shared" ref="F189:F191" si="113">(100/(100-K189))*49.89</f>
        <v>50.025067682743405</v>
      </c>
      <c r="G189" s="5">
        <f t="shared" ref="G189:G191" si="114">(100/(100-K189))*5.91</f>
        <v>5.9260002005414618</v>
      </c>
      <c r="H189" s="5">
        <f t="shared" ref="H189:H191" si="115">(100/(100-K189))*0.4</f>
        <v>0.40108292389451522</v>
      </c>
      <c r="I189" s="5">
        <f t="shared" ref="I189:I191" si="116">(100/(100-K189))*0.1</f>
        <v>0.1002707309736288</v>
      </c>
      <c r="J189" s="5">
        <f t="shared" ref="J189:J191" si="117">(100/(100-K189))*43.43</f>
        <v>43.547578461846989</v>
      </c>
      <c r="K189" s="5">
        <v>0.27</v>
      </c>
      <c r="L189" s="5">
        <v>0</v>
      </c>
      <c r="M189" s="5">
        <v>83.17</v>
      </c>
      <c r="N189" s="5">
        <v>16.559999999999999</v>
      </c>
      <c r="O189" s="5" t="s">
        <v>291</v>
      </c>
      <c r="P189" s="5" t="s">
        <v>291</v>
      </c>
      <c r="Q189" s="5" t="s">
        <v>291</v>
      </c>
      <c r="R189" s="5">
        <v>770</v>
      </c>
      <c r="S189" s="5" t="s">
        <v>39</v>
      </c>
      <c r="T189" s="5" t="s">
        <v>75</v>
      </c>
      <c r="U189" s="5">
        <v>40</v>
      </c>
      <c r="V189" s="5" t="s">
        <v>291</v>
      </c>
      <c r="W189" s="5">
        <v>0.24</v>
      </c>
      <c r="X189" s="5" t="s">
        <v>33</v>
      </c>
      <c r="Y189" s="5" t="s">
        <v>79</v>
      </c>
      <c r="Z189" s="5" t="s">
        <v>295</v>
      </c>
      <c r="AA189" s="5">
        <v>0</v>
      </c>
      <c r="AB189" s="5" t="s">
        <v>294</v>
      </c>
      <c r="AC189" s="5">
        <f t="shared" si="112"/>
        <v>57.199999999999989</v>
      </c>
      <c r="AD189" s="5">
        <v>4.4000000000000004</v>
      </c>
      <c r="AE189" s="5">
        <v>17.399999999999999</v>
      </c>
      <c r="AF189" s="5">
        <v>15.2</v>
      </c>
      <c r="AG189" s="5">
        <v>5.8</v>
      </c>
      <c r="AH189" s="5" t="s">
        <v>291</v>
      </c>
      <c r="AI189" s="5">
        <v>4.7</v>
      </c>
      <c r="AJ189" s="5" t="s">
        <v>291</v>
      </c>
      <c r="AK189" s="5" t="s">
        <v>291</v>
      </c>
      <c r="AL189" s="5" t="s">
        <v>291</v>
      </c>
      <c r="AM189" s="5" t="s">
        <v>291</v>
      </c>
      <c r="AN189" s="5" t="s">
        <v>291</v>
      </c>
      <c r="AO189" s="11" t="s">
        <v>184</v>
      </c>
    </row>
    <row r="190" spans="1:41" x14ac:dyDescent="0.3">
      <c r="A190" s="11">
        <v>189</v>
      </c>
      <c r="B190" s="3" t="s">
        <v>289</v>
      </c>
      <c r="C190" s="3" t="s">
        <v>159</v>
      </c>
      <c r="D190" s="5">
        <f t="shared" si="106"/>
        <v>1.25</v>
      </c>
      <c r="E190" s="5">
        <v>17.82</v>
      </c>
      <c r="F190" s="5">
        <f t="shared" si="113"/>
        <v>50.025067682743405</v>
      </c>
      <c r="G190" s="5">
        <f t="shared" si="114"/>
        <v>5.9260002005414618</v>
      </c>
      <c r="H190" s="5">
        <f t="shared" si="115"/>
        <v>0.40108292389451522</v>
      </c>
      <c r="I190" s="5">
        <f t="shared" si="116"/>
        <v>0.1002707309736288</v>
      </c>
      <c r="J190" s="5">
        <f t="shared" si="117"/>
        <v>43.547578461846989</v>
      </c>
      <c r="K190" s="5">
        <v>0.27</v>
      </c>
      <c r="L190" s="5">
        <v>0</v>
      </c>
      <c r="M190" s="5">
        <v>83.17</v>
      </c>
      <c r="N190" s="5">
        <v>16.559999999999999</v>
      </c>
      <c r="O190" s="5" t="s">
        <v>291</v>
      </c>
      <c r="P190" s="5" t="s">
        <v>291</v>
      </c>
      <c r="Q190" s="5" t="s">
        <v>291</v>
      </c>
      <c r="R190" s="5">
        <v>770</v>
      </c>
      <c r="S190" s="5" t="s">
        <v>39</v>
      </c>
      <c r="T190" s="5" t="s">
        <v>75</v>
      </c>
      <c r="U190" s="5">
        <v>40</v>
      </c>
      <c r="V190" s="5" t="s">
        <v>291</v>
      </c>
      <c r="W190" s="5">
        <v>0.31</v>
      </c>
      <c r="X190" s="5" t="s">
        <v>33</v>
      </c>
      <c r="Y190" s="5" t="s">
        <v>79</v>
      </c>
      <c r="Z190" s="5" t="s">
        <v>295</v>
      </c>
      <c r="AA190" s="5">
        <v>0</v>
      </c>
      <c r="AB190" s="5" t="s">
        <v>294</v>
      </c>
      <c r="AC190" s="5">
        <f t="shared" si="112"/>
        <v>61.400000000000006</v>
      </c>
      <c r="AD190" s="5">
        <v>3.6</v>
      </c>
      <c r="AE190" s="5">
        <v>14.5</v>
      </c>
      <c r="AF190" s="5">
        <v>16</v>
      </c>
      <c r="AG190" s="5">
        <v>4.5</v>
      </c>
      <c r="AH190" s="5" t="s">
        <v>291</v>
      </c>
      <c r="AI190" s="5">
        <v>3.8</v>
      </c>
      <c r="AJ190" s="5" t="s">
        <v>291</v>
      </c>
      <c r="AK190" s="5" t="s">
        <v>291</v>
      </c>
      <c r="AL190" s="5" t="s">
        <v>291</v>
      </c>
      <c r="AM190" s="5" t="s">
        <v>291</v>
      </c>
      <c r="AN190" s="5" t="s">
        <v>291</v>
      </c>
      <c r="AO190" s="11" t="s">
        <v>184</v>
      </c>
    </row>
    <row r="191" spans="1:41" x14ac:dyDescent="0.3">
      <c r="A191" s="11">
        <v>190</v>
      </c>
      <c r="B191" s="3" t="s">
        <v>289</v>
      </c>
      <c r="C191" s="3" t="s">
        <v>159</v>
      </c>
      <c r="D191" s="5">
        <f t="shared" si="106"/>
        <v>1.25</v>
      </c>
      <c r="E191" s="5">
        <v>17.82</v>
      </c>
      <c r="F191" s="5">
        <f t="shared" si="113"/>
        <v>50.025067682743405</v>
      </c>
      <c r="G191" s="5">
        <f t="shared" si="114"/>
        <v>5.9260002005414618</v>
      </c>
      <c r="H191" s="5">
        <f t="shared" si="115"/>
        <v>0.40108292389451522</v>
      </c>
      <c r="I191" s="5">
        <f t="shared" si="116"/>
        <v>0.1002707309736288</v>
      </c>
      <c r="J191" s="5">
        <f t="shared" si="117"/>
        <v>43.547578461846989</v>
      </c>
      <c r="K191" s="5">
        <v>0.27</v>
      </c>
      <c r="L191" s="5">
        <v>0</v>
      </c>
      <c r="M191" s="5">
        <v>83.17</v>
      </c>
      <c r="N191" s="5">
        <v>16.559999999999999</v>
      </c>
      <c r="O191" s="5" t="s">
        <v>291</v>
      </c>
      <c r="P191" s="5" t="s">
        <v>291</v>
      </c>
      <c r="Q191" s="5" t="s">
        <v>291</v>
      </c>
      <c r="R191" s="5">
        <v>770</v>
      </c>
      <c r="S191" s="5" t="s">
        <v>39</v>
      </c>
      <c r="T191" s="5" t="s">
        <v>75</v>
      </c>
      <c r="U191" s="5">
        <v>40</v>
      </c>
      <c r="V191" s="5" t="s">
        <v>291</v>
      </c>
      <c r="W191" s="5">
        <v>0.37</v>
      </c>
      <c r="X191" s="5" t="s">
        <v>33</v>
      </c>
      <c r="Y191" s="5" t="s">
        <v>79</v>
      </c>
      <c r="Z191" s="5" t="s">
        <v>295</v>
      </c>
      <c r="AA191" s="5">
        <v>0</v>
      </c>
      <c r="AB191" s="5" t="s">
        <v>294</v>
      </c>
      <c r="AC191" s="5">
        <f t="shared" si="112"/>
        <v>64.600000000000009</v>
      </c>
      <c r="AD191" s="5">
        <v>3.1</v>
      </c>
      <c r="AE191" s="5">
        <v>12.4</v>
      </c>
      <c r="AF191" s="5">
        <v>16.3</v>
      </c>
      <c r="AG191" s="5">
        <v>3.6</v>
      </c>
      <c r="AH191" s="5" t="s">
        <v>291</v>
      </c>
      <c r="AI191" s="5">
        <v>3.2</v>
      </c>
      <c r="AJ191" s="5" t="s">
        <v>291</v>
      </c>
      <c r="AK191" s="5" t="s">
        <v>291</v>
      </c>
      <c r="AL191" s="5" t="s">
        <v>291</v>
      </c>
      <c r="AM191" s="5" t="s">
        <v>291</v>
      </c>
      <c r="AN191" s="5" t="s">
        <v>291</v>
      </c>
      <c r="AO191" s="11" t="s">
        <v>184</v>
      </c>
    </row>
    <row r="192" spans="1:41" x14ac:dyDescent="0.3">
      <c r="A192" s="11">
        <v>191</v>
      </c>
      <c r="B192" s="3" t="s">
        <v>289</v>
      </c>
      <c r="C192" s="3" t="s">
        <v>159</v>
      </c>
      <c r="D192" s="5">
        <f t="shared" si="106"/>
        <v>1.25</v>
      </c>
      <c r="E192" s="5">
        <v>18.196000000000002</v>
      </c>
      <c r="F192" s="5">
        <f>(100/(100-K192))*53.77</f>
        <v>54.839367669556353</v>
      </c>
      <c r="G192" s="5">
        <f>(100/(100-K192))*5.39</f>
        <v>5.497195308516063</v>
      </c>
      <c r="H192" s="5">
        <f>(100/(100-K192))*0.43</f>
        <v>0.43855175930647627</v>
      </c>
      <c r="I192" s="5">
        <f>(100/(100-K192))*0.12</f>
        <v>0.12238653748087709</v>
      </c>
      <c r="J192" s="5">
        <f>(100/(100-K192))*38.34</f>
        <v>39.102498725140237</v>
      </c>
      <c r="K192" s="5">
        <v>1.95</v>
      </c>
      <c r="L192" s="5">
        <v>0</v>
      </c>
      <c r="M192" s="5">
        <v>74.23</v>
      </c>
      <c r="N192" s="5">
        <v>23.82</v>
      </c>
      <c r="O192" s="5" t="s">
        <v>291</v>
      </c>
      <c r="P192" s="5" t="s">
        <v>291</v>
      </c>
      <c r="Q192" s="5" t="s">
        <v>291</v>
      </c>
      <c r="R192" s="5">
        <v>770</v>
      </c>
      <c r="S192" s="5" t="s">
        <v>39</v>
      </c>
      <c r="T192" s="5" t="s">
        <v>75</v>
      </c>
      <c r="U192" s="5">
        <v>40</v>
      </c>
      <c r="V192" s="5">
        <v>0.41</v>
      </c>
      <c r="W192" s="5" t="s">
        <v>291</v>
      </c>
      <c r="X192" s="5" t="s">
        <v>161</v>
      </c>
      <c r="Y192" s="5" t="s">
        <v>79</v>
      </c>
      <c r="Z192" s="5" t="s">
        <v>295</v>
      </c>
      <c r="AA192" s="5">
        <v>0</v>
      </c>
      <c r="AB192" s="5" t="s">
        <v>294</v>
      </c>
      <c r="AC192" s="5">
        <f t="shared" si="112"/>
        <v>23.299999999999997</v>
      </c>
      <c r="AD192" s="5">
        <v>32</v>
      </c>
      <c r="AE192" s="5">
        <v>23.2</v>
      </c>
      <c r="AF192" s="5">
        <v>13.1</v>
      </c>
      <c r="AG192" s="5">
        <v>8.4</v>
      </c>
      <c r="AH192" s="5" t="s">
        <v>291</v>
      </c>
      <c r="AI192" s="5">
        <v>9.4</v>
      </c>
      <c r="AJ192" s="5" t="s">
        <v>291</v>
      </c>
      <c r="AK192" s="5" t="s">
        <v>291</v>
      </c>
      <c r="AL192" s="5" t="s">
        <v>291</v>
      </c>
      <c r="AM192" s="5" t="s">
        <v>291</v>
      </c>
      <c r="AN192" s="5" t="s">
        <v>291</v>
      </c>
      <c r="AO192" s="11" t="s">
        <v>184</v>
      </c>
    </row>
    <row r="193" spans="1:41" x14ac:dyDescent="0.3">
      <c r="A193" s="11">
        <v>192</v>
      </c>
      <c r="B193" s="3" t="s">
        <v>289</v>
      </c>
      <c r="C193" s="3" t="s">
        <v>159</v>
      </c>
      <c r="D193" s="5">
        <f t="shared" si="106"/>
        <v>1.25</v>
      </c>
      <c r="E193" s="5">
        <v>18.196000000000002</v>
      </c>
      <c r="F193" s="5">
        <f t="shared" ref="F193:F195" si="118">(100/(100-K193))*53.77</f>
        <v>54.839367669556353</v>
      </c>
      <c r="G193" s="5">
        <f t="shared" ref="G193:G195" si="119">(100/(100-K193))*5.39</f>
        <v>5.497195308516063</v>
      </c>
      <c r="H193" s="5">
        <f t="shared" ref="H193:H195" si="120">(100/(100-K193))*0.43</f>
        <v>0.43855175930647627</v>
      </c>
      <c r="I193" s="5">
        <f t="shared" ref="I193:I195" si="121">(100/(100-K193))*0.12</f>
        <v>0.12238653748087709</v>
      </c>
      <c r="J193" s="5">
        <f t="shared" ref="J193:J195" si="122">(100/(100-K193))*38.34</f>
        <v>39.102498725140237</v>
      </c>
      <c r="K193" s="5">
        <v>1.95</v>
      </c>
      <c r="L193" s="5">
        <v>0</v>
      </c>
      <c r="M193" s="5">
        <v>74.23</v>
      </c>
      <c r="N193" s="5">
        <v>23.82</v>
      </c>
      <c r="O193" s="5" t="s">
        <v>291</v>
      </c>
      <c r="P193" s="5" t="s">
        <v>291</v>
      </c>
      <c r="Q193" s="5" t="s">
        <v>291</v>
      </c>
      <c r="R193" s="5">
        <v>770</v>
      </c>
      <c r="S193" s="5" t="s">
        <v>39</v>
      </c>
      <c r="T193" s="5" t="s">
        <v>75</v>
      </c>
      <c r="U193" s="5">
        <v>40</v>
      </c>
      <c r="V193" s="5">
        <v>0.63</v>
      </c>
      <c r="W193" s="5" t="s">
        <v>291</v>
      </c>
      <c r="X193" s="5" t="s">
        <v>161</v>
      </c>
      <c r="Y193" s="5" t="s">
        <v>79</v>
      </c>
      <c r="Z193" s="5" t="s">
        <v>295</v>
      </c>
      <c r="AA193" s="5">
        <v>0</v>
      </c>
      <c r="AB193" s="5" t="s">
        <v>294</v>
      </c>
      <c r="AC193" s="5">
        <f t="shared" si="112"/>
        <v>8.9999999999999964</v>
      </c>
      <c r="AD193" s="5">
        <v>42.4</v>
      </c>
      <c r="AE193" s="5">
        <v>21.8</v>
      </c>
      <c r="AF193" s="5">
        <v>19</v>
      </c>
      <c r="AG193" s="5">
        <v>7.8</v>
      </c>
      <c r="AH193" s="5" t="s">
        <v>291</v>
      </c>
      <c r="AI193" s="5">
        <v>10.1</v>
      </c>
      <c r="AJ193" s="5" t="s">
        <v>291</v>
      </c>
      <c r="AK193" s="5" t="s">
        <v>291</v>
      </c>
      <c r="AL193" s="5" t="s">
        <v>291</v>
      </c>
      <c r="AM193" s="5" t="s">
        <v>291</v>
      </c>
      <c r="AN193" s="5" t="s">
        <v>291</v>
      </c>
      <c r="AO193" s="11" t="s">
        <v>184</v>
      </c>
    </row>
    <row r="194" spans="1:41" x14ac:dyDescent="0.3">
      <c r="A194" s="11">
        <v>193</v>
      </c>
      <c r="B194" s="3" t="s">
        <v>289</v>
      </c>
      <c r="C194" s="3" t="s">
        <v>159</v>
      </c>
      <c r="D194" s="5">
        <f t="shared" si="106"/>
        <v>1.25</v>
      </c>
      <c r="E194" s="5">
        <v>18.196000000000002</v>
      </c>
      <c r="F194" s="5">
        <f t="shared" si="118"/>
        <v>54.839367669556353</v>
      </c>
      <c r="G194" s="5">
        <f t="shared" si="119"/>
        <v>5.497195308516063</v>
      </c>
      <c r="H194" s="5">
        <f t="shared" si="120"/>
        <v>0.43855175930647627</v>
      </c>
      <c r="I194" s="5">
        <f t="shared" si="121"/>
        <v>0.12238653748087709</v>
      </c>
      <c r="J194" s="5">
        <f t="shared" si="122"/>
        <v>39.102498725140237</v>
      </c>
      <c r="K194" s="5">
        <v>1.95</v>
      </c>
      <c r="L194" s="5">
        <v>0</v>
      </c>
      <c r="M194" s="5">
        <v>74.23</v>
      </c>
      <c r="N194" s="5">
        <v>23.82</v>
      </c>
      <c r="O194" s="5" t="s">
        <v>291</v>
      </c>
      <c r="P194" s="5" t="s">
        <v>291</v>
      </c>
      <c r="Q194" s="5" t="s">
        <v>291</v>
      </c>
      <c r="R194" s="5">
        <v>770</v>
      </c>
      <c r="S194" s="5" t="s">
        <v>39</v>
      </c>
      <c r="T194" s="5" t="s">
        <v>75</v>
      </c>
      <c r="U194" s="5">
        <v>40</v>
      </c>
      <c r="V194" s="5">
        <v>0.97</v>
      </c>
      <c r="W194" s="5" t="s">
        <v>291</v>
      </c>
      <c r="X194" s="5" t="s">
        <v>161</v>
      </c>
      <c r="Y194" s="5" t="s">
        <v>79</v>
      </c>
      <c r="Z194" s="5" t="s">
        <v>295</v>
      </c>
      <c r="AA194" s="5">
        <v>0</v>
      </c>
      <c r="AB194" s="5" t="s">
        <v>294</v>
      </c>
      <c r="AC194" s="5">
        <f t="shared" si="112"/>
        <v>6.700000000000002</v>
      </c>
      <c r="AD194" s="5">
        <v>48</v>
      </c>
      <c r="AE194" s="5">
        <v>17.8</v>
      </c>
      <c r="AF194" s="5">
        <v>21.8</v>
      </c>
      <c r="AG194" s="5">
        <v>5.7</v>
      </c>
      <c r="AH194" s="5" t="s">
        <v>291</v>
      </c>
      <c r="AI194" s="5">
        <v>9.3000000000000007</v>
      </c>
      <c r="AJ194" s="5" t="s">
        <v>291</v>
      </c>
      <c r="AK194" s="5" t="s">
        <v>291</v>
      </c>
      <c r="AL194" s="5" t="s">
        <v>291</v>
      </c>
      <c r="AM194" s="5" t="s">
        <v>291</v>
      </c>
      <c r="AN194" s="5" t="s">
        <v>291</v>
      </c>
      <c r="AO194" s="11" t="s">
        <v>184</v>
      </c>
    </row>
    <row r="195" spans="1:41" x14ac:dyDescent="0.3">
      <c r="A195" s="11">
        <v>194</v>
      </c>
      <c r="B195" s="3" t="s">
        <v>289</v>
      </c>
      <c r="C195" s="3" t="s">
        <v>159</v>
      </c>
      <c r="D195" s="5">
        <f t="shared" si="106"/>
        <v>1.25</v>
      </c>
      <c r="E195" s="5">
        <v>18.196000000000002</v>
      </c>
      <c r="F195" s="5">
        <f t="shared" si="118"/>
        <v>54.839367669556353</v>
      </c>
      <c r="G195" s="5">
        <f t="shared" si="119"/>
        <v>5.497195308516063</v>
      </c>
      <c r="H195" s="5">
        <f t="shared" si="120"/>
        <v>0.43855175930647627</v>
      </c>
      <c r="I195" s="5">
        <f t="shared" si="121"/>
        <v>0.12238653748087709</v>
      </c>
      <c r="J195" s="5">
        <f t="shared" si="122"/>
        <v>39.102498725140237</v>
      </c>
      <c r="K195" s="5">
        <v>1.95</v>
      </c>
      <c r="L195" s="5">
        <v>0</v>
      </c>
      <c r="M195" s="5">
        <v>74.23</v>
      </c>
      <c r="N195" s="5">
        <v>23.82</v>
      </c>
      <c r="O195" s="5" t="s">
        <v>291</v>
      </c>
      <c r="P195" s="5" t="s">
        <v>291</v>
      </c>
      <c r="Q195" s="5" t="s">
        <v>291</v>
      </c>
      <c r="R195" s="5">
        <v>770</v>
      </c>
      <c r="S195" s="5" t="s">
        <v>39</v>
      </c>
      <c r="T195" s="5" t="s">
        <v>75</v>
      </c>
      <c r="U195" s="5">
        <v>40</v>
      </c>
      <c r="V195" s="5">
        <v>1.0900000000000001</v>
      </c>
      <c r="W195" s="5" t="s">
        <v>291</v>
      </c>
      <c r="X195" s="5" t="s">
        <v>161</v>
      </c>
      <c r="Y195" s="5" t="s">
        <v>79</v>
      </c>
      <c r="Z195" s="5" t="s">
        <v>295</v>
      </c>
      <c r="AA195" s="5">
        <v>0</v>
      </c>
      <c r="AB195" s="5" t="s">
        <v>294</v>
      </c>
      <c r="AC195" s="5">
        <f t="shared" si="112"/>
        <v>3.2</v>
      </c>
      <c r="AD195" s="5">
        <v>52</v>
      </c>
      <c r="AE195" s="5">
        <v>17</v>
      </c>
      <c r="AF195" s="5">
        <v>22</v>
      </c>
      <c r="AG195" s="5">
        <v>5.8</v>
      </c>
      <c r="AH195" s="5" t="s">
        <v>291</v>
      </c>
      <c r="AI195" s="5">
        <v>9.9</v>
      </c>
      <c r="AJ195" s="5" t="s">
        <v>291</v>
      </c>
      <c r="AK195" s="5" t="s">
        <v>291</v>
      </c>
      <c r="AL195" s="5" t="s">
        <v>291</v>
      </c>
      <c r="AM195" s="5" t="s">
        <v>291</v>
      </c>
      <c r="AN195" s="5" t="s">
        <v>291</v>
      </c>
      <c r="AO195" s="11" t="s">
        <v>184</v>
      </c>
    </row>
    <row r="196" spans="1:41" x14ac:dyDescent="0.3">
      <c r="A196" s="11">
        <v>195</v>
      </c>
      <c r="B196" s="3" t="s">
        <v>289</v>
      </c>
      <c r="C196" s="3" t="s">
        <v>159</v>
      </c>
      <c r="D196" s="5">
        <f t="shared" si="106"/>
        <v>1.25</v>
      </c>
      <c r="E196" s="5">
        <v>17.82</v>
      </c>
      <c r="F196" s="5">
        <f>(100/(100-K196))*49.89</f>
        <v>50.025067682743405</v>
      </c>
      <c r="G196" s="5">
        <f>(100/(100-K196))*5.91</f>
        <v>5.9260002005414618</v>
      </c>
      <c r="H196" s="5">
        <f>(100/(100-K196))*0.4</f>
        <v>0.40108292389451522</v>
      </c>
      <c r="I196" s="5">
        <f>(100/(100-K196))*0.1</f>
        <v>0.1002707309736288</v>
      </c>
      <c r="J196" s="5">
        <f>(100/(100-K196))*43.43</f>
        <v>43.547578461846989</v>
      </c>
      <c r="K196" s="5">
        <v>0.27</v>
      </c>
      <c r="L196" s="5">
        <v>0</v>
      </c>
      <c r="M196" s="5">
        <v>83.17</v>
      </c>
      <c r="N196" s="5">
        <v>16.559999999999999</v>
      </c>
      <c r="O196" s="5" t="s">
        <v>291</v>
      </c>
      <c r="P196" s="5" t="s">
        <v>291</v>
      </c>
      <c r="Q196" s="5" t="s">
        <v>291</v>
      </c>
      <c r="R196" s="5">
        <v>770</v>
      </c>
      <c r="S196" s="5" t="s">
        <v>39</v>
      </c>
      <c r="T196" s="5" t="s">
        <v>75</v>
      </c>
      <c r="U196" s="5">
        <v>40</v>
      </c>
      <c r="V196" s="5">
        <v>0.41</v>
      </c>
      <c r="W196" s="5" t="s">
        <v>291</v>
      </c>
      <c r="X196" s="5" t="s">
        <v>161</v>
      </c>
      <c r="Y196" s="5" t="s">
        <v>79</v>
      </c>
      <c r="Z196" s="5" t="s">
        <v>295</v>
      </c>
      <c r="AA196" s="5">
        <v>0</v>
      </c>
      <c r="AB196" s="5" t="s">
        <v>294</v>
      </c>
      <c r="AC196" s="5">
        <f>100-AD196-AE196-AF196-AG196</f>
        <v>30.6</v>
      </c>
      <c r="AD196" s="5">
        <v>19.5</v>
      </c>
      <c r="AE196" s="5">
        <v>28.8</v>
      </c>
      <c r="AF196" s="5">
        <v>9.5</v>
      </c>
      <c r="AG196" s="5">
        <v>11.6</v>
      </c>
      <c r="AH196" s="5" t="s">
        <v>291</v>
      </c>
      <c r="AI196" s="5">
        <v>10</v>
      </c>
      <c r="AJ196" s="5" t="s">
        <v>291</v>
      </c>
      <c r="AK196" s="5" t="s">
        <v>291</v>
      </c>
      <c r="AL196" s="5" t="s">
        <v>291</v>
      </c>
      <c r="AM196" s="5" t="s">
        <v>291</v>
      </c>
      <c r="AN196" s="5" t="s">
        <v>291</v>
      </c>
      <c r="AO196" s="11" t="s">
        <v>184</v>
      </c>
    </row>
    <row r="197" spans="1:41" x14ac:dyDescent="0.3">
      <c r="A197" s="11">
        <v>196</v>
      </c>
      <c r="B197" s="3" t="s">
        <v>289</v>
      </c>
      <c r="C197" s="3" t="s">
        <v>159</v>
      </c>
      <c r="D197" s="5">
        <f t="shared" si="106"/>
        <v>1.25</v>
      </c>
      <c r="E197" s="5">
        <v>17.82</v>
      </c>
      <c r="F197" s="5">
        <f t="shared" ref="F197:F198" si="123">(100/(100-K197))*49.89</f>
        <v>50.025067682743405</v>
      </c>
      <c r="G197" s="5">
        <f t="shared" ref="G197:G198" si="124">(100/(100-K197))*5.91</f>
        <v>5.9260002005414618</v>
      </c>
      <c r="H197" s="5">
        <f t="shared" ref="H197:H198" si="125">(100/(100-K197))*0.4</f>
        <v>0.40108292389451522</v>
      </c>
      <c r="I197" s="5">
        <f t="shared" ref="I197:I198" si="126">(100/(100-K197))*0.1</f>
        <v>0.1002707309736288</v>
      </c>
      <c r="J197" s="5">
        <f t="shared" ref="J197:J198" si="127">(100/(100-K197))*43.43</f>
        <v>43.547578461846989</v>
      </c>
      <c r="K197" s="5">
        <v>0.27</v>
      </c>
      <c r="L197" s="5">
        <v>0</v>
      </c>
      <c r="M197" s="5">
        <v>83.17</v>
      </c>
      <c r="N197" s="5">
        <v>16.559999999999999</v>
      </c>
      <c r="O197" s="5" t="s">
        <v>291</v>
      </c>
      <c r="P197" s="5" t="s">
        <v>291</v>
      </c>
      <c r="Q197" s="5" t="s">
        <v>291</v>
      </c>
      <c r="R197" s="5">
        <v>770</v>
      </c>
      <c r="S197" s="5" t="s">
        <v>39</v>
      </c>
      <c r="T197" s="5" t="s">
        <v>75</v>
      </c>
      <c r="U197" s="5">
        <v>40</v>
      </c>
      <c r="V197" s="5">
        <v>0.65</v>
      </c>
      <c r="W197" s="5" t="s">
        <v>291</v>
      </c>
      <c r="X197" s="5" t="s">
        <v>161</v>
      </c>
      <c r="Y197" s="5" t="s">
        <v>79</v>
      </c>
      <c r="Z197" s="5" t="s">
        <v>295</v>
      </c>
      <c r="AA197" s="5">
        <v>0</v>
      </c>
      <c r="AB197" s="5" t="s">
        <v>294</v>
      </c>
      <c r="AC197" s="5">
        <f>100-AD197-AE197-AF197-AG197</f>
        <v>10.599999999999998</v>
      </c>
      <c r="AD197" s="5">
        <v>35.5</v>
      </c>
      <c r="AE197" s="5">
        <v>27.1</v>
      </c>
      <c r="AF197" s="5">
        <v>15.8</v>
      </c>
      <c r="AG197" s="5">
        <v>11</v>
      </c>
      <c r="AH197" s="5" t="s">
        <v>291</v>
      </c>
      <c r="AI197" s="5">
        <v>11.2</v>
      </c>
      <c r="AJ197" s="5" t="s">
        <v>291</v>
      </c>
      <c r="AK197" s="5" t="s">
        <v>291</v>
      </c>
      <c r="AL197" s="5" t="s">
        <v>291</v>
      </c>
      <c r="AM197" s="5" t="s">
        <v>291</v>
      </c>
      <c r="AN197" s="5" t="s">
        <v>291</v>
      </c>
      <c r="AO197" s="11" t="s">
        <v>184</v>
      </c>
    </row>
    <row r="198" spans="1:41" x14ac:dyDescent="0.3">
      <c r="A198" s="11">
        <v>197</v>
      </c>
      <c r="B198" s="3" t="s">
        <v>289</v>
      </c>
      <c r="C198" s="3" t="s">
        <v>159</v>
      </c>
      <c r="D198" s="5">
        <f t="shared" si="106"/>
        <v>1.25</v>
      </c>
      <c r="E198" s="5">
        <v>17.82</v>
      </c>
      <c r="F198" s="5">
        <f t="shared" si="123"/>
        <v>50.025067682743405</v>
      </c>
      <c r="G198" s="5">
        <f t="shared" si="124"/>
        <v>5.9260002005414618</v>
      </c>
      <c r="H198" s="5">
        <f t="shared" si="125"/>
        <v>0.40108292389451522</v>
      </c>
      <c r="I198" s="5">
        <f t="shared" si="126"/>
        <v>0.1002707309736288</v>
      </c>
      <c r="J198" s="5">
        <f t="shared" si="127"/>
        <v>43.547578461846989</v>
      </c>
      <c r="K198" s="5">
        <v>0.27</v>
      </c>
      <c r="L198" s="5">
        <v>0</v>
      </c>
      <c r="M198" s="5">
        <v>83.17</v>
      </c>
      <c r="N198" s="5">
        <v>16.559999999999999</v>
      </c>
      <c r="O198" s="5" t="s">
        <v>291</v>
      </c>
      <c r="P198" s="5" t="s">
        <v>291</v>
      </c>
      <c r="Q198" s="5" t="s">
        <v>291</v>
      </c>
      <c r="R198" s="5">
        <v>770</v>
      </c>
      <c r="S198" s="5" t="s">
        <v>39</v>
      </c>
      <c r="T198" s="5" t="s">
        <v>75</v>
      </c>
      <c r="U198" s="5">
        <v>40</v>
      </c>
      <c r="V198" s="5">
        <v>0.96</v>
      </c>
      <c r="W198" s="5" t="s">
        <v>291</v>
      </c>
      <c r="X198" s="5" t="s">
        <v>161</v>
      </c>
      <c r="Y198" s="5" t="s">
        <v>79</v>
      </c>
      <c r="Z198" s="5" t="s">
        <v>295</v>
      </c>
      <c r="AA198" s="5">
        <v>0</v>
      </c>
      <c r="AB198" s="5" t="s">
        <v>294</v>
      </c>
      <c r="AC198" s="5">
        <f>100-AD198-AE198-AF198-AG198</f>
        <v>5.2999999999999989</v>
      </c>
      <c r="AD198" s="5">
        <v>54</v>
      </c>
      <c r="AE198" s="5">
        <v>13.5</v>
      </c>
      <c r="AF198" s="5">
        <v>21.6</v>
      </c>
      <c r="AG198" s="5">
        <v>5.6</v>
      </c>
      <c r="AH198" s="5" t="s">
        <v>291</v>
      </c>
      <c r="AI198" s="5">
        <v>9.6</v>
      </c>
      <c r="AJ198" s="5" t="s">
        <v>291</v>
      </c>
      <c r="AK198" s="5" t="s">
        <v>291</v>
      </c>
      <c r="AL198" s="5" t="s">
        <v>291</v>
      </c>
      <c r="AM198" s="5" t="s">
        <v>291</v>
      </c>
      <c r="AN198" s="5" t="s">
        <v>291</v>
      </c>
      <c r="AO198" s="11" t="s">
        <v>184</v>
      </c>
    </row>
    <row r="199" spans="1:41" x14ac:dyDescent="0.3">
      <c r="A199" s="11">
        <v>198</v>
      </c>
      <c r="B199" s="3" t="s">
        <v>289</v>
      </c>
      <c r="C199" s="3" t="s">
        <v>42</v>
      </c>
      <c r="D199" s="5">
        <v>12.7</v>
      </c>
      <c r="E199" s="5">
        <f>(0.3491*F199+1.1738*G199+0.1005*I199-0.1034*J199-0.0151*H199-0.0211*K199)-(9*(G199/100)*Calculations!$B$16)</f>
        <v>18.095253614709112</v>
      </c>
      <c r="F199" s="5">
        <v>47.52</v>
      </c>
      <c r="G199" s="5">
        <v>6.5</v>
      </c>
      <c r="H199" s="5">
        <v>0.05</v>
      </c>
      <c r="I199" s="5">
        <v>0.01</v>
      </c>
      <c r="J199" s="5">
        <v>46.36</v>
      </c>
      <c r="K199" s="5">
        <f>0.43*(100/(100-L199))</f>
        <v>0.47200878155872672</v>
      </c>
      <c r="L199" s="5">
        <v>8.9</v>
      </c>
      <c r="M199" s="5">
        <f>74*(100/(100-L199))</f>
        <v>81.229418221734363</v>
      </c>
      <c r="N199" s="5">
        <f>16.66*(100/(100-L199))</f>
        <v>18.287596048298575</v>
      </c>
      <c r="O199" s="5" t="s">
        <v>291</v>
      </c>
      <c r="P199" s="5" t="s">
        <v>291</v>
      </c>
      <c r="Q199" s="5" t="s">
        <v>291</v>
      </c>
      <c r="R199" s="5">
        <v>800</v>
      </c>
      <c r="S199" s="5" t="s">
        <v>39</v>
      </c>
      <c r="T199" s="5">
        <v>205</v>
      </c>
      <c r="U199" s="5" t="s">
        <v>291</v>
      </c>
      <c r="V199" s="5" t="s">
        <v>291</v>
      </c>
      <c r="W199" s="13">
        <v>0.19</v>
      </c>
      <c r="X199" s="5" t="s">
        <v>33</v>
      </c>
      <c r="Y199" s="5" t="s">
        <v>79</v>
      </c>
      <c r="Z199" s="5" t="s">
        <v>295</v>
      </c>
      <c r="AA199" s="5">
        <v>1</v>
      </c>
      <c r="AB199" s="5" t="s">
        <v>293</v>
      </c>
      <c r="AC199" s="5">
        <v>43.737780333525016</v>
      </c>
      <c r="AD199" s="5">
        <v>10.891316848763658</v>
      </c>
      <c r="AE199" s="5">
        <v>18.504887866589993</v>
      </c>
      <c r="AF199" s="5">
        <v>15.054629097182287</v>
      </c>
      <c r="AG199" s="5">
        <v>6.3254744105807932</v>
      </c>
      <c r="AH199" s="5">
        <v>2.3461759631972399</v>
      </c>
      <c r="AI199" s="5">
        <v>5.77</v>
      </c>
      <c r="AJ199" s="5">
        <v>13.78</v>
      </c>
      <c r="AK199" s="5" t="s">
        <v>291</v>
      </c>
      <c r="AL199" s="5" t="s">
        <v>291</v>
      </c>
      <c r="AM199" s="5" t="s">
        <v>291</v>
      </c>
      <c r="AN199" s="5" t="s">
        <v>291</v>
      </c>
      <c r="AO199" s="11" t="s">
        <v>191</v>
      </c>
    </row>
    <row r="200" spans="1:41" x14ac:dyDescent="0.3">
      <c r="A200" s="11">
        <v>199</v>
      </c>
      <c r="B200" s="3" t="s">
        <v>289</v>
      </c>
      <c r="C200" s="3" t="s">
        <v>42</v>
      </c>
      <c r="D200" s="5">
        <v>12.7</v>
      </c>
      <c r="E200" s="5">
        <f>(0.3491*F200+1.1738*G200+0.1005*I200-0.1034*J200-0.0151*H200-0.0211*K200)-(9*(G200/100)*Calculations!$B$16)</f>
        <v>18.095253614709112</v>
      </c>
      <c r="F200" s="5">
        <v>47.52</v>
      </c>
      <c r="G200" s="5">
        <v>6.5</v>
      </c>
      <c r="H200" s="5">
        <v>0.05</v>
      </c>
      <c r="I200" s="5">
        <v>0.01</v>
      </c>
      <c r="J200" s="5">
        <v>46.36</v>
      </c>
      <c r="K200" s="5">
        <f>0.43*(100/(100-L200))</f>
        <v>0.47200878155872672</v>
      </c>
      <c r="L200" s="5">
        <v>8.9</v>
      </c>
      <c r="M200" s="5">
        <f>74*(100/(100-L200))</f>
        <v>81.229418221734363</v>
      </c>
      <c r="N200" s="5">
        <f>16.66*(100/(100-L200))</f>
        <v>18.287596048298575</v>
      </c>
      <c r="O200" s="5" t="s">
        <v>291</v>
      </c>
      <c r="P200" s="5" t="s">
        <v>291</v>
      </c>
      <c r="Q200" s="5" t="s">
        <v>291</v>
      </c>
      <c r="R200" s="5">
        <v>800</v>
      </c>
      <c r="S200" s="5" t="s">
        <v>39</v>
      </c>
      <c r="T200" s="5">
        <v>205</v>
      </c>
      <c r="U200" s="5" t="s">
        <v>291</v>
      </c>
      <c r="V200" s="13">
        <v>0.17</v>
      </c>
      <c r="W200" s="13">
        <v>0.28999999999999998</v>
      </c>
      <c r="X200" s="5" t="s">
        <v>290</v>
      </c>
      <c r="Y200" s="5" t="s">
        <v>79</v>
      </c>
      <c r="Z200" s="5" t="s">
        <v>295</v>
      </c>
      <c r="AA200" s="5">
        <v>1</v>
      </c>
      <c r="AB200" s="5" t="s">
        <v>293</v>
      </c>
      <c r="AC200" s="5">
        <v>19.907468605419695</v>
      </c>
      <c r="AD200" s="5">
        <v>19.722405816259087</v>
      </c>
      <c r="AE200" s="5">
        <v>25.419695968274947</v>
      </c>
      <c r="AF200" s="5">
        <v>23.833443489755453</v>
      </c>
      <c r="AG200" s="5">
        <v>8.3146067415730336</v>
      </c>
      <c r="AH200" s="5">
        <v>2.8420356906807664</v>
      </c>
      <c r="AI200" s="5">
        <v>7.27</v>
      </c>
      <c r="AJ200" s="5">
        <v>18.670000000000002</v>
      </c>
      <c r="AK200" s="5" t="s">
        <v>291</v>
      </c>
      <c r="AL200" s="5" t="s">
        <v>291</v>
      </c>
      <c r="AM200" s="5" t="s">
        <v>291</v>
      </c>
      <c r="AN200" s="5" t="s">
        <v>291</v>
      </c>
      <c r="AO200" s="11" t="s">
        <v>191</v>
      </c>
    </row>
    <row r="201" spans="1:41" x14ac:dyDescent="0.3">
      <c r="A201" s="11">
        <v>200</v>
      </c>
      <c r="B201" s="3" t="s">
        <v>289</v>
      </c>
      <c r="C201" s="3" t="s">
        <v>42</v>
      </c>
      <c r="D201" s="5">
        <v>12.7</v>
      </c>
      <c r="E201" s="5">
        <f>(0.3491*F201+1.1738*G201+0.1005*I201-0.1034*J201-0.0151*H201-0.0211*K201)-(9*(G201/100)*Calculations!$B$16)</f>
        <v>18.095253614709112</v>
      </c>
      <c r="F201" s="5">
        <v>47.52</v>
      </c>
      <c r="G201" s="5">
        <v>6.5</v>
      </c>
      <c r="H201" s="5">
        <v>0.05</v>
      </c>
      <c r="I201" s="5">
        <v>0.01</v>
      </c>
      <c r="J201" s="5">
        <v>46.36</v>
      </c>
      <c r="K201" s="5">
        <f>0.43*(100/(100-L201))</f>
        <v>0.47200878155872672</v>
      </c>
      <c r="L201" s="5">
        <v>8.9</v>
      </c>
      <c r="M201" s="5">
        <f>74*(100/(100-L201))</f>
        <v>81.229418221734363</v>
      </c>
      <c r="N201" s="5">
        <f>16.66*(100/(100-L201))</f>
        <v>18.287596048298575</v>
      </c>
      <c r="O201" s="5" t="s">
        <v>291</v>
      </c>
      <c r="P201" s="5" t="s">
        <v>291</v>
      </c>
      <c r="Q201" s="5" t="s">
        <v>291</v>
      </c>
      <c r="R201" s="5">
        <v>800</v>
      </c>
      <c r="S201" s="5" t="s">
        <v>39</v>
      </c>
      <c r="T201" s="5">
        <v>205</v>
      </c>
      <c r="U201" s="5" t="s">
        <v>291</v>
      </c>
      <c r="V201" s="13">
        <v>0.17</v>
      </c>
      <c r="W201" s="13">
        <v>0.28999999999999998</v>
      </c>
      <c r="X201" s="5" t="s">
        <v>290</v>
      </c>
      <c r="Y201" s="5" t="s">
        <v>79</v>
      </c>
      <c r="Z201" s="5" t="s">
        <v>295</v>
      </c>
      <c r="AA201" s="5">
        <v>1</v>
      </c>
      <c r="AB201" s="5" t="s">
        <v>293</v>
      </c>
      <c r="AC201" s="5">
        <v>8.1992882562277583</v>
      </c>
      <c r="AD201" s="5">
        <v>22.90391459074733</v>
      </c>
      <c r="AE201" s="5">
        <v>30.604982206405694</v>
      </c>
      <c r="AF201" s="5">
        <v>27.772241992882567</v>
      </c>
      <c r="AG201" s="5">
        <v>10.106761565836299</v>
      </c>
      <c r="AH201" s="5">
        <v>3.6583629893238436</v>
      </c>
      <c r="AI201" s="5">
        <v>8.26</v>
      </c>
      <c r="AJ201" s="5">
        <v>19.55</v>
      </c>
      <c r="AK201" s="5" t="s">
        <v>291</v>
      </c>
      <c r="AL201" s="5" t="s">
        <v>291</v>
      </c>
      <c r="AM201" s="5" t="s">
        <v>291</v>
      </c>
      <c r="AN201" s="5" t="s">
        <v>291</v>
      </c>
      <c r="AO201" s="11" t="s">
        <v>191</v>
      </c>
    </row>
    <row r="202" spans="1:41" x14ac:dyDescent="0.3">
      <c r="A202" s="11">
        <v>201</v>
      </c>
      <c r="B202" s="3" t="s">
        <v>289</v>
      </c>
      <c r="C202" s="3" t="s">
        <v>42</v>
      </c>
      <c r="D202" s="5">
        <v>12.7</v>
      </c>
      <c r="E202" s="5">
        <f>(0.3491*F202+1.1738*G202+0.1005*I202-0.1034*J202-0.0151*H202-0.0211*K202)-(9*(G202/100)*Calculations!$B$16)</f>
        <v>17.499943600000002</v>
      </c>
      <c r="F202" s="5">
        <v>46.56</v>
      </c>
      <c r="G202" s="5">
        <v>6.24</v>
      </c>
      <c r="H202" s="5">
        <v>0.14000000000000001</v>
      </c>
      <c r="I202" s="5">
        <v>0.02</v>
      </c>
      <c r="J202" s="5">
        <v>46.13</v>
      </c>
      <c r="K202" s="5">
        <f>1.83*(100/(100-L202))</f>
        <v>1.952</v>
      </c>
      <c r="L202" s="5">
        <v>6.25</v>
      </c>
      <c r="M202" s="5">
        <f>75.11*(100/(100-L202))</f>
        <v>80.117333333333335</v>
      </c>
      <c r="N202" s="5">
        <f>16.81*(100/(100-L202))</f>
        <v>17.930666666666664</v>
      </c>
      <c r="O202" s="5" t="s">
        <v>291</v>
      </c>
      <c r="P202" s="5" t="s">
        <v>291</v>
      </c>
      <c r="Q202" s="5" t="s">
        <v>291</v>
      </c>
      <c r="R202" s="5">
        <v>800</v>
      </c>
      <c r="S202" s="5" t="s">
        <v>39</v>
      </c>
      <c r="T202" s="5">
        <v>205</v>
      </c>
      <c r="U202" s="5" t="s">
        <v>291</v>
      </c>
      <c r="V202" s="13" t="s">
        <v>15</v>
      </c>
      <c r="W202" s="13">
        <v>0.2</v>
      </c>
      <c r="X202" s="5" t="s">
        <v>33</v>
      </c>
      <c r="Y202" s="5" t="s">
        <v>79</v>
      </c>
      <c r="Z202" s="5" t="s">
        <v>295</v>
      </c>
      <c r="AA202" s="5">
        <v>1</v>
      </c>
      <c r="AB202" s="5" t="s">
        <v>293</v>
      </c>
      <c r="AC202" s="5">
        <v>43.341108519382431</v>
      </c>
      <c r="AD202" s="5">
        <v>12.584693990891925</v>
      </c>
      <c r="AE202" s="5">
        <v>18.782628012884594</v>
      </c>
      <c r="AF202" s="5">
        <v>15.061646117960679</v>
      </c>
      <c r="AG202" s="5">
        <v>5.8536043541041867</v>
      </c>
      <c r="AH202" s="5">
        <v>1.6772187048761524</v>
      </c>
      <c r="AI202" s="5">
        <v>5.58</v>
      </c>
      <c r="AJ202" s="5" t="s">
        <v>291</v>
      </c>
      <c r="AK202" s="5" t="s">
        <v>291</v>
      </c>
      <c r="AL202" s="5" t="s">
        <v>291</v>
      </c>
      <c r="AM202" s="5" t="s">
        <v>291</v>
      </c>
      <c r="AN202" s="5" t="s">
        <v>291</v>
      </c>
      <c r="AO202" s="11" t="s">
        <v>198</v>
      </c>
    </row>
    <row r="203" spans="1:41" x14ac:dyDescent="0.3">
      <c r="A203" s="11">
        <v>202</v>
      </c>
      <c r="B203" s="3" t="s">
        <v>289</v>
      </c>
      <c r="C203" s="3" t="s">
        <v>42</v>
      </c>
      <c r="D203" s="5">
        <v>12.7</v>
      </c>
      <c r="E203" s="5">
        <f>(0.3491*F203+1.1738*G203+0.1005*I203-0.1034*J203-0.0151*H203-0.0211*K203)-(9*(G203/100)*Calculations!$B$16)</f>
        <v>17.499943600000002</v>
      </c>
      <c r="F203" s="5">
        <v>46.56</v>
      </c>
      <c r="G203" s="5">
        <v>6.24</v>
      </c>
      <c r="H203" s="5">
        <v>0.14000000000000001</v>
      </c>
      <c r="I203" s="5">
        <v>0.02</v>
      </c>
      <c r="J203" s="5">
        <v>46.13</v>
      </c>
      <c r="K203" s="5">
        <f>1.83*(100/(100-L203))</f>
        <v>1.952</v>
      </c>
      <c r="L203" s="5">
        <v>6.25</v>
      </c>
      <c r="M203" s="5">
        <f>75.11*(100/(100-L203))</f>
        <v>80.117333333333335</v>
      </c>
      <c r="N203" s="5">
        <f>16.81*(100/(100-L203))</f>
        <v>17.930666666666664</v>
      </c>
      <c r="O203" s="5" t="s">
        <v>291</v>
      </c>
      <c r="P203" s="5" t="s">
        <v>291</v>
      </c>
      <c r="Q203" s="5" t="s">
        <v>291</v>
      </c>
      <c r="R203" s="5">
        <v>800</v>
      </c>
      <c r="S203" s="5" t="s">
        <v>39</v>
      </c>
      <c r="T203" s="5">
        <v>205</v>
      </c>
      <c r="U203" s="5" t="s">
        <v>291</v>
      </c>
      <c r="V203" s="13">
        <v>0.15</v>
      </c>
      <c r="W203" s="13">
        <v>0.28000000000000003</v>
      </c>
      <c r="X203" s="5" t="s">
        <v>290</v>
      </c>
      <c r="Y203" s="5" t="s">
        <v>79</v>
      </c>
      <c r="Z203" s="5" t="s">
        <v>295</v>
      </c>
      <c r="AA203" s="5">
        <v>1</v>
      </c>
      <c r="AB203" s="5" t="s">
        <v>293</v>
      </c>
      <c r="AC203" s="5">
        <v>22.80297207276454</v>
      </c>
      <c r="AD203" s="5">
        <v>19.267230335639248</v>
      </c>
      <c r="AE203" s="5">
        <v>23.571611580835253</v>
      </c>
      <c r="AF203" s="5">
        <v>22.956699974378683</v>
      </c>
      <c r="AG203" s="5">
        <v>8.1732001024852661</v>
      </c>
      <c r="AH203" s="5">
        <v>2.5493210351012037</v>
      </c>
      <c r="AI203" s="5">
        <v>7.11</v>
      </c>
      <c r="AJ203" s="5">
        <v>8.18</v>
      </c>
      <c r="AK203" s="5" t="s">
        <v>291</v>
      </c>
      <c r="AL203" s="5" t="s">
        <v>291</v>
      </c>
      <c r="AM203" s="5" t="s">
        <v>291</v>
      </c>
      <c r="AN203" s="5" t="s">
        <v>291</v>
      </c>
      <c r="AO203" s="11" t="s">
        <v>198</v>
      </c>
    </row>
    <row r="204" spans="1:41" x14ac:dyDescent="0.3">
      <c r="A204" s="11">
        <v>203</v>
      </c>
      <c r="B204" s="3" t="s">
        <v>289</v>
      </c>
      <c r="C204" s="3" t="s">
        <v>42</v>
      </c>
      <c r="D204" s="5">
        <v>12.7</v>
      </c>
      <c r="E204" s="5">
        <f>(0.3491*F204+1.1738*G204+0.1005*I204-0.1034*J204-0.0151*H204-0.0211*K204)-(9*(G204/100)*Calculations!$B$16)</f>
        <v>17.499943600000002</v>
      </c>
      <c r="F204" s="5">
        <v>46.56</v>
      </c>
      <c r="G204" s="5">
        <v>6.24</v>
      </c>
      <c r="H204" s="5">
        <v>0.14000000000000001</v>
      </c>
      <c r="I204" s="5">
        <v>0.02</v>
      </c>
      <c r="J204" s="5">
        <v>46.13</v>
      </c>
      <c r="K204" s="5">
        <f>1.83*(100/(100-L204))</f>
        <v>1.952</v>
      </c>
      <c r="L204" s="5">
        <v>6.25</v>
      </c>
      <c r="M204" s="5">
        <f>75.11*(100/(100-L204))</f>
        <v>80.117333333333335</v>
      </c>
      <c r="N204" s="5">
        <f>16.81*(100/(100-L204))</f>
        <v>17.930666666666664</v>
      </c>
      <c r="O204" s="5" t="s">
        <v>291</v>
      </c>
      <c r="P204" s="5" t="s">
        <v>291</v>
      </c>
      <c r="Q204" s="5" t="s">
        <v>291</v>
      </c>
      <c r="R204" s="5">
        <v>800</v>
      </c>
      <c r="S204" s="5" t="s">
        <v>39</v>
      </c>
      <c r="T204" s="5">
        <v>205</v>
      </c>
      <c r="U204" s="5" t="s">
        <v>291</v>
      </c>
      <c r="V204" s="13">
        <v>0.18</v>
      </c>
      <c r="W204" s="13">
        <v>0.31</v>
      </c>
      <c r="X204" s="5" t="s">
        <v>290</v>
      </c>
      <c r="Y204" s="5" t="s">
        <v>79</v>
      </c>
      <c r="Z204" s="5" t="s">
        <v>295</v>
      </c>
      <c r="AA204" s="5">
        <v>1</v>
      </c>
      <c r="AB204" s="5" t="s">
        <v>293</v>
      </c>
      <c r="AC204" s="5">
        <v>7.1566198733828799</v>
      </c>
      <c r="AD204" s="5">
        <v>22.914946325350947</v>
      </c>
      <c r="AE204" s="5">
        <v>27.429121937792459</v>
      </c>
      <c r="AF204" s="5">
        <v>27.08505367464905</v>
      </c>
      <c r="AG204" s="5">
        <v>9.3861822185521611</v>
      </c>
      <c r="AH204" s="5">
        <v>3.0553261767134599</v>
      </c>
      <c r="AI204" s="5">
        <v>8.09</v>
      </c>
      <c r="AJ204" s="5">
        <v>6.62</v>
      </c>
      <c r="AK204" s="5" t="s">
        <v>291</v>
      </c>
      <c r="AL204" s="5" t="s">
        <v>291</v>
      </c>
      <c r="AM204" s="5" t="s">
        <v>291</v>
      </c>
      <c r="AN204" s="5" t="s">
        <v>291</v>
      </c>
      <c r="AO204" s="11" t="s">
        <v>198</v>
      </c>
    </row>
    <row r="205" spans="1:41" x14ac:dyDescent="0.3">
      <c r="A205" s="11">
        <v>204</v>
      </c>
      <c r="B205" s="3" t="s">
        <v>288</v>
      </c>
      <c r="C205" s="3" t="s">
        <v>290</v>
      </c>
      <c r="D205" s="5" t="s">
        <v>291</v>
      </c>
      <c r="E205" s="5">
        <f>(0.3491*F205+1.1738*G205+0.1005*I205-0.1034*J205-0.0151*H205-0.0211*K205)-(9*(G205/100)*Calculations!$B$16)</f>
        <v>15.619681969761155</v>
      </c>
      <c r="F205" s="5">
        <v>40.07</v>
      </c>
      <c r="G205" s="5">
        <v>7.1</v>
      </c>
      <c r="H205" s="5">
        <v>1.4</v>
      </c>
      <c r="I205" s="5">
        <v>0.17</v>
      </c>
      <c r="J205" s="5">
        <v>50.5</v>
      </c>
      <c r="K205" s="5">
        <f>1.4*(100/(100-L205))</f>
        <v>1.6472526179550537</v>
      </c>
      <c r="L205" s="5">
        <v>15.01</v>
      </c>
      <c r="M205" s="5">
        <f>66.43*(100/(100-L205))</f>
        <v>78.162136721967315</v>
      </c>
      <c r="N205" s="5">
        <f>17.15*(100/(100-L205))</f>
        <v>20.178844569949405</v>
      </c>
      <c r="O205" s="5" t="s">
        <v>291</v>
      </c>
      <c r="P205" s="5" t="s">
        <v>291</v>
      </c>
      <c r="Q205" s="5" t="s">
        <v>291</v>
      </c>
      <c r="R205" s="5">
        <v>800</v>
      </c>
      <c r="S205" s="5" t="s">
        <v>39</v>
      </c>
      <c r="T205" s="5">
        <v>205</v>
      </c>
      <c r="U205" s="5" t="s">
        <v>291</v>
      </c>
      <c r="V205" s="13" t="s">
        <v>15</v>
      </c>
      <c r="W205" s="13">
        <v>0.22</v>
      </c>
      <c r="X205" s="5" t="s">
        <v>33</v>
      </c>
      <c r="Y205" s="5" t="s">
        <v>79</v>
      </c>
      <c r="Z205" s="5" t="s">
        <v>295</v>
      </c>
      <c r="AA205" s="5">
        <v>1</v>
      </c>
      <c r="AB205" s="5" t="s">
        <v>293</v>
      </c>
      <c r="AC205" s="5">
        <v>53.095086151882583</v>
      </c>
      <c r="AD205" s="5">
        <v>5.6541161455009572</v>
      </c>
      <c r="AE205" s="5">
        <v>15.851946394384173</v>
      </c>
      <c r="AF205" s="5">
        <v>13.924696873005743</v>
      </c>
      <c r="AG205" s="5">
        <v>4.5820038289725593</v>
      </c>
      <c r="AH205" s="5">
        <v>2.7951499680918954</v>
      </c>
      <c r="AI205" s="5">
        <v>4.28</v>
      </c>
      <c r="AJ205" s="5">
        <v>13.47</v>
      </c>
      <c r="AK205" s="5" t="s">
        <v>291</v>
      </c>
      <c r="AL205" s="5" t="s">
        <v>291</v>
      </c>
      <c r="AM205" s="5" t="s">
        <v>291</v>
      </c>
      <c r="AN205" s="5" t="s">
        <v>291</v>
      </c>
      <c r="AO205" s="11" t="s">
        <v>198</v>
      </c>
    </row>
    <row r="206" spans="1:41" x14ac:dyDescent="0.3">
      <c r="A206" s="11">
        <v>205</v>
      </c>
      <c r="B206" s="3" t="s">
        <v>288</v>
      </c>
      <c r="C206" s="3" t="s">
        <v>290</v>
      </c>
      <c r="D206" s="5" t="s">
        <v>291</v>
      </c>
      <c r="E206" s="5">
        <f>(0.3491*F206+1.1738*G206+0.1005*I206-0.1034*J206-0.0151*H206-0.0211*K206)-(9*(G206/100)*Calculations!$B$16)</f>
        <v>15.619681969761155</v>
      </c>
      <c r="F206" s="5">
        <v>40.07</v>
      </c>
      <c r="G206" s="5">
        <v>7.1</v>
      </c>
      <c r="H206" s="5">
        <v>1.4</v>
      </c>
      <c r="I206" s="5">
        <v>0.17</v>
      </c>
      <c r="J206" s="5">
        <v>50.5</v>
      </c>
      <c r="K206" s="5">
        <f>1.4*(100/(100-L206))</f>
        <v>1.6472526179550537</v>
      </c>
      <c r="L206" s="5">
        <v>15.01</v>
      </c>
      <c r="M206" s="5">
        <f>66.43*(100/(100-L206))</f>
        <v>78.162136721967315</v>
      </c>
      <c r="N206" s="5">
        <f>17.15*(100/(100-L206))</f>
        <v>20.178844569949405</v>
      </c>
      <c r="O206" s="5" t="s">
        <v>291</v>
      </c>
      <c r="P206" s="5" t="s">
        <v>291</v>
      </c>
      <c r="Q206" s="5" t="s">
        <v>291</v>
      </c>
      <c r="R206" s="5">
        <v>800</v>
      </c>
      <c r="S206" s="5" t="s">
        <v>39</v>
      </c>
      <c r="T206" s="5">
        <v>205</v>
      </c>
      <c r="U206" s="5" t="s">
        <v>291</v>
      </c>
      <c r="V206" s="13">
        <v>0.17</v>
      </c>
      <c r="W206" s="13">
        <v>0.34</v>
      </c>
      <c r="X206" s="5" t="s">
        <v>290</v>
      </c>
      <c r="Y206" s="5" t="s">
        <v>79</v>
      </c>
      <c r="Z206" s="5" t="s">
        <v>295</v>
      </c>
      <c r="AA206" s="5">
        <v>1</v>
      </c>
      <c r="AB206" s="5" t="s">
        <v>293</v>
      </c>
      <c r="AC206" s="5">
        <v>27.705627705627705</v>
      </c>
      <c r="AD206" s="5">
        <v>9.8484848484848495</v>
      </c>
      <c r="AE206" s="5">
        <v>23.611111111111114</v>
      </c>
      <c r="AF206" s="5">
        <v>21.951659451659452</v>
      </c>
      <c r="AG206" s="5">
        <v>7.4675324675324672</v>
      </c>
      <c r="AH206" s="5">
        <v>4.220779220779221</v>
      </c>
      <c r="AI206" s="5">
        <v>5.22</v>
      </c>
      <c r="AJ206" s="5" t="s">
        <v>291</v>
      </c>
      <c r="AK206" s="5" t="s">
        <v>291</v>
      </c>
      <c r="AL206" s="5" t="s">
        <v>291</v>
      </c>
      <c r="AM206" s="5" t="s">
        <v>291</v>
      </c>
      <c r="AN206" s="5" t="s">
        <v>291</v>
      </c>
      <c r="AO206" s="11" t="s">
        <v>198</v>
      </c>
    </row>
    <row r="207" spans="1:41" x14ac:dyDescent="0.3">
      <c r="A207" s="11">
        <v>206</v>
      </c>
      <c r="B207" s="3" t="s">
        <v>288</v>
      </c>
      <c r="C207" s="3" t="s">
        <v>290</v>
      </c>
      <c r="D207" s="5" t="s">
        <v>291</v>
      </c>
      <c r="E207" s="5">
        <f>(0.3491*F207+1.1738*G207+0.1005*I207-0.1034*J207-0.0151*H207-0.0211*K207)-(9*(G207/100)*Calculations!$B$16)</f>
        <v>15.619681969761155</v>
      </c>
      <c r="F207" s="5">
        <v>40.07</v>
      </c>
      <c r="G207" s="5">
        <v>7.1</v>
      </c>
      <c r="H207" s="5">
        <v>1.4</v>
      </c>
      <c r="I207" s="5">
        <v>0.17</v>
      </c>
      <c r="J207" s="5">
        <v>50.5</v>
      </c>
      <c r="K207" s="5">
        <f>1.4*(100/(100-L207))</f>
        <v>1.6472526179550537</v>
      </c>
      <c r="L207" s="5">
        <v>15.01</v>
      </c>
      <c r="M207" s="5">
        <f>66.43*(100/(100-L207))</f>
        <v>78.162136721967315</v>
      </c>
      <c r="N207" s="5">
        <f>17.15*(100/(100-L207))</f>
        <v>20.178844569949405</v>
      </c>
      <c r="O207" s="5" t="s">
        <v>291</v>
      </c>
      <c r="P207" s="5" t="s">
        <v>291</v>
      </c>
      <c r="Q207" s="5" t="s">
        <v>291</v>
      </c>
      <c r="R207" s="5">
        <v>800</v>
      </c>
      <c r="S207" s="5" t="s">
        <v>39</v>
      </c>
      <c r="T207" s="5">
        <v>205</v>
      </c>
      <c r="U207" s="5" t="s">
        <v>291</v>
      </c>
      <c r="V207" s="13">
        <v>0.17</v>
      </c>
      <c r="W207" s="13">
        <v>0.34</v>
      </c>
      <c r="X207" s="5" t="s">
        <v>290</v>
      </c>
      <c r="Y207" s="5" t="s">
        <v>79</v>
      </c>
      <c r="Z207" s="5" t="s">
        <v>295</v>
      </c>
      <c r="AA207" s="5">
        <v>1</v>
      </c>
      <c r="AB207" s="5" t="s">
        <v>293</v>
      </c>
      <c r="AC207" s="5">
        <v>11.370328425821064</v>
      </c>
      <c r="AD207" s="5">
        <v>13.272933182332958</v>
      </c>
      <c r="AE207" s="5">
        <v>30.55492638731597</v>
      </c>
      <c r="AF207" s="5">
        <v>28.856172140430353</v>
      </c>
      <c r="AG207" s="5">
        <v>9.6036240090600238</v>
      </c>
      <c r="AH207" s="5">
        <v>5.5039637599094</v>
      </c>
      <c r="AI207" s="5">
        <v>5.49</v>
      </c>
      <c r="AJ207" s="5">
        <v>11.39</v>
      </c>
      <c r="AK207" s="5" t="s">
        <v>291</v>
      </c>
      <c r="AL207" s="5" t="s">
        <v>291</v>
      </c>
      <c r="AM207" s="5" t="s">
        <v>291</v>
      </c>
      <c r="AN207" s="5" t="s">
        <v>291</v>
      </c>
      <c r="AO207" s="11" t="s">
        <v>198</v>
      </c>
    </row>
    <row r="208" spans="1:41" x14ac:dyDescent="0.3">
      <c r="A208" s="11">
        <v>207</v>
      </c>
      <c r="B208" s="3" t="s">
        <v>289</v>
      </c>
      <c r="C208" s="3" t="s">
        <v>159</v>
      </c>
      <c r="D208" s="5">
        <v>1.5</v>
      </c>
      <c r="E208" s="5">
        <f>19.8-(9*((G208/100*((100+L208)/100)))*Calculations!$B$16)</f>
        <v>18.4533212268</v>
      </c>
      <c r="F208" s="5">
        <v>49.33</v>
      </c>
      <c r="G208" s="5">
        <v>6.06</v>
      </c>
      <c r="H208" s="5">
        <v>0.04</v>
      </c>
      <c r="I208" s="5">
        <v>0</v>
      </c>
      <c r="J208" s="5">
        <v>44.57</v>
      </c>
      <c r="K208" s="5">
        <f>0.5*(100/(100-L208))</f>
        <v>0.55187637969094927</v>
      </c>
      <c r="L208" s="5">
        <v>9.4</v>
      </c>
      <c r="M208" s="5">
        <f t="shared" ref="M208:M214" si="128">73.4*(100/(100-L208))</f>
        <v>81.015452538631365</v>
      </c>
      <c r="N208" s="5">
        <f t="shared" ref="N208:N214" si="129">16.7*(100/(100-L208))</f>
        <v>18.432671081677704</v>
      </c>
      <c r="O208" s="5" t="s">
        <v>291</v>
      </c>
      <c r="P208" s="5" t="s">
        <v>291</v>
      </c>
      <c r="Q208" s="5" t="s">
        <v>291</v>
      </c>
      <c r="R208" s="5">
        <v>800</v>
      </c>
      <c r="S208" s="5" t="s">
        <v>39</v>
      </c>
      <c r="T208" s="5" t="s">
        <v>291</v>
      </c>
      <c r="U208" s="5">
        <v>20</v>
      </c>
      <c r="V208" s="5">
        <v>1.22</v>
      </c>
      <c r="W208" s="5" t="s">
        <v>291</v>
      </c>
      <c r="X208" s="5" t="s">
        <v>161</v>
      </c>
      <c r="Y208" s="5" t="s">
        <v>79</v>
      </c>
      <c r="Z208" s="5" t="s">
        <v>295</v>
      </c>
      <c r="AA208" s="5">
        <v>0</v>
      </c>
      <c r="AB208" s="5" t="s">
        <v>294</v>
      </c>
      <c r="AC208" s="5">
        <v>0</v>
      </c>
      <c r="AD208" s="5">
        <v>28</v>
      </c>
      <c r="AE208" s="5">
        <v>41</v>
      </c>
      <c r="AF208" s="5">
        <v>12.5</v>
      </c>
      <c r="AG208" s="5">
        <v>11.5</v>
      </c>
      <c r="AH208" s="5">
        <v>5.5</v>
      </c>
      <c r="AI208" s="5">
        <f>(AD208*Calculations!$B$23+AE208*Calculations!$B$21+AG208*Calculations!$B$22+AH208*Calculations!$B$24)/100</f>
        <v>15.595450000000001</v>
      </c>
      <c r="AJ208" s="5">
        <v>364</v>
      </c>
      <c r="AK208" s="5">
        <v>0.73</v>
      </c>
      <c r="AL208" s="5">
        <v>8.9</v>
      </c>
      <c r="AM208" s="5">
        <f t="shared" ref="AM208:AM214" si="130">100*(AI208*AK208)/E208</f>
        <v>61.694468762977394</v>
      </c>
      <c r="AN208" s="5">
        <v>50</v>
      </c>
      <c r="AO208" s="11" t="s">
        <v>202</v>
      </c>
    </row>
    <row r="209" spans="1:41" x14ac:dyDescent="0.3">
      <c r="A209" s="11">
        <v>208</v>
      </c>
      <c r="B209" s="3" t="s">
        <v>289</v>
      </c>
      <c r="C209" s="3" t="s">
        <v>159</v>
      </c>
      <c r="D209" s="5">
        <v>1.5</v>
      </c>
      <c r="E209" s="5">
        <f>19.8-(9*((G209/100*((100+L209)/100)))*Calculations!$B$16)</f>
        <v>18.4533212268</v>
      </c>
      <c r="F209" s="5">
        <v>49.33</v>
      </c>
      <c r="G209" s="5">
        <v>6.06</v>
      </c>
      <c r="H209" s="5">
        <v>0.04</v>
      </c>
      <c r="I209" s="5">
        <v>0</v>
      </c>
      <c r="J209" s="5">
        <v>44.57</v>
      </c>
      <c r="K209" s="5">
        <f>0.5*(100/(100-L209))</f>
        <v>0.55187637969094927</v>
      </c>
      <c r="L209" s="5">
        <v>9.4</v>
      </c>
      <c r="M209" s="5">
        <f t="shared" si="128"/>
        <v>81.015452538631365</v>
      </c>
      <c r="N209" s="5">
        <f t="shared" si="129"/>
        <v>18.432671081677704</v>
      </c>
      <c r="O209" s="5" t="s">
        <v>291</v>
      </c>
      <c r="P209" s="5" t="s">
        <v>291</v>
      </c>
      <c r="Q209" s="5" t="s">
        <v>291</v>
      </c>
      <c r="R209" s="5">
        <v>850</v>
      </c>
      <c r="S209" s="5" t="s">
        <v>39</v>
      </c>
      <c r="T209" s="5" t="s">
        <v>291</v>
      </c>
      <c r="U209" s="5">
        <v>20</v>
      </c>
      <c r="V209" s="5">
        <v>1.22</v>
      </c>
      <c r="W209" s="5" t="s">
        <v>291</v>
      </c>
      <c r="X209" s="5" t="s">
        <v>161</v>
      </c>
      <c r="Y209" s="5" t="s">
        <v>79</v>
      </c>
      <c r="Z209" s="5" t="s">
        <v>295</v>
      </c>
      <c r="AA209" s="5">
        <v>0</v>
      </c>
      <c r="AB209" s="5" t="s">
        <v>294</v>
      </c>
      <c r="AC209" s="5">
        <v>0</v>
      </c>
      <c r="AD209" s="5">
        <v>33</v>
      </c>
      <c r="AE209" s="5">
        <v>37.5</v>
      </c>
      <c r="AF209" s="5">
        <v>14</v>
      </c>
      <c r="AG209" s="5">
        <v>10</v>
      </c>
      <c r="AH209" s="5">
        <v>4</v>
      </c>
      <c r="AI209" s="5">
        <f>(AD209*Calculations!$B$23+AE209*Calculations!$B$21+AG209*Calculations!$B$22+AH209*Calculations!$B$24)/100</f>
        <v>14.262345</v>
      </c>
      <c r="AJ209" s="5">
        <v>245</v>
      </c>
      <c r="AK209" s="5">
        <f>(AK208+AK210)/2</f>
        <v>0.84499999999999997</v>
      </c>
      <c r="AL209" s="5">
        <v>6.3</v>
      </c>
      <c r="AM209" s="5">
        <f t="shared" si="130"/>
        <v>65.309010648431055</v>
      </c>
      <c r="AN209" s="5">
        <v>59</v>
      </c>
      <c r="AO209" s="11" t="s">
        <v>202</v>
      </c>
    </row>
    <row r="210" spans="1:41" x14ac:dyDescent="0.3">
      <c r="A210" s="11">
        <v>209</v>
      </c>
      <c r="B210" s="3" t="s">
        <v>289</v>
      </c>
      <c r="C210" s="3" t="s">
        <v>159</v>
      </c>
      <c r="D210" s="5">
        <v>1.5</v>
      </c>
      <c r="E210" s="5">
        <f>19.8-(9*((G210/100*((100+L210)/100)))*Calculations!$B$16)</f>
        <v>18.4533212268</v>
      </c>
      <c r="F210" s="5">
        <v>49.33</v>
      </c>
      <c r="G210" s="5">
        <v>6.06</v>
      </c>
      <c r="H210" s="5">
        <v>0.04</v>
      </c>
      <c r="I210" s="5">
        <v>0</v>
      </c>
      <c r="J210" s="5">
        <v>44.57</v>
      </c>
      <c r="K210" s="5">
        <f>0.5*(100/(100-L210))</f>
        <v>0.55187637969094927</v>
      </c>
      <c r="L210" s="5">
        <v>9.4</v>
      </c>
      <c r="M210" s="5">
        <f t="shared" si="128"/>
        <v>81.015452538631365</v>
      </c>
      <c r="N210" s="5">
        <f t="shared" si="129"/>
        <v>18.432671081677704</v>
      </c>
      <c r="O210" s="5" t="s">
        <v>291</v>
      </c>
      <c r="P210" s="5" t="s">
        <v>291</v>
      </c>
      <c r="Q210" s="5" t="s">
        <v>291</v>
      </c>
      <c r="R210" s="5">
        <v>900</v>
      </c>
      <c r="S210" s="5" t="s">
        <v>39</v>
      </c>
      <c r="T210" s="5" t="s">
        <v>291</v>
      </c>
      <c r="U210" s="5">
        <v>20</v>
      </c>
      <c r="V210" s="5">
        <v>1.22</v>
      </c>
      <c r="W210" s="5" t="s">
        <v>291</v>
      </c>
      <c r="X210" s="5" t="s">
        <v>161</v>
      </c>
      <c r="Y210" s="5" t="s">
        <v>79</v>
      </c>
      <c r="Z210" s="5" t="s">
        <v>295</v>
      </c>
      <c r="AA210" s="5">
        <v>0</v>
      </c>
      <c r="AB210" s="5" t="s">
        <v>294</v>
      </c>
      <c r="AC210" s="5">
        <v>0</v>
      </c>
      <c r="AD210" s="5">
        <v>38</v>
      </c>
      <c r="AE210" s="5">
        <v>32.5</v>
      </c>
      <c r="AF210" s="5">
        <v>16.5</v>
      </c>
      <c r="AG210" s="5">
        <v>8.5</v>
      </c>
      <c r="AH210" s="5">
        <v>4</v>
      </c>
      <c r="AI210" s="5">
        <f>(AD210*Calculations!$B$23+AE210*Calculations!$B$21+AG210*Calculations!$B$22+AH210*Calculations!$B$24)/100</f>
        <v>13.631599999999999</v>
      </c>
      <c r="AJ210" s="5">
        <v>142</v>
      </c>
      <c r="AK210" s="5">
        <v>0.96</v>
      </c>
      <c r="AL210" s="5">
        <v>4.5</v>
      </c>
      <c r="AM210" s="5">
        <f t="shared" si="130"/>
        <v>70.915884675515969</v>
      </c>
      <c r="AN210" s="5">
        <v>70</v>
      </c>
      <c r="AO210" s="11" t="s">
        <v>202</v>
      </c>
    </row>
    <row r="211" spans="1:41" x14ac:dyDescent="0.3">
      <c r="A211" s="11">
        <v>210</v>
      </c>
      <c r="B211" s="3" t="s">
        <v>289</v>
      </c>
      <c r="C211" s="3" t="s">
        <v>159</v>
      </c>
      <c r="D211" s="5">
        <v>1.5</v>
      </c>
      <c r="E211" s="5">
        <f>19.8-(9*((G211/100*((100+L211)/100)))*Calculations!$B$16)</f>
        <v>18.4533212268</v>
      </c>
      <c r="F211" s="5">
        <v>49.33</v>
      </c>
      <c r="G211" s="5">
        <v>6.06</v>
      </c>
      <c r="H211" s="5">
        <v>0.04</v>
      </c>
      <c r="I211" s="5">
        <v>0</v>
      </c>
      <c r="J211" s="5">
        <v>44.57</v>
      </c>
      <c r="K211" s="5">
        <f t="shared" ref="K211:K213" si="131">0.5*(100/(100-L211))</f>
        <v>0.55187637969094927</v>
      </c>
      <c r="L211" s="5">
        <v>9.4</v>
      </c>
      <c r="M211" s="5">
        <f t="shared" si="128"/>
        <v>81.015452538631365</v>
      </c>
      <c r="N211" s="5">
        <f t="shared" si="129"/>
        <v>18.432671081677704</v>
      </c>
      <c r="O211" s="5" t="s">
        <v>291</v>
      </c>
      <c r="P211" s="5" t="s">
        <v>291</v>
      </c>
      <c r="Q211" s="5" t="s">
        <v>291</v>
      </c>
      <c r="R211" s="5">
        <v>900</v>
      </c>
      <c r="S211" s="5" t="s">
        <v>39</v>
      </c>
      <c r="T211" s="5" t="s">
        <v>291</v>
      </c>
      <c r="U211" s="5">
        <v>20</v>
      </c>
      <c r="V211" s="5">
        <v>0.11</v>
      </c>
      <c r="W211" s="5" t="s">
        <v>291</v>
      </c>
      <c r="X211" s="5" t="s">
        <v>161</v>
      </c>
      <c r="Y211" s="5" t="s">
        <v>79</v>
      </c>
      <c r="Z211" s="5" t="s">
        <v>295</v>
      </c>
      <c r="AA211" s="5">
        <v>0</v>
      </c>
      <c r="AB211" s="5" t="s">
        <v>294</v>
      </c>
      <c r="AC211" s="5">
        <v>0</v>
      </c>
      <c r="AD211" s="5">
        <v>28.5</v>
      </c>
      <c r="AE211" s="5">
        <v>50</v>
      </c>
      <c r="AF211" s="5">
        <v>7</v>
      </c>
      <c r="AG211" s="5">
        <v>10</v>
      </c>
      <c r="AH211" s="5">
        <v>4</v>
      </c>
      <c r="AI211" s="5">
        <f>(AD211*Calculations!$B$23+AE211*Calculations!$B$21+AG211*Calculations!$B$22+AH211*Calculations!$B$24)/100</f>
        <v>15.356235000000002</v>
      </c>
      <c r="AJ211" s="5">
        <v>154</v>
      </c>
      <c r="AK211" s="5">
        <v>0.78501664117231684</v>
      </c>
      <c r="AL211" s="5">
        <v>10.7</v>
      </c>
      <c r="AM211" s="5">
        <f t="shared" si="130"/>
        <v>65.326451930210183</v>
      </c>
      <c r="AN211" s="5">
        <v>62.5</v>
      </c>
      <c r="AO211" s="11" t="s">
        <v>202</v>
      </c>
    </row>
    <row r="212" spans="1:41" x14ac:dyDescent="0.3">
      <c r="A212" s="11">
        <v>211</v>
      </c>
      <c r="B212" s="3" t="s">
        <v>289</v>
      </c>
      <c r="C212" s="3" t="s">
        <v>159</v>
      </c>
      <c r="D212" s="5">
        <v>1.5</v>
      </c>
      <c r="E212" s="5">
        <f>19.8-(9*((G212/100*((100+L212)/100)))*Calculations!$B$16)</f>
        <v>18.4533212268</v>
      </c>
      <c r="F212" s="5">
        <v>49.33</v>
      </c>
      <c r="G212" s="5">
        <v>6.06</v>
      </c>
      <c r="H212" s="5">
        <v>0.04</v>
      </c>
      <c r="I212" s="5">
        <v>0</v>
      </c>
      <c r="J212" s="5">
        <v>44.57</v>
      </c>
      <c r="K212" s="5">
        <f t="shared" si="131"/>
        <v>0.55187637969094927</v>
      </c>
      <c r="L212" s="5">
        <v>9.4</v>
      </c>
      <c r="M212" s="5">
        <f t="shared" si="128"/>
        <v>81.015452538631365</v>
      </c>
      <c r="N212" s="5">
        <f t="shared" si="129"/>
        <v>18.432671081677704</v>
      </c>
      <c r="O212" s="5" t="s">
        <v>291</v>
      </c>
      <c r="P212" s="5" t="s">
        <v>291</v>
      </c>
      <c r="Q212" s="5" t="s">
        <v>291</v>
      </c>
      <c r="R212" s="5">
        <v>900</v>
      </c>
      <c r="S212" s="5" t="s">
        <v>39</v>
      </c>
      <c r="T212" s="5" t="s">
        <v>291</v>
      </c>
      <c r="U212" s="5">
        <v>20</v>
      </c>
      <c r="V212" s="5">
        <v>2.33</v>
      </c>
      <c r="W212" s="5" t="s">
        <v>291</v>
      </c>
      <c r="X212" s="5" t="s">
        <v>161</v>
      </c>
      <c r="Y212" s="5" t="s">
        <v>79</v>
      </c>
      <c r="Z212" s="5" t="s">
        <v>295</v>
      </c>
      <c r="AA212" s="5">
        <v>0</v>
      </c>
      <c r="AB212" s="5" t="s">
        <v>294</v>
      </c>
      <c r="AC212" s="5">
        <v>0</v>
      </c>
      <c r="AD212" s="5">
        <v>41</v>
      </c>
      <c r="AE212" s="5">
        <v>30</v>
      </c>
      <c r="AF212" s="5">
        <v>18</v>
      </c>
      <c r="AG212" s="5">
        <v>7.5</v>
      </c>
      <c r="AH212" s="5">
        <v>3.5</v>
      </c>
      <c r="AI212" s="5">
        <f>(AD212*Calculations!$B$23+AE212*Calculations!$B$21+AG212*Calculations!$B$22+AH212*Calculations!$B$24)/100</f>
        <v>12.983149999999998</v>
      </c>
      <c r="AJ212" s="5">
        <v>142</v>
      </c>
      <c r="AK212" s="5">
        <v>1.0111091225292308</v>
      </c>
      <c r="AL212" s="5">
        <v>3.6</v>
      </c>
      <c r="AM212" s="5">
        <f t="shared" si="130"/>
        <v>71.1383129509517</v>
      </c>
      <c r="AN212" s="5">
        <v>70</v>
      </c>
      <c r="AO212" s="11" t="s">
        <v>202</v>
      </c>
    </row>
    <row r="213" spans="1:41" x14ac:dyDescent="0.3">
      <c r="A213" s="11">
        <v>212</v>
      </c>
      <c r="B213" s="3" t="s">
        <v>289</v>
      </c>
      <c r="C213" s="3" t="s">
        <v>159</v>
      </c>
      <c r="D213" s="5">
        <f>(1+0.3)/2</f>
        <v>0.65</v>
      </c>
      <c r="E213" s="5">
        <f>19.8-(9*((G213/100*((100+L213)/100)))*Calculations!$B$16)</f>
        <v>18.4533212268</v>
      </c>
      <c r="F213" s="5">
        <v>49.33</v>
      </c>
      <c r="G213" s="5">
        <v>6.06</v>
      </c>
      <c r="H213" s="5">
        <v>0.04</v>
      </c>
      <c r="I213" s="5">
        <v>0</v>
      </c>
      <c r="J213" s="5">
        <v>44.57</v>
      </c>
      <c r="K213" s="5">
        <f t="shared" si="131"/>
        <v>0.55187637969094927</v>
      </c>
      <c r="L213" s="5">
        <v>9.4</v>
      </c>
      <c r="M213" s="5">
        <f t="shared" si="128"/>
        <v>81.015452538631365</v>
      </c>
      <c r="N213" s="5">
        <f t="shared" si="129"/>
        <v>18.432671081677704</v>
      </c>
      <c r="O213" s="5" t="s">
        <v>291</v>
      </c>
      <c r="P213" s="5" t="s">
        <v>291</v>
      </c>
      <c r="Q213" s="5" t="s">
        <v>291</v>
      </c>
      <c r="R213" s="5">
        <v>850</v>
      </c>
      <c r="S213" s="5" t="s">
        <v>39</v>
      </c>
      <c r="T213" s="5" t="s">
        <v>291</v>
      </c>
      <c r="U213" s="5">
        <v>20</v>
      </c>
      <c r="V213" s="5">
        <v>1.22</v>
      </c>
      <c r="W213" s="5" t="s">
        <v>291</v>
      </c>
      <c r="X213" s="5" t="s">
        <v>161</v>
      </c>
      <c r="Y213" s="5" t="s">
        <v>79</v>
      </c>
      <c r="Z213" s="5" t="s">
        <v>295</v>
      </c>
      <c r="AA213" s="5">
        <v>0</v>
      </c>
      <c r="AB213" s="5" t="s">
        <v>294</v>
      </c>
      <c r="AC213" s="5">
        <v>0</v>
      </c>
      <c r="AD213" s="5">
        <v>31.5</v>
      </c>
      <c r="AE213" s="5">
        <v>40</v>
      </c>
      <c r="AF213" s="5">
        <v>13.5</v>
      </c>
      <c r="AG213" s="5">
        <v>10</v>
      </c>
      <c r="AH213" s="5">
        <v>5</v>
      </c>
      <c r="AI213" s="5">
        <f>(AD213*Calculations!$B$23+AE213*Calculations!$B$21+AG213*Calculations!$B$22+AH213*Calculations!$B$24)/100</f>
        <v>15.010995000000001</v>
      </c>
      <c r="AJ213" s="5">
        <v>243</v>
      </c>
      <c r="AK213" s="5">
        <v>0.74402707163040749</v>
      </c>
      <c r="AL213" s="5">
        <v>6.2</v>
      </c>
      <c r="AM213" s="5">
        <f t="shared" si="130"/>
        <v>60.523450032877584</v>
      </c>
      <c r="AN213" s="5">
        <v>59</v>
      </c>
      <c r="AO213" s="11" t="s">
        <v>202</v>
      </c>
    </row>
    <row r="214" spans="1:41" x14ac:dyDescent="0.3">
      <c r="A214" s="11">
        <v>213</v>
      </c>
      <c r="B214" s="3" t="s">
        <v>289</v>
      </c>
      <c r="C214" s="3" t="s">
        <v>159</v>
      </c>
      <c r="D214" s="5">
        <v>4</v>
      </c>
      <c r="E214" s="5">
        <f>19.8-(9*((G214/100*((100+L214)/100)))*Calculations!$B$16)</f>
        <v>18.4533212268</v>
      </c>
      <c r="F214" s="5">
        <v>49.33</v>
      </c>
      <c r="G214" s="5">
        <v>6.06</v>
      </c>
      <c r="H214" s="5">
        <v>0.04</v>
      </c>
      <c r="I214" s="5">
        <v>0</v>
      </c>
      <c r="J214" s="5">
        <v>44.57</v>
      </c>
      <c r="K214" s="5">
        <f>0.5*(100/(100-L214))</f>
        <v>0.55187637969094927</v>
      </c>
      <c r="L214" s="5">
        <v>9.4</v>
      </c>
      <c r="M214" s="5">
        <f t="shared" si="128"/>
        <v>81.015452538631365</v>
      </c>
      <c r="N214" s="5">
        <f t="shared" si="129"/>
        <v>18.432671081677704</v>
      </c>
      <c r="O214" s="5" t="s">
        <v>291</v>
      </c>
      <c r="P214" s="5" t="s">
        <v>291</v>
      </c>
      <c r="Q214" s="5" t="s">
        <v>291</v>
      </c>
      <c r="R214" s="5">
        <v>850</v>
      </c>
      <c r="S214" s="5" t="s">
        <v>39</v>
      </c>
      <c r="T214" s="5" t="s">
        <v>291</v>
      </c>
      <c r="U214" s="5">
        <v>20</v>
      </c>
      <c r="V214" s="5">
        <v>1.22</v>
      </c>
      <c r="W214" s="5" t="s">
        <v>291</v>
      </c>
      <c r="X214" s="5" t="s">
        <v>161</v>
      </c>
      <c r="Y214" s="5" t="s">
        <v>79</v>
      </c>
      <c r="Z214" s="5" t="s">
        <v>295</v>
      </c>
      <c r="AA214" s="5">
        <v>0</v>
      </c>
      <c r="AB214" s="5" t="s">
        <v>294</v>
      </c>
      <c r="AC214" s="5">
        <v>0</v>
      </c>
      <c r="AD214" s="5">
        <v>28.5</v>
      </c>
      <c r="AE214" s="5">
        <v>37.5</v>
      </c>
      <c r="AF214" s="5">
        <v>17</v>
      </c>
      <c r="AG214" s="5">
        <v>11.5</v>
      </c>
      <c r="AH214" s="5">
        <v>5</v>
      </c>
      <c r="AI214" s="5">
        <f>(AD214*Calculations!$B$23+AE214*Calculations!$B$21+AG214*Calculations!$B$22+AH214*Calculations!$B$24)/100</f>
        <v>14.909925000000001</v>
      </c>
      <c r="AJ214" s="5">
        <v>263</v>
      </c>
      <c r="AK214" s="5">
        <v>0.71624030533042926</v>
      </c>
      <c r="AL214" s="5">
        <v>6.4</v>
      </c>
      <c r="AM214" s="5">
        <f t="shared" si="130"/>
        <v>57.870825003275947</v>
      </c>
      <c r="AN214" s="5">
        <v>59</v>
      </c>
      <c r="AO214" s="11" t="s">
        <v>202</v>
      </c>
    </row>
    <row r="215" spans="1:41" x14ac:dyDescent="0.3">
      <c r="A215" s="11">
        <v>214</v>
      </c>
      <c r="B215" s="3" t="s">
        <v>289</v>
      </c>
      <c r="C215" s="3" t="s">
        <v>42</v>
      </c>
      <c r="D215" s="5">
        <v>6</v>
      </c>
      <c r="E215" s="5">
        <v>18.5</v>
      </c>
      <c r="F215" s="5">
        <v>49.4</v>
      </c>
      <c r="G215" s="5">
        <v>5.9</v>
      </c>
      <c r="H215" s="5">
        <v>0.1</v>
      </c>
      <c r="I215" s="5">
        <v>0</v>
      </c>
      <c r="J215" s="5">
        <v>44.5</v>
      </c>
      <c r="K215" s="5">
        <f>0.3*(100/(100-L215))</f>
        <v>0.32786885245901642</v>
      </c>
      <c r="L215" s="5">
        <v>8.5</v>
      </c>
      <c r="M215" s="5">
        <f>74.1*(100/(100-L215))</f>
        <v>80.983606557377044</v>
      </c>
      <c r="N215" s="5">
        <f>17.1*(100/(100-L215))</f>
        <v>18.688524590163937</v>
      </c>
      <c r="O215" s="5" t="s">
        <v>291</v>
      </c>
      <c r="P215" s="5" t="s">
        <v>291</v>
      </c>
      <c r="Q215" s="5" t="s">
        <v>291</v>
      </c>
      <c r="R215" s="5">
        <v>780</v>
      </c>
      <c r="S215" s="5" t="s">
        <v>39</v>
      </c>
      <c r="T215" s="5" t="s">
        <v>75</v>
      </c>
      <c r="U215" s="5">
        <v>40</v>
      </c>
      <c r="V215" s="5">
        <v>0</v>
      </c>
      <c r="W215" s="5">
        <v>0.3</v>
      </c>
      <c r="X215" s="5" t="s">
        <v>33</v>
      </c>
      <c r="Y215" s="5" t="s">
        <v>79</v>
      </c>
      <c r="Z215" s="5" t="s">
        <v>296</v>
      </c>
      <c r="AA215" s="5">
        <v>1</v>
      </c>
      <c r="AB215" s="5" t="s">
        <v>293</v>
      </c>
      <c r="AC215" s="5">
        <f>100-AD215-AE215-AF215-AG215-AH215</f>
        <v>52.85</v>
      </c>
      <c r="AD215" s="5">
        <v>14</v>
      </c>
      <c r="AE215" s="5">
        <v>16.5</v>
      </c>
      <c r="AF215" s="5">
        <v>13</v>
      </c>
      <c r="AG215" s="5">
        <v>3.5</v>
      </c>
      <c r="AH215" s="5">
        <v>0.15</v>
      </c>
      <c r="AI215" s="5">
        <v>4.5751612000000002</v>
      </c>
      <c r="AJ215" s="5" t="s">
        <v>291</v>
      </c>
      <c r="AK215" s="5">
        <f t="shared" ref="AK215:AK232" si="132">(AM215/100)*(E215/AI215)</f>
        <v>2.1835296207705204</v>
      </c>
      <c r="AL215" s="5" t="s">
        <v>291</v>
      </c>
      <c r="AM215" s="5">
        <v>54</v>
      </c>
      <c r="AN215" s="5">
        <f>100*(AK215/F215)*(AE215*Calculations!$B$5*Calculations!$B$9+AF215*Calculations!$B$6*Calculations!$B$10+AG215*Calculations!$B$7*Calculations!$B$11+AH215*Calculations!$B$8*Calculations!$B$12)</f>
        <v>74.955037283849492</v>
      </c>
      <c r="AO215" s="11" t="s">
        <v>203</v>
      </c>
    </row>
    <row r="216" spans="1:41" x14ac:dyDescent="0.3">
      <c r="A216" s="11">
        <v>215</v>
      </c>
      <c r="B216" s="3" t="s">
        <v>289</v>
      </c>
      <c r="C216" s="3" t="s">
        <v>42</v>
      </c>
      <c r="D216" s="5">
        <v>6</v>
      </c>
      <c r="E216" s="5">
        <v>18.5</v>
      </c>
      <c r="F216" s="5">
        <v>49.4</v>
      </c>
      <c r="G216" s="5">
        <v>5.9</v>
      </c>
      <c r="H216" s="5">
        <v>0.1</v>
      </c>
      <c r="I216" s="5">
        <v>0</v>
      </c>
      <c r="J216" s="5">
        <v>44.5</v>
      </c>
      <c r="K216" s="5">
        <f>0.3*(100/(100-L216))</f>
        <v>0.32786885245901642</v>
      </c>
      <c r="L216" s="5">
        <v>8.5</v>
      </c>
      <c r="M216" s="5">
        <f>74.1*(100/(100-L216))</f>
        <v>80.983606557377044</v>
      </c>
      <c r="N216" s="5">
        <f>17.1*(100/(100-L216))</f>
        <v>18.688524590163937</v>
      </c>
      <c r="O216" s="5" t="s">
        <v>291</v>
      </c>
      <c r="P216" s="5" t="s">
        <v>291</v>
      </c>
      <c r="Q216" s="5" t="s">
        <v>291</v>
      </c>
      <c r="R216" s="5">
        <v>780</v>
      </c>
      <c r="S216" s="5" t="s">
        <v>39</v>
      </c>
      <c r="T216" s="5" t="s">
        <v>75</v>
      </c>
      <c r="U216" s="5">
        <v>40</v>
      </c>
      <c r="V216" s="5">
        <v>0.65</v>
      </c>
      <c r="W216" s="5">
        <v>0.28999999999999998</v>
      </c>
      <c r="X216" s="5" t="s">
        <v>81</v>
      </c>
      <c r="Y216" s="5" t="s">
        <v>79</v>
      </c>
      <c r="Z216" s="5" t="s">
        <v>296</v>
      </c>
      <c r="AA216" s="5">
        <v>1</v>
      </c>
      <c r="AB216" s="5" t="s">
        <v>293</v>
      </c>
      <c r="AC216" s="5">
        <f t="shared" ref="AC216:AC241" si="133">100-AD216-AE216-AF216-AG216-AH216</f>
        <v>42.44</v>
      </c>
      <c r="AD216" s="5">
        <v>25</v>
      </c>
      <c r="AE216" s="5">
        <v>14</v>
      </c>
      <c r="AF216" s="5">
        <v>16.5</v>
      </c>
      <c r="AG216" s="5">
        <v>2</v>
      </c>
      <c r="AH216" s="5">
        <v>0.06</v>
      </c>
      <c r="AI216" s="5">
        <v>5.0561886719999993</v>
      </c>
      <c r="AJ216" s="5" t="s">
        <v>291</v>
      </c>
      <c r="AK216" s="5">
        <f t="shared" si="132"/>
        <v>2.5978065400799983</v>
      </c>
      <c r="AL216" s="5" t="s">
        <v>291</v>
      </c>
      <c r="AM216" s="5">
        <v>71</v>
      </c>
      <c r="AN216" s="5">
        <f>100*(AK216/F216)*(AE216*Calculations!$B$5*Calculations!$B$9+AF216*Calculations!$B$6*Calculations!$B$10+AG216*Calculations!$B$7*Calculations!$B$11+AH216*Calculations!$B$8*Calculations!$B$12)</f>
        <v>88.32639898171999</v>
      </c>
      <c r="AO216" s="11" t="s">
        <v>203</v>
      </c>
    </row>
    <row r="217" spans="1:41" x14ac:dyDescent="0.3">
      <c r="A217" s="11">
        <v>216</v>
      </c>
      <c r="B217" s="3" t="s">
        <v>289</v>
      </c>
      <c r="C217" s="3" t="s">
        <v>42</v>
      </c>
      <c r="D217" s="5">
        <v>6</v>
      </c>
      <c r="E217" s="5">
        <v>18.5</v>
      </c>
      <c r="F217" s="5">
        <v>49.4</v>
      </c>
      <c r="G217" s="5">
        <v>5.9</v>
      </c>
      <c r="H217" s="5">
        <v>0.1</v>
      </c>
      <c r="I217" s="5">
        <v>0</v>
      </c>
      <c r="J217" s="5">
        <v>44.5</v>
      </c>
      <c r="K217" s="5">
        <f t="shared" ref="K217:K223" si="134">0.3*(100/(100-L217))</f>
        <v>0.32786885245901642</v>
      </c>
      <c r="L217" s="5">
        <v>8.5</v>
      </c>
      <c r="M217" s="5">
        <f t="shared" ref="M217:M223" si="135">74.1*(100/(100-L217))</f>
        <v>80.983606557377044</v>
      </c>
      <c r="N217" s="5">
        <f t="shared" ref="N217:N223" si="136">17.1*(100/(100-L217))</f>
        <v>18.688524590163937</v>
      </c>
      <c r="O217" s="5" t="s">
        <v>291</v>
      </c>
      <c r="P217" s="5" t="s">
        <v>291</v>
      </c>
      <c r="Q217" s="5" t="s">
        <v>291</v>
      </c>
      <c r="R217" s="5">
        <v>780</v>
      </c>
      <c r="S217" s="5" t="s">
        <v>39</v>
      </c>
      <c r="T217" s="5" t="s">
        <v>75</v>
      </c>
      <c r="U217" s="5">
        <v>40</v>
      </c>
      <c r="V217" s="5">
        <v>0.91</v>
      </c>
      <c r="W217" s="5">
        <v>0.28999999999999998</v>
      </c>
      <c r="X217" s="5" t="s">
        <v>81</v>
      </c>
      <c r="Y217" s="5" t="s">
        <v>79</v>
      </c>
      <c r="Z217" s="5" t="s">
        <v>296</v>
      </c>
      <c r="AA217" s="5">
        <v>1</v>
      </c>
      <c r="AB217" s="5" t="s">
        <v>293</v>
      </c>
      <c r="AC217" s="5">
        <f t="shared" si="133"/>
        <v>47.96</v>
      </c>
      <c r="AD217" s="5">
        <v>23.5</v>
      </c>
      <c r="AE217" s="5">
        <v>11.5</v>
      </c>
      <c r="AF217" s="5">
        <v>15</v>
      </c>
      <c r="AG217" s="5">
        <v>2</v>
      </c>
      <c r="AH217" s="5">
        <v>0.04</v>
      </c>
      <c r="AI217" s="5">
        <v>4.4630105520000001</v>
      </c>
      <c r="AJ217" s="5" t="s">
        <v>291</v>
      </c>
      <c r="AK217" s="5">
        <f t="shared" si="132"/>
        <v>2.5700140894490988</v>
      </c>
      <c r="AL217" s="5" t="s">
        <v>291</v>
      </c>
      <c r="AM217" s="5">
        <v>62</v>
      </c>
      <c r="AN217" s="5">
        <f>100*(AK217/F217)*(AE217*Calculations!$B$5*Calculations!$B$9+AF217*Calculations!$B$6*Calculations!$B$10+AG217*Calculations!$B$7*Calculations!$B$11+AH217*Calculations!$B$8*Calculations!$B$12)</f>
        <v>76.707785770963994</v>
      </c>
      <c r="AO217" s="11" t="s">
        <v>203</v>
      </c>
    </row>
    <row r="218" spans="1:41" x14ac:dyDescent="0.3">
      <c r="A218" s="11">
        <v>217</v>
      </c>
      <c r="B218" s="3" t="s">
        <v>289</v>
      </c>
      <c r="C218" s="3" t="s">
        <v>42</v>
      </c>
      <c r="D218" s="5">
        <v>6</v>
      </c>
      <c r="E218" s="5">
        <v>18.5</v>
      </c>
      <c r="F218" s="5">
        <v>49.4</v>
      </c>
      <c r="G218" s="5">
        <v>5.9</v>
      </c>
      <c r="H218" s="5">
        <v>0.1</v>
      </c>
      <c r="I218" s="5">
        <v>0</v>
      </c>
      <c r="J218" s="5">
        <v>44.5</v>
      </c>
      <c r="K218" s="5">
        <f t="shared" si="134"/>
        <v>0.32786885245901642</v>
      </c>
      <c r="L218" s="5">
        <v>8.5</v>
      </c>
      <c r="M218" s="5">
        <f t="shared" si="135"/>
        <v>80.983606557377044</v>
      </c>
      <c r="N218" s="5">
        <f t="shared" si="136"/>
        <v>18.688524590163937</v>
      </c>
      <c r="O218" s="5" t="s">
        <v>291</v>
      </c>
      <c r="P218" s="5" t="s">
        <v>291</v>
      </c>
      <c r="Q218" s="5" t="s">
        <v>291</v>
      </c>
      <c r="R218" s="5">
        <v>780</v>
      </c>
      <c r="S218" s="5" t="s">
        <v>39</v>
      </c>
      <c r="T218" s="5" t="s">
        <v>75</v>
      </c>
      <c r="U218" s="5">
        <v>40</v>
      </c>
      <c r="V218" s="5">
        <v>0.65</v>
      </c>
      <c r="W218" s="5">
        <v>0.17</v>
      </c>
      <c r="X218" s="5" t="s">
        <v>81</v>
      </c>
      <c r="Y218" s="5" t="s">
        <v>79</v>
      </c>
      <c r="Z218" s="5" t="s">
        <v>296</v>
      </c>
      <c r="AA218" s="5">
        <v>1</v>
      </c>
      <c r="AB218" s="5" t="s">
        <v>293</v>
      </c>
      <c r="AC218" s="5">
        <f t="shared" si="133"/>
        <v>50.5</v>
      </c>
      <c r="AD218" s="5">
        <v>17.5</v>
      </c>
      <c r="AE218" s="5">
        <v>12</v>
      </c>
      <c r="AF218" s="5">
        <v>16</v>
      </c>
      <c r="AG218" s="5">
        <v>4</v>
      </c>
      <c r="AH218" s="5">
        <v>0</v>
      </c>
      <c r="AI218" s="5">
        <v>6.8756881999999999</v>
      </c>
      <c r="AJ218" s="5" t="s">
        <v>291</v>
      </c>
      <c r="AK218" s="5">
        <f t="shared" si="132"/>
        <v>1.8565414295546443</v>
      </c>
      <c r="AL218" s="5" t="s">
        <v>291</v>
      </c>
      <c r="AM218" s="5">
        <v>69</v>
      </c>
      <c r="AN218" s="5">
        <f>100*(AK218/F218)*(AE218*Calculations!$B$5*Calculations!$B$9+AF218*Calculations!$B$6*Calculations!$B$10+AG218*Calculations!$B$7*Calculations!$B$11+AH218*Calculations!$B$8*Calculations!$B$12)</f>
        <v>61.911737429714549</v>
      </c>
      <c r="AO218" s="11" t="s">
        <v>203</v>
      </c>
    </row>
    <row r="219" spans="1:41" x14ac:dyDescent="0.3">
      <c r="A219" s="11">
        <v>218</v>
      </c>
      <c r="B219" s="3" t="s">
        <v>289</v>
      </c>
      <c r="C219" s="3" t="s">
        <v>42</v>
      </c>
      <c r="D219" s="5">
        <v>6</v>
      </c>
      <c r="E219" s="5">
        <v>18.5</v>
      </c>
      <c r="F219" s="5">
        <v>49.4</v>
      </c>
      <c r="G219" s="5">
        <v>5.9</v>
      </c>
      <c r="H219" s="5">
        <v>0.1</v>
      </c>
      <c r="I219" s="5">
        <v>0</v>
      </c>
      <c r="J219" s="5">
        <v>44.5</v>
      </c>
      <c r="K219" s="5">
        <f t="shared" si="134"/>
        <v>0.32786885245901642</v>
      </c>
      <c r="L219" s="5">
        <v>8.5</v>
      </c>
      <c r="M219" s="5">
        <f t="shared" si="135"/>
        <v>80.983606557377044</v>
      </c>
      <c r="N219" s="5">
        <f t="shared" si="136"/>
        <v>18.688524590163937</v>
      </c>
      <c r="O219" s="5" t="s">
        <v>291</v>
      </c>
      <c r="P219" s="5" t="s">
        <v>291</v>
      </c>
      <c r="Q219" s="5" t="s">
        <v>291</v>
      </c>
      <c r="R219" s="5">
        <v>780</v>
      </c>
      <c r="S219" s="5" t="s">
        <v>39</v>
      </c>
      <c r="T219" s="5" t="s">
        <v>75</v>
      </c>
      <c r="U219" s="5">
        <v>40</v>
      </c>
      <c r="V219" s="5">
        <v>0</v>
      </c>
      <c r="W219" s="5">
        <v>0.3</v>
      </c>
      <c r="X219" s="5" t="s">
        <v>33</v>
      </c>
      <c r="Y219" s="5" t="s">
        <v>79</v>
      </c>
      <c r="Z219" s="5" t="s">
        <v>295</v>
      </c>
      <c r="AA219" s="5">
        <v>0</v>
      </c>
      <c r="AB219" s="5" t="s">
        <v>293</v>
      </c>
      <c r="AC219" s="5">
        <f t="shared" si="133"/>
        <v>53.03</v>
      </c>
      <c r="AD219" s="5">
        <v>11</v>
      </c>
      <c r="AE219" s="5">
        <v>17.5</v>
      </c>
      <c r="AF219" s="5">
        <v>12.5</v>
      </c>
      <c r="AG219" s="5">
        <v>4.5</v>
      </c>
      <c r="AH219" s="5">
        <v>1.4700000000000002</v>
      </c>
      <c r="AI219" s="5">
        <v>5.8349548999999996</v>
      </c>
      <c r="AJ219" s="5" t="s">
        <v>291</v>
      </c>
      <c r="AK219" s="5">
        <f t="shared" si="132"/>
        <v>1.4584517182814902</v>
      </c>
      <c r="AL219" s="5" t="s">
        <v>291</v>
      </c>
      <c r="AM219" s="5">
        <v>46</v>
      </c>
      <c r="AN219" s="5">
        <f>100*(AK219/F219)*(AE219*Calculations!$B$5*Calculations!$B$9+AF219*Calculations!$B$6*Calculations!$B$10+AG219*Calculations!$B$7*Calculations!$B$11+AH219*Calculations!$B$8*Calculations!$B$12)</f>
        <v>56.10662284063185</v>
      </c>
      <c r="AO219" s="11" t="s">
        <v>203</v>
      </c>
    </row>
    <row r="220" spans="1:41" x14ac:dyDescent="0.3">
      <c r="A220" s="11">
        <v>219</v>
      </c>
      <c r="B220" s="3" t="s">
        <v>289</v>
      </c>
      <c r="C220" s="3" t="s">
        <v>42</v>
      </c>
      <c r="D220" s="5">
        <v>6</v>
      </c>
      <c r="E220" s="5">
        <v>18.5</v>
      </c>
      <c r="F220" s="5">
        <v>49.4</v>
      </c>
      <c r="G220" s="5">
        <v>5.9</v>
      </c>
      <c r="H220" s="5">
        <v>0.1</v>
      </c>
      <c r="I220" s="5">
        <v>0</v>
      </c>
      <c r="J220" s="5">
        <v>44.5</v>
      </c>
      <c r="K220" s="5">
        <f t="shared" si="134"/>
        <v>0.32786885245901642</v>
      </c>
      <c r="L220" s="5">
        <v>8.5</v>
      </c>
      <c r="M220" s="5">
        <f t="shared" si="135"/>
        <v>80.983606557377044</v>
      </c>
      <c r="N220" s="5">
        <f t="shared" si="136"/>
        <v>18.688524590163937</v>
      </c>
      <c r="O220" s="5" t="s">
        <v>291</v>
      </c>
      <c r="P220" s="5" t="s">
        <v>291</v>
      </c>
      <c r="Q220" s="5" t="s">
        <v>291</v>
      </c>
      <c r="R220" s="5">
        <v>780</v>
      </c>
      <c r="S220" s="5" t="s">
        <v>39</v>
      </c>
      <c r="T220" s="5" t="s">
        <v>75</v>
      </c>
      <c r="U220" s="5">
        <v>40</v>
      </c>
      <c r="V220" s="5">
        <v>0.65</v>
      </c>
      <c r="W220" s="5">
        <v>0.28999999999999998</v>
      </c>
      <c r="X220" s="5" t="s">
        <v>81</v>
      </c>
      <c r="Y220" s="5" t="s">
        <v>79</v>
      </c>
      <c r="Z220" s="5" t="s">
        <v>295</v>
      </c>
      <c r="AA220" s="5">
        <v>0</v>
      </c>
      <c r="AB220" s="5" t="s">
        <v>293</v>
      </c>
      <c r="AC220" s="5">
        <f t="shared" si="133"/>
        <v>51.44</v>
      </c>
      <c r="AD220" s="5">
        <v>17</v>
      </c>
      <c r="AE220" s="5">
        <v>12</v>
      </c>
      <c r="AF220" s="5">
        <v>15</v>
      </c>
      <c r="AG220" s="5">
        <v>3.5</v>
      </c>
      <c r="AH220" s="5">
        <v>1.06</v>
      </c>
      <c r="AI220" s="5">
        <v>4.5115649599999985</v>
      </c>
      <c r="AJ220" s="5" t="s">
        <v>291</v>
      </c>
      <c r="AK220" s="5">
        <f t="shared" si="132"/>
        <v>2.2143092449232968</v>
      </c>
      <c r="AL220" s="5" t="s">
        <v>291</v>
      </c>
      <c r="AM220" s="5">
        <v>54</v>
      </c>
      <c r="AN220" s="5">
        <f>100*(AK220/F220)*(AE220*Calculations!$B$5*Calculations!$B$9+AF220*Calculations!$B$6*Calculations!$B$10+AG220*Calculations!$B$7*Calculations!$B$11+AH220*Calculations!$B$8*Calculations!$B$12)</f>
        <v>75.123338690221004</v>
      </c>
      <c r="AO220" s="11" t="s">
        <v>203</v>
      </c>
    </row>
    <row r="221" spans="1:41" x14ac:dyDescent="0.3">
      <c r="A221" s="11">
        <v>220</v>
      </c>
      <c r="B221" s="3" t="s">
        <v>289</v>
      </c>
      <c r="C221" s="3" t="s">
        <v>42</v>
      </c>
      <c r="D221" s="5">
        <v>6</v>
      </c>
      <c r="E221" s="5">
        <v>18.5</v>
      </c>
      <c r="F221" s="5">
        <v>49.4</v>
      </c>
      <c r="G221" s="5">
        <v>5.9</v>
      </c>
      <c r="H221" s="5">
        <v>0.1</v>
      </c>
      <c r="I221" s="5">
        <v>0</v>
      </c>
      <c r="J221" s="5">
        <v>44.5</v>
      </c>
      <c r="K221" s="5">
        <f t="shared" si="134"/>
        <v>0.32786885245901642</v>
      </c>
      <c r="L221" s="5">
        <v>8.5</v>
      </c>
      <c r="M221" s="5">
        <f t="shared" si="135"/>
        <v>80.983606557377044</v>
      </c>
      <c r="N221" s="5">
        <f t="shared" si="136"/>
        <v>18.688524590163937</v>
      </c>
      <c r="O221" s="5" t="s">
        <v>291</v>
      </c>
      <c r="P221" s="5" t="s">
        <v>291</v>
      </c>
      <c r="Q221" s="5" t="s">
        <v>291</v>
      </c>
      <c r="R221" s="5">
        <v>780</v>
      </c>
      <c r="S221" s="5" t="s">
        <v>39</v>
      </c>
      <c r="T221" s="5" t="s">
        <v>75</v>
      </c>
      <c r="U221" s="5">
        <v>40</v>
      </c>
      <c r="V221" s="5">
        <v>0.91</v>
      </c>
      <c r="W221" s="5">
        <v>0.28999999999999998</v>
      </c>
      <c r="X221" s="5" t="s">
        <v>81</v>
      </c>
      <c r="Y221" s="5" t="s">
        <v>79</v>
      </c>
      <c r="Z221" s="5" t="s">
        <v>295</v>
      </c>
      <c r="AA221" s="5">
        <v>0</v>
      </c>
      <c r="AB221" s="5" t="s">
        <v>293</v>
      </c>
      <c r="AC221" s="5">
        <f t="shared" si="133"/>
        <v>50.04</v>
      </c>
      <c r="AD221" s="5">
        <v>17.5</v>
      </c>
      <c r="AE221" s="5">
        <v>11.5</v>
      </c>
      <c r="AF221" s="5">
        <v>16</v>
      </c>
      <c r="AG221" s="5">
        <v>4</v>
      </c>
      <c r="AH221" s="5">
        <v>0.96</v>
      </c>
      <c r="AI221" s="5">
        <v>4.733556408000001</v>
      </c>
      <c r="AJ221" s="5" t="s">
        <v>291</v>
      </c>
      <c r="AK221" s="5">
        <f t="shared" si="132"/>
        <v>2.1886292476605886</v>
      </c>
      <c r="AL221" s="5" t="s">
        <v>291</v>
      </c>
      <c r="AM221" s="5">
        <v>56.000000000000007</v>
      </c>
      <c r="AN221" s="5">
        <f>100*(AK221/F221)*(AE221*Calculations!$B$5*Calculations!$B$9+AF221*Calculations!$B$6*Calculations!$B$10+AG221*Calculations!$B$7*Calculations!$B$11+AH221*Calculations!$B$8*Calculations!$B$12)</f>
        <v>76.205690633162504</v>
      </c>
      <c r="AO221" s="11" t="s">
        <v>203</v>
      </c>
    </row>
    <row r="222" spans="1:41" x14ac:dyDescent="0.3">
      <c r="A222" s="11">
        <v>221</v>
      </c>
      <c r="B222" s="3" t="s">
        <v>289</v>
      </c>
      <c r="C222" s="3" t="s">
        <v>42</v>
      </c>
      <c r="D222" s="5">
        <v>6</v>
      </c>
      <c r="E222" s="5">
        <v>18.5</v>
      </c>
      <c r="F222" s="5">
        <v>49.4</v>
      </c>
      <c r="G222" s="5">
        <v>5.9</v>
      </c>
      <c r="H222" s="5">
        <v>0.1</v>
      </c>
      <c r="I222" s="5">
        <v>0</v>
      </c>
      <c r="J222" s="5">
        <v>44.5</v>
      </c>
      <c r="K222" s="5">
        <f t="shared" si="134"/>
        <v>0.32786885245901642</v>
      </c>
      <c r="L222" s="5">
        <v>8.5</v>
      </c>
      <c r="M222" s="5">
        <f t="shared" si="135"/>
        <v>80.983606557377044</v>
      </c>
      <c r="N222" s="5">
        <f t="shared" si="136"/>
        <v>18.688524590163937</v>
      </c>
      <c r="O222" s="5" t="s">
        <v>291</v>
      </c>
      <c r="P222" s="5" t="s">
        <v>291</v>
      </c>
      <c r="Q222" s="5" t="s">
        <v>291</v>
      </c>
      <c r="R222" s="5">
        <v>780</v>
      </c>
      <c r="S222" s="5" t="s">
        <v>39</v>
      </c>
      <c r="T222" s="5" t="s">
        <v>75</v>
      </c>
      <c r="U222" s="5">
        <v>40</v>
      </c>
      <c r="V222" s="5">
        <v>0</v>
      </c>
      <c r="W222" s="5">
        <v>0.17</v>
      </c>
      <c r="X222" s="5" t="s">
        <v>33</v>
      </c>
      <c r="Y222" s="5" t="s">
        <v>79</v>
      </c>
      <c r="Z222" s="5" t="s">
        <v>295</v>
      </c>
      <c r="AA222" s="5">
        <v>0</v>
      </c>
      <c r="AB222" s="5" t="s">
        <v>293</v>
      </c>
      <c r="AC222" s="5">
        <f t="shared" si="133"/>
        <v>38.508000000000003</v>
      </c>
      <c r="AD222" s="5">
        <v>16</v>
      </c>
      <c r="AE222" s="5">
        <v>23.5</v>
      </c>
      <c r="AF222" s="5">
        <v>14.5</v>
      </c>
      <c r="AG222" s="5">
        <v>7</v>
      </c>
      <c r="AH222" s="5">
        <v>0.49199999999999999</v>
      </c>
      <c r="AI222" s="5">
        <v>7.4987506464000013</v>
      </c>
      <c r="AJ222" s="5" t="s">
        <v>291</v>
      </c>
      <c r="AK222" s="5">
        <f t="shared" si="132"/>
        <v>1.6282712382044302</v>
      </c>
      <c r="AL222" s="5" t="s">
        <v>291</v>
      </c>
      <c r="AM222" s="5">
        <v>66</v>
      </c>
      <c r="AN222" s="5">
        <f>100*(AK222/F222)*(AE222*Calculations!$B$5*Calculations!$B$9+AF222*Calculations!$B$6*Calculations!$B$10+AG222*Calculations!$B$7*Calculations!$B$11+AH222*Calculations!$B$8*Calculations!$B$12)</f>
        <v>76.661585557959242</v>
      </c>
      <c r="AO222" s="11" t="s">
        <v>203</v>
      </c>
    </row>
    <row r="223" spans="1:41" x14ac:dyDescent="0.3">
      <c r="A223" s="11">
        <v>222</v>
      </c>
      <c r="B223" s="3" t="s">
        <v>289</v>
      </c>
      <c r="C223" s="3" t="s">
        <v>42</v>
      </c>
      <c r="D223" s="5">
        <v>6</v>
      </c>
      <c r="E223" s="5">
        <v>18.5</v>
      </c>
      <c r="F223" s="5">
        <v>49.4</v>
      </c>
      <c r="G223" s="5">
        <v>5.9</v>
      </c>
      <c r="H223" s="5">
        <v>0.1</v>
      </c>
      <c r="I223" s="5">
        <v>0</v>
      </c>
      <c r="J223" s="5">
        <v>44.5</v>
      </c>
      <c r="K223" s="5">
        <f t="shared" si="134"/>
        <v>0.32786885245901642</v>
      </c>
      <c r="L223" s="5">
        <v>8.5</v>
      </c>
      <c r="M223" s="5">
        <f t="shared" si="135"/>
        <v>80.983606557377044</v>
      </c>
      <c r="N223" s="5">
        <f t="shared" si="136"/>
        <v>18.688524590163937</v>
      </c>
      <c r="O223" s="5" t="s">
        <v>291</v>
      </c>
      <c r="P223" s="5" t="s">
        <v>291</v>
      </c>
      <c r="Q223" s="5" t="s">
        <v>291</v>
      </c>
      <c r="R223" s="5">
        <v>780</v>
      </c>
      <c r="S223" s="5" t="s">
        <v>39</v>
      </c>
      <c r="T223" s="5" t="s">
        <v>75</v>
      </c>
      <c r="U223" s="5">
        <v>40</v>
      </c>
      <c r="V223" s="5">
        <v>0.65</v>
      </c>
      <c r="W223" s="5">
        <v>0.17</v>
      </c>
      <c r="X223" s="5" t="s">
        <v>81</v>
      </c>
      <c r="Y223" s="5" t="s">
        <v>79</v>
      </c>
      <c r="Z223" s="5" t="s">
        <v>295</v>
      </c>
      <c r="AA223" s="5">
        <v>0</v>
      </c>
      <c r="AB223" s="5" t="s">
        <v>293</v>
      </c>
      <c r="AC223" s="5">
        <f t="shared" si="133"/>
        <v>42.04</v>
      </c>
      <c r="AD223" s="5">
        <v>20</v>
      </c>
      <c r="AE223" s="5">
        <v>15.5</v>
      </c>
      <c r="AF223" s="5">
        <v>16.5</v>
      </c>
      <c r="AG223" s="5">
        <v>5</v>
      </c>
      <c r="AH223" s="5">
        <v>0.96</v>
      </c>
      <c r="AI223" s="5">
        <v>6.5478374400000003</v>
      </c>
      <c r="AJ223" s="5" t="s">
        <v>291</v>
      </c>
      <c r="AK223" s="5">
        <f t="shared" si="132"/>
        <v>1.8364841995833054</v>
      </c>
      <c r="AL223" s="5" t="s">
        <v>291</v>
      </c>
      <c r="AM223" s="5">
        <v>65</v>
      </c>
      <c r="AN223" s="5">
        <f>100*(AK223/F223)*(AE223*Calculations!$B$5*Calculations!$B$9+AF223*Calculations!$B$6*Calculations!$B$10+AG223*Calculations!$B$7*Calculations!$B$11+AH223*Calculations!$B$8*Calculations!$B$12)</f>
        <v>74.045178826695533</v>
      </c>
      <c r="AO223" s="11" t="s">
        <v>203</v>
      </c>
    </row>
    <row r="224" spans="1:41" x14ac:dyDescent="0.3">
      <c r="A224" s="11">
        <v>223</v>
      </c>
      <c r="B224" s="3" t="s">
        <v>290</v>
      </c>
      <c r="C224" s="3" t="s">
        <v>42</v>
      </c>
      <c r="D224" s="5">
        <v>6</v>
      </c>
      <c r="E224" s="5">
        <v>21.9</v>
      </c>
      <c r="F224" s="5">
        <v>54.9</v>
      </c>
      <c r="G224" s="5">
        <v>6.8</v>
      </c>
      <c r="H224" s="5">
        <v>0.5</v>
      </c>
      <c r="I224" s="5">
        <v>0</v>
      </c>
      <c r="J224" s="5">
        <v>37.799999999999997</v>
      </c>
      <c r="K224" s="5">
        <f>1.4*(100/(100-L224))</f>
        <v>1.4846235418875928</v>
      </c>
      <c r="L224" s="5">
        <v>5.7</v>
      </c>
      <c r="M224" s="5">
        <f>77.9*(100/(100-L224))</f>
        <v>82.608695652173921</v>
      </c>
      <c r="N224" s="5">
        <f>15*(100/(100-L224))</f>
        <v>15.906680805938494</v>
      </c>
      <c r="O224" s="5" t="s">
        <v>291</v>
      </c>
      <c r="P224" s="5" t="s">
        <v>291</v>
      </c>
      <c r="Q224" s="5" t="s">
        <v>291</v>
      </c>
      <c r="R224" s="5">
        <v>780</v>
      </c>
      <c r="S224" s="5" t="s">
        <v>39</v>
      </c>
      <c r="T224" s="5" t="s">
        <v>75</v>
      </c>
      <c r="U224" s="5">
        <v>40</v>
      </c>
      <c r="V224" s="5">
        <v>0</v>
      </c>
      <c r="W224" s="5">
        <v>0.23</v>
      </c>
      <c r="X224" s="5" t="s">
        <v>33</v>
      </c>
      <c r="Y224" s="5" t="s">
        <v>79</v>
      </c>
      <c r="Z224" s="5" t="s">
        <v>296</v>
      </c>
      <c r="AA224" s="5">
        <v>1</v>
      </c>
      <c r="AB224" s="5" t="s">
        <v>293</v>
      </c>
      <c r="AC224" s="5">
        <f t="shared" si="133"/>
        <v>36.270000000000003</v>
      </c>
      <c r="AD224" s="5">
        <v>30</v>
      </c>
      <c r="AE224" s="5">
        <v>13.5</v>
      </c>
      <c r="AF224" s="5">
        <v>16</v>
      </c>
      <c r="AG224" s="5">
        <v>3.5</v>
      </c>
      <c r="AH224" s="5">
        <v>0.73</v>
      </c>
      <c r="AI224" s="5">
        <v>6.5851996540000002</v>
      </c>
      <c r="AJ224" s="5" t="s">
        <v>291</v>
      </c>
      <c r="AK224" s="5">
        <f t="shared" si="132"/>
        <v>2.6272551948354335</v>
      </c>
      <c r="AL224" s="5" t="s">
        <v>291</v>
      </c>
      <c r="AM224" s="5">
        <v>79</v>
      </c>
      <c r="AN224" s="5">
        <f>100*(AK224/F224)*(AE224*Calculations!$B$5*Calculations!$B$9+AF224*Calculations!$B$6*Calculations!$B$10+AG224*Calculations!$B$7*Calculations!$B$11+AH224*Calculations!$B$8*Calculations!$B$12)</f>
        <v>84.697549365323397</v>
      </c>
      <c r="AO224" s="11" t="s">
        <v>203</v>
      </c>
    </row>
    <row r="225" spans="1:41" x14ac:dyDescent="0.3">
      <c r="A225" s="11">
        <v>224</v>
      </c>
      <c r="B225" s="3" t="s">
        <v>290</v>
      </c>
      <c r="C225" s="3" t="s">
        <v>42</v>
      </c>
      <c r="D225" s="5">
        <v>6</v>
      </c>
      <c r="E225" s="5">
        <v>21.9</v>
      </c>
      <c r="F225" s="5">
        <v>54.9</v>
      </c>
      <c r="G225" s="5">
        <v>6.8</v>
      </c>
      <c r="H225" s="5">
        <v>0.5</v>
      </c>
      <c r="I225" s="5">
        <v>0</v>
      </c>
      <c r="J225" s="5">
        <v>37.799999999999997</v>
      </c>
      <c r="K225" s="5">
        <f>1.4*(100/(100-L225))</f>
        <v>1.4846235418875928</v>
      </c>
      <c r="L225" s="5">
        <v>5.7</v>
      </c>
      <c r="M225" s="5">
        <f>77.9*(100/(100-L225))</f>
        <v>82.608695652173921</v>
      </c>
      <c r="N225" s="5">
        <f>15*(100/(100-L225))</f>
        <v>15.906680805938494</v>
      </c>
      <c r="O225" s="5" t="s">
        <v>291</v>
      </c>
      <c r="P225" s="5" t="s">
        <v>291</v>
      </c>
      <c r="Q225" s="5" t="s">
        <v>291</v>
      </c>
      <c r="R225" s="5">
        <v>780</v>
      </c>
      <c r="S225" s="5" t="s">
        <v>39</v>
      </c>
      <c r="T225" s="5" t="s">
        <v>75</v>
      </c>
      <c r="U225" s="5">
        <v>40</v>
      </c>
      <c r="V225" s="5">
        <v>0</v>
      </c>
      <c r="W225" s="5">
        <v>0.19</v>
      </c>
      <c r="X225" s="5" t="s">
        <v>33</v>
      </c>
      <c r="Y225" s="5" t="s">
        <v>79</v>
      </c>
      <c r="Z225" s="5" t="s">
        <v>296</v>
      </c>
      <c r="AA225" s="5">
        <v>1</v>
      </c>
      <c r="AB225" s="5" t="s">
        <v>293</v>
      </c>
      <c r="AC225" s="5">
        <f t="shared" si="133"/>
        <v>46.31</v>
      </c>
      <c r="AD225" s="5">
        <v>22</v>
      </c>
      <c r="AE225" s="5">
        <v>10</v>
      </c>
      <c r="AF225" s="5">
        <v>19.5</v>
      </c>
      <c r="AG225" s="5">
        <v>2</v>
      </c>
      <c r="AH225" s="5">
        <v>0.19</v>
      </c>
      <c r="AI225" s="5">
        <v>4.3461929939999999</v>
      </c>
      <c r="AJ225" s="5" t="s">
        <v>291</v>
      </c>
      <c r="AK225" s="5">
        <f t="shared" si="132"/>
        <v>2.6202241860224214</v>
      </c>
      <c r="AL225" s="5" t="s">
        <v>291</v>
      </c>
      <c r="AM225" s="5">
        <v>52</v>
      </c>
      <c r="AN225" s="5">
        <f>100*(AK225/F225)*(AE225*Calculations!$B$5*Calculations!$B$9+AF225*Calculations!$B$6*Calculations!$B$10+AG225*Calculations!$B$7*Calculations!$B$11+AH225*Calculations!$B$8*Calculations!$B$12)</f>
        <v>79.195611250583511</v>
      </c>
      <c r="AO225" s="11" t="s">
        <v>203</v>
      </c>
    </row>
    <row r="226" spans="1:41" x14ac:dyDescent="0.3">
      <c r="A226" s="11">
        <v>225</v>
      </c>
      <c r="B226" s="3" t="s">
        <v>290</v>
      </c>
      <c r="C226" s="3" t="s">
        <v>42</v>
      </c>
      <c r="D226" s="5">
        <v>6</v>
      </c>
      <c r="E226" s="5">
        <v>21.9</v>
      </c>
      <c r="F226" s="5">
        <v>54.9</v>
      </c>
      <c r="G226" s="5">
        <v>6.8</v>
      </c>
      <c r="H226" s="5">
        <v>0.5</v>
      </c>
      <c r="I226" s="5">
        <v>0</v>
      </c>
      <c r="J226" s="5">
        <v>37.799999999999997</v>
      </c>
      <c r="K226" s="5">
        <f>1.4*(100/(100-L226))</f>
        <v>1.4846235418875928</v>
      </c>
      <c r="L226" s="5">
        <v>5.7</v>
      </c>
      <c r="M226" s="5">
        <f>77.9*(100/(100-L226))</f>
        <v>82.608695652173921</v>
      </c>
      <c r="N226" s="5">
        <f>15*(100/(100-L226))</f>
        <v>15.906680805938494</v>
      </c>
      <c r="O226" s="5" t="s">
        <v>291</v>
      </c>
      <c r="P226" s="5" t="s">
        <v>291</v>
      </c>
      <c r="Q226" s="5" t="s">
        <v>291</v>
      </c>
      <c r="R226" s="5">
        <v>780</v>
      </c>
      <c r="S226" s="5" t="s">
        <v>39</v>
      </c>
      <c r="T226" s="5" t="s">
        <v>75</v>
      </c>
      <c r="U226" s="5">
        <v>40</v>
      </c>
      <c r="V226" s="5">
        <v>0.6</v>
      </c>
      <c r="W226" s="5">
        <v>0.12</v>
      </c>
      <c r="X226" s="5" t="s">
        <v>81</v>
      </c>
      <c r="Y226" s="5" t="s">
        <v>79</v>
      </c>
      <c r="Z226" s="5" t="s">
        <v>296</v>
      </c>
      <c r="AA226" s="5">
        <v>1</v>
      </c>
      <c r="AB226" s="5" t="s">
        <v>293</v>
      </c>
      <c r="AC226" s="5">
        <f t="shared" si="133"/>
        <v>32.08</v>
      </c>
      <c r="AD226" s="5">
        <v>32</v>
      </c>
      <c r="AE226" s="5">
        <v>14</v>
      </c>
      <c r="AF226" s="5">
        <v>16.5</v>
      </c>
      <c r="AG226" s="5">
        <v>4</v>
      </c>
      <c r="AH226" s="5">
        <v>1.42</v>
      </c>
      <c r="AI226" s="5">
        <v>7.4824626239999992</v>
      </c>
      <c r="AJ226" s="5" t="s">
        <v>291</v>
      </c>
      <c r="AK226" s="5">
        <f t="shared" si="132"/>
        <v>2.1365960384114309</v>
      </c>
      <c r="AL226" s="5" t="s">
        <v>291</v>
      </c>
      <c r="AM226" s="5">
        <v>73</v>
      </c>
      <c r="AN226" s="5">
        <f>100*(AK226/F226)*(AE226*Calculations!$B$5*Calculations!$B$9+AF226*Calculations!$B$6*Calculations!$B$10+AG226*Calculations!$B$7*Calculations!$B$11+AH226*Calculations!$B$8*Calculations!$B$12)</f>
        <v>74.556026726150392</v>
      </c>
      <c r="AO226" s="11" t="s">
        <v>203</v>
      </c>
    </row>
    <row r="227" spans="1:41" x14ac:dyDescent="0.3">
      <c r="A227" s="11">
        <v>226</v>
      </c>
      <c r="B227" s="3" t="s">
        <v>290</v>
      </c>
      <c r="C227" s="3" t="s">
        <v>42</v>
      </c>
      <c r="D227" s="5">
        <v>6</v>
      </c>
      <c r="E227" s="5">
        <v>21.9</v>
      </c>
      <c r="F227" s="5">
        <v>54.9</v>
      </c>
      <c r="G227" s="5">
        <v>6.8</v>
      </c>
      <c r="H227" s="5">
        <v>0.5</v>
      </c>
      <c r="I227" s="5">
        <v>0</v>
      </c>
      <c r="J227" s="5">
        <v>37.799999999999997</v>
      </c>
      <c r="K227" s="5">
        <f>1.4*(100/(100-L227))</f>
        <v>1.4846235418875928</v>
      </c>
      <c r="L227" s="5">
        <v>5.7</v>
      </c>
      <c r="M227" s="5">
        <f>77.9*(100/(100-L227))</f>
        <v>82.608695652173921</v>
      </c>
      <c r="N227" s="5">
        <f>15*(100/(100-L227))</f>
        <v>15.906680805938494</v>
      </c>
      <c r="O227" s="5" t="s">
        <v>291</v>
      </c>
      <c r="P227" s="5" t="s">
        <v>291</v>
      </c>
      <c r="Q227" s="5" t="s">
        <v>291</v>
      </c>
      <c r="R227" s="5">
        <v>780</v>
      </c>
      <c r="S227" s="5" t="s">
        <v>39</v>
      </c>
      <c r="T227" s="5" t="s">
        <v>75</v>
      </c>
      <c r="U227" s="5">
        <v>40</v>
      </c>
      <c r="V227" s="5">
        <v>0</v>
      </c>
      <c r="W227" s="5">
        <v>0.23</v>
      </c>
      <c r="X227" s="5" t="s">
        <v>33</v>
      </c>
      <c r="Y227" s="5" t="s">
        <v>79</v>
      </c>
      <c r="Z227" s="5" t="s">
        <v>295</v>
      </c>
      <c r="AA227" s="5">
        <v>0</v>
      </c>
      <c r="AB227" s="5" t="s">
        <v>293</v>
      </c>
      <c r="AC227" s="5">
        <f t="shared" si="133"/>
        <v>44.5</v>
      </c>
      <c r="AD227" s="5">
        <v>17</v>
      </c>
      <c r="AE227" s="5">
        <v>16</v>
      </c>
      <c r="AF227" s="5">
        <v>10.5</v>
      </c>
      <c r="AG227" s="5">
        <v>12</v>
      </c>
      <c r="AH227" s="5">
        <v>0</v>
      </c>
      <c r="AI227" s="5">
        <v>7.807024499999998</v>
      </c>
      <c r="AJ227" s="5" t="s">
        <v>291</v>
      </c>
      <c r="AK227" s="5">
        <f t="shared" si="132"/>
        <v>2.6368560774979</v>
      </c>
      <c r="AL227" s="5" t="s">
        <v>291</v>
      </c>
      <c r="AM227" s="5">
        <v>94</v>
      </c>
      <c r="AN227" s="5">
        <f>100*(AK227/F227)*(AE227*Calculations!$B$5*Calculations!$B$9+AF227*Calculations!$B$6*Calculations!$B$10+AG227*Calculations!$B$7*Calculations!$B$11+AH227*Calculations!$B$8*Calculations!$B$12)</f>
        <v>93.179206916547557</v>
      </c>
      <c r="AO227" s="11" t="s">
        <v>203</v>
      </c>
    </row>
    <row r="228" spans="1:41" x14ac:dyDescent="0.3">
      <c r="A228" s="11">
        <v>227</v>
      </c>
      <c r="B228" s="3" t="s">
        <v>290</v>
      </c>
      <c r="C228" s="3" t="s">
        <v>42</v>
      </c>
      <c r="D228" s="5">
        <v>6</v>
      </c>
      <c r="E228" s="5">
        <v>21.9</v>
      </c>
      <c r="F228" s="5">
        <v>54.9</v>
      </c>
      <c r="G228" s="5">
        <v>6.8</v>
      </c>
      <c r="H228" s="5">
        <v>0.5</v>
      </c>
      <c r="I228" s="5">
        <v>0</v>
      </c>
      <c r="J228" s="5">
        <v>37.799999999999997</v>
      </c>
      <c r="K228" s="5">
        <f>1.4*(100/(100-L228))</f>
        <v>1.4846235418875928</v>
      </c>
      <c r="L228" s="5">
        <v>5.7</v>
      </c>
      <c r="M228" s="5">
        <f>77.9*(100/(100-L228))</f>
        <v>82.608695652173921</v>
      </c>
      <c r="N228" s="5">
        <f>15*(100/(100-L228))</f>
        <v>15.906680805938494</v>
      </c>
      <c r="O228" s="5" t="s">
        <v>291</v>
      </c>
      <c r="P228" s="5" t="s">
        <v>291</v>
      </c>
      <c r="Q228" s="5" t="s">
        <v>291</v>
      </c>
      <c r="R228" s="5">
        <v>780</v>
      </c>
      <c r="S228" s="5" t="s">
        <v>39</v>
      </c>
      <c r="T228" s="5" t="s">
        <v>75</v>
      </c>
      <c r="U228" s="5">
        <v>40</v>
      </c>
      <c r="V228" s="5">
        <v>0</v>
      </c>
      <c r="W228" s="5">
        <v>0.19</v>
      </c>
      <c r="X228" s="5" t="s">
        <v>33</v>
      </c>
      <c r="Y228" s="5" t="s">
        <v>79</v>
      </c>
      <c r="Z228" s="5" t="s">
        <v>295</v>
      </c>
      <c r="AA228" s="5">
        <v>0</v>
      </c>
      <c r="AB228" s="5" t="s">
        <v>293</v>
      </c>
      <c r="AC228" s="5">
        <f t="shared" si="133"/>
        <v>48.5</v>
      </c>
      <c r="AD228" s="5">
        <v>16</v>
      </c>
      <c r="AE228" s="5">
        <v>15</v>
      </c>
      <c r="AF228" s="5">
        <v>11.5</v>
      </c>
      <c r="AG228" s="5">
        <v>9</v>
      </c>
      <c r="AH228" s="5">
        <v>0</v>
      </c>
      <c r="AI228" s="5">
        <v>6.6882611599999988</v>
      </c>
      <c r="AJ228" s="5" t="s">
        <v>291</v>
      </c>
      <c r="AK228" s="5">
        <f t="shared" si="132"/>
        <v>1.9318922648050425</v>
      </c>
      <c r="AL228" s="5" t="s">
        <v>291</v>
      </c>
      <c r="AM228" s="5">
        <v>59</v>
      </c>
      <c r="AN228" s="5">
        <f>100*(AK228/F228)*(AE228*Calculations!$B$5*Calculations!$B$9+AF228*Calculations!$B$6*Calculations!$B$10+AG228*Calculations!$B$7*Calculations!$B$11+AH228*Calculations!$B$8*Calculations!$B$12)</f>
        <v>63.246849983081709</v>
      </c>
      <c r="AO228" s="11" t="s">
        <v>203</v>
      </c>
    </row>
    <row r="229" spans="1:41" x14ac:dyDescent="0.3">
      <c r="A229" s="11">
        <v>228</v>
      </c>
      <c r="B229" s="3" t="s">
        <v>288</v>
      </c>
      <c r="C229" s="3" t="s">
        <v>42</v>
      </c>
      <c r="D229" s="5">
        <v>6</v>
      </c>
      <c r="E229" s="5">
        <v>19.3</v>
      </c>
      <c r="F229" s="5">
        <v>53.5</v>
      </c>
      <c r="G229" s="5">
        <v>5.7</v>
      </c>
      <c r="H229" s="5">
        <v>1</v>
      </c>
      <c r="I229" s="5">
        <v>0</v>
      </c>
      <c r="J229" s="5">
        <v>39.799999999999997</v>
      </c>
      <c r="K229" s="5">
        <f>3.2*(100/(100-L229))</f>
        <v>3.5126234906695943</v>
      </c>
      <c r="L229" s="5">
        <v>8.9</v>
      </c>
      <c r="M229" s="5">
        <f>68.2*(100/(100-L229))</f>
        <v>74.862788144895731</v>
      </c>
      <c r="N229" s="5">
        <f>19.7*(100/(100-L229))</f>
        <v>21.62458836443469</v>
      </c>
      <c r="O229" s="5" t="s">
        <v>291</v>
      </c>
      <c r="P229" s="5" t="s">
        <v>291</v>
      </c>
      <c r="Q229" s="5" t="s">
        <v>291</v>
      </c>
      <c r="R229" s="5">
        <v>780</v>
      </c>
      <c r="S229" s="5" t="s">
        <v>39</v>
      </c>
      <c r="T229" s="5" t="s">
        <v>75</v>
      </c>
      <c r="U229" s="5">
        <v>40</v>
      </c>
      <c r="V229" s="5">
        <v>0</v>
      </c>
      <c r="W229" s="5">
        <v>0.17</v>
      </c>
      <c r="X229" s="5" t="s">
        <v>33</v>
      </c>
      <c r="Y229" s="5" t="s">
        <v>79</v>
      </c>
      <c r="Z229" s="5" t="s">
        <v>296</v>
      </c>
      <c r="AA229" s="5">
        <v>1</v>
      </c>
      <c r="AB229" s="5" t="s">
        <v>293</v>
      </c>
      <c r="AC229" s="5">
        <f t="shared" si="133"/>
        <v>43.17</v>
      </c>
      <c r="AD229" s="5">
        <v>17.5</v>
      </c>
      <c r="AE229" s="5">
        <v>19</v>
      </c>
      <c r="AF229" s="5">
        <v>13</v>
      </c>
      <c r="AG229" s="5">
        <v>6.5</v>
      </c>
      <c r="AH229" s="5">
        <v>0.83</v>
      </c>
      <c r="AI229" s="5">
        <v>5.9516161099999989</v>
      </c>
      <c r="AJ229" s="5" t="s">
        <v>291</v>
      </c>
      <c r="AK229" s="5">
        <f t="shared" si="132"/>
        <v>1.9781181753673294</v>
      </c>
      <c r="AL229" s="5" t="s">
        <v>291</v>
      </c>
      <c r="AM229" s="5">
        <v>61</v>
      </c>
      <c r="AN229" s="5">
        <f>100*(AK229/F229)*(AE229*Calculations!$B$5*Calculations!$B$9+AF229*Calculations!$B$6*Calculations!$B$10+AG229*Calculations!$B$7*Calculations!$B$11+AH229*Calculations!$B$8*Calculations!$B$12)</f>
        <v>75.224757429948085</v>
      </c>
      <c r="AO229" s="11" t="s">
        <v>203</v>
      </c>
    </row>
    <row r="230" spans="1:41" x14ac:dyDescent="0.3">
      <c r="A230" s="11">
        <v>229</v>
      </c>
      <c r="B230" s="3" t="s">
        <v>288</v>
      </c>
      <c r="C230" s="3" t="s">
        <v>42</v>
      </c>
      <c r="D230" s="5">
        <v>6</v>
      </c>
      <c r="E230" s="5">
        <v>19.3</v>
      </c>
      <c r="F230" s="5">
        <v>53.5</v>
      </c>
      <c r="G230" s="5">
        <v>5.7</v>
      </c>
      <c r="H230" s="5">
        <v>1</v>
      </c>
      <c r="I230" s="5">
        <v>0</v>
      </c>
      <c r="J230" s="5">
        <v>39.799999999999997</v>
      </c>
      <c r="K230" s="5">
        <f>3.2*(100/(100-L230))</f>
        <v>3.5126234906695943</v>
      </c>
      <c r="L230" s="5">
        <v>8.9</v>
      </c>
      <c r="M230" s="5">
        <f>68.2*(100/(100-L230))</f>
        <v>74.862788144895731</v>
      </c>
      <c r="N230" s="5">
        <f>19.7*(100/(100-L230))</f>
        <v>21.62458836443469</v>
      </c>
      <c r="O230" s="5" t="s">
        <v>291</v>
      </c>
      <c r="P230" s="5" t="s">
        <v>291</v>
      </c>
      <c r="Q230" s="5" t="s">
        <v>291</v>
      </c>
      <c r="R230" s="5">
        <v>780</v>
      </c>
      <c r="S230" s="5" t="s">
        <v>39</v>
      </c>
      <c r="T230" s="5" t="s">
        <v>75</v>
      </c>
      <c r="U230" s="5">
        <v>40</v>
      </c>
      <c r="V230" s="5">
        <v>0.44</v>
      </c>
      <c r="W230" s="5">
        <v>0.09</v>
      </c>
      <c r="X230" s="5" t="s">
        <v>81</v>
      </c>
      <c r="Y230" s="5" t="s">
        <v>79</v>
      </c>
      <c r="Z230" s="5" t="s">
        <v>296</v>
      </c>
      <c r="AA230" s="5">
        <v>1</v>
      </c>
      <c r="AB230" s="5" t="s">
        <v>293</v>
      </c>
      <c r="AC230" s="5">
        <f t="shared" si="133"/>
        <v>42.11</v>
      </c>
      <c r="AD230" s="5">
        <v>21</v>
      </c>
      <c r="AE230" s="5">
        <v>18</v>
      </c>
      <c r="AF230" s="5">
        <v>12.5</v>
      </c>
      <c r="AG230" s="5">
        <v>5</v>
      </c>
      <c r="AH230" s="5">
        <v>1.3900000000000001</v>
      </c>
      <c r="AI230" s="5">
        <v>8.6414992949999991</v>
      </c>
      <c r="AJ230" s="5" t="s">
        <v>291</v>
      </c>
      <c r="AK230" s="5">
        <f t="shared" si="132"/>
        <v>1.4740497644164887</v>
      </c>
      <c r="AL230" s="5" t="s">
        <v>291</v>
      </c>
      <c r="AM230" s="5">
        <v>66</v>
      </c>
      <c r="AN230" s="5">
        <f>100*(AK230/F230)*(AE230*Calculations!$B$5*Calculations!$B$9+AF230*Calculations!$B$6*Calculations!$B$10+AG230*Calculations!$B$7*Calculations!$B$11+AH230*Calculations!$B$8*Calculations!$B$12)</f>
        <v>53.489880949880245</v>
      </c>
      <c r="AO230" s="11" t="s">
        <v>203</v>
      </c>
    </row>
    <row r="231" spans="1:41" x14ac:dyDescent="0.3">
      <c r="A231" s="11">
        <v>230</v>
      </c>
      <c r="B231" s="3" t="s">
        <v>288</v>
      </c>
      <c r="C231" s="3" t="s">
        <v>42</v>
      </c>
      <c r="D231" s="5">
        <v>6</v>
      </c>
      <c r="E231" s="5">
        <v>19.3</v>
      </c>
      <c r="F231" s="5">
        <v>53.5</v>
      </c>
      <c r="G231" s="5">
        <v>5.7</v>
      </c>
      <c r="H231" s="5">
        <v>1</v>
      </c>
      <c r="I231" s="5">
        <v>0</v>
      </c>
      <c r="J231" s="5">
        <v>39.799999999999997</v>
      </c>
      <c r="K231" s="5">
        <f>3.2*(100/(100-L231))</f>
        <v>3.5126234906695943</v>
      </c>
      <c r="L231" s="5">
        <v>8.9</v>
      </c>
      <c r="M231" s="5">
        <f>68.2*(100/(100-L231))</f>
        <v>74.862788144895731</v>
      </c>
      <c r="N231" s="5">
        <f>19.7*(100/(100-L231))</f>
        <v>21.62458836443469</v>
      </c>
      <c r="O231" s="5" t="s">
        <v>291</v>
      </c>
      <c r="P231" s="5" t="s">
        <v>291</v>
      </c>
      <c r="Q231" s="5" t="s">
        <v>291</v>
      </c>
      <c r="R231" s="5">
        <v>780</v>
      </c>
      <c r="S231" s="5" t="s">
        <v>39</v>
      </c>
      <c r="T231" s="5" t="s">
        <v>75</v>
      </c>
      <c r="U231" s="5">
        <v>40</v>
      </c>
      <c r="V231" s="5">
        <v>0</v>
      </c>
      <c r="W231" s="5">
        <v>0.17</v>
      </c>
      <c r="X231" s="5" t="s">
        <v>33</v>
      </c>
      <c r="Y231" s="5" t="s">
        <v>79</v>
      </c>
      <c r="Z231" s="5" t="s">
        <v>295</v>
      </c>
      <c r="AA231" s="5">
        <v>0</v>
      </c>
      <c r="AB231" s="5" t="s">
        <v>293</v>
      </c>
      <c r="AC231" s="5">
        <f t="shared" si="133"/>
        <v>48.5</v>
      </c>
      <c r="AD231" s="5">
        <v>16</v>
      </c>
      <c r="AE231" s="5">
        <v>17.5</v>
      </c>
      <c r="AF231" s="5">
        <v>12</v>
      </c>
      <c r="AG231" s="5">
        <v>6</v>
      </c>
      <c r="AH231" s="5">
        <v>0</v>
      </c>
      <c r="AI231" s="5">
        <v>6.5846507999999995</v>
      </c>
      <c r="AJ231" s="5" t="s">
        <v>291</v>
      </c>
      <c r="AK231" s="5">
        <f t="shared" si="132"/>
        <v>1.7586354009843621</v>
      </c>
      <c r="AL231" s="5" t="s">
        <v>291</v>
      </c>
      <c r="AM231" s="5">
        <v>60</v>
      </c>
      <c r="AN231" s="5">
        <f>100*(AK231/F231)*(AE231*Calculations!$B$5*Calculations!$B$9+AF231*Calculations!$B$6*Calculations!$B$10+AG231*Calculations!$B$7*Calculations!$B$11+AH231*Calculations!$B$8*Calculations!$B$12)</f>
        <v>59.124664747299498</v>
      </c>
      <c r="AO231" s="11" t="s">
        <v>203</v>
      </c>
    </row>
    <row r="232" spans="1:41" x14ac:dyDescent="0.3">
      <c r="A232" s="11">
        <v>231</v>
      </c>
      <c r="B232" s="3" t="s">
        <v>288</v>
      </c>
      <c r="C232" s="3" t="s">
        <v>42</v>
      </c>
      <c r="D232" s="5">
        <v>6</v>
      </c>
      <c r="E232" s="5">
        <v>19.3</v>
      </c>
      <c r="F232" s="5">
        <v>53.5</v>
      </c>
      <c r="G232" s="5">
        <v>5.7</v>
      </c>
      <c r="H232" s="5">
        <v>1</v>
      </c>
      <c r="I232" s="5">
        <v>0</v>
      </c>
      <c r="J232" s="5">
        <v>39.799999999999997</v>
      </c>
      <c r="K232" s="5">
        <f>3.2*(100/(100-L232))</f>
        <v>3.5126234906695943</v>
      </c>
      <c r="L232" s="5">
        <v>8.9</v>
      </c>
      <c r="M232" s="5">
        <f>68.2*(100/(100-L232))</f>
        <v>74.862788144895731</v>
      </c>
      <c r="N232" s="5">
        <f>19.7*(100/(100-L232))</f>
        <v>21.62458836443469</v>
      </c>
      <c r="O232" s="5" t="s">
        <v>291</v>
      </c>
      <c r="P232" s="5" t="s">
        <v>291</v>
      </c>
      <c r="Q232" s="5" t="s">
        <v>291</v>
      </c>
      <c r="R232" s="5">
        <v>780</v>
      </c>
      <c r="S232" s="5" t="s">
        <v>39</v>
      </c>
      <c r="T232" s="5" t="s">
        <v>75</v>
      </c>
      <c r="U232" s="5">
        <v>40</v>
      </c>
      <c r="V232" s="5">
        <v>0.44</v>
      </c>
      <c r="W232" s="5">
        <v>0.09</v>
      </c>
      <c r="X232" s="5" t="s">
        <v>81</v>
      </c>
      <c r="Y232" s="5" t="s">
        <v>79</v>
      </c>
      <c r="Z232" s="5" t="s">
        <v>295</v>
      </c>
      <c r="AA232" s="5">
        <v>0</v>
      </c>
      <c r="AB232" s="5" t="s">
        <v>293</v>
      </c>
      <c r="AC232" s="5">
        <f t="shared" si="133"/>
        <v>54</v>
      </c>
      <c r="AD232" s="5">
        <v>17</v>
      </c>
      <c r="AE232" s="5">
        <v>15</v>
      </c>
      <c r="AF232" s="5">
        <v>10</v>
      </c>
      <c r="AG232" s="5">
        <v>4</v>
      </c>
      <c r="AH232" s="5">
        <v>0</v>
      </c>
      <c r="AI232" s="5">
        <v>6.515301599999999</v>
      </c>
      <c r="AJ232" s="5" t="s">
        <v>291</v>
      </c>
      <c r="AK232" s="5">
        <f t="shared" si="132"/>
        <v>0.94792234944273357</v>
      </c>
      <c r="AL232" s="5" t="s">
        <v>291</v>
      </c>
      <c r="AM232" s="5">
        <v>32</v>
      </c>
      <c r="AN232" s="5">
        <f>100*(AK232/F232)*(AE232*Calculations!$B$5*Calculations!$B$9+AF232*Calculations!$B$6*Calculations!$B$10+AG232*Calculations!$B$7*Calculations!$B$11+AH232*Calculations!$B$8*Calculations!$B$12)</f>
        <v>26.044957540883569</v>
      </c>
      <c r="AO232" s="11" t="s">
        <v>203</v>
      </c>
    </row>
    <row r="233" spans="1:41" x14ac:dyDescent="0.3">
      <c r="A233" s="11">
        <v>232</v>
      </c>
      <c r="B233" s="3" t="s">
        <v>289</v>
      </c>
      <c r="C233" s="3" t="s">
        <v>82</v>
      </c>
      <c r="D233" s="5">
        <v>2.5</v>
      </c>
      <c r="E233" s="5">
        <f>17.891-(9*((G233/100*((100+L233)/100)))*Calculations!$B$16)</f>
        <v>16.236912768253966</v>
      </c>
      <c r="F233" s="5">
        <f t="shared" ref="F233:F241" si="137">(100/(100-L233))*43.84</f>
        <v>48.324514991181665</v>
      </c>
      <c r="G233" s="5">
        <f t="shared" ref="G233:G241" si="138">(100/(100-L233))*6.76</f>
        <v>7.4514991181657857</v>
      </c>
      <c r="H233" s="5">
        <f t="shared" ref="H233:H241" si="139">(100/(100-L233))*1.16</f>
        <v>1.2786596119929454</v>
      </c>
      <c r="I233" s="5">
        <f t="shared" ref="I233:I241" si="140">(100/(100-L233))*0.05</f>
        <v>5.5114638447971792E-2</v>
      </c>
      <c r="J233" s="5">
        <f t="shared" ref="J233:J241" si="141">(100/(100-L233))*39.07</f>
        <v>43.066578483245152</v>
      </c>
      <c r="K233" s="5">
        <f t="shared" ref="K233:K241" si="142">(100/(100-L233))*0.83</f>
        <v>0.91490299823633159</v>
      </c>
      <c r="L233" s="5">
        <v>9.2799999999999994</v>
      </c>
      <c r="M233" s="5">
        <f t="shared" ref="M233:M241" si="143">(100/(100-L233))*76.98</f>
        <v>84.854497354497369</v>
      </c>
      <c r="N233" s="5">
        <f t="shared" ref="N233:N241" si="144">(100/(100-L233))*12.9</f>
        <v>14.219576719576722</v>
      </c>
      <c r="O233" s="5" t="s">
        <v>291</v>
      </c>
      <c r="P233" s="5" t="s">
        <v>291</v>
      </c>
      <c r="Q233" s="5" t="s">
        <v>291</v>
      </c>
      <c r="R233" s="5">
        <v>750</v>
      </c>
      <c r="S233" s="5" t="s">
        <v>39</v>
      </c>
      <c r="T233" s="5" t="s">
        <v>75</v>
      </c>
      <c r="U233" s="5" t="s">
        <v>291</v>
      </c>
      <c r="V233" s="5" t="s">
        <v>291</v>
      </c>
      <c r="W233" s="5">
        <v>0.2</v>
      </c>
      <c r="X233" s="5" t="s">
        <v>33</v>
      </c>
      <c r="Y233" s="5" t="s">
        <v>292</v>
      </c>
      <c r="Z233" s="5" t="s">
        <v>291</v>
      </c>
      <c r="AA233" s="5">
        <v>0</v>
      </c>
      <c r="AB233" s="5" t="s">
        <v>294</v>
      </c>
      <c r="AC233" s="5">
        <f t="shared" si="133"/>
        <v>55</v>
      </c>
      <c r="AD233" s="5">
        <v>6.8</v>
      </c>
      <c r="AE233" s="5">
        <v>18.7</v>
      </c>
      <c r="AF233" s="5">
        <v>11.4</v>
      </c>
      <c r="AG233" s="5">
        <v>6</v>
      </c>
      <c r="AH233" s="5">
        <v>2.1</v>
      </c>
      <c r="AI233" s="5">
        <v>6.6</v>
      </c>
      <c r="AJ233" s="5">
        <v>87.1</v>
      </c>
      <c r="AK233" s="5">
        <v>1.44</v>
      </c>
      <c r="AL233" s="5" t="s">
        <v>291</v>
      </c>
      <c r="AM233" s="5">
        <f t="shared" ref="AM233:AM241" si="145">100*(AI233*AK233)/E233</f>
        <v>58.533294694925011</v>
      </c>
      <c r="AN233" s="5">
        <f>100*(AK233/F233)*(AE233*Calculations!$B$5*Calculations!$B$9+AF233*Calculations!$B$6*Calculations!$B$10+AG233*Calculations!$B$7*Calculations!$B$11+AH233*Calculations!$B$8*Calculations!$B$12)</f>
        <v>60.707927299270068</v>
      </c>
      <c r="AO233" s="11" t="s">
        <v>212</v>
      </c>
    </row>
    <row r="234" spans="1:41" x14ac:dyDescent="0.3">
      <c r="A234" s="11">
        <v>233</v>
      </c>
      <c r="B234" s="3" t="s">
        <v>289</v>
      </c>
      <c r="C234" s="3" t="s">
        <v>82</v>
      </c>
      <c r="D234" s="5">
        <v>2.5</v>
      </c>
      <c r="E234" s="5">
        <f>17.891-(9*((G234/100*((100+L234)/100)))*Calculations!$B$16)</f>
        <v>16.236912768253966</v>
      </c>
      <c r="F234" s="5">
        <f t="shared" si="137"/>
        <v>48.324514991181665</v>
      </c>
      <c r="G234" s="5">
        <f t="shared" si="138"/>
        <v>7.4514991181657857</v>
      </c>
      <c r="H234" s="5">
        <f t="shared" si="139"/>
        <v>1.2786596119929454</v>
      </c>
      <c r="I234" s="5">
        <f t="shared" si="140"/>
        <v>5.5114638447971792E-2</v>
      </c>
      <c r="J234" s="5">
        <f t="shared" si="141"/>
        <v>43.066578483245152</v>
      </c>
      <c r="K234" s="5">
        <f t="shared" si="142"/>
        <v>0.91490299823633159</v>
      </c>
      <c r="L234" s="5">
        <v>9.2799999999999994</v>
      </c>
      <c r="M234" s="5">
        <f t="shared" si="143"/>
        <v>84.854497354497369</v>
      </c>
      <c r="N234" s="5">
        <f t="shared" si="144"/>
        <v>14.219576719576722</v>
      </c>
      <c r="O234" s="5" t="s">
        <v>291</v>
      </c>
      <c r="P234" s="5" t="s">
        <v>291</v>
      </c>
      <c r="Q234" s="5" t="s">
        <v>291</v>
      </c>
      <c r="R234" s="5">
        <v>800</v>
      </c>
      <c r="S234" s="5" t="s">
        <v>39</v>
      </c>
      <c r="T234" s="5" t="s">
        <v>75</v>
      </c>
      <c r="U234" s="5" t="s">
        <v>291</v>
      </c>
      <c r="V234" s="5" t="s">
        <v>291</v>
      </c>
      <c r="W234" s="5">
        <v>0.2</v>
      </c>
      <c r="X234" s="5" t="s">
        <v>33</v>
      </c>
      <c r="Y234" s="5" t="s">
        <v>292</v>
      </c>
      <c r="Z234" s="5" t="s">
        <v>291</v>
      </c>
      <c r="AA234" s="5">
        <v>0</v>
      </c>
      <c r="AB234" s="5" t="s">
        <v>294</v>
      </c>
      <c r="AC234" s="5">
        <f t="shared" si="133"/>
        <v>49.900000000000006</v>
      </c>
      <c r="AD234" s="5">
        <v>9.3000000000000007</v>
      </c>
      <c r="AE234" s="5">
        <v>21.8</v>
      </c>
      <c r="AF234" s="5">
        <v>11</v>
      </c>
      <c r="AG234" s="5">
        <v>6</v>
      </c>
      <c r="AH234" s="5">
        <v>2</v>
      </c>
      <c r="AI234" s="5">
        <v>7.06</v>
      </c>
      <c r="AJ234" s="5">
        <v>55.2</v>
      </c>
      <c r="AK234" s="5">
        <v>1.59</v>
      </c>
      <c r="AL234" s="5" t="s">
        <v>291</v>
      </c>
      <c r="AM234" s="5">
        <f t="shared" si="145"/>
        <v>69.135063790868173</v>
      </c>
      <c r="AN234" s="5">
        <f>100*(AK234/F234)*(AE234*Calculations!$B$5*Calculations!$B$9+AF234*Calculations!$B$6*Calculations!$B$10+AG234*Calculations!$B$7*Calculations!$B$11+AH234*Calculations!$B$8*Calculations!$B$12)</f>
        <v>70.971515638686128</v>
      </c>
      <c r="AO234" s="11" t="s">
        <v>212</v>
      </c>
    </row>
    <row r="235" spans="1:41" x14ac:dyDescent="0.3">
      <c r="A235" s="11">
        <v>234</v>
      </c>
      <c r="B235" s="3" t="s">
        <v>289</v>
      </c>
      <c r="C235" s="3" t="s">
        <v>82</v>
      </c>
      <c r="D235" s="5">
        <v>2.5</v>
      </c>
      <c r="E235" s="5">
        <f>17.891-(9*((G235/100*((100+L235)/100)))*Calculations!$B$16)</f>
        <v>16.236912768253966</v>
      </c>
      <c r="F235" s="5">
        <f t="shared" si="137"/>
        <v>48.324514991181665</v>
      </c>
      <c r="G235" s="5">
        <f t="shared" si="138"/>
        <v>7.4514991181657857</v>
      </c>
      <c r="H235" s="5">
        <f t="shared" si="139"/>
        <v>1.2786596119929454</v>
      </c>
      <c r="I235" s="5">
        <f t="shared" si="140"/>
        <v>5.5114638447971792E-2</v>
      </c>
      <c r="J235" s="5">
        <f t="shared" si="141"/>
        <v>43.066578483245152</v>
      </c>
      <c r="K235" s="5">
        <f t="shared" si="142"/>
        <v>0.91490299823633159</v>
      </c>
      <c r="L235" s="5">
        <v>9.2799999999999994</v>
      </c>
      <c r="M235" s="5">
        <f t="shared" si="143"/>
        <v>84.854497354497369</v>
      </c>
      <c r="N235" s="5">
        <f t="shared" si="144"/>
        <v>14.219576719576722</v>
      </c>
      <c r="O235" s="5" t="s">
        <v>291</v>
      </c>
      <c r="P235" s="5" t="s">
        <v>291</v>
      </c>
      <c r="Q235" s="5" t="s">
        <v>291</v>
      </c>
      <c r="R235" s="5">
        <v>850</v>
      </c>
      <c r="S235" s="5" t="s">
        <v>39</v>
      </c>
      <c r="T235" s="5" t="s">
        <v>75</v>
      </c>
      <c r="U235" s="5" t="s">
        <v>291</v>
      </c>
      <c r="V235" s="5" t="s">
        <v>291</v>
      </c>
      <c r="W235" s="5">
        <v>0.2</v>
      </c>
      <c r="X235" s="5" t="s">
        <v>33</v>
      </c>
      <c r="Y235" s="5" t="s">
        <v>292</v>
      </c>
      <c r="Z235" s="5" t="s">
        <v>291</v>
      </c>
      <c r="AA235" s="5">
        <v>0</v>
      </c>
      <c r="AB235" s="5" t="s">
        <v>294</v>
      </c>
      <c r="AC235" s="5">
        <f t="shared" si="133"/>
        <v>44.2</v>
      </c>
      <c r="AD235" s="5">
        <v>13</v>
      </c>
      <c r="AE235" s="5">
        <v>24.7</v>
      </c>
      <c r="AF235" s="5">
        <v>10.8</v>
      </c>
      <c r="AG235" s="5">
        <v>5.5</v>
      </c>
      <c r="AH235" s="5">
        <v>1.8</v>
      </c>
      <c r="AI235" s="5">
        <v>7.45</v>
      </c>
      <c r="AJ235" s="5">
        <v>48.9</v>
      </c>
      <c r="AK235" s="5">
        <v>1.8</v>
      </c>
      <c r="AL235" s="5" t="s">
        <v>291</v>
      </c>
      <c r="AM235" s="5">
        <f t="shared" si="145"/>
        <v>82.58959194643775</v>
      </c>
      <c r="AN235" s="5">
        <f>100*(AK235/F235)*(AE235*Calculations!$B$5*Calculations!$B$9+AF235*Calculations!$B$6*Calculations!$B$10+AG235*Calculations!$B$7*Calculations!$B$11+AH235*Calculations!$B$8*Calculations!$B$12)</f>
        <v>83.549186770072978</v>
      </c>
      <c r="AO235" s="11" t="s">
        <v>212</v>
      </c>
    </row>
    <row r="236" spans="1:41" x14ac:dyDescent="0.3">
      <c r="A236" s="11">
        <v>235</v>
      </c>
      <c r="B236" s="3" t="s">
        <v>289</v>
      </c>
      <c r="C236" s="3" t="s">
        <v>82</v>
      </c>
      <c r="D236" s="5">
        <v>2.5</v>
      </c>
      <c r="E236" s="5">
        <f>17.891-(9*((G236/100*((100+L236)/100)))*Calculations!$B$16)</f>
        <v>16.236912768253966</v>
      </c>
      <c r="F236" s="5">
        <f t="shared" si="137"/>
        <v>48.324514991181665</v>
      </c>
      <c r="G236" s="5">
        <f t="shared" si="138"/>
        <v>7.4514991181657857</v>
      </c>
      <c r="H236" s="5">
        <f t="shared" si="139"/>
        <v>1.2786596119929454</v>
      </c>
      <c r="I236" s="5">
        <f t="shared" si="140"/>
        <v>5.5114638447971792E-2</v>
      </c>
      <c r="J236" s="5">
        <f t="shared" si="141"/>
        <v>43.066578483245152</v>
      </c>
      <c r="K236" s="5">
        <f t="shared" si="142"/>
        <v>0.91490299823633159</v>
      </c>
      <c r="L236" s="5">
        <v>9.2799999999999994</v>
      </c>
      <c r="M236" s="5">
        <f t="shared" si="143"/>
        <v>84.854497354497369</v>
      </c>
      <c r="N236" s="5">
        <f t="shared" si="144"/>
        <v>14.219576719576722</v>
      </c>
      <c r="O236" s="5" t="s">
        <v>291</v>
      </c>
      <c r="P236" s="5" t="s">
        <v>291</v>
      </c>
      <c r="Q236" s="5" t="s">
        <v>291</v>
      </c>
      <c r="R236" s="5">
        <v>900</v>
      </c>
      <c r="S236" s="5" t="s">
        <v>39</v>
      </c>
      <c r="T236" s="5" t="s">
        <v>75</v>
      </c>
      <c r="U236" s="5" t="s">
        <v>291</v>
      </c>
      <c r="V236" s="5" t="s">
        <v>291</v>
      </c>
      <c r="W236" s="5">
        <v>0.2</v>
      </c>
      <c r="X236" s="5" t="s">
        <v>33</v>
      </c>
      <c r="Y236" s="5" t="s">
        <v>292</v>
      </c>
      <c r="Z236" s="5" t="s">
        <v>291</v>
      </c>
      <c r="AA236" s="5">
        <v>0</v>
      </c>
      <c r="AB236" s="5" t="s">
        <v>294</v>
      </c>
      <c r="AC236" s="5">
        <f t="shared" si="133"/>
        <v>39</v>
      </c>
      <c r="AD236" s="5">
        <v>16</v>
      </c>
      <c r="AE236" s="5">
        <v>27.9</v>
      </c>
      <c r="AF236" s="5">
        <v>11</v>
      </c>
      <c r="AG236" s="5">
        <v>5.0999999999999996</v>
      </c>
      <c r="AH236" s="5">
        <v>1</v>
      </c>
      <c r="AI236" s="5">
        <v>7.72</v>
      </c>
      <c r="AJ236" s="5">
        <v>41.7</v>
      </c>
      <c r="AK236" s="5">
        <v>2.0099999999999998</v>
      </c>
      <c r="AL236" s="5" t="s">
        <v>291</v>
      </c>
      <c r="AM236" s="5">
        <f t="shared" si="145"/>
        <v>95.567428497484244</v>
      </c>
      <c r="AN236" s="5">
        <f>100*(AK236/F236)*(AE236*Calculations!$B$5*Calculations!$B$9+AF236*Calculations!$B$6*Calculations!$B$10+AG236*Calculations!$B$7*Calculations!$B$11+AH236*Calculations!$B$8*Calculations!$B$12)</f>
        <v>96.063351758211638</v>
      </c>
      <c r="AO236" s="11" t="s">
        <v>212</v>
      </c>
    </row>
    <row r="237" spans="1:41" x14ac:dyDescent="0.3">
      <c r="A237" s="11">
        <v>236</v>
      </c>
      <c r="B237" s="3" t="s">
        <v>289</v>
      </c>
      <c r="C237" s="3" t="s">
        <v>82</v>
      </c>
      <c r="D237" s="5">
        <v>2.5</v>
      </c>
      <c r="E237" s="5">
        <f>17.891-(9*((G237/100*((100+L237)/100)))*Calculations!$B$16)</f>
        <v>16.236912768253966</v>
      </c>
      <c r="F237" s="5">
        <f t="shared" si="137"/>
        <v>48.324514991181665</v>
      </c>
      <c r="G237" s="5">
        <f t="shared" si="138"/>
        <v>7.4514991181657857</v>
      </c>
      <c r="H237" s="5">
        <f t="shared" si="139"/>
        <v>1.2786596119929454</v>
      </c>
      <c r="I237" s="5">
        <f t="shared" si="140"/>
        <v>5.5114638447971792E-2</v>
      </c>
      <c r="J237" s="5">
        <f t="shared" si="141"/>
        <v>43.066578483245152</v>
      </c>
      <c r="K237" s="5">
        <f t="shared" si="142"/>
        <v>0.91490299823633159</v>
      </c>
      <c r="L237" s="5">
        <v>9.2799999999999994</v>
      </c>
      <c r="M237" s="5">
        <f t="shared" si="143"/>
        <v>84.854497354497369</v>
      </c>
      <c r="N237" s="5">
        <f t="shared" si="144"/>
        <v>14.219576719576722</v>
      </c>
      <c r="O237" s="5" t="s">
        <v>291</v>
      </c>
      <c r="P237" s="5" t="s">
        <v>291</v>
      </c>
      <c r="Q237" s="5" t="s">
        <v>291</v>
      </c>
      <c r="R237" s="5">
        <v>950</v>
      </c>
      <c r="S237" s="5" t="s">
        <v>39</v>
      </c>
      <c r="T237" s="5" t="s">
        <v>75</v>
      </c>
      <c r="U237" s="5" t="s">
        <v>291</v>
      </c>
      <c r="V237" s="5" t="s">
        <v>291</v>
      </c>
      <c r="W237" s="5">
        <v>0.2</v>
      </c>
      <c r="X237" s="5" t="s">
        <v>33</v>
      </c>
      <c r="Y237" s="5" t="s">
        <v>292</v>
      </c>
      <c r="Z237" s="5" t="s">
        <v>291</v>
      </c>
      <c r="AA237" s="5">
        <v>0</v>
      </c>
      <c r="AB237" s="5" t="s">
        <v>294</v>
      </c>
      <c r="AC237" s="5">
        <f t="shared" si="133"/>
        <v>35.100000000000009</v>
      </c>
      <c r="AD237" s="5">
        <v>18.600000000000001</v>
      </c>
      <c r="AE237" s="5">
        <v>31.3</v>
      </c>
      <c r="AF237" s="5">
        <v>10.4</v>
      </c>
      <c r="AG237" s="5">
        <v>4.0999999999999996</v>
      </c>
      <c r="AH237" s="5">
        <v>0.5</v>
      </c>
      <c r="AI237" s="5">
        <v>7.7</v>
      </c>
      <c r="AJ237" s="5">
        <v>38.1</v>
      </c>
      <c r="AK237" s="5">
        <v>2.0699999999999998</v>
      </c>
      <c r="AL237" s="5" t="s">
        <v>291</v>
      </c>
      <c r="AM237" s="5">
        <f t="shared" si="145"/>
        <v>98.165212977947149</v>
      </c>
      <c r="AN237" s="5">
        <f>100*(AK237/F237)*(AE237*Calculations!$B$5*Calculations!$B$9+AF237*Calculations!$B$6*Calculations!$B$10+AG237*Calculations!$B$7*Calculations!$B$11+AH237*Calculations!$B$8*Calculations!$B$12)</f>
        <v>100.381657754562</v>
      </c>
      <c r="AO237" s="11" t="s">
        <v>212</v>
      </c>
    </row>
    <row r="238" spans="1:41" x14ac:dyDescent="0.3">
      <c r="A238" s="11">
        <v>237</v>
      </c>
      <c r="B238" s="3" t="s">
        <v>289</v>
      </c>
      <c r="C238" s="3" t="s">
        <v>82</v>
      </c>
      <c r="D238" s="5">
        <v>2.5</v>
      </c>
      <c r="E238" s="5">
        <f>17.891-(9*((G238/100*((100+L238)/100)))*Calculations!$B$16)</f>
        <v>16.236912768253966</v>
      </c>
      <c r="F238" s="5">
        <f t="shared" si="137"/>
        <v>48.324514991181665</v>
      </c>
      <c r="G238" s="5">
        <f t="shared" si="138"/>
        <v>7.4514991181657857</v>
      </c>
      <c r="H238" s="5">
        <f t="shared" si="139"/>
        <v>1.2786596119929454</v>
      </c>
      <c r="I238" s="5">
        <f t="shared" si="140"/>
        <v>5.5114638447971792E-2</v>
      </c>
      <c r="J238" s="5">
        <f t="shared" si="141"/>
        <v>43.066578483245152</v>
      </c>
      <c r="K238" s="5">
        <f t="shared" si="142"/>
        <v>0.91490299823633159</v>
      </c>
      <c r="L238" s="5">
        <v>9.2799999999999994</v>
      </c>
      <c r="M238" s="5">
        <f t="shared" si="143"/>
        <v>84.854497354497369</v>
      </c>
      <c r="N238" s="5">
        <f t="shared" si="144"/>
        <v>14.219576719576722</v>
      </c>
      <c r="O238" s="5" t="s">
        <v>291</v>
      </c>
      <c r="P238" s="5" t="s">
        <v>291</v>
      </c>
      <c r="Q238" s="5" t="s">
        <v>291</v>
      </c>
      <c r="R238" s="5">
        <v>800</v>
      </c>
      <c r="S238" s="5" t="s">
        <v>39</v>
      </c>
      <c r="T238" s="5" t="s">
        <v>75</v>
      </c>
      <c r="U238" s="5" t="s">
        <v>291</v>
      </c>
      <c r="V238" s="5" t="s">
        <v>291</v>
      </c>
      <c r="W238" s="5">
        <v>0.1</v>
      </c>
      <c r="X238" s="5" t="s">
        <v>33</v>
      </c>
      <c r="Y238" s="5" t="s">
        <v>292</v>
      </c>
      <c r="Z238" s="5" t="s">
        <v>291</v>
      </c>
      <c r="AA238" s="5">
        <v>0</v>
      </c>
      <c r="AB238" s="5" t="s">
        <v>294</v>
      </c>
      <c r="AC238" s="5">
        <f t="shared" si="133"/>
        <v>52.500000000000007</v>
      </c>
      <c r="AD238" s="5">
        <v>9.8000000000000007</v>
      </c>
      <c r="AE238" s="5">
        <v>21.4</v>
      </c>
      <c r="AF238" s="5">
        <v>8.1</v>
      </c>
      <c r="AG238" s="5">
        <v>6</v>
      </c>
      <c r="AH238" s="5">
        <v>2.2000000000000002</v>
      </c>
      <c r="AI238" s="5">
        <v>7.26</v>
      </c>
      <c r="AJ238" s="5">
        <v>80.400000000000006</v>
      </c>
      <c r="AK238" s="5">
        <v>1.3</v>
      </c>
      <c r="AL238" s="5" t="s">
        <v>291</v>
      </c>
      <c r="AM238" s="5">
        <f t="shared" si="145"/>
        <v>58.126813481765815</v>
      </c>
      <c r="AN238" s="5">
        <f>100*(AK238/F238)*(AE238*Calculations!$B$5*Calculations!$B$9+AF238*Calculations!$B$6*Calculations!$B$10+AG238*Calculations!$B$7*Calculations!$B$11+AH238*Calculations!$B$8*Calculations!$B$12)</f>
        <v>53.832703467153266</v>
      </c>
      <c r="AO238" s="11" t="s">
        <v>212</v>
      </c>
    </row>
    <row r="239" spans="1:41" x14ac:dyDescent="0.3">
      <c r="A239" s="11">
        <v>238</v>
      </c>
      <c r="B239" s="3" t="s">
        <v>289</v>
      </c>
      <c r="C239" s="3" t="s">
        <v>82</v>
      </c>
      <c r="D239" s="5">
        <v>2.5</v>
      </c>
      <c r="E239" s="5">
        <f>17.891-(9*((G239/100*((100+L239)/100)))*Calculations!$B$16)</f>
        <v>16.236912768253966</v>
      </c>
      <c r="F239" s="5">
        <f t="shared" si="137"/>
        <v>48.324514991181665</v>
      </c>
      <c r="G239" s="5">
        <f t="shared" si="138"/>
        <v>7.4514991181657857</v>
      </c>
      <c r="H239" s="5">
        <f t="shared" si="139"/>
        <v>1.2786596119929454</v>
      </c>
      <c r="I239" s="5">
        <f t="shared" si="140"/>
        <v>5.5114638447971792E-2</v>
      </c>
      <c r="J239" s="5">
        <f t="shared" si="141"/>
        <v>43.066578483245152</v>
      </c>
      <c r="K239" s="5">
        <f t="shared" si="142"/>
        <v>0.91490299823633159</v>
      </c>
      <c r="L239" s="5">
        <v>9.2799999999999994</v>
      </c>
      <c r="M239" s="5">
        <f t="shared" si="143"/>
        <v>84.854497354497369</v>
      </c>
      <c r="N239" s="5">
        <f t="shared" si="144"/>
        <v>14.219576719576722</v>
      </c>
      <c r="O239" s="5" t="s">
        <v>291</v>
      </c>
      <c r="P239" s="5" t="s">
        <v>291</v>
      </c>
      <c r="Q239" s="5" t="s">
        <v>291</v>
      </c>
      <c r="R239" s="5">
        <v>800</v>
      </c>
      <c r="S239" s="5" t="s">
        <v>39</v>
      </c>
      <c r="T239" s="5" t="s">
        <v>75</v>
      </c>
      <c r="U239" s="5" t="s">
        <v>291</v>
      </c>
      <c r="V239" s="5" t="s">
        <v>291</v>
      </c>
      <c r="W239" s="5">
        <v>0.3</v>
      </c>
      <c r="X239" s="5" t="s">
        <v>33</v>
      </c>
      <c r="Y239" s="5" t="s">
        <v>292</v>
      </c>
      <c r="Z239" s="5" t="s">
        <v>291</v>
      </c>
      <c r="AA239" s="5">
        <v>0</v>
      </c>
      <c r="AB239" s="5" t="s">
        <v>294</v>
      </c>
      <c r="AC239" s="5">
        <f t="shared" si="133"/>
        <v>50.800000000000004</v>
      </c>
      <c r="AD239" s="5">
        <v>9</v>
      </c>
      <c r="AE239" s="5">
        <v>20.100000000000001</v>
      </c>
      <c r="AF239" s="5">
        <v>13.5</v>
      </c>
      <c r="AG239" s="5">
        <v>5.0999999999999996</v>
      </c>
      <c r="AH239" s="5">
        <v>1.5</v>
      </c>
      <c r="AI239" s="5">
        <v>6.32</v>
      </c>
      <c r="AJ239" s="5">
        <v>43.5</v>
      </c>
      <c r="AK239" s="5">
        <v>1.89</v>
      </c>
      <c r="AL239" s="5" t="s">
        <v>291</v>
      </c>
      <c r="AM239" s="5">
        <f t="shared" si="145"/>
        <v>73.565709014303479</v>
      </c>
      <c r="AN239" s="5">
        <f>100*(AK239/F239)*(AE239*Calculations!$B$5*Calculations!$B$9+AF239*Calculations!$B$6*Calculations!$B$10+AG239*Calculations!$B$7*Calculations!$B$11+AH239*Calculations!$B$8*Calculations!$B$12)</f>
        <v>82.681548396897796</v>
      </c>
      <c r="AO239" s="11" t="s">
        <v>212</v>
      </c>
    </row>
    <row r="240" spans="1:41" x14ac:dyDescent="0.3">
      <c r="A240" s="11">
        <v>239</v>
      </c>
      <c r="B240" s="3" t="s">
        <v>289</v>
      </c>
      <c r="C240" s="3" t="s">
        <v>82</v>
      </c>
      <c r="D240" s="5">
        <v>2.5</v>
      </c>
      <c r="E240" s="5">
        <f>17.891-(9*((G240/100*((100+L240)/100)))*Calculations!$B$16)</f>
        <v>16.236912768253966</v>
      </c>
      <c r="F240" s="5">
        <f t="shared" si="137"/>
        <v>48.324514991181665</v>
      </c>
      <c r="G240" s="5">
        <f t="shared" si="138"/>
        <v>7.4514991181657857</v>
      </c>
      <c r="H240" s="5">
        <f t="shared" si="139"/>
        <v>1.2786596119929454</v>
      </c>
      <c r="I240" s="5">
        <f t="shared" si="140"/>
        <v>5.5114638447971792E-2</v>
      </c>
      <c r="J240" s="5">
        <f t="shared" si="141"/>
        <v>43.066578483245152</v>
      </c>
      <c r="K240" s="5">
        <f t="shared" si="142"/>
        <v>0.91490299823633159</v>
      </c>
      <c r="L240" s="5">
        <v>9.2799999999999994</v>
      </c>
      <c r="M240" s="5">
        <f t="shared" si="143"/>
        <v>84.854497354497369</v>
      </c>
      <c r="N240" s="5">
        <f t="shared" si="144"/>
        <v>14.219576719576722</v>
      </c>
      <c r="O240" s="5" t="s">
        <v>291</v>
      </c>
      <c r="P240" s="5" t="s">
        <v>291</v>
      </c>
      <c r="Q240" s="5" t="s">
        <v>291</v>
      </c>
      <c r="R240" s="5">
        <v>800</v>
      </c>
      <c r="S240" s="5" t="s">
        <v>39</v>
      </c>
      <c r="T240" s="5" t="s">
        <v>75</v>
      </c>
      <c r="U240" s="5" t="s">
        <v>291</v>
      </c>
      <c r="V240" s="5" t="s">
        <v>291</v>
      </c>
      <c r="W240" s="5">
        <v>0.4</v>
      </c>
      <c r="X240" s="5" t="s">
        <v>33</v>
      </c>
      <c r="Y240" s="5" t="s">
        <v>292</v>
      </c>
      <c r="Z240" s="5" t="s">
        <v>291</v>
      </c>
      <c r="AA240" s="5">
        <v>0</v>
      </c>
      <c r="AB240" s="5" t="s">
        <v>294</v>
      </c>
      <c r="AC240" s="5">
        <f t="shared" si="133"/>
        <v>51.999999999999993</v>
      </c>
      <c r="AD240" s="5">
        <v>7.9</v>
      </c>
      <c r="AE240" s="5">
        <v>18.899999999999999</v>
      </c>
      <c r="AF240" s="5">
        <v>16.100000000000001</v>
      </c>
      <c r="AG240" s="5">
        <v>4.3</v>
      </c>
      <c r="AH240" s="5">
        <v>0.8</v>
      </c>
      <c r="AI240" s="5">
        <v>5.37</v>
      </c>
      <c r="AJ240" s="5">
        <v>36.4</v>
      </c>
      <c r="AK240" s="5">
        <v>2.31</v>
      </c>
      <c r="AL240" s="5" t="s">
        <v>291</v>
      </c>
      <c r="AM240" s="5">
        <f t="shared" si="145"/>
        <v>76.398144013271917</v>
      </c>
      <c r="AN240" s="5">
        <f>100*(AK240/F240)*(AE240*Calculations!$B$5*Calculations!$B$9+AF240*Calculations!$B$6*Calculations!$B$10+AG240*Calculations!$B$7*Calculations!$B$11+AH240*Calculations!$B$8*Calculations!$B$12)</f>
        <v>99.695332190693406</v>
      </c>
      <c r="AO240" s="11" t="s">
        <v>212</v>
      </c>
    </row>
    <row r="241" spans="1:41" x14ac:dyDescent="0.3">
      <c r="A241" s="11">
        <v>240</v>
      </c>
      <c r="B241" s="3" t="s">
        <v>289</v>
      </c>
      <c r="C241" s="3" t="s">
        <v>82</v>
      </c>
      <c r="D241" s="5">
        <v>2.5</v>
      </c>
      <c r="E241" s="5">
        <f>17.891-(9*((G241/100*((100+L241)/100)))*Calculations!$B$16)</f>
        <v>16.236912768253966</v>
      </c>
      <c r="F241" s="5">
        <f t="shared" si="137"/>
        <v>48.324514991181665</v>
      </c>
      <c r="G241" s="5">
        <f t="shared" si="138"/>
        <v>7.4514991181657857</v>
      </c>
      <c r="H241" s="5">
        <f t="shared" si="139"/>
        <v>1.2786596119929454</v>
      </c>
      <c r="I241" s="5">
        <f t="shared" si="140"/>
        <v>5.5114638447971792E-2</v>
      </c>
      <c r="J241" s="5">
        <f t="shared" si="141"/>
        <v>43.066578483245152</v>
      </c>
      <c r="K241" s="5">
        <f t="shared" si="142"/>
        <v>0.91490299823633159</v>
      </c>
      <c r="L241" s="5">
        <v>9.2799999999999994</v>
      </c>
      <c r="M241" s="5">
        <f t="shared" si="143"/>
        <v>84.854497354497369</v>
      </c>
      <c r="N241" s="5">
        <f t="shared" si="144"/>
        <v>14.219576719576722</v>
      </c>
      <c r="O241" s="5" t="s">
        <v>291</v>
      </c>
      <c r="P241" s="5" t="s">
        <v>291</v>
      </c>
      <c r="Q241" s="5" t="s">
        <v>291</v>
      </c>
      <c r="R241" s="5">
        <v>800</v>
      </c>
      <c r="S241" s="5" t="s">
        <v>39</v>
      </c>
      <c r="T241" s="5" t="s">
        <v>75</v>
      </c>
      <c r="U241" s="5" t="s">
        <v>291</v>
      </c>
      <c r="V241" s="5" t="s">
        <v>291</v>
      </c>
      <c r="W241" s="5">
        <v>0.5</v>
      </c>
      <c r="X241" s="5" t="s">
        <v>33</v>
      </c>
      <c r="Y241" s="5" t="s">
        <v>292</v>
      </c>
      <c r="Z241" s="5" t="s">
        <v>291</v>
      </c>
      <c r="AA241" s="5">
        <v>0</v>
      </c>
      <c r="AB241" s="5" t="s">
        <v>294</v>
      </c>
      <c r="AC241" s="5">
        <f t="shared" si="133"/>
        <v>55.4</v>
      </c>
      <c r="AD241" s="5">
        <v>6.5</v>
      </c>
      <c r="AE241" s="5">
        <v>15.8</v>
      </c>
      <c r="AF241" s="5">
        <v>18.7</v>
      </c>
      <c r="AG241" s="5">
        <v>3.1</v>
      </c>
      <c r="AH241" s="5">
        <v>0.5</v>
      </c>
      <c r="AI241" s="5">
        <v>4.1500000000000004</v>
      </c>
      <c r="AJ241" s="5">
        <v>31.9</v>
      </c>
      <c r="AK241" s="5">
        <v>2.84</v>
      </c>
      <c r="AL241" s="5" t="s">
        <v>291</v>
      </c>
      <c r="AM241" s="5">
        <f t="shared" si="145"/>
        <v>72.587690580217398</v>
      </c>
      <c r="AN241" s="5">
        <f>100*(AK241/F241)*(AE241*Calculations!$B$5*Calculations!$B$9+AF241*Calculations!$B$6*Calculations!$B$10+AG241*Calculations!$B$7*Calculations!$B$11+AH241*Calculations!$B$8*Calculations!$B$12)</f>
        <v>116.6610709379562</v>
      </c>
      <c r="AO241" s="11" t="s">
        <v>212</v>
      </c>
    </row>
    <row r="242" spans="1:41" x14ac:dyDescent="0.3">
      <c r="A242" s="11">
        <v>241</v>
      </c>
      <c r="B242" s="3" t="s">
        <v>288</v>
      </c>
      <c r="C242" s="3" t="s">
        <v>159</v>
      </c>
      <c r="D242" s="5">
        <v>3.75</v>
      </c>
      <c r="E242" s="5">
        <f>(100/(100+K242+L242))*17.75</f>
        <v>15.834076717216769</v>
      </c>
      <c r="F242" s="5">
        <v>43.83</v>
      </c>
      <c r="G242" s="5">
        <v>5.95</v>
      </c>
      <c r="H242" s="5">
        <v>0.97</v>
      </c>
      <c r="I242" s="5">
        <v>0.13</v>
      </c>
      <c r="J242" s="5">
        <v>45.01</v>
      </c>
      <c r="K242" s="5">
        <v>5.93</v>
      </c>
      <c r="L242" s="5">
        <v>6.17</v>
      </c>
      <c r="M242" s="5">
        <v>75.95</v>
      </c>
      <c r="N242" s="5">
        <v>13.75</v>
      </c>
      <c r="O242" s="5" t="s">
        <v>291</v>
      </c>
      <c r="P242" s="5" t="s">
        <v>291</v>
      </c>
      <c r="Q242" s="5" t="s">
        <v>291</v>
      </c>
      <c r="R242" s="5">
        <v>900</v>
      </c>
      <c r="S242" s="5" t="s">
        <v>39</v>
      </c>
      <c r="T242" s="5" t="s">
        <v>75</v>
      </c>
      <c r="U242" s="5" t="s">
        <v>291</v>
      </c>
      <c r="V242" s="5" t="s">
        <v>291</v>
      </c>
      <c r="W242" s="5">
        <v>0.18</v>
      </c>
      <c r="X242" s="5" t="s">
        <v>33</v>
      </c>
      <c r="Y242" s="5" t="s">
        <v>292</v>
      </c>
      <c r="Z242" s="5" t="s">
        <v>291</v>
      </c>
      <c r="AA242" s="5">
        <v>0</v>
      </c>
      <c r="AB242" s="5" t="s">
        <v>294</v>
      </c>
      <c r="AC242" s="5">
        <v>48.58</v>
      </c>
      <c r="AD242" s="5">
        <v>6.91</v>
      </c>
      <c r="AE242" s="5">
        <v>11.35</v>
      </c>
      <c r="AF242" s="5">
        <v>23.93</v>
      </c>
      <c r="AG242" s="5">
        <v>1.27</v>
      </c>
      <c r="AH242" s="5">
        <v>0.98</v>
      </c>
      <c r="AI242" s="5">
        <v>2.69</v>
      </c>
      <c r="AJ242" s="5">
        <v>7.2149999999999999</v>
      </c>
      <c r="AK242" s="5">
        <v>1.35</v>
      </c>
      <c r="AL242" s="5" t="s">
        <v>291</v>
      </c>
      <c r="AM242" s="5">
        <v>21.17</v>
      </c>
      <c r="AN242" s="5">
        <f>100*(AK242/F242)*(AE242*Calculations!$B$5*Calculations!$B$9+AF242*Calculations!$B$6*Calculations!$B$10+AG242*Calculations!$B$7*Calculations!$B$11+AH242*Calculations!$B$8*Calculations!$B$12)</f>
        <v>61.861842549134636</v>
      </c>
      <c r="AO242" s="11" t="s">
        <v>215</v>
      </c>
    </row>
    <row r="243" spans="1:41" x14ac:dyDescent="0.3">
      <c r="A243" s="11">
        <v>242</v>
      </c>
      <c r="B243" s="3" t="s">
        <v>288</v>
      </c>
      <c r="C243" s="3" t="s">
        <v>159</v>
      </c>
      <c r="D243" s="5">
        <v>3.75</v>
      </c>
      <c r="E243" s="5">
        <f>(100/(100+K243+L243))*17.75</f>
        <v>15.834076717216769</v>
      </c>
      <c r="F243" s="5">
        <v>43.83</v>
      </c>
      <c r="G243" s="5">
        <v>5.95</v>
      </c>
      <c r="H243" s="5">
        <v>0.97</v>
      </c>
      <c r="I243" s="5">
        <v>0.13</v>
      </c>
      <c r="J243" s="5">
        <v>45.01</v>
      </c>
      <c r="K243" s="5">
        <v>5.93</v>
      </c>
      <c r="L243" s="5">
        <v>6.17</v>
      </c>
      <c r="M243" s="5">
        <v>75.95</v>
      </c>
      <c r="N243" s="5">
        <v>13.75</v>
      </c>
      <c r="O243" s="5" t="s">
        <v>291</v>
      </c>
      <c r="P243" s="5" t="s">
        <v>291</v>
      </c>
      <c r="Q243" s="5" t="s">
        <v>291</v>
      </c>
      <c r="R243" s="5">
        <v>950</v>
      </c>
      <c r="S243" s="5" t="s">
        <v>39</v>
      </c>
      <c r="T243" s="5" t="s">
        <v>75</v>
      </c>
      <c r="U243" s="5" t="s">
        <v>291</v>
      </c>
      <c r="V243" s="5" t="s">
        <v>291</v>
      </c>
      <c r="W243" s="5">
        <v>0.21</v>
      </c>
      <c r="X243" s="5" t="s">
        <v>33</v>
      </c>
      <c r="Y243" s="5" t="s">
        <v>292</v>
      </c>
      <c r="Z243" s="5" t="s">
        <v>291</v>
      </c>
      <c r="AA243" s="5">
        <v>0</v>
      </c>
      <c r="AB243" s="5" t="s">
        <v>294</v>
      </c>
      <c r="AC243" s="5">
        <v>51.15</v>
      </c>
      <c r="AD243" s="5">
        <v>8.23</v>
      </c>
      <c r="AE243" s="5">
        <v>13.55</v>
      </c>
      <c r="AF243" s="5">
        <v>20.37</v>
      </c>
      <c r="AG243" s="5">
        <v>1.84</v>
      </c>
      <c r="AH243" s="5">
        <v>1.1200000000000001</v>
      </c>
      <c r="AI243" s="5">
        <v>3.32</v>
      </c>
      <c r="AJ243" s="5">
        <v>6.8520000000000003</v>
      </c>
      <c r="AK243" s="5">
        <v>1.47</v>
      </c>
      <c r="AL243" s="5" t="s">
        <v>291</v>
      </c>
      <c r="AM243" s="5">
        <v>28.46</v>
      </c>
      <c r="AN243" s="5">
        <f>100*(AK243/F243)*(AE243*Calculations!$B$5*Calculations!$B$9+AF243*Calculations!$B$6*Calculations!$B$10+AG243*Calculations!$B$7*Calculations!$B$11+AH243*Calculations!$B$8*Calculations!$B$12)</f>
        <v>65.935026694045163</v>
      </c>
      <c r="AO243" s="11" t="s">
        <v>215</v>
      </c>
    </row>
    <row r="244" spans="1:41" x14ac:dyDescent="0.3">
      <c r="A244" s="11">
        <v>243</v>
      </c>
      <c r="B244" s="3" t="s">
        <v>288</v>
      </c>
      <c r="C244" s="3" t="s">
        <v>159</v>
      </c>
      <c r="D244" s="5">
        <v>3.75</v>
      </c>
      <c r="E244" s="5">
        <f t="shared" ref="E244:E248" si="146">(100/(100+K244+L244))*17.75</f>
        <v>15.834076717216769</v>
      </c>
      <c r="F244" s="5">
        <v>43.83</v>
      </c>
      <c r="G244" s="5">
        <v>5.95</v>
      </c>
      <c r="H244" s="5">
        <v>0.97</v>
      </c>
      <c r="I244" s="5">
        <v>0.13</v>
      </c>
      <c r="J244" s="5">
        <v>45.01</v>
      </c>
      <c r="K244" s="5">
        <v>5.93</v>
      </c>
      <c r="L244" s="5">
        <v>6.17</v>
      </c>
      <c r="M244" s="5">
        <v>75.95</v>
      </c>
      <c r="N244" s="5">
        <v>13.75</v>
      </c>
      <c r="O244" s="5" t="s">
        <v>291</v>
      </c>
      <c r="P244" s="5" t="s">
        <v>291</v>
      </c>
      <c r="Q244" s="5" t="s">
        <v>291</v>
      </c>
      <c r="R244" s="5">
        <v>965</v>
      </c>
      <c r="S244" s="5" t="s">
        <v>39</v>
      </c>
      <c r="T244" s="5" t="s">
        <v>75</v>
      </c>
      <c r="U244" s="5" t="s">
        <v>291</v>
      </c>
      <c r="V244" s="5" t="s">
        <v>291</v>
      </c>
      <c r="W244" s="5">
        <v>0.24</v>
      </c>
      <c r="X244" s="5" t="s">
        <v>33</v>
      </c>
      <c r="Y244" s="5" t="s">
        <v>292</v>
      </c>
      <c r="Z244" s="5" t="s">
        <v>291</v>
      </c>
      <c r="AA244" s="5">
        <v>0</v>
      </c>
      <c r="AB244" s="5" t="s">
        <v>294</v>
      </c>
      <c r="AC244" s="5">
        <v>52.73</v>
      </c>
      <c r="AD244" s="5">
        <v>10.92</v>
      </c>
      <c r="AE244" s="5">
        <v>16.72</v>
      </c>
      <c r="AF244" s="5">
        <v>16.48</v>
      </c>
      <c r="AG244" s="5">
        <v>2.98</v>
      </c>
      <c r="AH244" s="5">
        <v>1.27</v>
      </c>
      <c r="AI244" s="5">
        <v>4.43</v>
      </c>
      <c r="AJ244" s="5">
        <v>6.3209999999999997</v>
      </c>
      <c r="AK244" s="5">
        <v>1.62</v>
      </c>
      <c r="AL244" s="5" t="s">
        <v>291</v>
      </c>
      <c r="AM244" s="5">
        <v>41.85</v>
      </c>
      <c r="AN244" s="5">
        <f>100*(AK244/F244)*(AE244*Calculations!$B$5*Calculations!$B$9+AF244*Calculations!$B$6*Calculations!$B$10+AG244*Calculations!$B$7*Calculations!$B$11+AH244*Calculations!$B$8*Calculations!$B$12)</f>
        <v>73.26045673217952</v>
      </c>
      <c r="AO244" s="11" t="s">
        <v>215</v>
      </c>
    </row>
    <row r="245" spans="1:41" x14ac:dyDescent="0.3">
      <c r="A245" s="11">
        <v>244</v>
      </c>
      <c r="B245" s="3" t="s">
        <v>288</v>
      </c>
      <c r="C245" s="3" t="s">
        <v>159</v>
      </c>
      <c r="D245" s="5">
        <v>3.75</v>
      </c>
      <c r="E245" s="5">
        <f t="shared" si="146"/>
        <v>15.834076717216769</v>
      </c>
      <c r="F245" s="5">
        <v>43.83</v>
      </c>
      <c r="G245" s="5">
        <v>5.95</v>
      </c>
      <c r="H245" s="5">
        <v>0.97</v>
      </c>
      <c r="I245" s="5">
        <v>0.13</v>
      </c>
      <c r="J245" s="5">
        <v>45.01</v>
      </c>
      <c r="K245" s="5">
        <v>5.93</v>
      </c>
      <c r="L245" s="5">
        <v>6.17</v>
      </c>
      <c r="M245" s="5">
        <v>75.95</v>
      </c>
      <c r="N245" s="5">
        <v>13.75</v>
      </c>
      <c r="O245" s="5" t="s">
        <v>291</v>
      </c>
      <c r="P245" s="5" t="s">
        <v>291</v>
      </c>
      <c r="Q245" s="5" t="s">
        <v>291</v>
      </c>
      <c r="R245" s="5">
        <v>975</v>
      </c>
      <c r="S245" s="5" t="s">
        <v>39</v>
      </c>
      <c r="T245" s="5" t="s">
        <v>75</v>
      </c>
      <c r="U245" s="5" t="s">
        <v>291</v>
      </c>
      <c r="V245" s="5" t="s">
        <v>291</v>
      </c>
      <c r="W245" s="5">
        <v>0.28000000000000003</v>
      </c>
      <c r="X245" s="5" t="s">
        <v>33</v>
      </c>
      <c r="Y245" s="5" t="s">
        <v>292</v>
      </c>
      <c r="Z245" s="5" t="s">
        <v>291</v>
      </c>
      <c r="AA245" s="5">
        <v>0</v>
      </c>
      <c r="AB245" s="5" t="s">
        <v>294</v>
      </c>
      <c r="AC245" s="5">
        <v>53.49</v>
      </c>
      <c r="AD245" s="5">
        <v>12.78</v>
      </c>
      <c r="AE245" s="5">
        <v>18.989999999999998</v>
      </c>
      <c r="AF245" s="5">
        <v>13.11</v>
      </c>
      <c r="AG245" s="5">
        <v>3.96</v>
      </c>
      <c r="AH245" s="5">
        <v>1.75</v>
      </c>
      <c r="AI245" s="5">
        <v>5.3</v>
      </c>
      <c r="AJ245" s="5">
        <v>5.6859999999999999</v>
      </c>
      <c r="AK245" s="5">
        <v>1.81</v>
      </c>
      <c r="AL245" s="5" t="s">
        <v>291</v>
      </c>
      <c r="AM245" s="5">
        <v>55.94</v>
      </c>
      <c r="AN245" s="5">
        <f>100*(AK245/F245)*(AE245*Calculations!$B$5*Calculations!$B$9+AF245*Calculations!$B$6*Calculations!$B$10+AG245*Calculations!$B$7*Calculations!$B$11+AH245*Calculations!$B$8*Calculations!$B$12)</f>
        <v>82.916671653466295</v>
      </c>
      <c r="AO245" s="11" t="s">
        <v>215</v>
      </c>
    </row>
    <row r="246" spans="1:41" x14ac:dyDescent="0.3">
      <c r="A246" s="11">
        <v>245</v>
      </c>
      <c r="B246" s="3" t="s">
        <v>288</v>
      </c>
      <c r="C246" s="3" t="s">
        <v>159</v>
      </c>
      <c r="D246" s="5">
        <v>3.75</v>
      </c>
      <c r="E246" s="5">
        <f t="shared" si="146"/>
        <v>15.834076717216769</v>
      </c>
      <c r="F246" s="5">
        <v>43.83</v>
      </c>
      <c r="G246" s="5">
        <v>5.95</v>
      </c>
      <c r="H246" s="5">
        <v>0.97</v>
      </c>
      <c r="I246" s="5">
        <v>0.13</v>
      </c>
      <c r="J246" s="5">
        <v>45.01</v>
      </c>
      <c r="K246" s="5">
        <v>5.93</v>
      </c>
      <c r="L246" s="5">
        <v>6.17</v>
      </c>
      <c r="M246" s="5">
        <v>75.95</v>
      </c>
      <c r="N246" s="5">
        <v>13.75</v>
      </c>
      <c r="O246" s="5" t="s">
        <v>291</v>
      </c>
      <c r="P246" s="5" t="s">
        <v>291</v>
      </c>
      <c r="Q246" s="5" t="s">
        <v>291</v>
      </c>
      <c r="R246" s="5">
        <v>985</v>
      </c>
      <c r="S246" s="5" t="s">
        <v>39</v>
      </c>
      <c r="T246" s="5" t="s">
        <v>75</v>
      </c>
      <c r="U246" s="5" t="s">
        <v>291</v>
      </c>
      <c r="V246" s="5" t="s">
        <v>291</v>
      </c>
      <c r="W246" s="5">
        <v>0.32</v>
      </c>
      <c r="X246" s="5" t="s">
        <v>33</v>
      </c>
      <c r="Y246" s="5" t="s">
        <v>292</v>
      </c>
      <c r="Z246" s="5" t="s">
        <v>291</v>
      </c>
      <c r="AA246" s="5">
        <v>0</v>
      </c>
      <c r="AB246" s="5" t="s">
        <v>294</v>
      </c>
      <c r="AC246" s="5">
        <v>55.67</v>
      </c>
      <c r="AD246" s="5">
        <v>13.51</v>
      </c>
      <c r="AE246" s="5">
        <v>19.809999999999999</v>
      </c>
      <c r="AF246" s="5">
        <v>11.58</v>
      </c>
      <c r="AG246" s="5">
        <v>3.72</v>
      </c>
      <c r="AH246" s="5">
        <v>1.62</v>
      </c>
      <c r="AI246" s="5">
        <v>5.39</v>
      </c>
      <c r="AJ246" s="5">
        <v>5.125</v>
      </c>
      <c r="AK246" s="5">
        <v>2.14</v>
      </c>
      <c r="AL246" s="5" t="s">
        <v>291</v>
      </c>
      <c r="AM246" s="5">
        <v>67.260000000000005</v>
      </c>
      <c r="AN246" s="5">
        <f>100*(AK246/F246)*(AE246*Calculations!$B$5*Calculations!$B$9+AF246*Calculations!$B$6*Calculations!$B$10+AG246*Calculations!$B$7*Calculations!$B$11+AH246*Calculations!$B$8*Calculations!$B$12)</f>
        <v>94.736839542387784</v>
      </c>
      <c r="AO246" s="11" t="s">
        <v>215</v>
      </c>
    </row>
    <row r="247" spans="1:41" x14ac:dyDescent="0.3">
      <c r="A247" s="11">
        <v>246</v>
      </c>
      <c r="B247" s="3" t="s">
        <v>288</v>
      </c>
      <c r="C247" s="3" t="s">
        <v>159</v>
      </c>
      <c r="D247" s="5">
        <v>3.75</v>
      </c>
      <c r="E247" s="5">
        <f t="shared" si="146"/>
        <v>15.834076717216769</v>
      </c>
      <c r="F247" s="5">
        <v>43.83</v>
      </c>
      <c r="G247" s="5">
        <v>5.95</v>
      </c>
      <c r="H247" s="5">
        <v>0.97</v>
      </c>
      <c r="I247" s="5">
        <v>0.13</v>
      </c>
      <c r="J247" s="5">
        <v>45.01</v>
      </c>
      <c r="K247" s="5">
        <v>5.93</v>
      </c>
      <c r="L247" s="5">
        <v>6.17</v>
      </c>
      <c r="M247" s="5">
        <v>75.95</v>
      </c>
      <c r="N247" s="5">
        <v>13.75</v>
      </c>
      <c r="O247" s="5" t="s">
        <v>291</v>
      </c>
      <c r="P247" s="5" t="s">
        <v>291</v>
      </c>
      <c r="Q247" s="5" t="s">
        <v>291</v>
      </c>
      <c r="R247" s="5">
        <v>995</v>
      </c>
      <c r="S247" s="5" t="s">
        <v>39</v>
      </c>
      <c r="T247" s="5" t="s">
        <v>75</v>
      </c>
      <c r="U247" s="5" t="s">
        <v>291</v>
      </c>
      <c r="V247" s="5" t="s">
        <v>291</v>
      </c>
      <c r="W247" s="5">
        <v>0.36</v>
      </c>
      <c r="X247" s="5" t="s">
        <v>33</v>
      </c>
      <c r="Y247" s="5" t="s">
        <v>292</v>
      </c>
      <c r="Z247" s="5" t="s">
        <v>291</v>
      </c>
      <c r="AA247" s="5">
        <v>0</v>
      </c>
      <c r="AB247" s="5" t="s">
        <v>294</v>
      </c>
      <c r="AC247" s="5">
        <v>56.88</v>
      </c>
      <c r="AD247" s="5">
        <v>12.26</v>
      </c>
      <c r="AE247" s="5">
        <v>17.97</v>
      </c>
      <c r="AF247" s="5">
        <v>13.82</v>
      </c>
      <c r="AG247" s="5">
        <v>3.65</v>
      </c>
      <c r="AH247" s="5">
        <v>1.54</v>
      </c>
      <c r="AI247" s="5">
        <v>4.99</v>
      </c>
      <c r="AJ247" s="5">
        <v>4.8730000000000002</v>
      </c>
      <c r="AK247" s="5">
        <v>2.5299999999999998</v>
      </c>
      <c r="AL247" s="5" t="s">
        <v>291</v>
      </c>
      <c r="AM247" s="5">
        <v>73.61</v>
      </c>
      <c r="AN247" s="5">
        <f>100*(AK247/F247)*(AE247*Calculations!$B$5*Calculations!$B$9+AF247*Calculations!$B$6*Calculations!$B$10+AG247*Calculations!$B$7*Calculations!$B$11+AH247*Calculations!$B$8*Calculations!$B$12)</f>
        <v>113.12884362471885</v>
      </c>
      <c r="AO247" s="11" t="s">
        <v>215</v>
      </c>
    </row>
    <row r="248" spans="1:41" x14ac:dyDescent="0.3">
      <c r="A248" s="11">
        <v>247</v>
      </c>
      <c r="B248" s="3" t="s">
        <v>288</v>
      </c>
      <c r="C248" s="3" t="s">
        <v>159</v>
      </c>
      <c r="D248" s="5">
        <v>3.75</v>
      </c>
      <c r="E248" s="5">
        <f t="shared" si="146"/>
        <v>15.834076717216769</v>
      </c>
      <c r="F248" s="5">
        <v>43.83</v>
      </c>
      <c r="G248" s="5">
        <v>5.95</v>
      </c>
      <c r="H248" s="5">
        <v>0.97</v>
      </c>
      <c r="I248" s="5">
        <v>0.13</v>
      </c>
      <c r="J248" s="5">
        <v>45.01</v>
      </c>
      <c r="K248" s="5">
        <v>5.93</v>
      </c>
      <c r="L248" s="5">
        <v>6.17</v>
      </c>
      <c r="M248" s="5">
        <v>75.95</v>
      </c>
      <c r="N248" s="5">
        <v>13.75</v>
      </c>
      <c r="O248" s="5" t="s">
        <v>291</v>
      </c>
      <c r="P248" s="5" t="s">
        <v>291</v>
      </c>
      <c r="Q248" s="5" t="s">
        <v>291</v>
      </c>
      <c r="R248" s="5">
        <v>1025</v>
      </c>
      <c r="S248" s="5" t="s">
        <v>39</v>
      </c>
      <c r="T248" s="5" t="s">
        <v>75</v>
      </c>
      <c r="U248" s="5" t="s">
        <v>291</v>
      </c>
      <c r="V248" s="5" t="s">
        <v>291</v>
      </c>
      <c r="W248" s="5">
        <v>0.41</v>
      </c>
      <c r="X248" s="5" t="s">
        <v>33</v>
      </c>
      <c r="Y248" s="5" t="s">
        <v>292</v>
      </c>
      <c r="Z248" s="5" t="s">
        <v>291</v>
      </c>
      <c r="AA248" s="5">
        <v>0</v>
      </c>
      <c r="AB248" s="5" t="s">
        <v>294</v>
      </c>
      <c r="AC248" s="5">
        <v>59.71</v>
      </c>
      <c r="AD248" s="5">
        <v>10.58</v>
      </c>
      <c r="AE248" s="5">
        <v>15.16</v>
      </c>
      <c r="AF248" s="5">
        <v>18.41</v>
      </c>
      <c r="AG248" s="5">
        <v>1.57</v>
      </c>
      <c r="AH248" s="5">
        <v>1.31</v>
      </c>
      <c r="AI248" s="5">
        <v>3.69</v>
      </c>
      <c r="AJ248" s="5">
        <v>4.617</v>
      </c>
      <c r="AK248" s="5">
        <v>2.86</v>
      </c>
      <c r="AL248" s="5" t="s">
        <v>291</v>
      </c>
      <c r="AM248" s="5">
        <v>61.54</v>
      </c>
      <c r="AN248" s="5">
        <f>100*(AK248/F248)*(AE248*Calculations!$B$5*Calculations!$B$9+AF248*Calculations!$B$6*Calculations!$B$10+AG248*Calculations!$B$7*Calculations!$B$11+AH248*Calculations!$B$8*Calculations!$B$12)</f>
        <v>126.89402899188418</v>
      </c>
      <c r="AO248" s="11" t="s">
        <v>215</v>
      </c>
    </row>
    <row r="249" spans="1:41" x14ac:dyDescent="0.3">
      <c r="A249" s="11">
        <v>248</v>
      </c>
      <c r="B249" s="3" t="s">
        <v>289</v>
      </c>
      <c r="C249" s="3" t="s">
        <v>82</v>
      </c>
      <c r="D249" s="5">
        <f>(4+0.8)/2</f>
        <v>2.4</v>
      </c>
      <c r="E249" s="5">
        <f>100/(100+K249+L249)*18.2</f>
        <v>14.636107760353841</v>
      </c>
      <c r="F249" s="5">
        <v>50</v>
      </c>
      <c r="G249" s="5">
        <v>5.7</v>
      </c>
      <c r="H249" s="5">
        <v>0.2</v>
      </c>
      <c r="I249" s="5">
        <v>0.03</v>
      </c>
      <c r="J249" s="5">
        <v>44.1</v>
      </c>
      <c r="K249" s="5">
        <f>(0.5+1.2)/2</f>
        <v>0.85</v>
      </c>
      <c r="L249" s="5">
        <v>23.5</v>
      </c>
      <c r="M249" s="5">
        <v>82</v>
      </c>
      <c r="N249" s="5">
        <v>16.5</v>
      </c>
      <c r="O249" s="5" t="s">
        <v>291</v>
      </c>
      <c r="P249" s="5" t="s">
        <v>291</v>
      </c>
      <c r="Q249" s="5" t="s">
        <v>291</v>
      </c>
      <c r="R249" s="5">
        <v>800</v>
      </c>
      <c r="S249" s="5" t="s">
        <v>39</v>
      </c>
      <c r="T249" s="5" t="s">
        <v>75</v>
      </c>
      <c r="U249" s="5">
        <v>300</v>
      </c>
      <c r="V249" s="5" t="s">
        <v>291</v>
      </c>
      <c r="W249" s="5">
        <v>0.32</v>
      </c>
      <c r="X249" s="5" t="s">
        <v>33</v>
      </c>
      <c r="Y249" s="5" t="s">
        <v>79</v>
      </c>
      <c r="Z249" s="5" t="s">
        <v>295</v>
      </c>
      <c r="AA249" s="5">
        <v>0</v>
      </c>
      <c r="AB249" s="5" t="s">
        <v>293</v>
      </c>
      <c r="AC249" s="5">
        <v>61.3</v>
      </c>
      <c r="AD249" s="5">
        <v>7</v>
      </c>
      <c r="AE249" s="5">
        <v>14</v>
      </c>
      <c r="AF249" s="5">
        <v>13.5</v>
      </c>
      <c r="AG249" s="5">
        <v>3</v>
      </c>
      <c r="AH249" s="5">
        <v>1.2</v>
      </c>
      <c r="AI249" s="5">
        <v>4.3</v>
      </c>
      <c r="AJ249" s="5">
        <v>3.7330000000000001</v>
      </c>
      <c r="AK249" s="5">
        <v>1.8496180136710898</v>
      </c>
      <c r="AL249" s="5" t="s">
        <v>291</v>
      </c>
      <c r="AM249" s="5">
        <f t="shared" ref="AM249:AM277" si="147">100*(AI249*AK249)/E249</f>
        <v>54.340659340659336</v>
      </c>
      <c r="AN249" s="5">
        <f>100*(AK249/F249)*(AE249*Calculations!$B$5*Calculations!$B$9+AF249*Calculations!$B$6*Calculations!$B$10+AG249*Calculations!$B$7*Calculations!$B$11+AH249*Calculations!$B$8*Calculations!$B$12)</f>
        <v>62.228416336377734</v>
      </c>
      <c r="AO249" s="11" t="s">
        <v>219</v>
      </c>
    </row>
    <row r="250" spans="1:41" x14ac:dyDescent="0.3">
      <c r="A250" s="11">
        <v>249</v>
      </c>
      <c r="B250" s="3" t="s">
        <v>289</v>
      </c>
      <c r="C250" s="3" t="s">
        <v>82</v>
      </c>
      <c r="D250" s="5">
        <f t="shared" ref="D250:D254" si="148">(4+0.8)/2</f>
        <v>2.4</v>
      </c>
      <c r="E250" s="5">
        <f t="shared" ref="E250:E254" si="149">100/(100+K250+L250)*18.2</f>
        <v>14.936397209684039</v>
      </c>
      <c r="F250" s="5">
        <v>50</v>
      </c>
      <c r="G250" s="5">
        <v>5.7</v>
      </c>
      <c r="H250" s="5">
        <v>0.2</v>
      </c>
      <c r="I250" s="5">
        <v>0.03</v>
      </c>
      <c r="J250" s="5">
        <v>44.1</v>
      </c>
      <c r="K250" s="5">
        <f t="shared" ref="K250:K254" si="150">(0.5+1.2)/2</f>
        <v>0.85</v>
      </c>
      <c r="L250" s="5">
        <v>21</v>
      </c>
      <c r="M250" s="5">
        <v>82</v>
      </c>
      <c r="N250" s="5">
        <v>16.5</v>
      </c>
      <c r="O250" s="5" t="s">
        <v>291</v>
      </c>
      <c r="P250" s="5" t="s">
        <v>291</v>
      </c>
      <c r="Q250" s="5" t="s">
        <v>291</v>
      </c>
      <c r="R250" s="5">
        <v>800</v>
      </c>
      <c r="S250" s="5" t="s">
        <v>39</v>
      </c>
      <c r="T250" s="5" t="s">
        <v>75</v>
      </c>
      <c r="U250" s="5">
        <v>300</v>
      </c>
      <c r="V250" s="5" t="s">
        <v>291</v>
      </c>
      <c r="W250" s="5">
        <v>0.37</v>
      </c>
      <c r="X250" s="5" t="s">
        <v>33</v>
      </c>
      <c r="Y250" s="5" t="s">
        <v>79</v>
      </c>
      <c r="Z250" s="5" t="s">
        <v>295</v>
      </c>
      <c r="AA250" s="5">
        <v>0</v>
      </c>
      <c r="AB250" s="5" t="s">
        <v>293</v>
      </c>
      <c r="AC250" s="5">
        <v>58.3</v>
      </c>
      <c r="AD250" s="5">
        <v>9.5</v>
      </c>
      <c r="AE250" s="5">
        <v>13</v>
      </c>
      <c r="AF250" s="5">
        <v>15</v>
      </c>
      <c r="AG250" s="5">
        <v>2.7</v>
      </c>
      <c r="AH250" s="5">
        <v>1.6</v>
      </c>
      <c r="AI250" s="5">
        <v>4.5999999999999996</v>
      </c>
      <c r="AJ250" s="5">
        <v>7.1630000000000003</v>
      </c>
      <c r="AK250" s="5">
        <v>2.0661157024793391</v>
      </c>
      <c r="AL250" s="5" t="s">
        <v>291</v>
      </c>
      <c r="AM250" s="5">
        <f t="shared" si="147"/>
        <v>63.630687494323858</v>
      </c>
      <c r="AN250" s="5">
        <f>100*(AK250/F250)*(AE250*Calculations!$B$5*Calculations!$B$9+AF250*Calculations!$B$6*Calculations!$B$10+AG250*Calculations!$B$7*Calculations!$B$11+AH250*Calculations!$B$8*Calculations!$B$12)</f>
        <v>71.901402007083831</v>
      </c>
      <c r="AO250" s="11" t="s">
        <v>219</v>
      </c>
    </row>
    <row r="251" spans="1:41" x14ac:dyDescent="0.3">
      <c r="A251" s="11">
        <v>250</v>
      </c>
      <c r="B251" s="3" t="s">
        <v>289</v>
      </c>
      <c r="C251" s="3" t="s">
        <v>82</v>
      </c>
      <c r="D251" s="5">
        <f t="shared" si="148"/>
        <v>2.4</v>
      </c>
      <c r="E251" s="5">
        <f t="shared" si="149"/>
        <v>14.695195801372627</v>
      </c>
      <c r="F251" s="5">
        <v>50</v>
      </c>
      <c r="G251" s="5">
        <v>5.7</v>
      </c>
      <c r="H251" s="5">
        <v>0.2</v>
      </c>
      <c r="I251" s="5">
        <v>0.03</v>
      </c>
      <c r="J251" s="5">
        <v>44.1</v>
      </c>
      <c r="K251" s="5">
        <f t="shared" si="150"/>
        <v>0.85</v>
      </c>
      <c r="L251" s="5">
        <v>23</v>
      </c>
      <c r="M251" s="5">
        <v>82</v>
      </c>
      <c r="N251" s="5">
        <v>16.5</v>
      </c>
      <c r="O251" s="5" t="s">
        <v>291</v>
      </c>
      <c r="P251" s="5" t="s">
        <v>291</v>
      </c>
      <c r="Q251" s="5" t="s">
        <v>291</v>
      </c>
      <c r="R251" s="5">
        <v>810</v>
      </c>
      <c r="S251" s="5" t="s">
        <v>39</v>
      </c>
      <c r="T251" s="5" t="s">
        <v>75</v>
      </c>
      <c r="U251" s="5">
        <v>162</v>
      </c>
      <c r="V251" s="5" t="s">
        <v>291</v>
      </c>
      <c r="W251" s="5">
        <v>0.47</v>
      </c>
      <c r="X251" s="5" t="s">
        <v>33</v>
      </c>
      <c r="Y251" s="5" t="s">
        <v>79</v>
      </c>
      <c r="Z251" s="5" t="s">
        <v>295</v>
      </c>
      <c r="AA251" s="5">
        <v>0</v>
      </c>
      <c r="AB251" s="5" t="s">
        <v>293</v>
      </c>
      <c r="AC251" s="5">
        <v>66.5</v>
      </c>
      <c r="AD251" s="5">
        <v>8</v>
      </c>
      <c r="AE251" s="5">
        <v>10</v>
      </c>
      <c r="AF251" s="5">
        <v>12</v>
      </c>
      <c r="AG251" s="5">
        <v>2.4</v>
      </c>
      <c r="AH251" s="5">
        <v>1.1000000000000001</v>
      </c>
      <c r="AI251" s="5">
        <v>3.7</v>
      </c>
      <c r="AJ251" s="5">
        <v>2.9870000000000001</v>
      </c>
      <c r="AK251" s="5">
        <v>2.0325203252032518</v>
      </c>
      <c r="AL251" s="5" t="s">
        <v>291</v>
      </c>
      <c r="AM251" s="5">
        <f t="shared" si="147"/>
        <v>51.175399803448585</v>
      </c>
      <c r="AN251" s="5">
        <f>100*(AK251/F251)*(AE251*Calculations!$B$5*Calculations!$B$9+AF251*Calculations!$B$6*Calculations!$B$10+AG251*Calculations!$B$7*Calculations!$B$11+AH251*Calculations!$B$8*Calculations!$B$12)</f>
        <v>55.532055749128901</v>
      </c>
      <c r="AO251" s="11" t="s">
        <v>219</v>
      </c>
    </row>
    <row r="252" spans="1:41" x14ac:dyDescent="0.3">
      <c r="A252" s="11">
        <v>251</v>
      </c>
      <c r="B252" s="3" t="s">
        <v>289</v>
      </c>
      <c r="C252" s="3" t="s">
        <v>82</v>
      </c>
      <c r="D252" s="5">
        <f t="shared" si="148"/>
        <v>2.4</v>
      </c>
      <c r="E252" s="5">
        <f t="shared" si="149"/>
        <v>14.814814814814815</v>
      </c>
      <c r="F252" s="5">
        <v>50</v>
      </c>
      <c r="G252" s="5">
        <v>5.7</v>
      </c>
      <c r="H252" s="5">
        <v>0.2</v>
      </c>
      <c r="I252" s="5">
        <v>0.03</v>
      </c>
      <c r="J252" s="5">
        <v>44.1</v>
      </c>
      <c r="K252" s="5">
        <f t="shared" si="150"/>
        <v>0.85</v>
      </c>
      <c r="L252" s="5">
        <v>22</v>
      </c>
      <c r="M252" s="5">
        <v>82</v>
      </c>
      <c r="N252" s="5">
        <v>16.5</v>
      </c>
      <c r="O252" s="5" t="s">
        <v>291</v>
      </c>
      <c r="P252" s="5" t="s">
        <v>291</v>
      </c>
      <c r="Q252" s="5" t="s">
        <v>291</v>
      </c>
      <c r="R252" s="5">
        <v>800</v>
      </c>
      <c r="S252" s="5" t="s">
        <v>39</v>
      </c>
      <c r="T252" s="5" t="s">
        <v>75</v>
      </c>
      <c r="U252" s="5">
        <v>240</v>
      </c>
      <c r="V252" s="5" t="s">
        <v>291</v>
      </c>
      <c r="W252" s="5">
        <v>0.26</v>
      </c>
      <c r="X252" s="5" t="s">
        <v>33</v>
      </c>
      <c r="Y252" s="5" t="s">
        <v>79</v>
      </c>
      <c r="Z252" s="5" t="s">
        <v>295</v>
      </c>
      <c r="AA252" s="5">
        <v>0</v>
      </c>
      <c r="AB252" s="5" t="s">
        <v>293</v>
      </c>
      <c r="AC252" s="5">
        <v>58.3</v>
      </c>
      <c r="AD252" s="5">
        <v>9.5</v>
      </c>
      <c r="AE252" s="5">
        <v>13</v>
      </c>
      <c r="AF252" s="5">
        <v>15</v>
      </c>
      <c r="AG252" s="5">
        <v>2.7</v>
      </c>
      <c r="AH252" s="5">
        <v>1.6</v>
      </c>
      <c r="AI252" s="5">
        <v>4.5999999999999996</v>
      </c>
      <c r="AJ252" s="5">
        <v>2.0110000000000001</v>
      </c>
      <c r="AK252" s="5">
        <v>1.7213114754098362</v>
      </c>
      <c r="AL252" s="5" t="s">
        <v>291</v>
      </c>
      <c r="AM252" s="5">
        <f t="shared" si="147"/>
        <v>53.446721311475414</v>
      </c>
      <c r="AN252" s="5">
        <f>100*(AK252/F252)*(AE252*Calculations!$B$5*Calculations!$B$9+AF252*Calculations!$B$6*Calculations!$B$10+AG252*Calculations!$B$7*Calculations!$B$11+AH252*Calculations!$B$8*Calculations!$B$12)</f>
        <v>59.902118852459019</v>
      </c>
      <c r="AO252" s="11" t="s">
        <v>219</v>
      </c>
    </row>
    <row r="253" spans="1:41" x14ac:dyDescent="0.3">
      <c r="A253" s="11">
        <v>252</v>
      </c>
      <c r="B253" s="3" t="s">
        <v>289</v>
      </c>
      <c r="C253" s="3" t="s">
        <v>82</v>
      </c>
      <c r="D253" s="5">
        <f t="shared" si="148"/>
        <v>2.4</v>
      </c>
      <c r="E253" s="5">
        <f t="shared" si="149"/>
        <v>14.461660707191101</v>
      </c>
      <c r="F253" s="5">
        <v>50</v>
      </c>
      <c r="G253" s="5">
        <v>5.7</v>
      </c>
      <c r="H253" s="5">
        <v>0.2</v>
      </c>
      <c r="I253" s="5">
        <v>0.03</v>
      </c>
      <c r="J253" s="5">
        <v>44.1</v>
      </c>
      <c r="K253" s="5">
        <f t="shared" si="150"/>
        <v>0.85</v>
      </c>
      <c r="L253" s="5">
        <v>25</v>
      </c>
      <c r="M253" s="5">
        <v>82</v>
      </c>
      <c r="N253" s="5">
        <v>16.5</v>
      </c>
      <c r="O253" s="5" t="s">
        <v>291</v>
      </c>
      <c r="P253" s="5" t="s">
        <v>291</v>
      </c>
      <c r="Q253" s="5" t="s">
        <v>291</v>
      </c>
      <c r="R253" s="5">
        <v>790</v>
      </c>
      <c r="S253" s="5" t="s">
        <v>39</v>
      </c>
      <c r="T253" s="5" t="s">
        <v>75</v>
      </c>
      <c r="U253" s="5">
        <v>300</v>
      </c>
      <c r="V253" s="5" t="s">
        <v>291</v>
      </c>
      <c r="W253" s="5">
        <v>0.36</v>
      </c>
      <c r="X253" s="5" t="s">
        <v>33</v>
      </c>
      <c r="Y253" s="5" t="s">
        <v>79</v>
      </c>
      <c r="Z253" s="5" t="s">
        <v>295</v>
      </c>
      <c r="AA253" s="5">
        <v>0</v>
      </c>
      <c r="AB253" s="5" t="s">
        <v>293</v>
      </c>
      <c r="AC253" s="5">
        <v>58.3</v>
      </c>
      <c r="AD253" s="5">
        <v>9.5</v>
      </c>
      <c r="AE253" s="5">
        <v>13</v>
      </c>
      <c r="AF253" s="5">
        <v>15</v>
      </c>
      <c r="AG253" s="5">
        <v>2.7</v>
      </c>
      <c r="AH253" s="5">
        <v>1.6</v>
      </c>
      <c r="AI253" s="5">
        <v>4.5999999999999996</v>
      </c>
      <c r="AJ253" s="5">
        <v>2.0110000000000001</v>
      </c>
      <c r="AK253" s="5">
        <v>1.92</v>
      </c>
      <c r="AL253" s="5" t="s">
        <v>291</v>
      </c>
      <c r="AM253" s="5">
        <f t="shared" si="147"/>
        <v>61.071824175824169</v>
      </c>
      <c r="AN253" s="5">
        <f>100*(AK253/F253)*(AE253*Calculations!$B$5*Calculations!$B$9+AF253*Calculations!$B$6*Calculations!$B$10+AG253*Calculations!$B$7*Calculations!$B$11+AH253*Calculations!$B$8*Calculations!$B$12)</f>
        <v>66.816534857142855</v>
      </c>
      <c r="AO253" s="11" t="s">
        <v>219</v>
      </c>
    </row>
    <row r="254" spans="1:41" x14ac:dyDescent="0.3">
      <c r="A254" s="11">
        <v>253</v>
      </c>
      <c r="B254" s="3" t="s">
        <v>289</v>
      </c>
      <c r="C254" s="3" t="s">
        <v>82</v>
      </c>
      <c r="D254" s="5">
        <f t="shared" si="148"/>
        <v>2.4</v>
      </c>
      <c r="E254" s="5">
        <f t="shared" si="149"/>
        <v>15.185648727576137</v>
      </c>
      <c r="F254" s="5">
        <v>50</v>
      </c>
      <c r="G254" s="5">
        <v>5.7</v>
      </c>
      <c r="H254" s="5">
        <v>0.2</v>
      </c>
      <c r="I254" s="5">
        <v>0.03</v>
      </c>
      <c r="J254" s="5">
        <v>44.1</v>
      </c>
      <c r="K254" s="5">
        <f t="shared" si="150"/>
        <v>0.85</v>
      </c>
      <c r="L254" s="5">
        <v>19</v>
      </c>
      <c r="M254" s="5">
        <v>82</v>
      </c>
      <c r="N254" s="5">
        <v>16.5</v>
      </c>
      <c r="O254" s="5" t="s">
        <v>291</v>
      </c>
      <c r="P254" s="5" t="s">
        <v>291</v>
      </c>
      <c r="Q254" s="5" t="s">
        <v>291</v>
      </c>
      <c r="R254" s="5">
        <v>800</v>
      </c>
      <c r="S254" s="5" t="s">
        <v>39</v>
      </c>
      <c r="T254" s="5" t="s">
        <v>75</v>
      </c>
      <c r="U254" s="5">
        <v>312</v>
      </c>
      <c r="V254" s="5" t="s">
        <v>291</v>
      </c>
      <c r="W254" s="5">
        <v>0.32</v>
      </c>
      <c r="X254" s="5" t="s">
        <v>33</v>
      </c>
      <c r="Y254" s="5" t="s">
        <v>79</v>
      </c>
      <c r="Z254" s="5" t="s">
        <v>295</v>
      </c>
      <c r="AA254" s="5">
        <v>0</v>
      </c>
      <c r="AB254" s="5" t="s">
        <v>293</v>
      </c>
      <c r="AC254" s="5">
        <v>45</v>
      </c>
      <c r="AD254" s="5">
        <v>9.5</v>
      </c>
      <c r="AE254" s="5">
        <v>18</v>
      </c>
      <c r="AF254" s="5">
        <v>13.5</v>
      </c>
      <c r="AG254" s="5">
        <v>4.5</v>
      </c>
      <c r="AH254" s="5">
        <v>2.2999999999999998</v>
      </c>
      <c r="AI254" s="5">
        <v>6.3</v>
      </c>
      <c r="AJ254" s="5">
        <v>9.9809999999999999</v>
      </c>
      <c r="AK254" s="5">
        <v>1.7647058823529413</v>
      </c>
      <c r="AL254" s="5" t="s">
        <v>291</v>
      </c>
      <c r="AM254" s="5">
        <f t="shared" si="147"/>
        <v>73.211538461538481</v>
      </c>
      <c r="AN254" s="5">
        <f>100*(AK254/F254)*(AE254*Calculations!$B$5*Calculations!$B$9+AF254*Calculations!$B$6*Calculations!$B$10+AG254*Calculations!$B$7*Calculations!$B$11+AH254*Calculations!$B$8*Calculations!$B$12)</f>
        <v>72.804516806722702</v>
      </c>
      <c r="AO254" s="11" t="s">
        <v>219</v>
      </c>
    </row>
    <row r="255" spans="1:41" x14ac:dyDescent="0.3">
      <c r="A255" s="11">
        <v>254</v>
      </c>
      <c r="B255" s="3" t="s">
        <v>289</v>
      </c>
      <c r="C255" s="3" t="s">
        <v>290</v>
      </c>
      <c r="D255" s="5">
        <v>10</v>
      </c>
      <c r="E255" s="5">
        <f>(100/(100+L255))*18.845</f>
        <v>17.421651104742534</v>
      </c>
      <c r="F255" s="5">
        <f>(100/(100-K255))*49.51</f>
        <v>50.623721881390594</v>
      </c>
      <c r="G255" s="5">
        <f>(100/(100-K255))*5.94</f>
        <v>6.073619631901841</v>
      </c>
      <c r="H255" s="5">
        <f>(100/(100-K255))*0.3</f>
        <v>0.30674846625766872</v>
      </c>
      <c r="I255" s="5">
        <f>(100/(100-K255))*0.16</f>
        <v>0.16359918200408999</v>
      </c>
      <c r="J255" s="5">
        <f>100-I255-H255-G255-F255</f>
        <v>42.832310838445807</v>
      </c>
      <c r="K255" s="5">
        <v>2.2000000000000002</v>
      </c>
      <c r="L255" s="5">
        <v>8.17</v>
      </c>
      <c r="M255" s="5">
        <v>86.27</v>
      </c>
      <c r="N255" s="5">
        <v>11.53</v>
      </c>
      <c r="O255" s="5">
        <v>37.53</v>
      </c>
      <c r="P255" s="5">
        <v>19.329999999999998</v>
      </c>
      <c r="Q255" s="5">
        <v>23.84</v>
      </c>
      <c r="R255" s="5">
        <v>790</v>
      </c>
      <c r="S255" s="5" t="s">
        <v>115</v>
      </c>
      <c r="T255" s="5" t="s">
        <v>234</v>
      </c>
      <c r="U255" s="5">
        <v>16.3</v>
      </c>
      <c r="V255" s="5" t="s">
        <v>291</v>
      </c>
      <c r="W255" s="5">
        <v>0.57999999999999996</v>
      </c>
      <c r="X255" s="5" t="s">
        <v>33</v>
      </c>
      <c r="Y255" s="5" t="s">
        <v>292</v>
      </c>
      <c r="Z255" s="5" t="s">
        <v>291</v>
      </c>
      <c r="AA255" s="5">
        <v>0</v>
      </c>
      <c r="AB255" s="5" t="s">
        <v>293</v>
      </c>
      <c r="AC255" s="5">
        <f t="shared" ref="AC255:AC259" si="151">100-AD255-AE255-AF255-AG255-AH255</f>
        <v>51.690000000000005</v>
      </c>
      <c r="AD255" s="5">
        <v>16</v>
      </c>
      <c r="AE255" s="5">
        <v>16</v>
      </c>
      <c r="AF255" s="5">
        <v>14.25</v>
      </c>
      <c r="AG255" s="5">
        <v>1.76</v>
      </c>
      <c r="AH255" s="5">
        <f>0.25+0.05</f>
        <v>0.3</v>
      </c>
      <c r="AI255" s="5">
        <v>4.6500000000000004</v>
      </c>
      <c r="AJ255" s="5">
        <v>0.55000000000000004</v>
      </c>
      <c r="AK255" s="5">
        <v>2.2999999999999998</v>
      </c>
      <c r="AL255" s="5" t="s">
        <v>291</v>
      </c>
      <c r="AM255" s="5">
        <f t="shared" si="147"/>
        <v>61.389129742637309</v>
      </c>
      <c r="AN255" s="5">
        <f>100*(AK255/F255)*(AE255*Calculations!$B$5*Calculations!$B$9+AF255*Calculations!$B$6*Calculations!$B$10+AG255*Calculations!$B$7*Calculations!$B$11+AH255*Calculations!$B$8*Calculations!$B$12)</f>
        <v>75.795427241827028</v>
      </c>
      <c r="AO255" s="11" t="s">
        <v>232</v>
      </c>
    </row>
    <row r="256" spans="1:41" x14ac:dyDescent="0.3">
      <c r="A256" s="11">
        <v>255</v>
      </c>
      <c r="B256" s="3" t="s">
        <v>289</v>
      </c>
      <c r="C256" s="3" t="s">
        <v>290</v>
      </c>
      <c r="D256" s="5">
        <v>15</v>
      </c>
      <c r="E256" s="5">
        <f t="shared" ref="E256:E259" si="152">(100/(100+L256))*18.845</f>
        <v>17.421651104742534</v>
      </c>
      <c r="F256" s="5">
        <f t="shared" ref="F256:F259" si="153">(100/(100-K256))*49.51</f>
        <v>50.623721881390594</v>
      </c>
      <c r="G256" s="5">
        <f t="shared" ref="G256:G259" si="154">(100/(100-K256))*5.94</f>
        <v>6.073619631901841</v>
      </c>
      <c r="H256" s="5">
        <f t="shared" ref="H256:H259" si="155">(100/(100-K256))*0.3</f>
        <v>0.30674846625766872</v>
      </c>
      <c r="I256" s="5">
        <f t="shared" ref="I256:I259" si="156">(100/(100-K256))*0.16</f>
        <v>0.16359918200408999</v>
      </c>
      <c r="J256" s="5">
        <f t="shared" ref="J256:J259" si="157">100-I256-H256-G256-F256</f>
        <v>42.832310838445807</v>
      </c>
      <c r="K256" s="5">
        <v>2.2000000000000002</v>
      </c>
      <c r="L256" s="5">
        <v>8.17</v>
      </c>
      <c r="M256" s="5">
        <v>86.27</v>
      </c>
      <c r="N256" s="5">
        <v>11.53</v>
      </c>
      <c r="O256" s="5">
        <v>37.53</v>
      </c>
      <c r="P256" s="5">
        <v>19.329999999999998</v>
      </c>
      <c r="Q256" s="5">
        <v>23.84</v>
      </c>
      <c r="R256" s="5">
        <v>820</v>
      </c>
      <c r="S256" s="5" t="s">
        <v>115</v>
      </c>
      <c r="T256" s="5" t="s">
        <v>234</v>
      </c>
      <c r="U256" s="5">
        <v>18.600000000000001</v>
      </c>
      <c r="V256" s="5" t="s">
        <v>291</v>
      </c>
      <c r="W256" s="5">
        <v>0.67</v>
      </c>
      <c r="X256" s="5" t="s">
        <v>33</v>
      </c>
      <c r="Y256" s="5" t="s">
        <v>292</v>
      </c>
      <c r="Z256" s="5" t="s">
        <v>291</v>
      </c>
      <c r="AA256" s="5">
        <v>0</v>
      </c>
      <c r="AB256" s="5" t="s">
        <v>293</v>
      </c>
      <c r="AC256" s="5">
        <f t="shared" si="151"/>
        <v>51.94</v>
      </c>
      <c r="AD256" s="5">
        <v>15</v>
      </c>
      <c r="AE256" s="5">
        <v>20.5</v>
      </c>
      <c r="AF256" s="5">
        <v>11.5</v>
      </c>
      <c r="AG256" s="5">
        <v>0.95</v>
      </c>
      <c r="AH256" s="5">
        <v>0.11</v>
      </c>
      <c r="AI256" s="5">
        <v>4.7</v>
      </c>
      <c r="AJ256" s="5">
        <v>7.4999999999999997E-2</v>
      </c>
      <c r="AK256" s="5">
        <v>2.6</v>
      </c>
      <c r="AL256" s="5" t="s">
        <v>291</v>
      </c>
      <c r="AM256" s="5">
        <f t="shared" si="147"/>
        <v>70.142605465640756</v>
      </c>
      <c r="AN256" s="5">
        <f>100*(AK256/F256)*(AE256*Calculations!$B$5*Calculations!$B$9+AF256*Calculations!$B$6*Calculations!$B$10+AG256*Calculations!$B$7*Calculations!$B$11+AH256*Calculations!$B$8*Calculations!$B$12)</f>
        <v>86.309770578815233</v>
      </c>
      <c r="AO256" s="11" t="s">
        <v>232</v>
      </c>
    </row>
    <row r="257" spans="1:41" x14ac:dyDescent="0.3">
      <c r="A257" s="11">
        <v>256</v>
      </c>
      <c r="B257" s="3" t="s">
        <v>289</v>
      </c>
      <c r="C257" s="3" t="s">
        <v>290</v>
      </c>
      <c r="D257" s="5">
        <v>30</v>
      </c>
      <c r="E257" s="5">
        <f t="shared" si="152"/>
        <v>17.421651104742534</v>
      </c>
      <c r="F257" s="5">
        <f t="shared" si="153"/>
        <v>50.623721881390594</v>
      </c>
      <c r="G257" s="5">
        <f t="shared" si="154"/>
        <v>6.073619631901841</v>
      </c>
      <c r="H257" s="5">
        <f t="shared" si="155"/>
        <v>0.30674846625766872</v>
      </c>
      <c r="I257" s="5">
        <f t="shared" si="156"/>
        <v>0.16359918200408999</v>
      </c>
      <c r="J257" s="5">
        <f t="shared" si="157"/>
        <v>42.832310838445807</v>
      </c>
      <c r="K257" s="5">
        <v>2.2000000000000002</v>
      </c>
      <c r="L257" s="5">
        <v>8.17</v>
      </c>
      <c r="M257" s="5">
        <v>86.27</v>
      </c>
      <c r="N257" s="5">
        <v>11.53</v>
      </c>
      <c r="O257" s="5">
        <v>37.53</v>
      </c>
      <c r="P257" s="5">
        <v>19.329999999999998</v>
      </c>
      <c r="Q257" s="5">
        <v>23.84</v>
      </c>
      <c r="R257" s="5">
        <v>930</v>
      </c>
      <c r="S257" s="5" t="s">
        <v>115</v>
      </c>
      <c r="T257" s="5" t="s">
        <v>234</v>
      </c>
      <c r="U257" s="5">
        <v>20.3</v>
      </c>
      <c r="V257" s="5" t="s">
        <v>291</v>
      </c>
      <c r="W257" s="5">
        <v>0.73</v>
      </c>
      <c r="X257" s="5" t="s">
        <v>33</v>
      </c>
      <c r="Y257" s="5" t="s">
        <v>292</v>
      </c>
      <c r="Z257" s="5" t="s">
        <v>291</v>
      </c>
      <c r="AA257" s="5">
        <v>0</v>
      </c>
      <c r="AB257" s="5" t="s">
        <v>293</v>
      </c>
      <c r="AC257" s="5">
        <f t="shared" si="151"/>
        <v>53.080000000000005</v>
      </c>
      <c r="AD257" s="5">
        <v>13.75</v>
      </c>
      <c r="AE257" s="5">
        <v>20.5</v>
      </c>
      <c r="AF257" s="5">
        <v>12</v>
      </c>
      <c r="AG257" s="5">
        <v>0.62</v>
      </c>
      <c r="AH257" s="5">
        <v>0.05</v>
      </c>
      <c r="AI257" s="5">
        <v>4.3</v>
      </c>
      <c r="AJ257" s="5">
        <v>7.4999999999999997E-2</v>
      </c>
      <c r="AK257" s="5">
        <v>2.75</v>
      </c>
      <c r="AL257" s="5" t="s">
        <v>291</v>
      </c>
      <c r="AM257" s="5">
        <f t="shared" si="147"/>
        <v>67.875311753780849</v>
      </c>
      <c r="AN257" s="5">
        <f>100*(AK257/F257)*(AE257*Calculations!$B$5*Calculations!$B$9+AF257*Calculations!$B$6*Calculations!$B$10+AG257*Calculations!$B$7*Calculations!$B$11+AH257*Calculations!$B$8*Calculations!$B$12)</f>
        <v>91.542902698589003</v>
      </c>
      <c r="AO257" s="11" t="s">
        <v>232</v>
      </c>
    </row>
    <row r="258" spans="1:41" x14ac:dyDescent="0.3">
      <c r="A258" s="11">
        <v>257</v>
      </c>
      <c r="B258" s="3" t="s">
        <v>289</v>
      </c>
      <c r="C258" s="3" t="s">
        <v>290</v>
      </c>
      <c r="D258" s="5">
        <v>50</v>
      </c>
      <c r="E258" s="5">
        <f t="shared" si="152"/>
        <v>17.421651104742534</v>
      </c>
      <c r="F258" s="5">
        <f t="shared" si="153"/>
        <v>50.623721881390594</v>
      </c>
      <c r="G258" s="5">
        <f t="shared" si="154"/>
        <v>6.073619631901841</v>
      </c>
      <c r="H258" s="5">
        <f t="shared" si="155"/>
        <v>0.30674846625766872</v>
      </c>
      <c r="I258" s="5">
        <f t="shared" si="156"/>
        <v>0.16359918200408999</v>
      </c>
      <c r="J258" s="5">
        <f t="shared" si="157"/>
        <v>42.832310838445807</v>
      </c>
      <c r="K258" s="5">
        <v>2.2000000000000002</v>
      </c>
      <c r="L258" s="5">
        <v>8.17</v>
      </c>
      <c r="M258" s="5">
        <v>86.27</v>
      </c>
      <c r="N258" s="5">
        <v>11.53</v>
      </c>
      <c r="O258" s="5">
        <v>37.53</v>
      </c>
      <c r="P258" s="5">
        <v>19.329999999999998</v>
      </c>
      <c r="Q258" s="5">
        <v>23.84</v>
      </c>
      <c r="R258" s="5">
        <v>1030</v>
      </c>
      <c r="S258" s="5" t="s">
        <v>115</v>
      </c>
      <c r="T258" s="5" t="s">
        <v>234</v>
      </c>
      <c r="U258" s="5">
        <v>21.7</v>
      </c>
      <c r="V258" s="5" t="s">
        <v>291</v>
      </c>
      <c r="W258" s="5">
        <v>0.77</v>
      </c>
      <c r="X258" s="5" t="s">
        <v>33</v>
      </c>
      <c r="Y258" s="5" t="s">
        <v>292</v>
      </c>
      <c r="Z258" s="5" t="s">
        <v>291</v>
      </c>
      <c r="AA258" s="5">
        <v>0</v>
      </c>
      <c r="AB258" s="5" t="s">
        <v>293</v>
      </c>
      <c r="AC258" s="5">
        <f t="shared" si="151"/>
        <v>55.72</v>
      </c>
      <c r="AD258" s="5">
        <v>12</v>
      </c>
      <c r="AE258" s="5">
        <v>23.75</v>
      </c>
      <c r="AF258" s="5">
        <v>8.25</v>
      </c>
      <c r="AG258" s="5">
        <v>0.25</v>
      </c>
      <c r="AH258" s="5">
        <v>0.03</v>
      </c>
      <c r="AI258" s="5">
        <v>4.4000000000000004</v>
      </c>
      <c r="AJ258" s="5">
        <v>0.02</v>
      </c>
      <c r="AK258" s="5">
        <v>3</v>
      </c>
      <c r="AL258" s="5" t="s">
        <v>291</v>
      </c>
      <c r="AM258" s="5">
        <f t="shared" si="147"/>
        <v>75.767789864685597</v>
      </c>
      <c r="AN258" s="5">
        <f>100*(AK258/F258)*(AE258*Calculations!$B$5*Calculations!$B$9+AF258*Calculations!$B$6*Calculations!$B$10+AG258*Calculations!$B$7*Calculations!$B$11+AH258*Calculations!$B$8*Calculations!$B$12)</f>
        <v>96.074139849092504</v>
      </c>
      <c r="AO258" s="11" t="s">
        <v>232</v>
      </c>
    </row>
    <row r="259" spans="1:41" x14ac:dyDescent="0.3">
      <c r="A259" s="11">
        <v>258</v>
      </c>
      <c r="B259" s="3" t="s">
        <v>289</v>
      </c>
      <c r="C259" s="3" t="s">
        <v>290</v>
      </c>
      <c r="D259" s="5">
        <v>70</v>
      </c>
      <c r="E259" s="5">
        <f t="shared" si="152"/>
        <v>17.421651104742534</v>
      </c>
      <c r="F259" s="5">
        <f t="shared" si="153"/>
        <v>50.623721881390594</v>
      </c>
      <c r="G259" s="5">
        <f t="shared" si="154"/>
        <v>6.073619631901841</v>
      </c>
      <c r="H259" s="5">
        <f t="shared" si="155"/>
        <v>0.30674846625766872</v>
      </c>
      <c r="I259" s="5">
        <f t="shared" si="156"/>
        <v>0.16359918200408999</v>
      </c>
      <c r="J259" s="5">
        <f t="shared" si="157"/>
        <v>42.832310838445807</v>
      </c>
      <c r="K259" s="5">
        <v>2.2000000000000002</v>
      </c>
      <c r="L259" s="5">
        <v>8.17</v>
      </c>
      <c r="M259" s="5">
        <v>86.27</v>
      </c>
      <c r="N259" s="5">
        <v>11.53</v>
      </c>
      <c r="O259" s="5">
        <v>37.53</v>
      </c>
      <c r="P259" s="5">
        <v>19.329999999999998</v>
      </c>
      <c r="Q259" s="5">
        <v>23.84</v>
      </c>
      <c r="R259" s="5">
        <v>1000</v>
      </c>
      <c r="S259" s="5" t="s">
        <v>115</v>
      </c>
      <c r="T259" s="5" t="s">
        <v>234</v>
      </c>
      <c r="U259" s="5">
        <v>24.8</v>
      </c>
      <c r="V259" s="5" t="s">
        <v>291</v>
      </c>
      <c r="W259" s="5">
        <v>0.87</v>
      </c>
      <c r="X259" s="5" t="s">
        <v>33</v>
      </c>
      <c r="Y259" s="5" t="s">
        <v>292</v>
      </c>
      <c r="Z259" s="5" t="s">
        <v>291</v>
      </c>
      <c r="AA259" s="5">
        <v>0</v>
      </c>
      <c r="AB259" s="5" t="s">
        <v>293</v>
      </c>
      <c r="AC259" s="5">
        <f t="shared" si="151"/>
        <v>56.29</v>
      </c>
      <c r="AD259" s="5">
        <v>12</v>
      </c>
      <c r="AE259" s="5">
        <v>21.5</v>
      </c>
      <c r="AF259" s="5">
        <v>9.75</v>
      </c>
      <c r="AG259" s="5">
        <v>0.4</v>
      </c>
      <c r="AH259" s="5">
        <v>0.06</v>
      </c>
      <c r="AI259" s="5">
        <v>4.3499999999999996</v>
      </c>
      <c r="AJ259" s="5">
        <v>0.03</v>
      </c>
      <c r="AK259" s="5">
        <v>3.4</v>
      </c>
      <c r="AL259" s="5" t="s">
        <v>291</v>
      </c>
      <c r="AM259" s="5">
        <f t="shared" si="147"/>
        <v>84.894364552931819</v>
      </c>
      <c r="AN259" s="5">
        <f>100*(AK259/F259)*(AE259*Calculations!$B$5*Calculations!$B$9+AF259*Calculations!$B$6*Calculations!$B$10+AG259*Calculations!$B$7*Calculations!$B$11+AH259*Calculations!$B$8*Calculations!$B$12)</f>
        <v>107.64132077213836</v>
      </c>
      <c r="AO259" s="11" t="s">
        <v>232</v>
      </c>
    </row>
    <row r="260" spans="1:41" x14ac:dyDescent="0.3">
      <c r="A260" s="11">
        <v>259</v>
      </c>
      <c r="B260" s="3" t="s">
        <v>289</v>
      </c>
      <c r="C260" s="3" t="s">
        <v>290</v>
      </c>
      <c r="D260" s="5">
        <v>1.5</v>
      </c>
      <c r="E260" s="5">
        <v>14.47</v>
      </c>
      <c r="F260" s="5">
        <f>(100/(100-K260-L260))*40.06</f>
        <v>46.285384170999421</v>
      </c>
      <c r="G260" s="5">
        <f>(100/(100-K260-L260))*5.61</f>
        <v>6.4818024263431546</v>
      </c>
      <c r="H260" s="5">
        <f>(100/(100-K260-L260))*0.9</f>
        <v>1.0398613518197573</v>
      </c>
      <c r="I260" s="5">
        <f>(100/(100-K260-L260))*0.1</f>
        <v>0.11554015020219527</v>
      </c>
      <c r="J260" s="5">
        <f>(100/(100-K260-L260))*39.88</f>
        <v>46.077411900635475</v>
      </c>
      <c r="K260" s="5">
        <v>1.56</v>
      </c>
      <c r="L260" s="5">
        <v>11.89</v>
      </c>
      <c r="M260" s="5">
        <v>75.78</v>
      </c>
      <c r="N260" s="5">
        <v>14.77</v>
      </c>
      <c r="O260" s="5" t="s">
        <v>291</v>
      </c>
      <c r="P260" s="5" t="s">
        <v>291</v>
      </c>
      <c r="Q260" s="5" t="s">
        <v>291</v>
      </c>
      <c r="R260" s="5">
        <v>720</v>
      </c>
      <c r="S260" s="5" t="s">
        <v>39</v>
      </c>
      <c r="T260" s="5" t="s">
        <v>75</v>
      </c>
      <c r="U260" s="5" t="s">
        <v>291</v>
      </c>
      <c r="V260" s="5">
        <v>1.2</v>
      </c>
      <c r="W260" s="5" t="s">
        <v>291</v>
      </c>
      <c r="X260" s="5" t="s">
        <v>161</v>
      </c>
      <c r="Y260" s="5" t="s">
        <v>79</v>
      </c>
      <c r="Z260" s="5" t="s">
        <v>295</v>
      </c>
      <c r="AA260" s="5">
        <v>0</v>
      </c>
      <c r="AB260" s="5" t="s">
        <v>294</v>
      </c>
      <c r="AC260" s="5">
        <f t="shared" ref="AC260:AC265" si="158">100-AD260-AE260-AF260-AG260</f>
        <v>0</v>
      </c>
      <c r="AD260" s="5">
        <v>71.5</v>
      </c>
      <c r="AE260" s="5">
        <v>9</v>
      </c>
      <c r="AF260" s="5">
        <v>7.5</v>
      </c>
      <c r="AG260" s="5">
        <v>12</v>
      </c>
      <c r="AH260" s="5" t="s">
        <v>291</v>
      </c>
      <c r="AI260" s="5">
        <f>(AD260*Calculations!$B$23+AE260*Calculations!$B$21+AG260*Calculations!$B$22)/100</f>
        <v>13.152774999999998</v>
      </c>
      <c r="AJ260" s="5" t="s">
        <v>291</v>
      </c>
      <c r="AK260" s="5">
        <f>((100-K260-L260)/100)*0.895</f>
        <v>0.77462249999999999</v>
      </c>
      <c r="AL260" s="5" t="s">
        <v>291</v>
      </c>
      <c r="AM260" s="5">
        <f t="shared" si="147"/>
        <v>70.41074949853143</v>
      </c>
      <c r="AN260" s="5">
        <f>100*(AK260/F260)*(AE260*Calculations!$B$5*Calculations!$B$9+AF260*Calculations!$B$6*Calculations!$B$10+AG260*Calculations!$B$7*Calculations!$B$11)</f>
        <v>24.032834467271858</v>
      </c>
      <c r="AO260" s="11" t="s">
        <v>236</v>
      </c>
    </row>
    <row r="261" spans="1:41" x14ac:dyDescent="0.3">
      <c r="A261" s="11">
        <v>260</v>
      </c>
      <c r="B261" s="3" t="s">
        <v>289</v>
      </c>
      <c r="C261" s="3" t="s">
        <v>290</v>
      </c>
      <c r="D261" s="5">
        <v>1.5</v>
      </c>
      <c r="E261" s="5">
        <v>14.47</v>
      </c>
      <c r="F261" s="5">
        <f t="shared" ref="F261:F264" si="159">(100/(100-K261-L261))*40.06</f>
        <v>46.285384170999421</v>
      </c>
      <c r="G261" s="5">
        <f t="shared" ref="G261:G264" si="160">(100/(100-K261-L261))*5.61</f>
        <v>6.4818024263431546</v>
      </c>
      <c r="H261" s="5">
        <f t="shared" ref="H261:H264" si="161">(100/(100-K261-L261))*0.9</f>
        <v>1.0398613518197573</v>
      </c>
      <c r="I261" s="5">
        <f t="shared" ref="I261:I264" si="162">(100/(100-K261-L261))*0.1</f>
        <v>0.11554015020219527</v>
      </c>
      <c r="J261" s="5">
        <f t="shared" ref="J261:J264" si="163">(100/(100-K261-L261))*39.88</f>
        <v>46.077411900635475</v>
      </c>
      <c r="K261" s="5">
        <v>1.56</v>
      </c>
      <c r="L261" s="5">
        <v>11.89</v>
      </c>
      <c r="M261" s="5">
        <v>75.78</v>
      </c>
      <c r="N261" s="5">
        <v>14.77</v>
      </c>
      <c r="O261" s="5" t="s">
        <v>291</v>
      </c>
      <c r="P261" s="5" t="s">
        <v>291</v>
      </c>
      <c r="Q261" s="5" t="s">
        <v>291</v>
      </c>
      <c r="R261" s="5">
        <v>770</v>
      </c>
      <c r="S261" s="5" t="s">
        <v>39</v>
      </c>
      <c r="T261" s="5" t="s">
        <v>75</v>
      </c>
      <c r="U261" s="5" t="s">
        <v>291</v>
      </c>
      <c r="V261" s="5">
        <v>1.2</v>
      </c>
      <c r="W261" s="5" t="s">
        <v>291</v>
      </c>
      <c r="X261" s="5" t="s">
        <v>161</v>
      </c>
      <c r="Y261" s="5" t="s">
        <v>79</v>
      </c>
      <c r="Z261" s="5" t="s">
        <v>295</v>
      </c>
      <c r="AA261" s="5">
        <v>0</v>
      </c>
      <c r="AB261" s="5" t="s">
        <v>294</v>
      </c>
      <c r="AC261" s="5">
        <f t="shared" si="158"/>
        <v>0</v>
      </c>
      <c r="AD261" s="5">
        <v>64</v>
      </c>
      <c r="AE261" s="5">
        <v>13</v>
      </c>
      <c r="AF261" s="5">
        <v>14</v>
      </c>
      <c r="AG261" s="5">
        <v>9</v>
      </c>
      <c r="AH261" s="5" t="s">
        <v>291</v>
      </c>
      <c r="AI261" s="5">
        <f>(AD261*Calculations!$B$23+AE261*Calculations!$B$21+AG261*Calculations!$B$22)/100</f>
        <v>11.772880000000001</v>
      </c>
      <c r="AJ261" s="5" t="s">
        <v>291</v>
      </c>
      <c r="AK261" s="5">
        <f>((100-K260-L260)/100)*1.05</f>
        <v>0.908775</v>
      </c>
      <c r="AL261" s="5" t="s">
        <v>291</v>
      </c>
      <c r="AM261" s="5">
        <f t="shared" si="147"/>
        <v>73.938486675881137</v>
      </c>
      <c r="AN261" s="5">
        <f>100*(AK261/F261)*(AE261*Calculations!$B$5*Calculations!$B$9+AF261*Calculations!$B$6*Calculations!$B$10+AG261*Calculations!$B$7*Calculations!$B$11)</f>
        <v>36.021194875803474</v>
      </c>
      <c r="AO261" s="11" t="s">
        <v>236</v>
      </c>
    </row>
    <row r="262" spans="1:41" x14ac:dyDescent="0.3">
      <c r="A262" s="11">
        <v>261</v>
      </c>
      <c r="B262" s="3" t="s">
        <v>289</v>
      </c>
      <c r="C262" s="3" t="s">
        <v>290</v>
      </c>
      <c r="D262" s="5">
        <v>1.5</v>
      </c>
      <c r="E262" s="5">
        <v>14.47</v>
      </c>
      <c r="F262" s="5">
        <f t="shared" si="159"/>
        <v>46.285384170999421</v>
      </c>
      <c r="G262" s="5">
        <f t="shared" si="160"/>
        <v>6.4818024263431546</v>
      </c>
      <c r="H262" s="5">
        <f t="shared" si="161"/>
        <v>1.0398613518197573</v>
      </c>
      <c r="I262" s="5">
        <f t="shared" si="162"/>
        <v>0.11554015020219527</v>
      </c>
      <c r="J262" s="5">
        <f t="shared" si="163"/>
        <v>46.077411900635475</v>
      </c>
      <c r="K262" s="5">
        <v>1.56</v>
      </c>
      <c r="L262" s="5">
        <v>11.89</v>
      </c>
      <c r="M262" s="5">
        <v>75.78</v>
      </c>
      <c r="N262" s="5">
        <v>14.77</v>
      </c>
      <c r="O262" s="5" t="s">
        <v>291</v>
      </c>
      <c r="P262" s="5" t="s">
        <v>291</v>
      </c>
      <c r="Q262" s="5" t="s">
        <v>291</v>
      </c>
      <c r="R262" s="5">
        <v>820</v>
      </c>
      <c r="S262" s="5" t="s">
        <v>39</v>
      </c>
      <c r="T262" s="5" t="s">
        <v>75</v>
      </c>
      <c r="U262" s="5" t="s">
        <v>291</v>
      </c>
      <c r="V262" s="5">
        <v>1.2</v>
      </c>
      <c r="W262" s="5" t="s">
        <v>291</v>
      </c>
      <c r="X262" s="5" t="s">
        <v>161</v>
      </c>
      <c r="Y262" s="5" t="s">
        <v>79</v>
      </c>
      <c r="Z262" s="5" t="s">
        <v>295</v>
      </c>
      <c r="AA262" s="5">
        <v>0</v>
      </c>
      <c r="AB262" s="5" t="s">
        <v>294</v>
      </c>
      <c r="AC262" s="5">
        <f t="shared" si="158"/>
        <v>0</v>
      </c>
      <c r="AD262" s="5">
        <v>60</v>
      </c>
      <c r="AE262" s="5">
        <v>15</v>
      </c>
      <c r="AF262" s="5">
        <v>17</v>
      </c>
      <c r="AG262" s="5">
        <v>8</v>
      </c>
      <c r="AH262" s="5" t="s">
        <v>291</v>
      </c>
      <c r="AI262" s="5">
        <f>(AD262*Calculations!$B$23+AE262*Calculations!$B$21+AG262*Calculations!$B$22)/100</f>
        <v>11.235390000000001</v>
      </c>
      <c r="AJ262" s="5" t="s">
        <v>291</v>
      </c>
      <c r="AK262" s="5">
        <f>((100-K260-L260)/100)*1.35</f>
        <v>1.168425</v>
      </c>
      <c r="AL262" s="5" t="s">
        <v>291</v>
      </c>
      <c r="AM262" s="5">
        <f t="shared" si="147"/>
        <v>90.723638982377338</v>
      </c>
      <c r="AN262" s="5">
        <f>100*(AK262/F262)*(AE262*Calculations!$B$5*Calculations!$B$9+AF262*Calculations!$B$6*Calculations!$B$10+AG262*Calculations!$B$7*Calculations!$B$11)</f>
        <v>51.625279447070461</v>
      </c>
      <c r="AO262" s="11" t="s">
        <v>236</v>
      </c>
    </row>
    <row r="263" spans="1:41" x14ac:dyDescent="0.3">
      <c r="A263" s="11">
        <v>262</v>
      </c>
      <c r="B263" s="3" t="s">
        <v>289</v>
      </c>
      <c r="C263" s="3" t="s">
        <v>290</v>
      </c>
      <c r="D263" s="5">
        <v>1.5</v>
      </c>
      <c r="E263" s="5">
        <v>14.47</v>
      </c>
      <c r="F263" s="5">
        <f t="shared" si="159"/>
        <v>46.285384170999421</v>
      </c>
      <c r="G263" s="5">
        <f t="shared" si="160"/>
        <v>6.4818024263431546</v>
      </c>
      <c r="H263" s="5">
        <f t="shared" si="161"/>
        <v>1.0398613518197573</v>
      </c>
      <c r="I263" s="5">
        <f t="shared" si="162"/>
        <v>0.11554015020219527</v>
      </c>
      <c r="J263" s="5">
        <f t="shared" si="163"/>
        <v>46.077411900635475</v>
      </c>
      <c r="K263" s="5">
        <v>1.56</v>
      </c>
      <c r="L263" s="5">
        <v>11.89</v>
      </c>
      <c r="M263" s="5">
        <v>75.78</v>
      </c>
      <c r="N263" s="5">
        <v>14.77</v>
      </c>
      <c r="O263" s="5" t="s">
        <v>291</v>
      </c>
      <c r="P263" s="5" t="s">
        <v>291</v>
      </c>
      <c r="Q263" s="5" t="s">
        <v>291</v>
      </c>
      <c r="R263" s="5">
        <v>870</v>
      </c>
      <c r="S263" s="5" t="s">
        <v>39</v>
      </c>
      <c r="T263" s="5" t="s">
        <v>75</v>
      </c>
      <c r="U263" s="5" t="s">
        <v>291</v>
      </c>
      <c r="V263" s="5">
        <v>1.2</v>
      </c>
      <c r="W263" s="5" t="s">
        <v>291</v>
      </c>
      <c r="X263" s="5" t="s">
        <v>161</v>
      </c>
      <c r="Y263" s="5" t="s">
        <v>79</v>
      </c>
      <c r="Z263" s="5" t="s">
        <v>295</v>
      </c>
      <c r="AA263" s="5">
        <v>0</v>
      </c>
      <c r="AB263" s="5" t="s">
        <v>294</v>
      </c>
      <c r="AC263" s="5">
        <f t="shared" si="158"/>
        <v>1</v>
      </c>
      <c r="AD263" s="5">
        <v>56</v>
      </c>
      <c r="AE263" s="5">
        <v>20</v>
      </c>
      <c r="AF263" s="5">
        <v>15</v>
      </c>
      <c r="AG263" s="5">
        <v>8</v>
      </c>
      <c r="AH263" s="5" t="s">
        <v>291</v>
      </c>
      <c r="AI263" s="5">
        <f>(AD263*Calculations!$B$23+AE263*Calculations!$B$21+AG263*Calculations!$B$22)/100</f>
        <v>11.435719999999998</v>
      </c>
      <c r="AJ263" s="5" t="s">
        <v>291</v>
      </c>
      <c r="AK263" s="5">
        <f>((100-K260-L260)/100)*1.55</f>
        <v>1.3415249999999999</v>
      </c>
      <c r="AL263" s="5" t="s">
        <v>291</v>
      </c>
      <c r="AM263" s="5">
        <f t="shared" si="147"/>
        <v>106.02145316516929</v>
      </c>
      <c r="AN263" s="5">
        <f>100*(AK263/F263)*(AE263*Calculations!$B$5*Calculations!$B$9+AF263*Calculations!$B$6*Calculations!$B$10+AG263*Calculations!$B$7*Calculations!$B$11)</f>
        <v>63.223543000472496</v>
      </c>
      <c r="AO263" s="11" t="s">
        <v>236</v>
      </c>
    </row>
    <row r="264" spans="1:41" x14ac:dyDescent="0.3">
      <c r="A264" s="11">
        <v>263</v>
      </c>
      <c r="B264" s="3" t="s">
        <v>289</v>
      </c>
      <c r="C264" s="3" t="s">
        <v>290</v>
      </c>
      <c r="D264" s="5">
        <v>1.5</v>
      </c>
      <c r="E264" s="5">
        <v>14.47</v>
      </c>
      <c r="F264" s="5">
        <f t="shared" si="159"/>
        <v>46.285384170999421</v>
      </c>
      <c r="G264" s="5">
        <f t="shared" si="160"/>
        <v>6.4818024263431546</v>
      </c>
      <c r="H264" s="5">
        <f t="shared" si="161"/>
        <v>1.0398613518197573</v>
      </c>
      <c r="I264" s="5">
        <f t="shared" si="162"/>
        <v>0.11554015020219527</v>
      </c>
      <c r="J264" s="5">
        <f t="shared" si="163"/>
        <v>46.077411900635475</v>
      </c>
      <c r="K264" s="5">
        <v>1.56</v>
      </c>
      <c r="L264" s="5">
        <v>11.89</v>
      </c>
      <c r="M264" s="5">
        <v>75.78</v>
      </c>
      <c r="N264" s="5">
        <v>14.77</v>
      </c>
      <c r="O264" s="5" t="s">
        <v>291</v>
      </c>
      <c r="P264" s="5" t="s">
        <v>291</v>
      </c>
      <c r="Q264" s="5" t="s">
        <v>291</v>
      </c>
      <c r="R264" s="5">
        <v>920</v>
      </c>
      <c r="S264" s="5" t="s">
        <v>39</v>
      </c>
      <c r="T264" s="5" t="s">
        <v>75</v>
      </c>
      <c r="U264" s="5" t="s">
        <v>291</v>
      </c>
      <c r="V264" s="5">
        <v>1.2</v>
      </c>
      <c r="W264" s="5" t="s">
        <v>291</v>
      </c>
      <c r="X264" s="5" t="s">
        <v>161</v>
      </c>
      <c r="Y264" s="5" t="s">
        <v>79</v>
      </c>
      <c r="Z264" s="5" t="s">
        <v>295</v>
      </c>
      <c r="AA264" s="5">
        <v>0</v>
      </c>
      <c r="AB264" s="5" t="s">
        <v>294</v>
      </c>
      <c r="AC264" s="5">
        <f t="shared" si="158"/>
        <v>0.5</v>
      </c>
      <c r="AD264" s="5">
        <v>52.5</v>
      </c>
      <c r="AE264" s="5">
        <v>25</v>
      </c>
      <c r="AF264" s="5">
        <v>14</v>
      </c>
      <c r="AG264" s="5">
        <v>8</v>
      </c>
      <c r="AH264" s="5" t="s">
        <v>291</v>
      </c>
      <c r="AI264" s="5">
        <f>(AD264*Calculations!$B$23+AE264*Calculations!$B$21+AG264*Calculations!$B$22)/100</f>
        <v>11.689964999999999</v>
      </c>
      <c r="AJ264" s="5" t="s">
        <v>291</v>
      </c>
      <c r="AK264" s="5">
        <f>((100-K260-L260)/100)*1.711</f>
        <v>1.4808705</v>
      </c>
      <c r="AL264" s="5" t="s">
        <v>291</v>
      </c>
      <c r="AM264" s="5">
        <f t="shared" si="147"/>
        <v>119.63596623726674</v>
      </c>
      <c r="AN264" s="5">
        <f>100*(AK264/F264)*(AE264*Calculations!$B$5*Calculations!$B$9+AF264*Calculations!$B$6*Calculations!$B$10+AG264*Calculations!$B$7*Calculations!$B$11)</f>
        <v>75.878700183420762</v>
      </c>
      <c r="AO264" s="11" t="s">
        <v>236</v>
      </c>
    </row>
    <row r="265" spans="1:41" x14ac:dyDescent="0.3">
      <c r="A265" s="11">
        <v>264</v>
      </c>
      <c r="B265" s="3" t="s">
        <v>289</v>
      </c>
      <c r="C265" s="3" t="s">
        <v>290</v>
      </c>
      <c r="D265" s="5">
        <v>1.5</v>
      </c>
      <c r="E265" s="5">
        <v>14.47</v>
      </c>
      <c r="F265" s="5">
        <f>(100/(100-K265-L265))*40.06</f>
        <v>46.285384170999421</v>
      </c>
      <c r="G265" s="5">
        <f>(100/(100-K265-L265))*5.61</f>
        <v>6.4818024263431546</v>
      </c>
      <c r="H265" s="5">
        <f>(100/(100-K265-L265))*0.9</f>
        <v>1.0398613518197573</v>
      </c>
      <c r="I265" s="5">
        <f>(100/(100-K265-L265))*0.1</f>
        <v>0.11554015020219527</v>
      </c>
      <c r="J265" s="5">
        <f>(100/(100-K265-L265))*39.88</f>
        <v>46.077411900635475</v>
      </c>
      <c r="K265" s="5">
        <v>1.56</v>
      </c>
      <c r="L265" s="5">
        <v>11.89</v>
      </c>
      <c r="M265" s="5">
        <v>75.78</v>
      </c>
      <c r="N265" s="5">
        <v>14.77</v>
      </c>
      <c r="O265" s="5" t="s">
        <v>291</v>
      </c>
      <c r="P265" s="5" t="s">
        <v>291</v>
      </c>
      <c r="Q265" s="5" t="s">
        <v>291</v>
      </c>
      <c r="R265" s="5">
        <v>820</v>
      </c>
      <c r="S265" s="5" t="s">
        <v>39</v>
      </c>
      <c r="T265" s="5" t="s">
        <v>75</v>
      </c>
      <c r="U265" s="5" t="s">
        <v>291</v>
      </c>
      <c r="V265" s="5">
        <v>0.8</v>
      </c>
      <c r="W265" s="5" t="s">
        <v>291</v>
      </c>
      <c r="X265" s="5" t="s">
        <v>161</v>
      </c>
      <c r="Y265" s="5" t="s">
        <v>79</v>
      </c>
      <c r="Z265" s="5" t="s">
        <v>295</v>
      </c>
      <c r="AA265" s="5">
        <v>0</v>
      </c>
      <c r="AB265" s="5" t="s">
        <v>294</v>
      </c>
      <c r="AC265" s="5">
        <f t="shared" si="158"/>
        <v>0</v>
      </c>
      <c r="AD265" s="5">
        <v>56</v>
      </c>
      <c r="AE265" s="5">
        <v>20</v>
      </c>
      <c r="AF265" s="5">
        <v>15</v>
      </c>
      <c r="AG265" s="5">
        <v>9</v>
      </c>
      <c r="AH265" s="5" t="s">
        <v>291</v>
      </c>
      <c r="AI265" s="5">
        <f>(AD265*Calculations!$B$23+AE265*Calculations!$B$21+AG265*Calculations!$B$22)/100</f>
        <v>11.794549999999999</v>
      </c>
      <c r="AJ265" s="5">
        <v>9</v>
      </c>
      <c r="AK265" s="5">
        <f>((100-K260-L260)/100)*1.05405405405405</f>
        <v>0.91228378378378017</v>
      </c>
      <c r="AL265" s="5" t="s">
        <v>291</v>
      </c>
      <c r="AM265" s="5">
        <f t="shared" si="147"/>
        <v>74.360585363006109</v>
      </c>
      <c r="AN265" s="5">
        <f>100*(AK265/F265)*(AE265*Calculations!$B$5*Calculations!$B$9+AF265*Calculations!$B$6*Calculations!$B$10+AG265*Calculations!$B$7*Calculations!$B$11)</f>
        <v>43.965423110066261</v>
      </c>
      <c r="AO265" s="11" t="s">
        <v>236</v>
      </c>
    </row>
    <row r="266" spans="1:41" x14ac:dyDescent="0.3">
      <c r="A266" s="11">
        <v>265</v>
      </c>
      <c r="B266" s="3" t="s">
        <v>289</v>
      </c>
      <c r="C266" s="3" t="s">
        <v>290</v>
      </c>
      <c r="D266" s="5">
        <v>1.5</v>
      </c>
      <c r="E266" s="5">
        <v>14.47</v>
      </c>
      <c r="F266" s="5">
        <f t="shared" ref="F266:F269" si="164">(100/(100-K266-L266))*40.06</f>
        <v>46.285384170999421</v>
      </c>
      <c r="G266" s="5">
        <f t="shared" ref="G266:G269" si="165">(100/(100-K266-L266))*5.61</f>
        <v>6.4818024263431546</v>
      </c>
      <c r="H266" s="5">
        <f t="shared" ref="H266:H269" si="166">(100/(100-K266-L266))*0.9</f>
        <v>1.0398613518197573</v>
      </c>
      <c r="I266" s="5">
        <f t="shared" ref="I266:I269" si="167">(100/(100-K266-L266))*0.1</f>
        <v>0.11554015020219527</v>
      </c>
      <c r="J266" s="5">
        <f t="shared" ref="J266:J269" si="168">(100/(100-K266-L266))*39.88</f>
        <v>46.077411900635475</v>
      </c>
      <c r="K266" s="5">
        <v>1.56</v>
      </c>
      <c r="L266" s="5">
        <v>11.89</v>
      </c>
      <c r="M266" s="5">
        <v>75.78</v>
      </c>
      <c r="N266" s="5">
        <v>14.77</v>
      </c>
      <c r="O266" s="5" t="s">
        <v>291</v>
      </c>
      <c r="P266" s="5" t="s">
        <v>291</v>
      </c>
      <c r="Q266" s="5" t="s">
        <v>291</v>
      </c>
      <c r="R266" s="5">
        <v>820</v>
      </c>
      <c r="S266" s="5" t="s">
        <v>39</v>
      </c>
      <c r="T266" s="5" t="s">
        <v>75</v>
      </c>
      <c r="U266" s="5" t="s">
        <v>291</v>
      </c>
      <c r="V266" s="5">
        <v>1</v>
      </c>
      <c r="W266" s="5" t="s">
        <v>291</v>
      </c>
      <c r="X266" s="5" t="s">
        <v>161</v>
      </c>
      <c r="Y266" s="5" t="s">
        <v>79</v>
      </c>
      <c r="Z266" s="5" t="s">
        <v>295</v>
      </c>
      <c r="AA266" s="5">
        <v>0</v>
      </c>
      <c r="AB266" s="5" t="s">
        <v>294</v>
      </c>
      <c r="AC266" s="5">
        <v>0</v>
      </c>
      <c r="AD266" s="5">
        <v>57.5</v>
      </c>
      <c r="AE266" s="5">
        <v>18</v>
      </c>
      <c r="AF266" s="5">
        <v>17</v>
      </c>
      <c r="AG266" s="5">
        <v>8</v>
      </c>
      <c r="AH266" s="5" t="s">
        <v>291</v>
      </c>
      <c r="AI266" s="5">
        <f>(AD266*Calculations!$B$23+AE266*Calculations!$B$21+AG266*Calculations!$B$22)/100</f>
        <v>11.344804999999999</v>
      </c>
      <c r="AJ266" s="5">
        <v>8.85</v>
      </c>
      <c r="AK266" s="5">
        <f>((100-K260-L260)/100)*1.2027027027027</f>
        <v>1.0409391891891868</v>
      </c>
      <c r="AL266" s="5" t="s">
        <v>291</v>
      </c>
      <c r="AM266" s="5">
        <f t="shared" si="147"/>
        <v>81.611970409187506</v>
      </c>
      <c r="AN266" s="5">
        <f>100*(AK266/F266)*(AE266*Calculations!$B$5*Calculations!$B$9+AF266*Calculations!$B$6*Calculations!$B$10+AG266*Calculations!$B$7*Calculations!$B$11)</f>
        <v>49.288822141312522</v>
      </c>
      <c r="AO266" s="11" t="s">
        <v>236</v>
      </c>
    </row>
    <row r="267" spans="1:41" x14ac:dyDescent="0.3">
      <c r="A267" s="11">
        <v>266</v>
      </c>
      <c r="B267" s="3" t="s">
        <v>289</v>
      </c>
      <c r="C267" s="3" t="s">
        <v>290</v>
      </c>
      <c r="D267" s="5">
        <v>1.5</v>
      </c>
      <c r="E267" s="5">
        <v>14.47</v>
      </c>
      <c r="F267" s="5">
        <f t="shared" si="164"/>
        <v>46.285384170999421</v>
      </c>
      <c r="G267" s="5">
        <f t="shared" si="165"/>
        <v>6.4818024263431546</v>
      </c>
      <c r="H267" s="5">
        <f t="shared" si="166"/>
        <v>1.0398613518197573</v>
      </c>
      <c r="I267" s="5">
        <f t="shared" si="167"/>
        <v>0.11554015020219527</v>
      </c>
      <c r="J267" s="5">
        <f t="shared" si="168"/>
        <v>46.077411900635475</v>
      </c>
      <c r="K267" s="5">
        <v>1.56</v>
      </c>
      <c r="L267" s="5">
        <v>11.89</v>
      </c>
      <c r="M267" s="5">
        <v>75.78</v>
      </c>
      <c r="N267" s="5">
        <v>14.77</v>
      </c>
      <c r="O267" s="5" t="s">
        <v>291</v>
      </c>
      <c r="P267" s="5" t="s">
        <v>291</v>
      </c>
      <c r="Q267" s="5" t="s">
        <v>291</v>
      </c>
      <c r="R267" s="5">
        <v>820</v>
      </c>
      <c r="S267" s="5" t="s">
        <v>39</v>
      </c>
      <c r="T267" s="5" t="s">
        <v>75</v>
      </c>
      <c r="U267" s="5" t="s">
        <v>291</v>
      </c>
      <c r="V267" s="5">
        <v>1.2</v>
      </c>
      <c r="W267" s="5" t="s">
        <v>291</v>
      </c>
      <c r="X267" s="5" t="s">
        <v>161</v>
      </c>
      <c r="Y267" s="5" t="s">
        <v>79</v>
      </c>
      <c r="Z267" s="5" t="s">
        <v>295</v>
      </c>
      <c r="AA267" s="5">
        <v>0</v>
      </c>
      <c r="AB267" s="5" t="s">
        <v>294</v>
      </c>
      <c r="AC267" s="5">
        <v>0</v>
      </c>
      <c r="AD267" s="5">
        <v>60</v>
      </c>
      <c r="AE267" s="5">
        <v>15</v>
      </c>
      <c r="AF267" s="5">
        <v>17.5</v>
      </c>
      <c r="AG267" s="5">
        <v>8</v>
      </c>
      <c r="AH267" s="5" t="s">
        <v>291</v>
      </c>
      <c r="AI267" s="5">
        <f>(AD267*Calculations!$B$23+AE267*Calculations!$B$21+AG267*Calculations!$B$22)/100</f>
        <v>11.235390000000001</v>
      </c>
      <c r="AJ267" s="5">
        <v>7.85</v>
      </c>
      <c r="AK267" s="5">
        <f>((100-K260-L260)/100)*1.36486486486486</f>
        <v>1.1812905405405363</v>
      </c>
      <c r="AL267" s="5" t="s">
        <v>291</v>
      </c>
      <c r="AM267" s="5">
        <f t="shared" si="147"/>
        <v>91.722597970170952</v>
      </c>
      <c r="AN267" s="5">
        <f>100*(AK267/F267)*(AE267*Calculations!$B$5*Calculations!$B$9+AF267*Calculations!$B$6*Calculations!$B$10+AG267*Calculations!$B$7*Calculations!$B$11)</f>
        <v>52.882817030829045</v>
      </c>
      <c r="AO267" s="11" t="s">
        <v>236</v>
      </c>
    </row>
    <row r="268" spans="1:41" x14ac:dyDescent="0.3">
      <c r="A268" s="11">
        <v>267</v>
      </c>
      <c r="B268" s="3" t="s">
        <v>289</v>
      </c>
      <c r="C268" s="3" t="s">
        <v>290</v>
      </c>
      <c r="D268" s="5">
        <v>1.5</v>
      </c>
      <c r="E268" s="5">
        <v>14.47</v>
      </c>
      <c r="F268" s="5">
        <f t="shared" si="164"/>
        <v>46.285384170999421</v>
      </c>
      <c r="G268" s="5">
        <f t="shared" si="165"/>
        <v>6.4818024263431546</v>
      </c>
      <c r="H268" s="5">
        <f t="shared" si="166"/>
        <v>1.0398613518197573</v>
      </c>
      <c r="I268" s="5">
        <f t="shared" si="167"/>
        <v>0.11554015020219527</v>
      </c>
      <c r="J268" s="5">
        <f t="shared" si="168"/>
        <v>46.077411900635475</v>
      </c>
      <c r="K268" s="5">
        <v>1.56</v>
      </c>
      <c r="L268" s="5">
        <v>11.89</v>
      </c>
      <c r="M268" s="5">
        <v>75.78</v>
      </c>
      <c r="N268" s="5">
        <v>14.77</v>
      </c>
      <c r="O268" s="5" t="s">
        <v>291</v>
      </c>
      <c r="P268" s="5" t="s">
        <v>291</v>
      </c>
      <c r="Q268" s="5" t="s">
        <v>291</v>
      </c>
      <c r="R268" s="5">
        <v>820</v>
      </c>
      <c r="S268" s="5" t="s">
        <v>39</v>
      </c>
      <c r="T268" s="5" t="s">
        <v>75</v>
      </c>
      <c r="U268" s="5" t="s">
        <v>291</v>
      </c>
      <c r="V268" s="5">
        <v>1.4</v>
      </c>
      <c r="W268" s="5" t="s">
        <v>291</v>
      </c>
      <c r="X268" s="5" t="s">
        <v>161</v>
      </c>
      <c r="Y268" s="5" t="s">
        <v>79</v>
      </c>
      <c r="Z268" s="5" t="s">
        <v>295</v>
      </c>
      <c r="AA268" s="5">
        <v>0</v>
      </c>
      <c r="AB268" s="5" t="s">
        <v>294</v>
      </c>
      <c r="AC268" s="5">
        <v>0</v>
      </c>
      <c r="AD268" s="5">
        <v>60</v>
      </c>
      <c r="AE268" s="5">
        <v>15</v>
      </c>
      <c r="AF268" s="5">
        <v>17.5</v>
      </c>
      <c r="AG268" s="5">
        <v>8</v>
      </c>
      <c r="AH268" s="5" t="s">
        <v>291</v>
      </c>
      <c r="AI268" s="5">
        <f>(AD268*Calculations!$B$23+AE268*Calculations!$B$21+AG268*Calculations!$B$22)/100</f>
        <v>11.235390000000001</v>
      </c>
      <c r="AJ268" s="5">
        <v>6.7</v>
      </c>
      <c r="AK268" s="5">
        <f>((100-K260-L260)/100)*1.48648648648649</f>
        <v>1.286554054054057</v>
      </c>
      <c r="AL268" s="5" t="s">
        <v>291</v>
      </c>
      <c r="AM268" s="5">
        <f t="shared" si="147"/>
        <v>99.895898779394685</v>
      </c>
      <c r="AN268" s="5">
        <f>100*(AK268/F268)*(AE268*Calculations!$B$5*Calculations!$B$9+AF268*Calculations!$B$6*Calculations!$B$10+AG268*Calculations!$B$7*Calculations!$B$11)</f>
        <v>57.595147261299296</v>
      </c>
      <c r="AO268" s="11" t="s">
        <v>236</v>
      </c>
    </row>
    <row r="269" spans="1:41" x14ac:dyDescent="0.3">
      <c r="A269" s="11">
        <v>268</v>
      </c>
      <c r="B269" s="3" t="s">
        <v>289</v>
      </c>
      <c r="C269" s="3" t="s">
        <v>290</v>
      </c>
      <c r="D269" s="5">
        <v>1.5</v>
      </c>
      <c r="E269" s="5">
        <v>14.47</v>
      </c>
      <c r="F269" s="5">
        <f t="shared" si="164"/>
        <v>46.285384170999421</v>
      </c>
      <c r="G269" s="5">
        <f t="shared" si="165"/>
        <v>6.4818024263431546</v>
      </c>
      <c r="H269" s="5">
        <f t="shared" si="166"/>
        <v>1.0398613518197573</v>
      </c>
      <c r="I269" s="5">
        <f t="shared" si="167"/>
        <v>0.11554015020219527</v>
      </c>
      <c r="J269" s="5">
        <f t="shared" si="168"/>
        <v>46.077411900635475</v>
      </c>
      <c r="K269" s="5">
        <v>1.56</v>
      </c>
      <c r="L269" s="5">
        <v>11.89</v>
      </c>
      <c r="M269" s="5">
        <v>75.78</v>
      </c>
      <c r="N269" s="5">
        <v>14.77</v>
      </c>
      <c r="O269" s="5" t="s">
        <v>291</v>
      </c>
      <c r="P269" s="5" t="s">
        <v>291</v>
      </c>
      <c r="Q269" s="5" t="s">
        <v>291</v>
      </c>
      <c r="R269" s="5">
        <v>820</v>
      </c>
      <c r="S269" s="5" t="s">
        <v>39</v>
      </c>
      <c r="T269" s="5" t="s">
        <v>75</v>
      </c>
      <c r="U269" s="5" t="s">
        <v>291</v>
      </c>
      <c r="V269" s="5">
        <v>1.7</v>
      </c>
      <c r="W269" s="5" t="s">
        <v>291</v>
      </c>
      <c r="X269" s="5" t="s">
        <v>161</v>
      </c>
      <c r="Y269" s="5" t="s">
        <v>79</v>
      </c>
      <c r="Z269" s="5" t="s">
        <v>295</v>
      </c>
      <c r="AA269" s="5">
        <v>0</v>
      </c>
      <c r="AB269" s="5" t="s">
        <v>294</v>
      </c>
      <c r="AC269" s="5">
        <v>0</v>
      </c>
      <c r="AD269" s="5">
        <v>60</v>
      </c>
      <c r="AE269" s="5">
        <v>14.5</v>
      </c>
      <c r="AF269" s="5">
        <v>17.5</v>
      </c>
      <c r="AG269" s="5">
        <v>8</v>
      </c>
      <c r="AH269" s="5" t="s">
        <v>291</v>
      </c>
      <c r="AI269" s="5">
        <f>(AD269*Calculations!$B$23+AE269*Calculations!$B$21+AG269*Calculations!$B$22)/100</f>
        <v>11.172225000000001</v>
      </c>
      <c r="AJ269" s="5">
        <v>6.55</v>
      </c>
      <c r="AK269" s="5">
        <f>((100-K260-L260)/100)*1.28378378378378</f>
        <v>1.1111148648648614</v>
      </c>
      <c r="AL269" s="5" t="s">
        <v>291</v>
      </c>
      <c r="AM269" s="5">
        <f t="shared" si="147"/>
        <v>85.788702633827427</v>
      </c>
      <c r="AN269" s="5">
        <f>100*(AK269/F269)*(AE269*Calculations!$B$5*Calculations!$B$9+AF269*Calculations!$B$6*Calculations!$B$10+AG269*Calculations!$B$7*Calculations!$B$11)</f>
        <v>49.154837627161903</v>
      </c>
      <c r="AO269" s="11" t="s">
        <v>236</v>
      </c>
    </row>
    <row r="270" spans="1:41" x14ac:dyDescent="0.3">
      <c r="A270" s="11">
        <v>269</v>
      </c>
      <c r="B270" s="3" t="s">
        <v>289</v>
      </c>
      <c r="C270" s="3" t="s">
        <v>290</v>
      </c>
      <c r="D270" s="5">
        <v>1.5</v>
      </c>
      <c r="E270" s="5">
        <v>14.47</v>
      </c>
      <c r="F270" s="5">
        <f>(100/(100-K270-L270))*40.06</f>
        <v>46.285384170999421</v>
      </c>
      <c r="G270" s="5">
        <f>(100/(100-K270-L270))*5.61</f>
        <v>6.4818024263431546</v>
      </c>
      <c r="H270" s="5">
        <f>(100/(100-K270-L270))*0.9</f>
        <v>1.0398613518197573</v>
      </c>
      <c r="I270" s="5">
        <f>(100/(100-K270-L270))*0.1</f>
        <v>0.11554015020219527</v>
      </c>
      <c r="J270" s="5">
        <f>(100/(100-K270-L270))*39.88</f>
        <v>46.077411900635475</v>
      </c>
      <c r="K270" s="5">
        <v>1.56</v>
      </c>
      <c r="L270" s="5">
        <v>11.89</v>
      </c>
      <c r="M270" s="5">
        <v>75.78</v>
      </c>
      <c r="N270" s="5">
        <v>14.77</v>
      </c>
      <c r="O270" s="5" t="s">
        <v>291</v>
      </c>
      <c r="P270" s="5" t="s">
        <v>291</v>
      </c>
      <c r="Q270" s="5" t="s">
        <v>291</v>
      </c>
      <c r="R270" s="5">
        <v>820</v>
      </c>
      <c r="S270" s="5" t="s">
        <v>39</v>
      </c>
      <c r="T270" s="5" t="s">
        <v>75</v>
      </c>
      <c r="U270" s="5" t="s">
        <v>291</v>
      </c>
      <c r="V270" s="5">
        <v>2</v>
      </c>
      <c r="W270" s="5" t="s">
        <v>291</v>
      </c>
      <c r="X270" s="5" t="s">
        <v>161</v>
      </c>
      <c r="Y270" s="5" t="s">
        <v>79</v>
      </c>
      <c r="Z270" s="5" t="s">
        <v>295</v>
      </c>
      <c r="AA270" s="5">
        <v>0</v>
      </c>
      <c r="AB270" s="5" t="s">
        <v>294</v>
      </c>
      <c r="AC270" s="5">
        <f>100-AD270-AE270-AF270-AG270</f>
        <v>0.5</v>
      </c>
      <c r="AD270" s="5">
        <v>60</v>
      </c>
      <c r="AE270" s="5">
        <v>14</v>
      </c>
      <c r="AF270" s="5">
        <v>17.5</v>
      </c>
      <c r="AG270" s="5">
        <v>8</v>
      </c>
      <c r="AH270" s="5" t="s">
        <v>291</v>
      </c>
      <c r="AI270" s="5">
        <f>(AD270*Calculations!$B$23+AE270*Calculations!$B$21+AG270*Calculations!$B$22)/100</f>
        <v>11.109059999999999</v>
      </c>
      <c r="AJ270" s="5">
        <v>6.5</v>
      </c>
      <c r="AK270" s="5">
        <f>((100-K260-L260)/100)*1.18918918918919</f>
        <v>1.0292432432432439</v>
      </c>
      <c r="AL270" s="5" t="s">
        <v>291</v>
      </c>
      <c r="AM270" s="5">
        <f t="shared" si="147"/>
        <v>79.018140592838904</v>
      </c>
      <c r="AN270" s="5">
        <f>100*(AK270/F270)*(AE270*Calculations!$B$5*Calculations!$B$9+AF270*Calculations!$B$6*Calculations!$B$10+AG270*Calculations!$B$7*Calculations!$B$11)</f>
        <v>44.989686637071451</v>
      </c>
      <c r="AO270" s="11" t="s">
        <v>236</v>
      </c>
    </row>
    <row r="271" spans="1:41" x14ac:dyDescent="0.3">
      <c r="A271" s="11">
        <v>270</v>
      </c>
      <c r="B271" s="3" t="s">
        <v>288</v>
      </c>
      <c r="C271" s="3" t="s">
        <v>290</v>
      </c>
      <c r="D271" s="5">
        <f t="shared" ref="D271:D272" si="169">((8+63)/2)*0.751+((3.15+8)/2)*0.134+((3.15)/2)*0.115</f>
        <v>27.588675000000002</v>
      </c>
      <c r="E271" s="5">
        <v>17.3</v>
      </c>
      <c r="F271" s="5">
        <v>47.6</v>
      </c>
      <c r="G271" s="5">
        <v>6.1</v>
      </c>
      <c r="H271" s="5">
        <v>0.52</v>
      </c>
      <c r="I271" s="5" t="s">
        <v>291</v>
      </c>
      <c r="J271" s="5">
        <v>45.78</v>
      </c>
      <c r="K271" s="5">
        <v>2.12</v>
      </c>
      <c r="L271" s="5">
        <v>10.1</v>
      </c>
      <c r="M271" s="5">
        <v>80.06</v>
      </c>
      <c r="N271" s="5">
        <v>17.82</v>
      </c>
      <c r="O271" s="5" t="s">
        <v>291</v>
      </c>
      <c r="P271" s="5" t="s">
        <v>291</v>
      </c>
      <c r="Q271" s="5" t="s">
        <v>291</v>
      </c>
      <c r="R271" s="5">
        <v>926.85</v>
      </c>
      <c r="S271" s="5" t="s">
        <v>39</v>
      </c>
      <c r="T271" s="5" t="s">
        <v>291</v>
      </c>
      <c r="U271" s="5" t="s">
        <v>291</v>
      </c>
      <c r="V271" s="5" t="s">
        <v>291</v>
      </c>
      <c r="W271" s="5">
        <v>0.27900000000000003</v>
      </c>
      <c r="X271" s="5" t="s">
        <v>33</v>
      </c>
      <c r="Y271" s="5" t="s">
        <v>292</v>
      </c>
      <c r="Z271" s="5" t="s">
        <v>291</v>
      </c>
      <c r="AA271" s="5">
        <v>0</v>
      </c>
      <c r="AB271" s="5" t="s">
        <v>293</v>
      </c>
      <c r="AC271" s="5">
        <v>46.46</v>
      </c>
      <c r="AD271" s="5">
        <v>15.83</v>
      </c>
      <c r="AE271" s="5">
        <v>22.46</v>
      </c>
      <c r="AF271" s="5">
        <v>12.33</v>
      </c>
      <c r="AG271" s="5">
        <v>2.25</v>
      </c>
      <c r="AH271" s="5">
        <v>0.6100000000000001</v>
      </c>
      <c r="AI271" s="5">
        <v>5.72</v>
      </c>
      <c r="AJ271" s="5" t="s">
        <v>291</v>
      </c>
      <c r="AK271" s="5">
        <v>2</v>
      </c>
      <c r="AL271" s="5">
        <v>77.966101694915253</v>
      </c>
      <c r="AM271" s="5">
        <f t="shared" si="147"/>
        <v>66.127167630057798</v>
      </c>
      <c r="AN271" s="5">
        <f>100*(AK271/F271)*(AE271*Calculations!$B$5*Calculations!$B$9+AF271*Calculations!$B$6*Calculations!$B$10+AG271*Calculations!$B$7*Calculations!$B$11)</f>
        <v>78.740343637454956</v>
      </c>
      <c r="AO271" s="11" t="s">
        <v>245</v>
      </c>
    </row>
    <row r="272" spans="1:41" x14ac:dyDescent="0.3">
      <c r="A272" s="11">
        <v>271</v>
      </c>
      <c r="B272" s="3" t="s">
        <v>288</v>
      </c>
      <c r="C272" s="3" t="s">
        <v>290</v>
      </c>
      <c r="D272" s="5">
        <f t="shared" si="169"/>
        <v>27.588675000000002</v>
      </c>
      <c r="E272" s="5">
        <v>17.3</v>
      </c>
      <c r="F272" s="5">
        <v>47.6</v>
      </c>
      <c r="G272" s="5">
        <v>6.1</v>
      </c>
      <c r="H272" s="5">
        <v>0.52</v>
      </c>
      <c r="I272" s="5" t="s">
        <v>291</v>
      </c>
      <c r="J272" s="5">
        <v>45.78</v>
      </c>
      <c r="K272" s="5">
        <v>2.12</v>
      </c>
      <c r="L272" s="5">
        <v>10.1</v>
      </c>
      <c r="M272" s="5">
        <v>80.06</v>
      </c>
      <c r="N272" s="5">
        <v>17.82</v>
      </c>
      <c r="O272" s="5" t="s">
        <v>291</v>
      </c>
      <c r="P272" s="5" t="s">
        <v>291</v>
      </c>
      <c r="Q272" s="5" t="s">
        <v>291</v>
      </c>
      <c r="R272" s="5">
        <v>926.85</v>
      </c>
      <c r="S272" s="5" t="s">
        <v>39</v>
      </c>
      <c r="T272" s="5" t="s">
        <v>291</v>
      </c>
      <c r="U272" s="5" t="s">
        <v>291</v>
      </c>
      <c r="V272" s="5" t="s">
        <v>291</v>
      </c>
      <c r="W272" s="5">
        <v>0.27700000000000002</v>
      </c>
      <c r="X272" s="5" t="s">
        <v>33</v>
      </c>
      <c r="Y272" s="5" t="s">
        <v>292</v>
      </c>
      <c r="Z272" s="5" t="s">
        <v>291</v>
      </c>
      <c r="AA272" s="5">
        <v>0</v>
      </c>
      <c r="AB272" s="5" t="s">
        <v>293</v>
      </c>
      <c r="AC272" s="5">
        <v>45.25</v>
      </c>
      <c r="AD272" s="5">
        <v>17.559999999999999</v>
      </c>
      <c r="AE272" s="5">
        <v>22.61</v>
      </c>
      <c r="AF272" s="5">
        <v>12.02</v>
      </c>
      <c r="AG272" s="5">
        <v>2.0299999999999998</v>
      </c>
      <c r="AH272" s="5">
        <v>0.45999999999999996</v>
      </c>
      <c r="AI272" s="5">
        <v>5.74</v>
      </c>
      <c r="AJ272" s="5" t="s">
        <v>291</v>
      </c>
      <c r="AK272" s="5">
        <v>2.0273972602739727</v>
      </c>
      <c r="AL272" s="5">
        <v>79.452054794520535</v>
      </c>
      <c r="AM272" s="5">
        <f t="shared" si="147"/>
        <v>67.267400427587305</v>
      </c>
      <c r="AN272" s="5">
        <f>100*(AK272/F272)*(AE272*Calculations!$B$5*Calculations!$B$9+AF272*Calculations!$B$6*Calculations!$B$10+AG272*Calculations!$B$7*Calculations!$B$11)</f>
        <v>78.956400656152866</v>
      </c>
      <c r="AO272" s="11" t="s">
        <v>245</v>
      </c>
    </row>
    <row r="273" spans="1:41" x14ac:dyDescent="0.3">
      <c r="A273" s="11">
        <v>272</v>
      </c>
      <c r="B273" s="3" t="s">
        <v>288</v>
      </c>
      <c r="C273" s="3" t="s">
        <v>290</v>
      </c>
      <c r="D273" s="5">
        <f>((8+63)/2)*0.751+((3.15+8)/2)*0.134+((3.15)/2)*0.115</f>
        <v>27.588675000000002</v>
      </c>
      <c r="E273" s="5">
        <v>17.3</v>
      </c>
      <c r="F273" s="5">
        <v>47.6</v>
      </c>
      <c r="G273" s="5">
        <v>6.1</v>
      </c>
      <c r="H273" s="5">
        <v>0.52</v>
      </c>
      <c r="I273" s="5" t="s">
        <v>291</v>
      </c>
      <c r="J273" s="5">
        <v>45.78</v>
      </c>
      <c r="K273" s="5">
        <v>2.12</v>
      </c>
      <c r="L273" s="5">
        <v>10.1</v>
      </c>
      <c r="M273" s="5">
        <v>80.06</v>
      </c>
      <c r="N273" s="5">
        <v>17.82</v>
      </c>
      <c r="O273" s="5" t="s">
        <v>291</v>
      </c>
      <c r="P273" s="5" t="s">
        <v>291</v>
      </c>
      <c r="Q273" s="5" t="s">
        <v>291</v>
      </c>
      <c r="R273" s="5">
        <v>926.85</v>
      </c>
      <c r="S273" s="5" t="s">
        <v>39</v>
      </c>
      <c r="T273" s="5" t="s">
        <v>291</v>
      </c>
      <c r="U273" s="5" t="s">
        <v>291</v>
      </c>
      <c r="V273" s="5" t="s">
        <v>291</v>
      </c>
      <c r="W273" s="5">
        <v>0.28699999999999998</v>
      </c>
      <c r="X273" s="5" t="s">
        <v>33</v>
      </c>
      <c r="Y273" s="5" t="s">
        <v>292</v>
      </c>
      <c r="Z273" s="5" t="s">
        <v>291</v>
      </c>
      <c r="AA273" s="5">
        <v>0</v>
      </c>
      <c r="AB273" s="5" t="s">
        <v>293</v>
      </c>
      <c r="AC273" s="5">
        <v>46.59</v>
      </c>
      <c r="AD273" s="5">
        <v>16.600000000000001</v>
      </c>
      <c r="AE273" s="5">
        <v>22.55</v>
      </c>
      <c r="AF273" s="5">
        <v>11.78</v>
      </c>
      <c r="AG273" s="5">
        <v>1.91</v>
      </c>
      <c r="AH273" s="5">
        <v>0.49999999999999994</v>
      </c>
      <c r="AI273" s="5">
        <v>5.62</v>
      </c>
      <c r="AJ273" s="5" t="s">
        <v>291</v>
      </c>
      <c r="AK273" s="5">
        <v>2.0547945205479454</v>
      </c>
      <c r="AL273" s="5">
        <v>79.452054794520535</v>
      </c>
      <c r="AM273" s="5">
        <f t="shared" si="147"/>
        <v>66.751128355372572</v>
      </c>
      <c r="AN273" s="5">
        <f>100*(AK273/F273)*(AE273*Calculations!$B$5*Calculations!$B$9+AF273*Calculations!$B$6*Calculations!$B$10+AG273*Calculations!$B$7*Calculations!$B$11)</f>
        <v>79.082126514989554</v>
      </c>
      <c r="AO273" s="11" t="s">
        <v>245</v>
      </c>
    </row>
    <row r="274" spans="1:41" x14ac:dyDescent="0.3">
      <c r="A274" s="11">
        <v>273</v>
      </c>
      <c r="B274" s="3" t="s">
        <v>289</v>
      </c>
      <c r="C274" s="3" t="s">
        <v>290</v>
      </c>
      <c r="D274" s="5">
        <f>((8+63)/2)*0.618+((3.15+8)/2)*0.366+((3.15)/2)*0.026</f>
        <v>24.020399999999999</v>
      </c>
      <c r="E274" s="5">
        <v>18.399999999999999</v>
      </c>
      <c r="F274" s="5">
        <v>48.91</v>
      </c>
      <c r="G274" s="5">
        <v>5.8</v>
      </c>
      <c r="H274" s="5">
        <v>0.18</v>
      </c>
      <c r="I274" s="5" t="s">
        <v>291</v>
      </c>
      <c r="J274" s="5">
        <v>45.11</v>
      </c>
      <c r="K274" s="5">
        <v>2.1</v>
      </c>
      <c r="L274" s="5">
        <v>9.5</v>
      </c>
      <c r="M274" s="5">
        <v>80.63</v>
      </c>
      <c r="N274" s="5">
        <v>17.27</v>
      </c>
      <c r="O274" s="5" t="s">
        <v>291</v>
      </c>
      <c r="P274" s="5" t="s">
        <v>291</v>
      </c>
      <c r="Q274" s="5" t="s">
        <v>291</v>
      </c>
      <c r="R274" s="5">
        <v>926.85</v>
      </c>
      <c r="S274" s="5" t="s">
        <v>39</v>
      </c>
      <c r="T274" s="5" t="s">
        <v>291</v>
      </c>
      <c r="U274" s="5" t="s">
        <v>291</v>
      </c>
      <c r="V274" s="5" t="s">
        <v>291</v>
      </c>
      <c r="W274" s="5">
        <v>0.27200000000000002</v>
      </c>
      <c r="X274" s="5" t="s">
        <v>33</v>
      </c>
      <c r="Y274" s="5" t="s">
        <v>292</v>
      </c>
      <c r="Z274" s="5" t="s">
        <v>291</v>
      </c>
      <c r="AA274" s="5">
        <v>0</v>
      </c>
      <c r="AB274" s="5" t="s">
        <v>293</v>
      </c>
      <c r="AC274" s="5">
        <v>47.25</v>
      </c>
      <c r="AD274" s="5">
        <v>16.350000000000001</v>
      </c>
      <c r="AE274" s="5">
        <v>21.29</v>
      </c>
      <c r="AF274" s="5">
        <v>12.39</v>
      </c>
      <c r="AG274" s="5">
        <v>2.2799999999999998</v>
      </c>
      <c r="AH274" s="5">
        <v>0.43000000000000005</v>
      </c>
      <c r="AI274" s="5">
        <v>5.52</v>
      </c>
      <c r="AJ274" s="5" t="s">
        <v>291</v>
      </c>
      <c r="AK274" s="5">
        <v>1.8103448275862069</v>
      </c>
      <c r="AL274" s="5">
        <v>108.62068965517241</v>
      </c>
      <c r="AM274" s="5">
        <f t="shared" si="147"/>
        <v>54.310344827586199</v>
      </c>
      <c r="AN274" s="5">
        <f>100*(AK274/F274)*(AE274*Calculations!$B$5*Calculations!$B$9+AF274*Calculations!$B$6*Calculations!$B$10+AG274*Calculations!$B$7*Calculations!$B$11)</f>
        <v>67.423429028687451</v>
      </c>
      <c r="AO274" s="11" t="s">
        <v>245</v>
      </c>
    </row>
    <row r="275" spans="1:41" x14ac:dyDescent="0.3">
      <c r="A275" s="11">
        <v>274</v>
      </c>
      <c r="B275" s="3" t="s">
        <v>288</v>
      </c>
      <c r="C275" s="3" t="s">
        <v>290</v>
      </c>
      <c r="D275" s="5">
        <v>3.15</v>
      </c>
      <c r="E275" s="5">
        <v>15.6</v>
      </c>
      <c r="F275" s="5">
        <v>49.44</v>
      </c>
      <c r="G275" s="5">
        <v>6.25</v>
      </c>
      <c r="H275" s="5">
        <v>0.54</v>
      </c>
      <c r="I275" s="5" t="s">
        <v>291</v>
      </c>
      <c r="J275" s="5">
        <v>43.77</v>
      </c>
      <c r="K275" s="5">
        <v>16.600000000000001</v>
      </c>
      <c r="L275" s="5">
        <v>12.5</v>
      </c>
      <c r="M275" s="5">
        <v>67.95</v>
      </c>
      <c r="N275" s="5">
        <v>15.45</v>
      </c>
      <c r="O275" s="5" t="s">
        <v>291</v>
      </c>
      <c r="P275" s="5" t="s">
        <v>291</v>
      </c>
      <c r="Q275" s="5" t="s">
        <v>291</v>
      </c>
      <c r="R275" s="5">
        <v>926.85</v>
      </c>
      <c r="S275" s="5" t="s">
        <v>39</v>
      </c>
      <c r="T275" s="5" t="s">
        <v>291</v>
      </c>
      <c r="U275" s="5" t="s">
        <v>291</v>
      </c>
      <c r="V275" s="5" t="s">
        <v>291</v>
      </c>
      <c r="W275" s="5">
        <v>0.38200000000000001</v>
      </c>
      <c r="X275" s="5" t="s">
        <v>33</v>
      </c>
      <c r="Y275" s="5" t="s">
        <v>292</v>
      </c>
      <c r="Z275" s="5" t="s">
        <v>291</v>
      </c>
      <c r="AA275" s="5">
        <v>0</v>
      </c>
      <c r="AB275" s="5" t="s">
        <v>293</v>
      </c>
      <c r="AC275" s="5">
        <v>60.5</v>
      </c>
      <c r="AD275" s="5">
        <v>7.97</v>
      </c>
      <c r="AE275" s="5">
        <v>20.04</v>
      </c>
      <c r="AF275" s="5">
        <v>10.58</v>
      </c>
      <c r="AG275" s="5">
        <v>0.69</v>
      </c>
      <c r="AH275" s="5">
        <v>0.22000000000000003</v>
      </c>
      <c r="AI275" s="5">
        <v>3.76</v>
      </c>
      <c r="AJ275" s="5" t="s">
        <v>291</v>
      </c>
      <c r="AK275" s="5">
        <v>1.74</v>
      </c>
      <c r="AL275" s="5">
        <v>172</v>
      </c>
      <c r="AM275" s="5">
        <f t="shared" si="147"/>
        <v>41.938461538461539</v>
      </c>
      <c r="AN275" s="5">
        <f>100*(AK275/F275)*(AE275*Calculations!$B$5*Calculations!$B$9+AF275*Calculations!$B$6*Calculations!$B$10+AG275*Calculations!$B$7*Calculations!$B$11)</f>
        <v>55.76224501560332</v>
      </c>
      <c r="AO275" s="11" t="s">
        <v>245</v>
      </c>
    </row>
    <row r="276" spans="1:41" x14ac:dyDescent="0.3">
      <c r="A276" s="11">
        <v>275</v>
      </c>
      <c r="B276" s="3" t="s">
        <v>288</v>
      </c>
      <c r="C276" s="3" t="s">
        <v>290</v>
      </c>
      <c r="D276" s="5">
        <v>3.15</v>
      </c>
      <c r="E276" s="5">
        <v>15.6</v>
      </c>
      <c r="F276" s="5">
        <v>49.44</v>
      </c>
      <c r="G276" s="5">
        <v>6.25</v>
      </c>
      <c r="H276" s="5">
        <v>0.54</v>
      </c>
      <c r="I276" s="5" t="s">
        <v>291</v>
      </c>
      <c r="J276" s="5">
        <v>43.77</v>
      </c>
      <c r="K276" s="5">
        <v>16.600000000000001</v>
      </c>
      <c r="L276" s="5">
        <v>12.5</v>
      </c>
      <c r="M276" s="5">
        <v>67.95</v>
      </c>
      <c r="N276" s="5">
        <v>15.45</v>
      </c>
      <c r="O276" s="5" t="s">
        <v>291</v>
      </c>
      <c r="P276" s="5" t="s">
        <v>291</v>
      </c>
      <c r="Q276" s="5" t="s">
        <v>291</v>
      </c>
      <c r="R276" s="5">
        <v>926.85</v>
      </c>
      <c r="S276" s="5" t="s">
        <v>39</v>
      </c>
      <c r="T276" s="5" t="s">
        <v>291</v>
      </c>
      <c r="U276" s="5" t="s">
        <v>291</v>
      </c>
      <c r="V276" s="5" t="s">
        <v>291</v>
      </c>
      <c r="W276" s="5">
        <v>0.41399999999999998</v>
      </c>
      <c r="X276" s="5" t="s">
        <v>33</v>
      </c>
      <c r="Y276" s="5" t="s">
        <v>292</v>
      </c>
      <c r="Z276" s="5" t="s">
        <v>291</v>
      </c>
      <c r="AA276" s="5">
        <v>0</v>
      </c>
      <c r="AB276" s="5" t="s">
        <v>293</v>
      </c>
      <c r="AC276" s="5">
        <v>66.540000000000006</v>
      </c>
      <c r="AD276" s="5">
        <v>5.78</v>
      </c>
      <c r="AE276" s="5">
        <v>12.27</v>
      </c>
      <c r="AF276" s="5">
        <v>14.55</v>
      </c>
      <c r="AG276" s="5">
        <v>0.60799999999999998</v>
      </c>
      <c r="AH276" s="5">
        <v>0.24000000000000002</v>
      </c>
      <c r="AI276" s="5">
        <v>2.5299999999999998</v>
      </c>
      <c r="AJ276" s="5" t="s">
        <v>291</v>
      </c>
      <c r="AK276" s="5">
        <v>1.8888888888888888</v>
      </c>
      <c r="AL276" s="5">
        <v>187.30158730158729</v>
      </c>
      <c r="AM276" s="5">
        <f t="shared" si="147"/>
        <v>30.633903133903129</v>
      </c>
      <c r="AN276" s="5">
        <f>100*(AK276/F276)*(AE276*Calculations!$B$5*Calculations!$B$9+AF276*Calculations!$B$6*Calculations!$B$10+AG276*Calculations!$B$7*Calculations!$B$11)</f>
        <v>54.066248266296817</v>
      </c>
      <c r="AO276" s="11" t="s">
        <v>245</v>
      </c>
    </row>
    <row r="277" spans="1:41" x14ac:dyDescent="0.3">
      <c r="A277" s="11">
        <v>276</v>
      </c>
      <c r="B277" s="3" t="s">
        <v>289</v>
      </c>
      <c r="C277" s="3" t="s">
        <v>290</v>
      </c>
      <c r="D277" s="5">
        <f>((8+63)/2)*0.466+((3.15+8)/2)*0.341+((3.15)/2)*0.128+63*0.065</f>
        <v>22.740674999999996</v>
      </c>
      <c r="E277" s="5">
        <v>18.100000000000001</v>
      </c>
      <c r="F277" s="5">
        <v>50.84</v>
      </c>
      <c r="G277" s="5">
        <v>5.82</v>
      </c>
      <c r="H277" s="5">
        <v>0.88</v>
      </c>
      <c r="I277" s="5" t="s">
        <v>291</v>
      </c>
      <c r="J277" s="5">
        <v>42.46</v>
      </c>
      <c r="K277" s="5">
        <v>2.62</v>
      </c>
      <c r="L277" s="5">
        <v>17.600000000000001</v>
      </c>
      <c r="M277" s="5">
        <v>80.84</v>
      </c>
      <c r="N277" s="5">
        <v>16.54</v>
      </c>
      <c r="O277" s="5" t="s">
        <v>291</v>
      </c>
      <c r="P277" s="5" t="s">
        <v>291</v>
      </c>
      <c r="Q277" s="5" t="s">
        <v>291</v>
      </c>
      <c r="R277" s="5">
        <v>926.85</v>
      </c>
      <c r="S277" s="5" t="s">
        <v>39</v>
      </c>
      <c r="T277" s="5" t="s">
        <v>291</v>
      </c>
      <c r="U277" s="5" t="s">
        <v>291</v>
      </c>
      <c r="V277" s="5" t="s">
        <v>291</v>
      </c>
      <c r="W277" s="5">
        <v>0.25700000000000001</v>
      </c>
      <c r="X277" s="5" t="s">
        <v>33</v>
      </c>
      <c r="Y277" s="5" t="s">
        <v>292</v>
      </c>
      <c r="Z277" s="5" t="s">
        <v>291</v>
      </c>
      <c r="AA277" s="5">
        <v>0</v>
      </c>
      <c r="AB277" s="5" t="s">
        <v>293</v>
      </c>
      <c r="AC277" s="5">
        <v>45.07</v>
      </c>
      <c r="AD277" s="5">
        <v>17.059999999999999</v>
      </c>
      <c r="AE277" s="5">
        <v>21.74</v>
      </c>
      <c r="AF277" s="5">
        <v>13.02</v>
      </c>
      <c r="AG277" s="5">
        <v>2.5499999999999998</v>
      </c>
      <c r="AH277" s="5">
        <v>0.54</v>
      </c>
      <c r="AI277" s="5">
        <v>5.82</v>
      </c>
      <c r="AJ277" s="5" t="s">
        <v>291</v>
      </c>
      <c r="AK277" s="5">
        <v>1.9772727272727273</v>
      </c>
      <c r="AL277" s="5">
        <v>120.45454545454545</v>
      </c>
      <c r="AM277" s="5">
        <f t="shared" si="147"/>
        <v>63.578603716725254</v>
      </c>
      <c r="AN277" s="5">
        <f>100*(AK277/F277)*(AE277*Calculations!$B$5*Calculations!$B$9+AF277*Calculations!$B$6*Calculations!$B$10+AG277*Calculations!$B$7*Calculations!$B$11)</f>
        <v>73.540448468968066</v>
      </c>
      <c r="AO277" s="11" t="s">
        <v>245</v>
      </c>
    </row>
    <row r="278" spans="1:41" x14ac:dyDescent="0.3">
      <c r="A278" s="11">
        <v>277</v>
      </c>
      <c r="B278" s="3" t="s">
        <v>289</v>
      </c>
      <c r="C278" s="3" t="s">
        <v>93</v>
      </c>
      <c r="D278" s="5" t="s">
        <v>291</v>
      </c>
      <c r="E278" s="5">
        <v>21.647058823529409</v>
      </c>
      <c r="F278" s="5">
        <v>48.39</v>
      </c>
      <c r="G278" s="5">
        <v>5.86</v>
      </c>
      <c r="H278" s="5">
        <v>2.04</v>
      </c>
      <c r="I278" s="5" t="s">
        <v>291</v>
      </c>
      <c r="J278" s="5">
        <v>39.21</v>
      </c>
      <c r="K278" s="5">
        <v>4.5</v>
      </c>
      <c r="L278" s="5">
        <v>5</v>
      </c>
      <c r="M278" s="5">
        <v>80.3</v>
      </c>
      <c r="N278" s="5">
        <v>15.2</v>
      </c>
      <c r="O278" s="5" t="s">
        <v>291</v>
      </c>
      <c r="P278" s="5" t="s">
        <v>291</v>
      </c>
      <c r="Q278" s="5" t="s">
        <v>291</v>
      </c>
      <c r="R278" s="5">
        <v>850</v>
      </c>
      <c r="S278" s="5" t="s">
        <v>291</v>
      </c>
      <c r="T278" s="5" t="s">
        <v>291</v>
      </c>
      <c r="U278" s="5" t="s">
        <v>291</v>
      </c>
      <c r="V278" s="5" t="s">
        <v>291</v>
      </c>
      <c r="W278" s="5">
        <v>0.3</v>
      </c>
      <c r="X278" s="5" t="s">
        <v>33</v>
      </c>
      <c r="Y278" s="5" t="s">
        <v>292</v>
      </c>
      <c r="Z278" s="5" t="s">
        <v>291</v>
      </c>
      <c r="AA278" s="5">
        <v>0</v>
      </c>
      <c r="AB278" s="5" t="s">
        <v>294</v>
      </c>
      <c r="AC278" s="5">
        <v>51.5</v>
      </c>
      <c r="AD278" s="5">
        <v>17.5</v>
      </c>
      <c r="AE278" s="5">
        <v>19.2</v>
      </c>
      <c r="AF278" s="5">
        <v>10.3</v>
      </c>
      <c r="AG278" s="5">
        <v>1.2</v>
      </c>
      <c r="AH278" s="5" t="s">
        <v>291</v>
      </c>
      <c r="AI278" s="5">
        <f>(AD278*Calculations!$B$23+AE278*Calculations!$B$21+AG278*Calculations!$B$22)/100</f>
        <v>4.7431569999999992</v>
      </c>
      <c r="AJ278" s="5" t="s">
        <v>291</v>
      </c>
      <c r="AK278" s="5" t="s">
        <v>291</v>
      </c>
      <c r="AL278" s="5" t="s">
        <v>291</v>
      </c>
      <c r="AM278" s="5" t="s">
        <v>291</v>
      </c>
      <c r="AN278" s="5" t="s">
        <v>291</v>
      </c>
      <c r="AO278" s="11" t="s">
        <v>246</v>
      </c>
    </row>
    <row r="279" spans="1:41" x14ac:dyDescent="0.3">
      <c r="A279" s="11">
        <v>278</v>
      </c>
      <c r="B279" s="3" t="s">
        <v>289</v>
      </c>
      <c r="C279" s="3" t="s">
        <v>93</v>
      </c>
      <c r="D279" s="5" t="s">
        <v>291</v>
      </c>
      <c r="E279" s="5">
        <v>18.399999999999999</v>
      </c>
      <c r="F279" s="5">
        <v>48.39</v>
      </c>
      <c r="G279" s="5">
        <v>5.86</v>
      </c>
      <c r="H279" s="5">
        <v>2.04</v>
      </c>
      <c r="I279" s="5" t="s">
        <v>291</v>
      </c>
      <c r="J279" s="5">
        <v>39.21</v>
      </c>
      <c r="K279" s="5">
        <v>4.5</v>
      </c>
      <c r="L279" s="5">
        <v>20</v>
      </c>
      <c r="M279" s="5">
        <v>80.3</v>
      </c>
      <c r="N279" s="5">
        <v>15.2</v>
      </c>
      <c r="O279" s="5" t="s">
        <v>291</v>
      </c>
      <c r="P279" s="5" t="s">
        <v>291</v>
      </c>
      <c r="Q279" s="5" t="s">
        <v>291</v>
      </c>
      <c r="R279" s="5">
        <v>850</v>
      </c>
      <c r="S279" s="5" t="s">
        <v>291</v>
      </c>
      <c r="T279" s="5" t="s">
        <v>291</v>
      </c>
      <c r="U279" s="5" t="s">
        <v>291</v>
      </c>
      <c r="V279" s="5" t="s">
        <v>291</v>
      </c>
      <c r="W279" s="5">
        <v>0.3</v>
      </c>
      <c r="X279" s="5" t="s">
        <v>33</v>
      </c>
      <c r="Y279" s="5" t="s">
        <v>292</v>
      </c>
      <c r="Z279" s="5" t="s">
        <v>291</v>
      </c>
      <c r="AA279" s="5">
        <v>0</v>
      </c>
      <c r="AB279" s="5" t="s">
        <v>294</v>
      </c>
      <c r="AC279" s="5">
        <v>50.5</v>
      </c>
      <c r="AD279" s="5">
        <v>18.2</v>
      </c>
      <c r="AE279" s="5">
        <v>18.5</v>
      </c>
      <c r="AF279" s="5">
        <v>11</v>
      </c>
      <c r="AG279" s="5">
        <v>1.35</v>
      </c>
      <c r="AH279" s="5" t="s">
        <v>291</v>
      </c>
      <c r="AI279" s="5">
        <f>(AD279*Calculations!$B$23+AE279*Calculations!$B$21+AG279*Calculations!$B$22)/100</f>
        <v>4.7840315000000002</v>
      </c>
      <c r="AJ279" s="5" t="s">
        <v>291</v>
      </c>
      <c r="AK279" s="5" t="s">
        <v>291</v>
      </c>
      <c r="AL279" s="5" t="s">
        <v>291</v>
      </c>
      <c r="AM279" s="5" t="s">
        <v>291</v>
      </c>
      <c r="AN279" s="5" t="s">
        <v>291</v>
      </c>
      <c r="AO279" s="11" t="s">
        <v>246</v>
      </c>
    </row>
    <row r="280" spans="1:41" x14ac:dyDescent="0.3">
      <c r="A280" s="11">
        <v>279</v>
      </c>
      <c r="B280" s="3" t="s">
        <v>289</v>
      </c>
      <c r="C280" s="3" t="s">
        <v>93</v>
      </c>
      <c r="D280" s="5" t="s">
        <v>291</v>
      </c>
      <c r="E280" s="5">
        <v>19.058823529411764</v>
      </c>
      <c r="F280" s="5">
        <v>44.43</v>
      </c>
      <c r="G280" s="5">
        <v>6.16</v>
      </c>
      <c r="H280" s="5">
        <v>1.65</v>
      </c>
      <c r="I280" s="5" t="s">
        <v>291</v>
      </c>
      <c r="J280" s="5">
        <v>41.9</v>
      </c>
      <c r="K280" s="5">
        <v>5.5</v>
      </c>
      <c r="L280" s="5">
        <v>5</v>
      </c>
      <c r="M280" s="5">
        <v>81.25</v>
      </c>
      <c r="N280" s="5">
        <v>13.25</v>
      </c>
      <c r="O280" s="5" t="s">
        <v>291</v>
      </c>
      <c r="P280" s="5" t="s">
        <v>291</v>
      </c>
      <c r="Q280" s="5" t="s">
        <v>291</v>
      </c>
      <c r="R280" s="5">
        <v>850</v>
      </c>
      <c r="S280" s="5" t="s">
        <v>291</v>
      </c>
      <c r="T280" s="5" t="s">
        <v>291</v>
      </c>
      <c r="U280" s="5" t="s">
        <v>291</v>
      </c>
      <c r="V280" s="5" t="s">
        <v>291</v>
      </c>
      <c r="W280" s="5">
        <v>0.3</v>
      </c>
      <c r="X280" s="5" t="s">
        <v>33</v>
      </c>
      <c r="Y280" s="5" t="s">
        <v>292</v>
      </c>
      <c r="Z280" s="5" t="s">
        <v>291</v>
      </c>
      <c r="AA280" s="5">
        <v>0</v>
      </c>
      <c r="AB280" s="5" t="s">
        <v>294</v>
      </c>
      <c r="AC280" s="5">
        <v>52.4</v>
      </c>
      <c r="AD280" s="5">
        <v>17</v>
      </c>
      <c r="AE280" s="5">
        <v>18.5</v>
      </c>
      <c r="AF280" s="5">
        <v>10.7</v>
      </c>
      <c r="AG280" s="5">
        <v>1.2</v>
      </c>
      <c r="AH280" s="5" t="s">
        <v>291</v>
      </c>
      <c r="AI280" s="5">
        <f>(AD280*Calculations!$B$23+AE280*Calculations!$B$21+AG280*Calculations!$B$22)/100</f>
        <v>4.6008109999999993</v>
      </c>
      <c r="AJ280" s="5" t="s">
        <v>291</v>
      </c>
      <c r="AK280" s="5" t="s">
        <v>291</v>
      </c>
      <c r="AL280" s="5" t="s">
        <v>291</v>
      </c>
      <c r="AM280" s="5" t="s">
        <v>291</v>
      </c>
      <c r="AN280" s="5" t="s">
        <v>291</v>
      </c>
      <c r="AO280" s="11" t="s">
        <v>246</v>
      </c>
    </row>
    <row r="281" spans="1:41" x14ac:dyDescent="0.3">
      <c r="A281" s="11">
        <v>280</v>
      </c>
      <c r="B281" s="3" t="s">
        <v>289</v>
      </c>
      <c r="C281" s="3" t="s">
        <v>93</v>
      </c>
      <c r="D281" s="5" t="s">
        <v>291</v>
      </c>
      <c r="E281" s="5">
        <v>16.2</v>
      </c>
      <c r="F281" s="5">
        <v>44.43</v>
      </c>
      <c r="G281" s="5">
        <v>6.16</v>
      </c>
      <c r="H281" s="5">
        <v>1.65</v>
      </c>
      <c r="I281" s="5" t="s">
        <v>291</v>
      </c>
      <c r="J281" s="5">
        <v>41.9</v>
      </c>
      <c r="K281" s="5">
        <v>5.5</v>
      </c>
      <c r="L281" s="5">
        <v>20</v>
      </c>
      <c r="M281" s="5">
        <v>81.25</v>
      </c>
      <c r="N281" s="5">
        <v>13.25</v>
      </c>
      <c r="O281" s="5" t="s">
        <v>291</v>
      </c>
      <c r="P281" s="5" t="s">
        <v>291</v>
      </c>
      <c r="Q281" s="5" t="s">
        <v>291</v>
      </c>
      <c r="R281" s="5">
        <v>850</v>
      </c>
      <c r="S281" s="5" t="s">
        <v>291</v>
      </c>
      <c r="T281" s="5" t="s">
        <v>291</v>
      </c>
      <c r="U281" s="5" t="s">
        <v>291</v>
      </c>
      <c r="V281" s="5" t="s">
        <v>291</v>
      </c>
      <c r="W281" s="5">
        <v>0.3</v>
      </c>
      <c r="X281" s="5" t="s">
        <v>33</v>
      </c>
      <c r="Y281" s="5" t="s">
        <v>292</v>
      </c>
      <c r="Z281" s="5" t="s">
        <v>291</v>
      </c>
      <c r="AA281" s="5">
        <v>0</v>
      </c>
      <c r="AB281" s="5" t="s">
        <v>294</v>
      </c>
      <c r="AC281" s="5">
        <v>51.5</v>
      </c>
      <c r="AD281" s="5">
        <v>17.5</v>
      </c>
      <c r="AE281" s="5">
        <v>18</v>
      </c>
      <c r="AF281" s="5">
        <v>11.5</v>
      </c>
      <c r="AG281" s="5">
        <v>1.35</v>
      </c>
      <c r="AH281" s="5" t="s">
        <v>291</v>
      </c>
      <c r="AI281" s="5">
        <f>(AD281*Calculations!$B$23+AE281*Calculations!$B$21+AG281*Calculations!$B$22)/100</f>
        <v>4.6453854999999997</v>
      </c>
      <c r="AJ281" s="5" t="s">
        <v>291</v>
      </c>
      <c r="AK281" s="5" t="s">
        <v>291</v>
      </c>
      <c r="AL281" s="5" t="s">
        <v>291</v>
      </c>
      <c r="AM281" s="5" t="s">
        <v>291</v>
      </c>
      <c r="AN281" s="5" t="s">
        <v>291</v>
      </c>
      <c r="AO281" s="11" t="s">
        <v>246</v>
      </c>
    </row>
    <row r="282" spans="1:41" x14ac:dyDescent="0.3">
      <c r="A282" s="11">
        <v>281</v>
      </c>
      <c r="B282" s="3" t="s">
        <v>289</v>
      </c>
      <c r="C282" s="3" t="s">
        <v>93</v>
      </c>
      <c r="D282" s="5" t="s">
        <v>291</v>
      </c>
      <c r="E282" s="5">
        <v>19.529411764705884</v>
      </c>
      <c r="F282" s="5">
        <v>45.1</v>
      </c>
      <c r="G282" s="5">
        <v>6</v>
      </c>
      <c r="H282" s="5">
        <v>1.7</v>
      </c>
      <c r="I282" s="5" t="s">
        <v>291</v>
      </c>
      <c r="J282" s="5">
        <v>41.5</v>
      </c>
      <c r="K282" s="5">
        <v>5.6</v>
      </c>
      <c r="L282" s="5">
        <v>5</v>
      </c>
      <c r="M282" s="5">
        <v>81.75</v>
      </c>
      <c r="N282" s="5">
        <v>12.65</v>
      </c>
      <c r="O282" s="5" t="s">
        <v>291</v>
      </c>
      <c r="P282" s="5" t="s">
        <v>291</v>
      </c>
      <c r="Q282" s="5" t="s">
        <v>291</v>
      </c>
      <c r="R282" s="5">
        <v>850</v>
      </c>
      <c r="S282" s="5" t="s">
        <v>291</v>
      </c>
      <c r="T282" s="5" t="s">
        <v>291</v>
      </c>
      <c r="U282" s="5" t="s">
        <v>291</v>
      </c>
      <c r="V282" s="5" t="s">
        <v>291</v>
      </c>
      <c r="W282" s="5">
        <v>0.3</v>
      </c>
      <c r="X282" s="5" t="s">
        <v>33</v>
      </c>
      <c r="Y282" s="5" t="s">
        <v>292</v>
      </c>
      <c r="Z282" s="5" t="s">
        <v>291</v>
      </c>
      <c r="AA282" s="5">
        <v>0</v>
      </c>
      <c r="AB282" s="5" t="s">
        <v>294</v>
      </c>
      <c r="AC282" s="5">
        <v>51.5</v>
      </c>
      <c r="AD282" s="5">
        <v>17.5</v>
      </c>
      <c r="AE282" s="5">
        <v>19.2</v>
      </c>
      <c r="AF282" s="5">
        <v>10.3</v>
      </c>
      <c r="AG282" s="5">
        <v>1.2</v>
      </c>
      <c r="AH282" s="5" t="s">
        <v>291</v>
      </c>
      <c r="AI282" s="5">
        <f>(AD282*Calculations!$B$23+AE282*Calculations!$B$21+AG282*Calculations!$B$22)/100</f>
        <v>4.7431569999999992</v>
      </c>
      <c r="AJ282" s="5" t="s">
        <v>291</v>
      </c>
      <c r="AK282" s="5" t="s">
        <v>291</v>
      </c>
      <c r="AL282" s="5" t="s">
        <v>291</v>
      </c>
      <c r="AM282" s="5" t="s">
        <v>291</v>
      </c>
      <c r="AN282" s="5" t="s">
        <v>291</v>
      </c>
      <c r="AO282" s="11" t="s">
        <v>246</v>
      </c>
    </row>
    <row r="283" spans="1:41" x14ac:dyDescent="0.3">
      <c r="A283" s="11">
        <v>282</v>
      </c>
      <c r="B283" s="3" t="s">
        <v>289</v>
      </c>
      <c r="C283" s="3" t="s">
        <v>93</v>
      </c>
      <c r="D283" s="5" t="s">
        <v>291</v>
      </c>
      <c r="E283" s="5">
        <v>16.600000000000001</v>
      </c>
      <c r="F283" s="5">
        <v>45.1</v>
      </c>
      <c r="G283" s="5">
        <v>6</v>
      </c>
      <c r="H283" s="5">
        <v>1.7</v>
      </c>
      <c r="I283" s="5" t="s">
        <v>291</v>
      </c>
      <c r="J283" s="5">
        <v>41.5</v>
      </c>
      <c r="K283" s="5">
        <v>5.6</v>
      </c>
      <c r="L283" s="5">
        <v>20</v>
      </c>
      <c r="M283" s="5">
        <v>81.75</v>
      </c>
      <c r="N283" s="5">
        <v>12.65</v>
      </c>
      <c r="O283" s="5" t="s">
        <v>291</v>
      </c>
      <c r="P283" s="5" t="s">
        <v>291</v>
      </c>
      <c r="Q283" s="5" t="s">
        <v>291</v>
      </c>
      <c r="R283" s="5">
        <v>850</v>
      </c>
      <c r="S283" s="5" t="s">
        <v>291</v>
      </c>
      <c r="T283" s="5" t="s">
        <v>291</v>
      </c>
      <c r="U283" s="5" t="s">
        <v>291</v>
      </c>
      <c r="V283" s="5" t="s">
        <v>291</v>
      </c>
      <c r="W283" s="5">
        <v>0.3</v>
      </c>
      <c r="X283" s="5" t="s">
        <v>33</v>
      </c>
      <c r="Y283" s="5" t="s">
        <v>292</v>
      </c>
      <c r="Z283" s="5" t="s">
        <v>291</v>
      </c>
      <c r="AA283" s="5">
        <v>0</v>
      </c>
      <c r="AB283" s="5" t="s">
        <v>294</v>
      </c>
      <c r="AC283" s="5">
        <v>50.5</v>
      </c>
      <c r="AD283" s="5">
        <v>18.2</v>
      </c>
      <c r="AE283" s="5">
        <v>18.5</v>
      </c>
      <c r="AF283" s="5">
        <v>11</v>
      </c>
      <c r="AG283" s="5">
        <v>1.35</v>
      </c>
      <c r="AH283" s="5" t="s">
        <v>291</v>
      </c>
      <c r="AI283" s="5">
        <f>(AD283*Calculations!$B$23+AE283*Calculations!$B$21+AG283*Calculations!$B$22)/100</f>
        <v>4.7840315000000002</v>
      </c>
      <c r="AJ283" s="5" t="s">
        <v>291</v>
      </c>
      <c r="AK283" s="5" t="s">
        <v>291</v>
      </c>
      <c r="AL283" s="5" t="s">
        <v>291</v>
      </c>
      <c r="AM283" s="5" t="s">
        <v>291</v>
      </c>
      <c r="AN283" s="5" t="s">
        <v>291</v>
      </c>
      <c r="AO283" s="11" t="s">
        <v>246</v>
      </c>
    </row>
    <row r="284" spans="1:41" x14ac:dyDescent="0.3">
      <c r="A284" s="11">
        <v>283</v>
      </c>
      <c r="B284" s="3" t="s">
        <v>289</v>
      </c>
      <c r="C284" s="3" t="s">
        <v>93</v>
      </c>
      <c r="D284" s="5" t="s">
        <v>291</v>
      </c>
      <c r="E284" s="5">
        <v>18.764705882352942</v>
      </c>
      <c r="F284" s="5">
        <v>44.85</v>
      </c>
      <c r="G284" s="5">
        <v>5.98</v>
      </c>
      <c r="H284" s="5">
        <v>1.65</v>
      </c>
      <c r="I284" s="5" t="s">
        <v>291</v>
      </c>
      <c r="J284" s="5">
        <v>41.84</v>
      </c>
      <c r="K284" s="5">
        <v>5.8</v>
      </c>
      <c r="L284" s="5">
        <v>5</v>
      </c>
      <c r="M284" s="5">
        <v>82</v>
      </c>
      <c r="N284" s="5">
        <v>12.2</v>
      </c>
      <c r="O284" s="5" t="s">
        <v>291</v>
      </c>
      <c r="P284" s="5" t="s">
        <v>291</v>
      </c>
      <c r="Q284" s="5" t="s">
        <v>291</v>
      </c>
      <c r="R284" s="5">
        <v>850</v>
      </c>
      <c r="S284" s="5" t="s">
        <v>291</v>
      </c>
      <c r="T284" s="5" t="s">
        <v>291</v>
      </c>
      <c r="U284" s="5" t="s">
        <v>291</v>
      </c>
      <c r="V284" s="5" t="s">
        <v>291</v>
      </c>
      <c r="W284" s="5">
        <v>0.3</v>
      </c>
      <c r="X284" s="5" t="s">
        <v>33</v>
      </c>
      <c r="Y284" s="5" t="s">
        <v>292</v>
      </c>
      <c r="Z284" s="5" t="s">
        <v>291</v>
      </c>
      <c r="AA284" s="5">
        <v>0</v>
      </c>
      <c r="AB284" s="5" t="s">
        <v>294</v>
      </c>
      <c r="AC284" s="5">
        <v>53</v>
      </c>
      <c r="AD284" s="5">
        <v>16.5</v>
      </c>
      <c r="AE284" s="5">
        <v>17.5</v>
      </c>
      <c r="AF284" s="5">
        <v>11.5</v>
      </c>
      <c r="AG284" s="5">
        <v>0.85</v>
      </c>
      <c r="AH284" s="5" t="s">
        <v>291</v>
      </c>
      <c r="AI284" s="5">
        <f>(AD284*Calculations!$B$23+AE284*Calculations!$B$21+AG284*Calculations!$B$22)/100</f>
        <v>4.2949754999999996</v>
      </c>
      <c r="AJ284" s="5" t="s">
        <v>291</v>
      </c>
      <c r="AK284" s="5" t="s">
        <v>291</v>
      </c>
      <c r="AL284" s="5" t="s">
        <v>291</v>
      </c>
      <c r="AM284" s="5" t="s">
        <v>291</v>
      </c>
      <c r="AN284" s="5" t="s">
        <v>291</v>
      </c>
      <c r="AO284" s="11" t="s">
        <v>246</v>
      </c>
    </row>
    <row r="285" spans="1:41" x14ac:dyDescent="0.3">
      <c r="A285" s="11">
        <v>284</v>
      </c>
      <c r="B285" s="3" t="s">
        <v>289</v>
      </c>
      <c r="C285" s="3" t="s">
        <v>93</v>
      </c>
      <c r="D285" s="5" t="s">
        <v>291</v>
      </c>
      <c r="E285" s="5">
        <v>15.95</v>
      </c>
      <c r="F285" s="5">
        <v>44.85</v>
      </c>
      <c r="G285" s="5">
        <v>5.98</v>
      </c>
      <c r="H285" s="5">
        <v>1.65</v>
      </c>
      <c r="I285" s="5" t="s">
        <v>291</v>
      </c>
      <c r="J285" s="5">
        <v>41.84</v>
      </c>
      <c r="K285" s="5">
        <v>5.8</v>
      </c>
      <c r="L285" s="5">
        <v>20</v>
      </c>
      <c r="M285" s="5">
        <v>82</v>
      </c>
      <c r="N285" s="5">
        <v>12.2</v>
      </c>
      <c r="O285" s="5" t="s">
        <v>291</v>
      </c>
      <c r="P285" s="5" t="s">
        <v>291</v>
      </c>
      <c r="Q285" s="5" t="s">
        <v>291</v>
      </c>
      <c r="R285" s="5">
        <v>850</v>
      </c>
      <c r="S285" s="5" t="s">
        <v>291</v>
      </c>
      <c r="T285" s="5" t="s">
        <v>291</v>
      </c>
      <c r="U285" s="5" t="s">
        <v>291</v>
      </c>
      <c r="V285" s="5" t="s">
        <v>291</v>
      </c>
      <c r="W285" s="5">
        <v>0.3</v>
      </c>
      <c r="X285" s="5" t="s">
        <v>33</v>
      </c>
      <c r="Y285" s="5" t="s">
        <v>292</v>
      </c>
      <c r="Z285" s="5" t="s">
        <v>291</v>
      </c>
      <c r="AA285" s="5">
        <v>0</v>
      </c>
      <c r="AB285" s="5" t="s">
        <v>294</v>
      </c>
      <c r="AC285" s="5">
        <v>52.5</v>
      </c>
      <c r="AD285" s="5">
        <v>17</v>
      </c>
      <c r="AE285" s="5">
        <v>17</v>
      </c>
      <c r="AF285" s="5">
        <v>12</v>
      </c>
      <c r="AG285" s="5">
        <v>0.95</v>
      </c>
      <c r="AH285" s="5" t="s">
        <v>291</v>
      </c>
      <c r="AI285" s="5">
        <f>(AD285*Calculations!$B$23+AE285*Calculations!$B$21+AG285*Calculations!$B$22)/100</f>
        <v>4.3216085</v>
      </c>
      <c r="AJ285" s="5" t="s">
        <v>291</v>
      </c>
      <c r="AK285" s="5" t="s">
        <v>291</v>
      </c>
      <c r="AL285" s="5" t="s">
        <v>291</v>
      </c>
      <c r="AM285" s="5" t="s">
        <v>291</v>
      </c>
      <c r="AN285" s="5" t="s">
        <v>291</v>
      </c>
      <c r="AO285" s="11" t="s">
        <v>246</v>
      </c>
    </row>
    <row r="286" spans="1:41" x14ac:dyDescent="0.3">
      <c r="A286" s="11">
        <v>285</v>
      </c>
      <c r="B286" s="3" t="s">
        <v>289</v>
      </c>
      <c r="C286" s="3" t="s">
        <v>93</v>
      </c>
      <c r="D286" s="5" t="s">
        <v>291</v>
      </c>
      <c r="E286" s="5">
        <v>20.176470588235293</v>
      </c>
      <c r="F286" s="5">
        <v>45.85</v>
      </c>
      <c r="G286" s="5">
        <v>5.8</v>
      </c>
      <c r="H286" s="5">
        <v>1.6</v>
      </c>
      <c r="I286" s="5" t="s">
        <v>291</v>
      </c>
      <c r="J286" s="5">
        <v>40.25</v>
      </c>
      <c r="K286" s="5">
        <v>4.5999999999999996</v>
      </c>
      <c r="L286" s="5">
        <v>5</v>
      </c>
      <c r="M286" s="5">
        <v>80</v>
      </c>
      <c r="N286" s="5">
        <v>15.4</v>
      </c>
      <c r="O286" s="5" t="s">
        <v>291</v>
      </c>
      <c r="P286" s="5" t="s">
        <v>291</v>
      </c>
      <c r="Q286" s="5" t="s">
        <v>291</v>
      </c>
      <c r="R286" s="5">
        <v>850</v>
      </c>
      <c r="S286" s="5" t="s">
        <v>291</v>
      </c>
      <c r="T286" s="5" t="s">
        <v>291</v>
      </c>
      <c r="U286" s="5" t="s">
        <v>291</v>
      </c>
      <c r="V286" s="5" t="s">
        <v>291</v>
      </c>
      <c r="W286" s="5">
        <v>0.3</v>
      </c>
      <c r="X286" s="5" t="s">
        <v>33</v>
      </c>
      <c r="Y286" s="5" t="s">
        <v>292</v>
      </c>
      <c r="Z286" s="5" t="s">
        <v>291</v>
      </c>
      <c r="AA286" s="5">
        <v>0</v>
      </c>
      <c r="AB286" s="5" t="s">
        <v>294</v>
      </c>
      <c r="AC286" s="5">
        <v>49.1</v>
      </c>
      <c r="AD286" s="5">
        <v>18</v>
      </c>
      <c r="AE286" s="5">
        <v>20.2</v>
      </c>
      <c r="AF286" s="5">
        <v>11</v>
      </c>
      <c r="AG286" s="5">
        <v>1.2</v>
      </c>
      <c r="AH286" s="5" t="s">
        <v>291</v>
      </c>
      <c r="AI286" s="5">
        <f>(AD286*Calculations!$B$23+AE286*Calculations!$B$21+AG286*Calculations!$B$22)/100</f>
        <v>4.9234019999999994</v>
      </c>
      <c r="AJ286" s="5" t="s">
        <v>291</v>
      </c>
      <c r="AK286" s="5" t="s">
        <v>291</v>
      </c>
      <c r="AL286" s="5" t="s">
        <v>291</v>
      </c>
      <c r="AM286" s="5" t="s">
        <v>291</v>
      </c>
      <c r="AN286" s="5" t="s">
        <v>291</v>
      </c>
      <c r="AO286" s="11" t="s">
        <v>246</v>
      </c>
    </row>
    <row r="287" spans="1:41" x14ac:dyDescent="0.3">
      <c r="A287" s="11">
        <v>286</v>
      </c>
      <c r="B287" s="3" t="s">
        <v>289</v>
      </c>
      <c r="C287" s="3" t="s">
        <v>93</v>
      </c>
      <c r="D287" s="5" t="s">
        <v>291</v>
      </c>
      <c r="E287" s="5">
        <v>17.149999999999999</v>
      </c>
      <c r="F287" s="5">
        <v>45.85</v>
      </c>
      <c r="G287" s="5">
        <v>5.8</v>
      </c>
      <c r="H287" s="5">
        <v>1.6</v>
      </c>
      <c r="I287" s="5" t="s">
        <v>291</v>
      </c>
      <c r="J287" s="5">
        <v>40.25</v>
      </c>
      <c r="K287" s="5">
        <v>4.5999999999999996</v>
      </c>
      <c r="L287" s="5">
        <v>20</v>
      </c>
      <c r="M287" s="5">
        <v>80</v>
      </c>
      <c r="N287" s="5">
        <v>15.4</v>
      </c>
      <c r="O287" s="5" t="s">
        <v>291</v>
      </c>
      <c r="P287" s="5" t="s">
        <v>291</v>
      </c>
      <c r="Q287" s="5" t="s">
        <v>291</v>
      </c>
      <c r="R287" s="5">
        <v>850</v>
      </c>
      <c r="S287" s="5" t="s">
        <v>291</v>
      </c>
      <c r="T287" s="5" t="s">
        <v>291</v>
      </c>
      <c r="U287" s="5" t="s">
        <v>291</v>
      </c>
      <c r="V287" s="5" t="s">
        <v>291</v>
      </c>
      <c r="W287" s="5">
        <v>0.3</v>
      </c>
      <c r="X287" s="5" t="s">
        <v>33</v>
      </c>
      <c r="Y287" s="5" t="s">
        <v>292</v>
      </c>
      <c r="Z287" s="5" t="s">
        <v>291</v>
      </c>
      <c r="AA287" s="5">
        <v>0</v>
      </c>
      <c r="AB287" s="5" t="s">
        <v>294</v>
      </c>
      <c r="AC287" s="5">
        <v>48.9</v>
      </c>
      <c r="AD287" s="5">
        <v>19</v>
      </c>
      <c r="AE287" s="5">
        <v>19</v>
      </c>
      <c r="AF287" s="5">
        <v>11.4</v>
      </c>
      <c r="AG287" s="5">
        <v>1.3</v>
      </c>
      <c r="AH287" s="5" t="s">
        <v>291</v>
      </c>
      <c r="AI287" s="5">
        <f>(AD287*Calculations!$B$23+AE287*Calculations!$B$21+AG287*Calculations!$B$22)/100</f>
        <v>4.9155189999999997</v>
      </c>
      <c r="AJ287" s="5" t="s">
        <v>291</v>
      </c>
      <c r="AK287" s="5" t="s">
        <v>291</v>
      </c>
      <c r="AL287" s="5" t="s">
        <v>291</v>
      </c>
      <c r="AM287" s="5" t="s">
        <v>291</v>
      </c>
      <c r="AN287" s="5" t="s">
        <v>291</v>
      </c>
      <c r="AO287" s="11" t="s">
        <v>246</v>
      </c>
    </row>
    <row r="288" spans="1:41" x14ac:dyDescent="0.3">
      <c r="A288" s="11">
        <v>287</v>
      </c>
      <c r="B288" s="3" t="s">
        <v>289</v>
      </c>
      <c r="C288" s="3" t="s">
        <v>82</v>
      </c>
      <c r="D288" s="5">
        <v>0.5</v>
      </c>
      <c r="E288" s="5">
        <v>16.976400000000002</v>
      </c>
      <c r="F288" s="5">
        <v>42.5</v>
      </c>
      <c r="G288" s="5">
        <v>6.3</v>
      </c>
      <c r="H288" s="5">
        <v>0.2</v>
      </c>
      <c r="I288" s="5" t="s">
        <v>291</v>
      </c>
      <c r="J288" s="5">
        <f>100-F288-G288-H288</f>
        <v>51</v>
      </c>
      <c r="K288" s="5">
        <f>1.2*(100/(100-L288))</f>
        <v>1.3114754098360657</v>
      </c>
      <c r="L288" s="5">
        <v>8.5</v>
      </c>
      <c r="M288" s="5">
        <f>77.4*(100/(100-L288))</f>
        <v>84.590163934426243</v>
      </c>
      <c r="N288" s="5">
        <f>12.9*(100/(100-L288))</f>
        <v>14.098360655737707</v>
      </c>
      <c r="O288" s="5" t="s">
        <v>291</v>
      </c>
      <c r="P288" s="5" t="s">
        <v>291</v>
      </c>
      <c r="Q288" s="5" t="s">
        <v>291</v>
      </c>
      <c r="R288" s="5">
        <v>780</v>
      </c>
      <c r="S288" s="5" t="s">
        <v>39</v>
      </c>
      <c r="T288" s="5" t="s">
        <v>254</v>
      </c>
      <c r="U288" s="5" t="s">
        <v>291</v>
      </c>
      <c r="V288" s="5">
        <v>0.8</v>
      </c>
      <c r="W288" s="5" t="s">
        <v>291</v>
      </c>
      <c r="X288" s="5" t="s">
        <v>161</v>
      </c>
      <c r="Y288" s="5" t="s">
        <v>79</v>
      </c>
      <c r="Z288" s="5" t="s">
        <v>295</v>
      </c>
      <c r="AA288" s="5">
        <v>0</v>
      </c>
      <c r="AB288" s="5" t="s">
        <v>294</v>
      </c>
      <c r="AC288" s="5" t="s">
        <v>291</v>
      </c>
      <c r="AD288" s="5">
        <v>51.5</v>
      </c>
      <c r="AE288" s="5">
        <v>22</v>
      </c>
      <c r="AF288" s="5">
        <v>17</v>
      </c>
      <c r="AG288" s="5">
        <v>7</v>
      </c>
      <c r="AH288" s="5">
        <f>100-AG288-AF288-AE288-AD288</f>
        <v>2.5</v>
      </c>
      <c r="AI288" s="5">
        <v>12</v>
      </c>
      <c r="AJ288" s="5">
        <v>20.547945205479451</v>
      </c>
      <c r="AK288" s="5">
        <v>1.3183800000000001</v>
      </c>
      <c r="AL288" s="5">
        <v>58.695</v>
      </c>
      <c r="AM288" s="5">
        <f t="shared" ref="AM288:AM313" si="170">100*(AI288*AK288)/E288</f>
        <v>93.191489361702125</v>
      </c>
      <c r="AN288" s="5">
        <f>100*(AK288/F288)*(AE288*Calculations!$B$5*Calculations!$B$9+AF288*Calculations!$B$6*Calculations!$B$10+AG288*Calculations!$B$7*Calculations!$B$11)</f>
        <v>72.519652270588224</v>
      </c>
      <c r="AO288" s="11" t="s">
        <v>253</v>
      </c>
    </row>
    <row r="289" spans="1:41" x14ac:dyDescent="0.3">
      <c r="A289" s="11">
        <v>288</v>
      </c>
      <c r="B289" s="3" t="s">
        <v>289</v>
      </c>
      <c r="C289" s="3" t="s">
        <v>82</v>
      </c>
      <c r="D289" s="5">
        <v>0.5</v>
      </c>
      <c r="E289" s="5">
        <v>16.976400000000002</v>
      </c>
      <c r="F289" s="5">
        <v>42.5</v>
      </c>
      <c r="G289" s="5">
        <v>6.3</v>
      </c>
      <c r="H289" s="5">
        <v>0.2</v>
      </c>
      <c r="I289" s="5" t="s">
        <v>291</v>
      </c>
      <c r="J289" s="5">
        <f t="shared" ref="J289:J303" si="171">100-F289-G289-H289</f>
        <v>51</v>
      </c>
      <c r="K289" s="5">
        <f>1.2*(100/(100-L289))</f>
        <v>1.3114754098360657</v>
      </c>
      <c r="L289" s="5">
        <v>8.5</v>
      </c>
      <c r="M289" s="5">
        <f>77.4*(100/(100-L289))</f>
        <v>84.590163934426243</v>
      </c>
      <c r="N289" s="5">
        <f>12.9*(100/(100-L289))</f>
        <v>14.098360655737707</v>
      </c>
      <c r="O289" s="5" t="s">
        <v>291</v>
      </c>
      <c r="P289" s="5" t="s">
        <v>291</v>
      </c>
      <c r="Q289" s="5" t="s">
        <v>291</v>
      </c>
      <c r="R289" s="5">
        <v>750</v>
      </c>
      <c r="S289" s="5" t="s">
        <v>39</v>
      </c>
      <c r="T289" s="5" t="s">
        <v>254</v>
      </c>
      <c r="U289" s="5" t="s">
        <v>291</v>
      </c>
      <c r="V289" s="5">
        <v>0.8</v>
      </c>
      <c r="W289" s="5" t="s">
        <v>291</v>
      </c>
      <c r="X289" s="5" t="s">
        <v>161</v>
      </c>
      <c r="Y289" s="5" t="s">
        <v>79</v>
      </c>
      <c r="Z289" s="5" t="s">
        <v>295</v>
      </c>
      <c r="AA289" s="5">
        <v>0</v>
      </c>
      <c r="AB289" s="5" t="s">
        <v>294</v>
      </c>
      <c r="AC289" s="5" t="s">
        <v>291</v>
      </c>
      <c r="AD289" s="5">
        <v>55</v>
      </c>
      <c r="AE289" s="5">
        <v>20</v>
      </c>
      <c r="AF289" s="5">
        <v>15</v>
      </c>
      <c r="AG289" s="5">
        <v>6</v>
      </c>
      <c r="AH289" s="5">
        <f t="shared" ref="AH289:AH304" si="172">100-AG289-AF289-AE289-AD289</f>
        <v>4</v>
      </c>
      <c r="AI289" s="5">
        <v>12.4</v>
      </c>
      <c r="AJ289" s="5">
        <v>26.92307692307692</v>
      </c>
      <c r="AK289" s="5">
        <v>1.1739000000000002</v>
      </c>
      <c r="AL289" s="5">
        <v>99.33</v>
      </c>
      <c r="AM289" s="5">
        <f t="shared" si="170"/>
        <v>85.744680851063848</v>
      </c>
      <c r="AN289" s="5">
        <f>100*(AK289/F289)*(AE289*Calculations!$B$5*Calculations!$B$9+AF289*Calculations!$B$6*Calculations!$B$10+AG289*Calculations!$B$7*Calculations!$B$11)</f>
        <v>57.529189058823533</v>
      </c>
      <c r="AO289" s="11" t="s">
        <v>253</v>
      </c>
    </row>
    <row r="290" spans="1:41" x14ac:dyDescent="0.3">
      <c r="A290" s="11">
        <v>289</v>
      </c>
      <c r="B290" s="3" t="s">
        <v>289</v>
      </c>
      <c r="C290" s="3" t="s">
        <v>82</v>
      </c>
      <c r="D290" s="5">
        <v>0.5</v>
      </c>
      <c r="E290" s="5">
        <v>16.976400000000002</v>
      </c>
      <c r="F290" s="5">
        <v>42.5</v>
      </c>
      <c r="G290" s="5">
        <v>6.3</v>
      </c>
      <c r="H290" s="5">
        <v>0.2</v>
      </c>
      <c r="I290" s="5" t="s">
        <v>291</v>
      </c>
      <c r="J290" s="5">
        <f t="shared" si="171"/>
        <v>51</v>
      </c>
      <c r="K290" s="5">
        <f>1.2*(100/(100-L290))</f>
        <v>1.3114754098360657</v>
      </c>
      <c r="L290" s="5">
        <v>8.5</v>
      </c>
      <c r="M290" s="5">
        <f>77.4*(100/(100-L290))</f>
        <v>84.590163934426243</v>
      </c>
      <c r="N290" s="5">
        <f>12.9*(100/(100-L290))</f>
        <v>14.098360655737707</v>
      </c>
      <c r="O290" s="5" t="s">
        <v>291</v>
      </c>
      <c r="P290" s="5" t="s">
        <v>291</v>
      </c>
      <c r="Q290" s="5" t="s">
        <v>291</v>
      </c>
      <c r="R290" s="5">
        <v>700</v>
      </c>
      <c r="S290" s="5" t="s">
        <v>39</v>
      </c>
      <c r="T290" s="5" t="s">
        <v>254</v>
      </c>
      <c r="U290" s="5" t="s">
        <v>291</v>
      </c>
      <c r="V290" s="5">
        <v>0.8</v>
      </c>
      <c r="W290" s="5" t="s">
        <v>291</v>
      </c>
      <c r="X290" s="5" t="s">
        <v>161</v>
      </c>
      <c r="Y290" s="5" t="s">
        <v>79</v>
      </c>
      <c r="Z290" s="5" t="s">
        <v>295</v>
      </c>
      <c r="AA290" s="5">
        <v>0</v>
      </c>
      <c r="AB290" s="5" t="s">
        <v>294</v>
      </c>
      <c r="AC290" s="5" t="s">
        <v>291</v>
      </c>
      <c r="AD290" s="5">
        <v>57.5</v>
      </c>
      <c r="AE290" s="5">
        <v>22</v>
      </c>
      <c r="AF290" s="5">
        <v>12</v>
      </c>
      <c r="AG290" s="5">
        <v>6</v>
      </c>
      <c r="AH290" s="5">
        <f t="shared" si="172"/>
        <v>2.5</v>
      </c>
      <c r="AI290" s="5">
        <v>12.6</v>
      </c>
      <c r="AJ290" s="5">
        <v>38.461538461538467</v>
      </c>
      <c r="AK290" s="5">
        <v>0.93912000000000007</v>
      </c>
      <c r="AL290" s="5">
        <v>139.965</v>
      </c>
      <c r="AM290" s="5">
        <f t="shared" si="170"/>
        <v>69.702127659574472</v>
      </c>
      <c r="AN290" s="5">
        <f>100*(AK290/F290)*(AE290*Calculations!$B$5*Calculations!$B$9+AF290*Calculations!$B$6*Calculations!$B$10+AG290*Calculations!$B$7*Calculations!$B$11)</f>
        <v>44.602833599999997</v>
      </c>
      <c r="AO290" s="11" t="s">
        <v>253</v>
      </c>
    </row>
    <row r="291" spans="1:41" x14ac:dyDescent="0.3">
      <c r="A291" s="11">
        <v>290</v>
      </c>
      <c r="B291" s="3" t="s">
        <v>289</v>
      </c>
      <c r="C291" s="3" t="s">
        <v>82</v>
      </c>
      <c r="D291" s="5">
        <v>0.5</v>
      </c>
      <c r="E291" s="5">
        <v>16.976400000000002</v>
      </c>
      <c r="F291" s="5">
        <v>42.5</v>
      </c>
      <c r="G291" s="5">
        <v>6.3</v>
      </c>
      <c r="H291" s="5">
        <v>0.2</v>
      </c>
      <c r="I291" s="5" t="s">
        <v>291</v>
      </c>
      <c r="J291" s="5">
        <f t="shared" si="171"/>
        <v>51</v>
      </c>
      <c r="K291" s="5">
        <f>1.2*(100/(100-L291))</f>
        <v>1.3114754098360657</v>
      </c>
      <c r="L291" s="5">
        <v>8.5</v>
      </c>
      <c r="M291" s="5">
        <f>77.4*(100/(100-L291))</f>
        <v>84.590163934426243</v>
      </c>
      <c r="N291" s="5">
        <f>12.9*(100/(100-L291))</f>
        <v>14.098360655737707</v>
      </c>
      <c r="O291" s="5" t="s">
        <v>291</v>
      </c>
      <c r="P291" s="5" t="s">
        <v>291</v>
      </c>
      <c r="Q291" s="5" t="s">
        <v>291</v>
      </c>
      <c r="R291" s="5">
        <v>650</v>
      </c>
      <c r="S291" s="5" t="s">
        <v>39</v>
      </c>
      <c r="T291" s="5" t="s">
        <v>254</v>
      </c>
      <c r="U291" s="5" t="s">
        <v>291</v>
      </c>
      <c r="V291" s="5">
        <v>0.8</v>
      </c>
      <c r="W291" s="5" t="s">
        <v>291</v>
      </c>
      <c r="X291" s="5" t="s">
        <v>161</v>
      </c>
      <c r="Y291" s="5" t="s">
        <v>79</v>
      </c>
      <c r="Z291" s="5" t="s">
        <v>295</v>
      </c>
      <c r="AA291" s="5">
        <v>0</v>
      </c>
      <c r="AB291" s="5" t="s">
        <v>294</v>
      </c>
      <c r="AC291" s="5" t="s">
        <v>291</v>
      </c>
      <c r="AD291" s="5">
        <v>50.5</v>
      </c>
      <c r="AE291" s="5">
        <v>27.5</v>
      </c>
      <c r="AF291" s="5">
        <v>11</v>
      </c>
      <c r="AG291" s="5">
        <v>8</v>
      </c>
      <c r="AH291" s="5">
        <f t="shared" si="172"/>
        <v>3</v>
      </c>
      <c r="AI291" s="5">
        <v>13.2</v>
      </c>
      <c r="AJ291" s="5">
        <v>76.623376623376629</v>
      </c>
      <c r="AK291" s="5">
        <v>0.69530999999999998</v>
      </c>
      <c r="AL291" s="5">
        <v>198.66</v>
      </c>
      <c r="AM291" s="5">
        <f t="shared" si="170"/>
        <v>54.063829787234035</v>
      </c>
      <c r="AN291" s="5">
        <f>100*(AK291/F291)*(AE291*Calculations!$B$5*Calculations!$B$9+AF291*Calculations!$B$6*Calculations!$B$10+AG291*Calculations!$B$7*Calculations!$B$11)</f>
        <v>38.148329223529409</v>
      </c>
      <c r="AO291" s="11" t="s">
        <v>253</v>
      </c>
    </row>
    <row r="292" spans="1:41" x14ac:dyDescent="0.3">
      <c r="A292" s="11">
        <v>291</v>
      </c>
      <c r="B292" s="3" t="s">
        <v>288</v>
      </c>
      <c r="C292" s="3" t="s">
        <v>159</v>
      </c>
      <c r="D292" s="5">
        <v>5</v>
      </c>
      <c r="E292" s="5">
        <v>12.339800000000002</v>
      </c>
      <c r="F292" s="5">
        <v>43.7</v>
      </c>
      <c r="G292" s="5">
        <v>6.1</v>
      </c>
      <c r="H292" s="5">
        <v>0.4</v>
      </c>
      <c r="I292" s="5" t="s">
        <v>291</v>
      </c>
      <c r="J292" s="5">
        <f t="shared" si="171"/>
        <v>49.8</v>
      </c>
      <c r="K292" s="5">
        <f>14.1*(100/(100-L292))</f>
        <v>15.292841648590022</v>
      </c>
      <c r="L292" s="5">
        <v>7.8</v>
      </c>
      <c r="M292" s="5">
        <f>61.6*(100/(100-L292))</f>
        <v>66.811279826464215</v>
      </c>
      <c r="N292" s="5">
        <f>16.5*(100/(100-L292))</f>
        <v>17.895878524945772</v>
      </c>
      <c r="O292" s="5" t="s">
        <v>291</v>
      </c>
      <c r="P292" s="5" t="s">
        <v>291</v>
      </c>
      <c r="Q292" s="5" t="s">
        <v>291</v>
      </c>
      <c r="R292" s="5">
        <v>780</v>
      </c>
      <c r="S292" s="5" t="s">
        <v>39</v>
      </c>
      <c r="T292" s="5" t="s">
        <v>254</v>
      </c>
      <c r="U292" s="5" t="s">
        <v>291</v>
      </c>
      <c r="V292" s="5">
        <v>0.8</v>
      </c>
      <c r="W292" s="5" t="s">
        <v>291</v>
      </c>
      <c r="X292" s="5" t="s">
        <v>161</v>
      </c>
      <c r="Y292" s="5" t="s">
        <v>79</v>
      </c>
      <c r="Z292" s="5" t="s">
        <v>295</v>
      </c>
      <c r="AA292" s="5">
        <v>0</v>
      </c>
      <c r="AB292" s="5" t="s">
        <v>294</v>
      </c>
      <c r="AC292" s="5" t="s">
        <v>291</v>
      </c>
      <c r="AD292" s="5">
        <v>51.5</v>
      </c>
      <c r="AE292" s="5">
        <v>22</v>
      </c>
      <c r="AF292" s="5">
        <v>18.5</v>
      </c>
      <c r="AG292" s="5">
        <v>6</v>
      </c>
      <c r="AH292" s="5">
        <f t="shared" si="172"/>
        <v>2</v>
      </c>
      <c r="AI292" s="5">
        <v>11.9</v>
      </c>
      <c r="AJ292" s="5">
        <v>20</v>
      </c>
      <c r="AK292" s="5">
        <v>1.1324500000000002</v>
      </c>
      <c r="AL292" s="5">
        <v>62.480000000000011</v>
      </c>
      <c r="AM292" s="5">
        <f t="shared" si="170"/>
        <v>109.20886075949366</v>
      </c>
      <c r="AN292" s="5">
        <f>100*(AK292/F292)*(AE292*Calculations!$B$5*Calculations!$B$9+AF292*Calculations!$B$6*Calculations!$B$10+AG292*Calculations!$B$7*Calculations!$B$11)</f>
        <v>61.403852721477605</v>
      </c>
      <c r="AO292" s="11" t="s">
        <v>253</v>
      </c>
    </row>
    <row r="293" spans="1:41" x14ac:dyDescent="0.3">
      <c r="A293" s="11">
        <v>292</v>
      </c>
      <c r="B293" s="3" t="s">
        <v>288</v>
      </c>
      <c r="C293" s="3" t="s">
        <v>159</v>
      </c>
      <c r="D293" s="5">
        <v>5</v>
      </c>
      <c r="E293" s="5">
        <v>12.339800000000002</v>
      </c>
      <c r="F293" s="5">
        <v>43.7</v>
      </c>
      <c r="G293" s="5">
        <v>6.1</v>
      </c>
      <c r="H293" s="5">
        <v>0.4</v>
      </c>
      <c r="I293" s="5" t="s">
        <v>291</v>
      </c>
      <c r="J293" s="5">
        <f t="shared" si="171"/>
        <v>49.8</v>
      </c>
      <c r="K293" s="5">
        <f>14.1*(100/(100-L293))</f>
        <v>15.292841648590022</v>
      </c>
      <c r="L293" s="5">
        <v>7.8</v>
      </c>
      <c r="M293" s="5">
        <f>61.6*(100/(100-L293))</f>
        <v>66.811279826464215</v>
      </c>
      <c r="N293" s="5">
        <f>16.5*(100/(100-L293))</f>
        <v>17.895878524945772</v>
      </c>
      <c r="O293" s="5" t="s">
        <v>291</v>
      </c>
      <c r="P293" s="5" t="s">
        <v>291</v>
      </c>
      <c r="Q293" s="5" t="s">
        <v>291</v>
      </c>
      <c r="R293" s="5">
        <v>750</v>
      </c>
      <c r="S293" s="5" t="s">
        <v>39</v>
      </c>
      <c r="T293" s="5" t="s">
        <v>254</v>
      </c>
      <c r="U293" s="5" t="s">
        <v>291</v>
      </c>
      <c r="V293" s="5">
        <v>0.8</v>
      </c>
      <c r="W293" s="5" t="s">
        <v>291</v>
      </c>
      <c r="X293" s="5" t="s">
        <v>161</v>
      </c>
      <c r="Y293" s="5" t="s">
        <v>79</v>
      </c>
      <c r="Z293" s="5" t="s">
        <v>295</v>
      </c>
      <c r="AA293" s="5">
        <v>0</v>
      </c>
      <c r="AB293" s="5" t="s">
        <v>294</v>
      </c>
      <c r="AC293" s="5" t="s">
        <v>291</v>
      </c>
      <c r="AD293" s="5">
        <v>49</v>
      </c>
      <c r="AE293" s="5">
        <v>23</v>
      </c>
      <c r="AF293" s="5">
        <v>17.5</v>
      </c>
      <c r="AG293" s="5">
        <v>6</v>
      </c>
      <c r="AH293" s="5">
        <f t="shared" si="172"/>
        <v>4.5</v>
      </c>
      <c r="AI293" s="5">
        <v>12.4</v>
      </c>
      <c r="AJ293" s="5">
        <v>33.070866141732289</v>
      </c>
      <c r="AK293" s="5">
        <v>0.99187000000000014</v>
      </c>
      <c r="AL293" s="5">
        <v>85.910000000000011</v>
      </c>
      <c r="AM293" s="5">
        <f t="shared" si="170"/>
        <v>99.670886075949383</v>
      </c>
      <c r="AN293" s="5">
        <f>100*(AK293/F293)*(AE293*Calculations!$B$5*Calculations!$B$9+AF293*Calculations!$B$6*Calculations!$B$10+AG293*Calculations!$B$7*Calculations!$B$11)</f>
        <v>53.6645767522066</v>
      </c>
      <c r="AO293" s="11" t="s">
        <v>253</v>
      </c>
    </row>
    <row r="294" spans="1:41" x14ac:dyDescent="0.3">
      <c r="A294" s="11">
        <v>293</v>
      </c>
      <c r="B294" s="3" t="s">
        <v>288</v>
      </c>
      <c r="C294" s="3" t="s">
        <v>159</v>
      </c>
      <c r="D294" s="5">
        <v>5</v>
      </c>
      <c r="E294" s="5">
        <v>12.339800000000002</v>
      </c>
      <c r="F294" s="5">
        <v>43.7</v>
      </c>
      <c r="G294" s="5">
        <v>6.1</v>
      </c>
      <c r="H294" s="5">
        <v>0.4</v>
      </c>
      <c r="I294" s="5" t="s">
        <v>291</v>
      </c>
      <c r="J294" s="5">
        <f t="shared" si="171"/>
        <v>49.8</v>
      </c>
      <c r="K294" s="5">
        <f>14.1*(100/(100-L294))</f>
        <v>15.292841648590022</v>
      </c>
      <c r="L294" s="5">
        <v>7.8</v>
      </c>
      <c r="M294" s="5">
        <f>61.6*(100/(100-L294))</f>
        <v>66.811279826464215</v>
      </c>
      <c r="N294" s="5">
        <f>16.5*(100/(100-L294))</f>
        <v>17.895878524945772</v>
      </c>
      <c r="O294" s="5" t="s">
        <v>291</v>
      </c>
      <c r="P294" s="5" t="s">
        <v>291</v>
      </c>
      <c r="Q294" s="5" t="s">
        <v>291</v>
      </c>
      <c r="R294" s="5">
        <v>700</v>
      </c>
      <c r="S294" s="5" t="s">
        <v>39</v>
      </c>
      <c r="T294" s="5" t="s">
        <v>254</v>
      </c>
      <c r="U294" s="5" t="s">
        <v>291</v>
      </c>
      <c r="V294" s="5">
        <v>0.8</v>
      </c>
      <c r="W294" s="5" t="s">
        <v>291</v>
      </c>
      <c r="X294" s="5" t="s">
        <v>161</v>
      </c>
      <c r="Y294" s="5" t="s">
        <v>79</v>
      </c>
      <c r="Z294" s="5" t="s">
        <v>295</v>
      </c>
      <c r="AA294" s="5">
        <v>0</v>
      </c>
      <c r="AB294" s="5" t="s">
        <v>294</v>
      </c>
      <c r="AC294" s="5" t="s">
        <v>291</v>
      </c>
      <c r="AD294" s="5">
        <v>44</v>
      </c>
      <c r="AE294" s="5">
        <v>27.5</v>
      </c>
      <c r="AF294" s="5">
        <v>16</v>
      </c>
      <c r="AG294" s="5">
        <v>7.5</v>
      </c>
      <c r="AH294" s="5">
        <f t="shared" si="172"/>
        <v>5</v>
      </c>
      <c r="AI294" s="5">
        <v>13.25</v>
      </c>
      <c r="AJ294" s="5">
        <v>55.670103092783506</v>
      </c>
      <c r="AK294" s="5">
        <v>0.75757000000000008</v>
      </c>
      <c r="AL294" s="5">
        <v>121.05500000000002</v>
      </c>
      <c r="AM294" s="5">
        <f t="shared" si="170"/>
        <v>81.344936708860757</v>
      </c>
      <c r="AN294" s="5">
        <f>100*(AK294/F294)*(AE294*Calculations!$B$5*Calculations!$B$9+AF294*Calculations!$B$6*Calculations!$B$10+AG294*Calculations!$B$7*Calculations!$B$11)</f>
        <v>44.676415337937229</v>
      </c>
      <c r="AO294" s="11" t="s">
        <v>253</v>
      </c>
    </row>
    <row r="295" spans="1:41" x14ac:dyDescent="0.3">
      <c r="A295" s="11">
        <v>294</v>
      </c>
      <c r="B295" s="3" t="s">
        <v>288</v>
      </c>
      <c r="C295" s="3" t="s">
        <v>159</v>
      </c>
      <c r="D295" s="5">
        <v>5</v>
      </c>
      <c r="E295" s="5">
        <v>12.339800000000002</v>
      </c>
      <c r="F295" s="5">
        <v>43.7</v>
      </c>
      <c r="G295" s="5">
        <v>6.1</v>
      </c>
      <c r="H295" s="5">
        <v>0.4</v>
      </c>
      <c r="I295" s="5" t="s">
        <v>291</v>
      </c>
      <c r="J295" s="5">
        <f t="shared" si="171"/>
        <v>49.8</v>
      </c>
      <c r="K295" s="5">
        <f>14.1*(100/(100-L295))</f>
        <v>15.292841648590022</v>
      </c>
      <c r="L295" s="5">
        <v>7.8</v>
      </c>
      <c r="M295" s="5">
        <f>61.6*(100/(100-L295))</f>
        <v>66.811279826464215</v>
      </c>
      <c r="N295" s="5">
        <f>16.5*(100/(100-L295))</f>
        <v>17.895878524945772</v>
      </c>
      <c r="O295" s="5" t="s">
        <v>291</v>
      </c>
      <c r="P295" s="5" t="s">
        <v>291</v>
      </c>
      <c r="Q295" s="5" t="s">
        <v>291</v>
      </c>
      <c r="R295" s="5">
        <v>650</v>
      </c>
      <c r="S295" s="5" t="s">
        <v>39</v>
      </c>
      <c r="T295" s="5" t="s">
        <v>254</v>
      </c>
      <c r="U295" s="5" t="s">
        <v>291</v>
      </c>
      <c r="V295" s="5">
        <v>0.8</v>
      </c>
      <c r="W295" s="5" t="s">
        <v>291</v>
      </c>
      <c r="X295" s="5" t="s">
        <v>161</v>
      </c>
      <c r="Y295" s="5" t="s">
        <v>79</v>
      </c>
      <c r="Z295" s="5" t="s">
        <v>295</v>
      </c>
      <c r="AA295" s="5">
        <v>0</v>
      </c>
      <c r="AB295" s="5" t="s">
        <v>294</v>
      </c>
      <c r="AC295" s="5" t="s">
        <v>291</v>
      </c>
      <c r="AD295" s="5">
        <v>37</v>
      </c>
      <c r="AE295" s="5">
        <v>34</v>
      </c>
      <c r="AF295" s="5">
        <v>16.5</v>
      </c>
      <c r="AG295" s="5">
        <v>8.5</v>
      </c>
      <c r="AH295" s="5">
        <f t="shared" si="172"/>
        <v>4</v>
      </c>
      <c r="AI295" s="5">
        <v>13.75</v>
      </c>
      <c r="AJ295" s="5">
        <v>101.42857142857143</v>
      </c>
      <c r="AK295" s="5">
        <v>0.54670000000000007</v>
      </c>
      <c r="AL295" s="5">
        <v>175.72500000000002</v>
      </c>
      <c r="AM295" s="5">
        <f t="shared" si="170"/>
        <v>60.917721518987342</v>
      </c>
      <c r="AN295" s="5">
        <f>100*(AK295/F295)*(AE295*Calculations!$B$5*Calculations!$B$9+AF295*Calculations!$B$6*Calculations!$B$10+AG295*Calculations!$B$7*Calculations!$B$11)</f>
        <v>37.167848083524028</v>
      </c>
      <c r="AO295" s="11" t="s">
        <v>253</v>
      </c>
    </row>
    <row r="296" spans="1:41" x14ac:dyDescent="0.3">
      <c r="A296" s="11">
        <v>295</v>
      </c>
      <c r="B296" s="3" t="s">
        <v>289</v>
      </c>
      <c r="C296" s="3" t="s">
        <v>93</v>
      </c>
      <c r="D296" s="5">
        <v>2</v>
      </c>
      <c r="E296" s="5">
        <v>16.058000000000003</v>
      </c>
      <c r="F296" s="5">
        <v>41.8</v>
      </c>
      <c r="G296" s="5">
        <v>5.3</v>
      </c>
      <c r="H296" s="5">
        <v>0.2</v>
      </c>
      <c r="I296" s="5" t="s">
        <v>291</v>
      </c>
      <c r="J296" s="5">
        <f t="shared" si="171"/>
        <v>52.7</v>
      </c>
      <c r="K296" s="5">
        <f>2.1*(100/(100-L296))</f>
        <v>2.3622047244094491</v>
      </c>
      <c r="L296" s="5">
        <v>11.1</v>
      </c>
      <c r="M296" s="5">
        <f>74.4*(100/(100-L296))</f>
        <v>83.689538807649058</v>
      </c>
      <c r="N296" s="5">
        <f>12.4*(100/(100-L296))</f>
        <v>13.948256467941508</v>
      </c>
      <c r="O296" s="5" t="s">
        <v>291</v>
      </c>
      <c r="P296" s="5" t="s">
        <v>291</v>
      </c>
      <c r="Q296" s="5" t="s">
        <v>291</v>
      </c>
      <c r="R296" s="5">
        <v>780</v>
      </c>
      <c r="S296" s="5" t="s">
        <v>39</v>
      </c>
      <c r="T296" s="5" t="s">
        <v>254</v>
      </c>
      <c r="U296" s="5" t="s">
        <v>291</v>
      </c>
      <c r="V296" s="5">
        <v>0.8</v>
      </c>
      <c r="W296" s="5" t="s">
        <v>291</v>
      </c>
      <c r="X296" s="5" t="s">
        <v>161</v>
      </c>
      <c r="Y296" s="5" t="s">
        <v>79</v>
      </c>
      <c r="Z296" s="5" t="s">
        <v>295</v>
      </c>
      <c r="AA296" s="5">
        <v>0</v>
      </c>
      <c r="AB296" s="5" t="s">
        <v>294</v>
      </c>
      <c r="AC296" s="5" t="s">
        <v>291</v>
      </c>
      <c r="AD296" s="5">
        <v>51.5</v>
      </c>
      <c r="AE296" s="5">
        <v>22</v>
      </c>
      <c r="AF296" s="5">
        <v>17</v>
      </c>
      <c r="AG296" s="5">
        <v>7</v>
      </c>
      <c r="AH296" s="5">
        <f t="shared" si="172"/>
        <v>2.5</v>
      </c>
      <c r="AI296" s="5">
        <v>12.55</v>
      </c>
      <c r="AJ296" s="5">
        <v>32.173913043478265</v>
      </c>
      <c r="AK296" s="5">
        <v>0.99820000000000009</v>
      </c>
      <c r="AL296" s="5">
        <v>173.60000000000002</v>
      </c>
      <c r="AM296" s="5">
        <f t="shared" si="170"/>
        <v>78.013513513513516</v>
      </c>
      <c r="AN296" s="5">
        <f>100*(AK296/F296)*(AE296*Calculations!$B$5*Calculations!$B$9+AF296*Calculations!$B$6*Calculations!$B$10+AG296*Calculations!$B$7*Calculations!$B$11)</f>
        <v>55.827132416267936</v>
      </c>
      <c r="AO296" s="11" t="s">
        <v>253</v>
      </c>
    </row>
    <row r="297" spans="1:41" x14ac:dyDescent="0.3">
      <c r="A297" s="11">
        <v>296</v>
      </c>
      <c r="B297" s="3" t="s">
        <v>289</v>
      </c>
      <c r="C297" s="3" t="s">
        <v>93</v>
      </c>
      <c r="D297" s="5">
        <v>2</v>
      </c>
      <c r="E297" s="5">
        <v>16.058000000000003</v>
      </c>
      <c r="F297" s="5">
        <v>41.8</v>
      </c>
      <c r="G297" s="5">
        <v>5.3</v>
      </c>
      <c r="H297" s="5">
        <v>0.2</v>
      </c>
      <c r="I297" s="5" t="s">
        <v>291</v>
      </c>
      <c r="J297" s="5">
        <f t="shared" si="171"/>
        <v>52.7</v>
      </c>
      <c r="K297" s="5">
        <f>2.1*(100/(100-L297))</f>
        <v>2.3622047244094491</v>
      </c>
      <c r="L297" s="5">
        <v>11.1</v>
      </c>
      <c r="M297" s="5">
        <f>74.4*(100/(100-L297))</f>
        <v>83.689538807649058</v>
      </c>
      <c r="N297" s="5">
        <f>12.4*(100/(100-L297))</f>
        <v>13.948256467941508</v>
      </c>
      <c r="O297" s="5" t="s">
        <v>291</v>
      </c>
      <c r="P297" s="5" t="s">
        <v>291</v>
      </c>
      <c r="Q297" s="5" t="s">
        <v>291</v>
      </c>
      <c r="R297" s="5">
        <v>750</v>
      </c>
      <c r="S297" s="5" t="s">
        <v>39</v>
      </c>
      <c r="T297" s="5" t="s">
        <v>254</v>
      </c>
      <c r="U297" s="5" t="s">
        <v>291</v>
      </c>
      <c r="V297" s="5">
        <v>0.8</v>
      </c>
      <c r="W297" s="5" t="s">
        <v>291</v>
      </c>
      <c r="X297" s="5" t="s">
        <v>161</v>
      </c>
      <c r="Y297" s="5" t="s">
        <v>79</v>
      </c>
      <c r="Z297" s="5" t="s">
        <v>295</v>
      </c>
      <c r="AA297" s="5">
        <v>0</v>
      </c>
      <c r="AB297" s="5" t="s">
        <v>294</v>
      </c>
      <c r="AC297" s="5" t="s">
        <v>291</v>
      </c>
      <c r="AD297" s="5">
        <v>51.5</v>
      </c>
      <c r="AE297" s="5">
        <v>22</v>
      </c>
      <c r="AF297" s="5">
        <v>18</v>
      </c>
      <c r="AG297" s="5">
        <v>6</v>
      </c>
      <c r="AH297" s="5">
        <f t="shared" si="172"/>
        <v>2.5</v>
      </c>
      <c r="AI297" s="5">
        <v>12.6</v>
      </c>
      <c r="AJ297" s="5">
        <v>48.514851485148512</v>
      </c>
      <c r="AK297" s="5">
        <v>0.87668000000000013</v>
      </c>
      <c r="AL297" s="5">
        <v>190.96000000000004</v>
      </c>
      <c r="AM297" s="5">
        <f t="shared" si="170"/>
        <v>68.789189189189187</v>
      </c>
      <c r="AN297" s="5">
        <f>100*(AK297/F297)*(AE297*Calculations!$B$5*Calculations!$B$9+AF297*Calculations!$B$6*Calculations!$B$10+AG297*Calculations!$B$7*Calculations!$B$11)</f>
        <v>49.129884258373217</v>
      </c>
      <c r="AO297" s="11" t="s">
        <v>253</v>
      </c>
    </row>
    <row r="298" spans="1:41" x14ac:dyDescent="0.3">
      <c r="A298" s="11">
        <v>297</v>
      </c>
      <c r="B298" s="3" t="s">
        <v>289</v>
      </c>
      <c r="C298" s="3" t="s">
        <v>93</v>
      </c>
      <c r="D298" s="5">
        <v>2</v>
      </c>
      <c r="E298" s="5">
        <v>16.058000000000003</v>
      </c>
      <c r="F298" s="5">
        <v>41.8</v>
      </c>
      <c r="G298" s="5">
        <v>5.3</v>
      </c>
      <c r="H298" s="5">
        <v>0.2</v>
      </c>
      <c r="I298" s="5" t="s">
        <v>291</v>
      </c>
      <c r="J298" s="5">
        <f t="shared" si="171"/>
        <v>52.7</v>
      </c>
      <c r="K298" s="5">
        <f>2.1*(100/(100-L298))</f>
        <v>2.3622047244094491</v>
      </c>
      <c r="L298" s="5">
        <v>11.1</v>
      </c>
      <c r="M298" s="5">
        <f>74.4*(100/(100-L298))</f>
        <v>83.689538807649058</v>
      </c>
      <c r="N298" s="5">
        <f>12.4*(100/(100-L298))</f>
        <v>13.948256467941508</v>
      </c>
      <c r="O298" s="5" t="s">
        <v>291</v>
      </c>
      <c r="P298" s="5" t="s">
        <v>291</v>
      </c>
      <c r="Q298" s="5" t="s">
        <v>291</v>
      </c>
      <c r="R298" s="5">
        <v>700</v>
      </c>
      <c r="S298" s="5" t="s">
        <v>39</v>
      </c>
      <c r="T298" s="5" t="s">
        <v>254</v>
      </c>
      <c r="U298" s="5" t="s">
        <v>291</v>
      </c>
      <c r="V298" s="5">
        <v>0.8</v>
      </c>
      <c r="W298" s="5" t="s">
        <v>291</v>
      </c>
      <c r="X298" s="5" t="s">
        <v>161</v>
      </c>
      <c r="Y298" s="5" t="s">
        <v>79</v>
      </c>
      <c r="Z298" s="5" t="s">
        <v>295</v>
      </c>
      <c r="AA298" s="5">
        <v>0</v>
      </c>
      <c r="AB298" s="5" t="s">
        <v>294</v>
      </c>
      <c r="AC298" s="5" t="s">
        <v>291</v>
      </c>
      <c r="AD298" s="5">
        <v>46</v>
      </c>
      <c r="AE298" s="5">
        <v>20</v>
      </c>
      <c r="AF298" s="5">
        <v>21</v>
      </c>
      <c r="AG298" s="5">
        <v>9</v>
      </c>
      <c r="AH298" s="5">
        <f t="shared" si="172"/>
        <v>4</v>
      </c>
      <c r="AI298" s="5">
        <v>13</v>
      </c>
      <c r="AJ298" s="5">
        <v>73.749999999999986</v>
      </c>
      <c r="AK298" s="5">
        <v>0.69440000000000013</v>
      </c>
      <c r="AL298" s="5">
        <v>195.3</v>
      </c>
      <c r="AM298" s="5">
        <f t="shared" si="170"/>
        <v>56.216216216216218</v>
      </c>
      <c r="AN298" s="5">
        <f>100*(AK298/F298)*(AE298*Calculations!$B$5*Calculations!$B$9+AF298*Calculations!$B$6*Calculations!$B$10+AG298*Calculations!$B$7*Calculations!$B$11)</f>
        <v>42.438436363636377</v>
      </c>
      <c r="AO298" s="11" t="s">
        <v>253</v>
      </c>
    </row>
    <row r="299" spans="1:41" x14ac:dyDescent="0.3">
      <c r="A299" s="11">
        <v>298</v>
      </c>
      <c r="B299" s="3" t="s">
        <v>289</v>
      </c>
      <c r="C299" s="3" t="s">
        <v>93</v>
      </c>
      <c r="D299" s="5">
        <v>2</v>
      </c>
      <c r="E299" s="5">
        <v>16.058000000000003</v>
      </c>
      <c r="F299" s="5">
        <v>41.8</v>
      </c>
      <c r="G299" s="5">
        <v>5.3</v>
      </c>
      <c r="H299" s="5">
        <v>0.2</v>
      </c>
      <c r="I299" s="5" t="s">
        <v>291</v>
      </c>
      <c r="J299" s="5">
        <f t="shared" si="171"/>
        <v>52.7</v>
      </c>
      <c r="K299" s="5">
        <f>2.1*(100/(100-L299))</f>
        <v>2.3622047244094491</v>
      </c>
      <c r="L299" s="5">
        <v>11.1</v>
      </c>
      <c r="M299" s="5">
        <f>74.4*(100/(100-L299))</f>
        <v>83.689538807649058</v>
      </c>
      <c r="N299" s="5">
        <f>12.4*(100/(100-L299))</f>
        <v>13.948256467941508</v>
      </c>
      <c r="O299" s="5" t="s">
        <v>291</v>
      </c>
      <c r="P299" s="5" t="s">
        <v>291</v>
      </c>
      <c r="Q299" s="5" t="s">
        <v>291</v>
      </c>
      <c r="R299" s="5">
        <v>650</v>
      </c>
      <c r="S299" s="5" t="s">
        <v>39</v>
      </c>
      <c r="T299" s="5" t="s">
        <v>254</v>
      </c>
      <c r="U299" s="5" t="s">
        <v>291</v>
      </c>
      <c r="V299" s="5">
        <v>0.8</v>
      </c>
      <c r="W299" s="5" t="s">
        <v>291</v>
      </c>
      <c r="X299" s="5" t="s">
        <v>161</v>
      </c>
      <c r="Y299" s="5" t="s">
        <v>79</v>
      </c>
      <c r="Z299" s="5" t="s">
        <v>295</v>
      </c>
      <c r="AA299" s="5">
        <v>0</v>
      </c>
      <c r="AB299" s="5" t="s">
        <v>294</v>
      </c>
      <c r="AC299" s="5" t="s">
        <v>291</v>
      </c>
      <c r="AD299" s="5">
        <v>38</v>
      </c>
      <c r="AE299" s="5">
        <v>27.5</v>
      </c>
      <c r="AF299" s="5">
        <v>20</v>
      </c>
      <c r="AG299" s="5">
        <v>9</v>
      </c>
      <c r="AH299" s="5">
        <f t="shared" si="172"/>
        <v>5.5</v>
      </c>
      <c r="AI299" s="5">
        <v>13.3</v>
      </c>
      <c r="AJ299" s="5">
        <v>103.03030303030303</v>
      </c>
      <c r="AK299" s="5">
        <v>0.57288000000000006</v>
      </c>
      <c r="AL299" s="5">
        <v>203.98000000000002</v>
      </c>
      <c r="AM299" s="5">
        <f t="shared" si="170"/>
        <v>47.44864864864865</v>
      </c>
      <c r="AN299" s="5">
        <f>100*(AK299/F299)*(AE299*Calculations!$B$5*Calculations!$B$9+AF299*Calculations!$B$6*Calculations!$B$10+AG299*Calculations!$B$7*Calculations!$B$11)</f>
        <v>39.293625789473687</v>
      </c>
      <c r="AO299" s="11" t="s">
        <v>253</v>
      </c>
    </row>
    <row r="300" spans="1:41" x14ac:dyDescent="0.3">
      <c r="A300" s="11">
        <v>299</v>
      </c>
      <c r="B300" s="3" t="s">
        <v>288</v>
      </c>
      <c r="C300" s="3" t="s">
        <v>290</v>
      </c>
      <c r="D300" s="5" t="s">
        <v>291</v>
      </c>
      <c r="E300" s="5">
        <v>12.300400000000002</v>
      </c>
      <c r="F300" s="5">
        <v>40.799999999999997</v>
      </c>
      <c r="G300" s="5">
        <v>5.5</v>
      </c>
      <c r="H300" s="5">
        <v>0.3</v>
      </c>
      <c r="I300" s="5" t="s">
        <v>291</v>
      </c>
      <c r="J300" s="5">
        <f t="shared" si="171"/>
        <v>53.400000000000006</v>
      </c>
      <c r="K300" s="5">
        <f>13.6*(100/(100-L300))</f>
        <v>15.111111111111111</v>
      </c>
      <c r="L300" s="5">
        <v>10</v>
      </c>
      <c r="M300" s="5">
        <f>60.7*(100/(100-L300))</f>
        <v>67.444444444444457</v>
      </c>
      <c r="N300" s="5">
        <f>15.7*(100/(100-L300))</f>
        <v>17.444444444444443</v>
      </c>
      <c r="O300" s="5" t="s">
        <v>291</v>
      </c>
      <c r="P300" s="5" t="s">
        <v>291</v>
      </c>
      <c r="Q300" s="5" t="s">
        <v>291</v>
      </c>
      <c r="R300" s="5">
        <v>780</v>
      </c>
      <c r="S300" s="5" t="s">
        <v>39</v>
      </c>
      <c r="T300" s="5" t="s">
        <v>254</v>
      </c>
      <c r="U300" s="5" t="s">
        <v>291</v>
      </c>
      <c r="V300" s="5">
        <v>0.8</v>
      </c>
      <c r="W300" s="5" t="s">
        <v>291</v>
      </c>
      <c r="X300" s="5" t="s">
        <v>161</v>
      </c>
      <c r="Y300" s="5" t="s">
        <v>79</v>
      </c>
      <c r="Z300" s="5" t="s">
        <v>295</v>
      </c>
      <c r="AA300" s="5">
        <v>0</v>
      </c>
      <c r="AB300" s="5" t="s">
        <v>294</v>
      </c>
      <c r="AC300" s="5" t="s">
        <v>291</v>
      </c>
      <c r="AD300" s="5">
        <v>51.5</v>
      </c>
      <c r="AE300" s="5">
        <v>22</v>
      </c>
      <c r="AF300" s="5">
        <v>18.5</v>
      </c>
      <c r="AG300" s="5">
        <v>7</v>
      </c>
      <c r="AH300" s="5">
        <f t="shared" si="172"/>
        <v>1</v>
      </c>
      <c r="AI300" s="5">
        <v>11.7</v>
      </c>
      <c r="AJ300" s="5">
        <v>35.714285714285715</v>
      </c>
      <c r="AK300" s="5">
        <v>0.85568000000000011</v>
      </c>
      <c r="AL300" s="5">
        <v>137.52000000000001</v>
      </c>
      <c r="AM300" s="5">
        <f t="shared" si="170"/>
        <v>81.391304347826079</v>
      </c>
      <c r="AN300" s="5">
        <f>100*(AK300/F300)*(AE300*Calculations!$B$5*Calculations!$B$9+AF300*Calculations!$B$6*Calculations!$B$10+AG300*Calculations!$B$7*Calculations!$B$11)</f>
        <v>50.728027058823528</v>
      </c>
      <c r="AO300" s="11" t="s">
        <v>253</v>
      </c>
    </row>
    <row r="301" spans="1:41" x14ac:dyDescent="0.3">
      <c r="A301" s="11">
        <v>300</v>
      </c>
      <c r="B301" s="3" t="s">
        <v>288</v>
      </c>
      <c r="C301" s="3" t="s">
        <v>290</v>
      </c>
      <c r="D301" s="5" t="s">
        <v>291</v>
      </c>
      <c r="E301" s="5">
        <v>12.300400000000002</v>
      </c>
      <c r="F301" s="5">
        <v>40.799999999999997</v>
      </c>
      <c r="G301" s="5">
        <v>5.5</v>
      </c>
      <c r="H301" s="5">
        <v>0.3</v>
      </c>
      <c r="I301" s="5" t="s">
        <v>291</v>
      </c>
      <c r="J301" s="5">
        <f t="shared" si="171"/>
        <v>53.400000000000006</v>
      </c>
      <c r="K301" s="5">
        <f>13.6*(100/(100-L301))</f>
        <v>15.111111111111111</v>
      </c>
      <c r="L301" s="5">
        <v>10</v>
      </c>
      <c r="M301" s="5">
        <f>60.7*(100/(100-L301))</f>
        <v>67.444444444444457</v>
      </c>
      <c r="N301" s="5">
        <f>15.7*(100/(100-L301))</f>
        <v>17.444444444444443</v>
      </c>
      <c r="O301" s="5" t="s">
        <v>291</v>
      </c>
      <c r="P301" s="5" t="s">
        <v>291</v>
      </c>
      <c r="Q301" s="5" t="s">
        <v>291</v>
      </c>
      <c r="R301" s="5">
        <v>750</v>
      </c>
      <c r="S301" s="5" t="s">
        <v>39</v>
      </c>
      <c r="T301" s="5" t="s">
        <v>254</v>
      </c>
      <c r="U301" s="5" t="s">
        <v>291</v>
      </c>
      <c r="V301" s="5">
        <v>0.8</v>
      </c>
      <c r="W301" s="5" t="s">
        <v>291</v>
      </c>
      <c r="X301" s="5" t="s">
        <v>161</v>
      </c>
      <c r="Y301" s="5" t="s">
        <v>79</v>
      </c>
      <c r="Z301" s="5" t="s">
        <v>295</v>
      </c>
      <c r="AA301" s="5">
        <v>0</v>
      </c>
      <c r="AB301" s="5" t="s">
        <v>294</v>
      </c>
      <c r="AC301" s="5" t="s">
        <v>291</v>
      </c>
      <c r="AD301" s="5">
        <v>53</v>
      </c>
      <c r="AE301" s="5">
        <v>18</v>
      </c>
      <c r="AF301" s="5">
        <v>18.5</v>
      </c>
      <c r="AG301" s="5">
        <v>6</v>
      </c>
      <c r="AH301" s="5">
        <f t="shared" si="172"/>
        <v>4.5</v>
      </c>
      <c r="AI301" s="5">
        <v>12.1</v>
      </c>
      <c r="AJ301" s="5">
        <v>44.660194174757272</v>
      </c>
      <c r="AK301" s="5">
        <v>0.78692000000000006</v>
      </c>
      <c r="AL301" s="5">
        <v>145.16</v>
      </c>
      <c r="AM301" s="5">
        <f t="shared" si="170"/>
        <v>77.409937888198741</v>
      </c>
      <c r="AN301" s="5">
        <f>100*(AK301/F301)*(AE301*Calculations!$B$5*Calculations!$B$9+AF301*Calculations!$B$6*Calculations!$B$10+AG301*Calculations!$B$7*Calculations!$B$11)</f>
        <v>41.932007584033606</v>
      </c>
      <c r="AO301" s="11" t="s">
        <v>253</v>
      </c>
    </row>
    <row r="302" spans="1:41" x14ac:dyDescent="0.3">
      <c r="A302" s="11">
        <v>301</v>
      </c>
      <c r="B302" s="3" t="s">
        <v>288</v>
      </c>
      <c r="C302" s="3" t="s">
        <v>290</v>
      </c>
      <c r="D302" s="5" t="s">
        <v>291</v>
      </c>
      <c r="E302" s="5">
        <v>12.300400000000002</v>
      </c>
      <c r="F302" s="5">
        <v>40.799999999999997</v>
      </c>
      <c r="G302" s="5">
        <v>5.5</v>
      </c>
      <c r="H302" s="5">
        <v>0.3</v>
      </c>
      <c r="I302" s="5" t="s">
        <v>291</v>
      </c>
      <c r="J302" s="5">
        <f t="shared" si="171"/>
        <v>53.400000000000006</v>
      </c>
      <c r="K302" s="5">
        <f>13.6*(100/(100-L302))</f>
        <v>15.111111111111111</v>
      </c>
      <c r="L302" s="5">
        <v>10</v>
      </c>
      <c r="M302" s="5">
        <f>60.7*(100/(100-L302))</f>
        <v>67.444444444444457</v>
      </c>
      <c r="N302" s="5">
        <f>15.7*(100/(100-L302))</f>
        <v>17.444444444444443</v>
      </c>
      <c r="O302" s="5" t="s">
        <v>291</v>
      </c>
      <c r="P302" s="5" t="s">
        <v>291</v>
      </c>
      <c r="Q302" s="5" t="s">
        <v>291</v>
      </c>
      <c r="R302" s="5">
        <v>700</v>
      </c>
      <c r="S302" s="5" t="s">
        <v>39</v>
      </c>
      <c r="T302" s="5" t="s">
        <v>254</v>
      </c>
      <c r="U302" s="5" t="s">
        <v>291</v>
      </c>
      <c r="V302" s="5">
        <v>0.8</v>
      </c>
      <c r="W302" s="5" t="s">
        <v>291</v>
      </c>
      <c r="X302" s="5" t="s">
        <v>161</v>
      </c>
      <c r="Y302" s="5" t="s">
        <v>79</v>
      </c>
      <c r="Z302" s="5" t="s">
        <v>295</v>
      </c>
      <c r="AA302" s="5">
        <v>0</v>
      </c>
      <c r="AB302" s="5" t="s">
        <v>294</v>
      </c>
      <c r="AC302" s="5" t="s">
        <v>291</v>
      </c>
      <c r="AD302" s="5">
        <v>53</v>
      </c>
      <c r="AE302" s="5">
        <v>17.5</v>
      </c>
      <c r="AF302" s="5">
        <v>18</v>
      </c>
      <c r="AG302" s="5">
        <v>9</v>
      </c>
      <c r="AH302" s="5">
        <f t="shared" si="172"/>
        <v>2.5</v>
      </c>
      <c r="AI302" s="5">
        <v>12.4</v>
      </c>
      <c r="AJ302" s="5">
        <v>68.35443037974683</v>
      </c>
      <c r="AK302" s="5">
        <v>0.60355999999999999</v>
      </c>
      <c r="AL302" s="5">
        <v>164.26</v>
      </c>
      <c r="AM302" s="5">
        <f t="shared" si="170"/>
        <v>60.844720496894404</v>
      </c>
      <c r="AN302" s="5">
        <f>100*(AK302/F302)*(AE302*Calculations!$B$5*Calculations!$B$9+AF302*Calculations!$B$6*Calculations!$B$10+AG302*Calculations!$B$7*Calculations!$B$11)</f>
        <v>33.587448308823532</v>
      </c>
      <c r="AO302" s="11" t="s">
        <v>253</v>
      </c>
    </row>
    <row r="303" spans="1:41" x14ac:dyDescent="0.3">
      <c r="A303" s="11">
        <v>302</v>
      </c>
      <c r="B303" s="3" t="s">
        <v>288</v>
      </c>
      <c r="C303" s="3" t="s">
        <v>290</v>
      </c>
      <c r="D303" s="5" t="s">
        <v>291</v>
      </c>
      <c r="E303" s="5">
        <v>12.300400000000002</v>
      </c>
      <c r="F303" s="5">
        <v>40.799999999999997</v>
      </c>
      <c r="G303" s="5">
        <v>5.5</v>
      </c>
      <c r="H303" s="5">
        <v>0.3</v>
      </c>
      <c r="I303" s="5" t="s">
        <v>291</v>
      </c>
      <c r="J303" s="5">
        <f t="shared" si="171"/>
        <v>53.400000000000006</v>
      </c>
      <c r="K303" s="5">
        <f>13.6*(100/(100-L303))</f>
        <v>15.111111111111111</v>
      </c>
      <c r="L303" s="5">
        <v>10</v>
      </c>
      <c r="M303" s="5">
        <f>60.7*(100/(100-L303))</f>
        <v>67.444444444444457</v>
      </c>
      <c r="N303" s="5">
        <f>15.7*(100/(100-L303))</f>
        <v>17.444444444444443</v>
      </c>
      <c r="O303" s="5" t="s">
        <v>291</v>
      </c>
      <c r="P303" s="5" t="s">
        <v>291</v>
      </c>
      <c r="Q303" s="5" t="s">
        <v>291</v>
      </c>
      <c r="R303" s="5">
        <v>650</v>
      </c>
      <c r="S303" s="5" t="s">
        <v>39</v>
      </c>
      <c r="T303" s="5" t="s">
        <v>254</v>
      </c>
      <c r="U303" s="5" t="s">
        <v>291</v>
      </c>
      <c r="V303" s="5">
        <v>0.8</v>
      </c>
      <c r="W303" s="5" t="s">
        <v>291</v>
      </c>
      <c r="X303" s="5" t="s">
        <v>161</v>
      </c>
      <c r="Y303" s="5" t="s">
        <v>79</v>
      </c>
      <c r="Z303" s="5" t="s">
        <v>295</v>
      </c>
      <c r="AA303" s="5">
        <v>0</v>
      </c>
      <c r="AB303" s="5" t="s">
        <v>294</v>
      </c>
      <c r="AC303" s="5" t="s">
        <v>291</v>
      </c>
      <c r="AD303" s="5">
        <v>41.5</v>
      </c>
      <c r="AE303" s="5">
        <v>24.5</v>
      </c>
      <c r="AF303" s="5">
        <v>21.5</v>
      </c>
      <c r="AG303" s="5">
        <v>9</v>
      </c>
      <c r="AH303" s="5">
        <f t="shared" si="172"/>
        <v>3.5</v>
      </c>
      <c r="AI303" s="5">
        <v>13.1</v>
      </c>
      <c r="AJ303" s="5">
        <v>86.301369863013704</v>
      </c>
      <c r="AK303" s="5">
        <v>0.55771999999999999</v>
      </c>
      <c r="AL303" s="5">
        <v>221.56</v>
      </c>
      <c r="AM303" s="5">
        <f t="shared" si="170"/>
        <v>59.397515527950304</v>
      </c>
      <c r="AN303" s="5">
        <f>100*(AK303/F303)*(AE303*Calculations!$B$5*Calculations!$B$9+AF303*Calculations!$B$6*Calculations!$B$10+AG303*Calculations!$B$7*Calculations!$B$11)</f>
        <v>38.295064632352947</v>
      </c>
      <c r="AO303" s="11" t="s">
        <v>253</v>
      </c>
    </row>
    <row r="304" spans="1:41" x14ac:dyDescent="0.3">
      <c r="A304" s="11">
        <v>303</v>
      </c>
      <c r="B304" s="3" t="s">
        <v>289</v>
      </c>
      <c r="C304" s="3" t="s">
        <v>159</v>
      </c>
      <c r="D304" s="5">
        <f>(1+2.5)/2</f>
        <v>1.75</v>
      </c>
      <c r="E304" s="5">
        <f>19.97-(9*((G304/100*((100+L304)/100)))*Calculations!$B$16)</f>
        <v>18.536578216639999</v>
      </c>
      <c r="F304" s="5">
        <v>50.26</v>
      </c>
      <c r="G304" s="5">
        <v>6.72</v>
      </c>
      <c r="H304" s="5">
        <v>0.16</v>
      </c>
      <c r="I304" s="5">
        <v>0.2</v>
      </c>
      <c r="J304" s="5">
        <v>42.66</v>
      </c>
      <c r="K304" s="5">
        <f>0.34*(100/(100-L304))</f>
        <v>0.35793241393830938</v>
      </c>
      <c r="L304" s="5">
        <v>5.01</v>
      </c>
      <c r="M304" s="5">
        <f>77.71*(100/(100-L304))</f>
        <v>81.808611432782399</v>
      </c>
      <c r="N304" s="5">
        <f>16.94*(100/(100-L304))</f>
        <v>17.833456153279297</v>
      </c>
      <c r="O304" s="5">
        <v>43.5</v>
      </c>
      <c r="P304" s="5">
        <v>19.5</v>
      </c>
      <c r="Q304" s="5">
        <v>33</v>
      </c>
      <c r="R304" s="5">
        <v>700</v>
      </c>
      <c r="S304" s="5" t="s">
        <v>115</v>
      </c>
      <c r="T304" s="5" t="s">
        <v>291</v>
      </c>
      <c r="U304" s="5">
        <v>40</v>
      </c>
      <c r="V304" s="5">
        <v>1</v>
      </c>
      <c r="W304" s="5" t="s">
        <v>291</v>
      </c>
      <c r="X304" s="5" t="s">
        <v>161</v>
      </c>
      <c r="Y304" s="5" t="s">
        <v>79</v>
      </c>
      <c r="Z304" s="5" t="s">
        <v>295</v>
      </c>
      <c r="AA304" s="5">
        <v>0</v>
      </c>
      <c r="AB304" s="5" t="s">
        <v>294</v>
      </c>
      <c r="AC304" s="5" t="s">
        <v>291</v>
      </c>
      <c r="AD304" s="5">
        <v>51</v>
      </c>
      <c r="AE304" s="5">
        <v>19</v>
      </c>
      <c r="AF304" s="5">
        <v>17</v>
      </c>
      <c r="AG304" s="5">
        <v>13</v>
      </c>
      <c r="AH304" s="5">
        <f t="shared" si="172"/>
        <v>0</v>
      </c>
      <c r="AI304" s="5">
        <v>10.83</v>
      </c>
      <c r="AJ304" s="5">
        <v>17.5</v>
      </c>
      <c r="AK304" s="5">
        <v>1.32</v>
      </c>
      <c r="AL304" s="5" t="s">
        <v>291</v>
      </c>
      <c r="AM304" s="5">
        <f t="shared" si="170"/>
        <v>77.121029744136166</v>
      </c>
      <c r="AN304" s="5">
        <f>100*(AK304/F304)*(AE304*Calculations!$B$5*Calculations!$B$9+AF304*Calculations!$B$6*Calculations!$B$10+AG304*Calculations!$B$7*Calculations!$B$11)</f>
        <v>65.31349269512819</v>
      </c>
      <c r="AO304" s="11" t="s">
        <v>298</v>
      </c>
    </row>
    <row r="305" spans="1:41" x14ac:dyDescent="0.3">
      <c r="A305" s="11">
        <v>304</v>
      </c>
      <c r="B305" s="3" t="s">
        <v>289</v>
      </c>
      <c r="C305" s="3" t="s">
        <v>159</v>
      </c>
      <c r="D305" s="5">
        <f>(1+2.5)/2</f>
        <v>1.75</v>
      </c>
      <c r="E305" s="5">
        <f>19.97-(9*((G305/100*((100+L305)/100)))*Calculations!$B$16)</f>
        <v>18.536578216639999</v>
      </c>
      <c r="F305" s="5">
        <v>50.26</v>
      </c>
      <c r="G305" s="5">
        <v>6.72</v>
      </c>
      <c r="H305" s="5">
        <v>0.16</v>
      </c>
      <c r="I305" s="5">
        <v>0.2</v>
      </c>
      <c r="J305" s="5">
        <v>42.66</v>
      </c>
      <c r="K305" s="5">
        <f>0.34*(100/(100-L305))</f>
        <v>0.35793241393830938</v>
      </c>
      <c r="L305" s="5">
        <v>5.01</v>
      </c>
      <c r="M305" s="5">
        <f>77.71*(100/(100-L305))</f>
        <v>81.808611432782399</v>
      </c>
      <c r="N305" s="5">
        <f>16.94*(100/(100-L305))</f>
        <v>17.833456153279297</v>
      </c>
      <c r="O305" s="5">
        <v>43.5</v>
      </c>
      <c r="P305" s="5">
        <v>19.5</v>
      </c>
      <c r="Q305" s="5">
        <v>33</v>
      </c>
      <c r="R305" s="5">
        <v>800</v>
      </c>
      <c r="S305" s="5" t="s">
        <v>115</v>
      </c>
      <c r="T305" s="5" t="s">
        <v>291</v>
      </c>
      <c r="U305" s="5">
        <v>40</v>
      </c>
      <c r="V305" s="5">
        <v>1</v>
      </c>
      <c r="W305" s="5" t="s">
        <v>291</v>
      </c>
      <c r="X305" s="5" t="s">
        <v>161</v>
      </c>
      <c r="Y305" s="5" t="s">
        <v>79</v>
      </c>
      <c r="Z305" s="5" t="s">
        <v>295</v>
      </c>
      <c r="AA305" s="5">
        <v>0</v>
      </c>
      <c r="AB305" s="5" t="s">
        <v>294</v>
      </c>
      <c r="AC305" s="5" t="s">
        <v>291</v>
      </c>
      <c r="AD305" s="5">
        <v>51</v>
      </c>
      <c r="AE305" s="5" t="s">
        <v>291</v>
      </c>
      <c r="AF305" s="5" t="s">
        <v>291</v>
      </c>
      <c r="AG305" s="5" t="s">
        <v>291</v>
      </c>
      <c r="AH305" s="5" t="s">
        <v>291</v>
      </c>
      <c r="AI305" s="5">
        <v>13.45</v>
      </c>
      <c r="AJ305" s="5">
        <v>15.5</v>
      </c>
      <c r="AK305" s="5">
        <v>1.55</v>
      </c>
      <c r="AL305" s="5" t="s">
        <v>291</v>
      </c>
      <c r="AM305" s="5">
        <f t="shared" si="170"/>
        <v>112.46681969213456</v>
      </c>
      <c r="AN305" s="5" t="s">
        <v>291</v>
      </c>
      <c r="AO305" s="11" t="s">
        <v>299</v>
      </c>
    </row>
    <row r="306" spans="1:41" x14ac:dyDescent="0.3">
      <c r="A306" s="11">
        <v>305</v>
      </c>
      <c r="B306" s="3" t="s">
        <v>289</v>
      </c>
      <c r="C306" s="3" t="s">
        <v>159</v>
      </c>
      <c r="D306" s="5">
        <f>(1+2.5)/2</f>
        <v>1.75</v>
      </c>
      <c r="E306" s="5">
        <f>19.97-(9*((G306/100*((100+L306)/100)))*Calculations!$B$16)</f>
        <v>18.536578216639999</v>
      </c>
      <c r="F306" s="5">
        <v>50.26</v>
      </c>
      <c r="G306" s="5">
        <v>6.72</v>
      </c>
      <c r="H306" s="5">
        <v>0.16</v>
      </c>
      <c r="I306" s="5">
        <v>0.2</v>
      </c>
      <c r="J306" s="5">
        <v>42.66</v>
      </c>
      <c r="K306" s="5">
        <f>0.34*(100/(100-L306))</f>
        <v>0.35793241393830938</v>
      </c>
      <c r="L306" s="5">
        <v>5.01</v>
      </c>
      <c r="M306" s="5">
        <f>77.71*(100/(100-L306))</f>
        <v>81.808611432782399</v>
      </c>
      <c r="N306" s="5">
        <f>16.94*(100/(100-L306))</f>
        <v>17.833456153279297</v>
      </c>
      <c r="O306" s="5">
        <v>43.5</v>
      </c>
      <c r="P306" s="5">
        <v>19.5</v>
      </c>
      <c r="Q306" s="5">
        <v>33</v>
      </c>
      <c r="R306" s="5">
        <v>900</v>
      </c>
      <c r="S306" s="5" t="s">
        <v>115</v>
      </c>
      <c r="T306" s="5" t="s">
        <v>291</v>
      </c>
      <c r="U306" s="5">
        <v>40</v>
      </c>
      <c r="V306" s="5">
        <v>1</v>
      </c>
      <c r="W306" s="5" t="s">
        <v>291</v>
      </c>
      <c r="X306" s="5" t="s">
        <v>161</v>
      </c>
      <c r="Y306" s="5" t="s">
        <v>79</v>
      </c>
      <c r="Z306" s="5" t="s">
        <v>295</v>
      </c>
      <c r="AA306" s="5">
        <v>0</v>
      </c>
      <c r="AB306" s="5" t="s">
        <v>294</v>
      </c>
      <c r="AC306" s="5" t="s">
        <v>291</v>
      </c>
      <c r="AD306" s="5">
        <v>59</v>
      </c>
      <c r="AE306" s="5" t="s">
        <v>291</v>
      </c>
      <c r="AF306" s="5" t="s">
        <v>291</v>
      </c>
      <c r="AG306" s="5" t="s">
        <v>291</v>
      </c>
      <c r="AH306" s="5" t="s">
        <v>291</v>
      </c>
      <c r="AI306" s="5">
        <v>13.72</v>
      </c>
      <c r="AJ306" s="5">
        <v>12.5</v>
      </c>
      <c r="AK306" s="5">
        <v>1.66</v>
      </c>
      <c r="AL306" s="5" t="s">
        <v>291</v>
      </c>
      <c r="AM306" s="5">
        <f t="shared" si="170"/>
        <v>122.86625791352935</v>
      </c>
      <c r="AN306" s="5" t="s">
        <v>291</v>
      </c>
      <c r="AO306" s="11" t="s">
        <v>300</v>
      </c>
    </row>
    <row r="307" spans="1:41" x14ac:dyDescent="0.3">
      <c r="A307" s="11">
        <v>306</v>
      </c>
      <c r="B307" s="3" t="s">
        <v>289</v>
      </c>
      <c r="C307" s="3" t="s">
        <v>159</v>
      </c>
      <c r="D307" s="5">
        <f>(1+2.5)/2</f>
        <v>1.75</v>
      </c>
      <c r="E307" s="5">
        <f>19.97-(9*((G307/100*((100+L307)/100)))*Calculations!$B$16)</f>
        <v>18.536578216639999</v>
      </c>
      <c r="F307" s="5">
        <v>50.26</v>
      </c>
      <c r="G307" s="5">
        <v>6.72</v>
      </c>
      <c r="H307" s="5">
        <v>0.16</v>
      </c>
      <c r="I307" s="5">
        <v>0.2</v>
      </c>
      <c r="J307" s="5">
        <v>42.66</v>
      </c>
      <c r="K307" s="5">
        <f>0.34*(100/(100-L307))</f>
        <v>0.35793241393830938</v>
      </c>
      <c r="L307" s="5">
        <v>5.01</v>
      </c>
      <c r="M307" s="5">
        <f>77.71*(100/(100-L307))</f>
        <v>81.808611432782399</v>
      </c>
      <c r="N307" s="5">
        <f>16.94*(100/(100-L307))</f>
        <v>17.833456153279297</v>
      </c>
      <c r="O307" s="5">
        <v>43.5</v>
      </c>
      <c r="P307" s="5">
        <v>19.5</v>
      </c>
      <c r="Q307" s="5">
        <v>33</v>
      </c>
      <c r="R307" s="5">
        <v>900</v>
      </c>
      <c r="S307" s="5" t="s">
        <v>115</v>
      </c>
      <c r="T307" s="5" t="s">
        <v>291</v>
      </c>
      <c r="U307" s="5">
        <v>40</v>
      </c>
      <c r="V307" s="5">
        <v>0.5</v>
      </c>
      <c r="W307" s="5" t="s">
        <v>291</v>
      </c>
      <c r="X307" s="5" t="s">
        <v>161</v>
      </c>
      <c r="Y307" s="5" t="s">
        <v>79</v>
      </c>
      <c r="Z307" s="5" t="s">
        <v>295</v>
      </c>
      <c r="AA307" s="5">
        <v>0</v>
      </c>
      <c r="AB307" s="5" t="s">
        <v>294</v>
      </c>
      <c r="AC307" s="5" t="s">
        <v>291</v>
      </c>
      <c r="AD307" s="5">
        <v>58</v>
      </c>
      <c r="AE307" s="5" t="s">
        <v>291</v>
      </c>
      <c r="AF307" s="5" t="s">
        <v>291</v>
      </c>
      <c r="AG307" s="5" t="s">
        <v>291</v>
      </c>
      <c r="AH307" s="5" t="s">
        <v>291</v>
      </c>
      <c r="AI307" s="5">
        <v>13.12</v>
      </c>
      <c r="AJ307" s="5">
        <v>15</v>
      </c>
      <c r="AK307" s="5">
        <v>1.36</v>
      </c>
      <c r="AL307" s="5" t="s">
        <v>291</v>
      </c>
      <c r="AM307" s="5">
        <f t="shared" si="170"/>
        <v>96.259405546501753</v>
      </c>
      <c r="AN307" s="5" t="s">
        <v>291</v>
      </c>
      <c r="AO307" s="11" t="s">
        <v>301</v>
      </c>
    </row>
    <row r="308" spans="1:41" x14ac:dyDescent="0.3">
      <c r="A308" s="11">
        <v>307</v>
      </c>
      <c r="B308" s="3" t="s">
        <v>289</v>
      </c>
      <c r="C308" s="3" t="s">
        <v>42</v>
      </c>
      <c r="D308" s="5" t="s">
        <v>291</v>
      </c>
      <c r="E308" s="5">
        <v>18.600000000000001</v>
      </c>
      <c r="F308" s="5">
        <v>51.3</v>
      </c>
      <c r="G308" s="5">
        <v>5.81</v>
      </c>
      <c r="H308" s="5">
        <v>0.2</v>
      </c>
      <c r="I308" s="5">
        <v>0.1</v>
      </c>
      <c r="J308" s="5">
        <v>42.6</v>
      </c>
      <c r="K308" s="5">
        <f>0.4*(100/(100-L308))</f>
        <v>0.43478260869565216</v>
      </c>
      <c r="L308" s="5">
        <v>8</v>
      </c>
      <c r="M308" s="5">
        <f>77.4*(100/(100-L308))</f>
        <v>84.130434782608702</v>
      </c>
      <c r="N308" s="5">
        <f>14.2*(100/(100-L308))</f>
        <v>15.434782608695651</v>
      </c>
      <c r="O308" s="5" t="s">
        <v>291</v>
      </c>
      <c r="P308" s="5" t="s">
        <v>291</v>
      </c>
      <c r="Q308" s="5" t="s">
        <v>291</v>
      </c>
      <c r="R308" s="5">
        <v>700</v>
      </c>
      <c r="S308" s="5" t="s">
        <v>39</v>
      </c>
      <c r="T308" s="5" t="s">
        <v>291</v>
      </c>
      <c r="U308" s="5" t="s">
        <v>291</v>
      </c>
      <c r="V308" s="5" t="s">
        <v>291</v>
      </c>
      <c r="W308" s="5" t="s">
        <v>291</v>
      </c>
      <c r="X308" s="5" t="s">
        <v>161</v>
      </c>
      <c r="Y308" s="5" t="s">
        <v>79</v>
      </c>
      <c r="Z308" s="5" t="s">
        <v>295</v>
      </c>
      <c r="AA308" s="5">
        <v>0</v>
      </c>
      <c r="AB308" s="5" t="s">
        <v>293</v>
      </c>
      <c r="AC308" s="5" t="s">
        <v>291</v>
      </c>
      <c r="AD308" s="5">
        <v>22.5</v>
      </c>
      <c r="AE308" s="5">
        <v>40.5</v>
      </c>
      <c r="AF308" s="5">
        <v>18.5</v>
      </c>
      <c r="AG308" s="5">
        <v>14</v>
      </c>
      <c r="AH308" s="5" t="s">
        <v>291</v>
      </c>
      <c r="AI308" s="5">
        <f>(AD308*Calculations!$B$23+AE308*Calculations!$B$21+AG308*Calculations!$B$22)/100</f>
        <v>12.56616</v>
      </c>
      <c r="AJ308" s="5">
        <v>12.7</v>
      </c>
      <c r="AK308" s="5">
        <v>0.49463999999999997</v>
      </c>
      <c r="AL308" s="5" t="s">
        <v>291</v>
      </c>
      <c r="AM308" s="5">
        <f t="shared" si="170"/>
        <v>33.417878399999999</v>
      </c>
      <c r="AN308" s="5">
        <f>100*(AK308/F308)*(AE308*Calculations!$B$5*Calculations!$B$9+AF308*Calculations!$B$6*Calculations!$B$10+AG308*Calculations!$B$7*Calculations!$B$11)</f>
        <v>35.363040902255634</v>
      </c>
      <c r="AO308" s="11" t="s">
        <v>303</v>
      </c>
    </row>
    <row r="309" spans="1:41" x14ac:dyDescent="0.3">
      <c r="A309" s="11">
        <v>308</v>
      </c>
      <c r="B309" s="3" t="s">
        <v>289</v>
      </c>
      <c r="C309" s="3" t="s">
        <v>42</v>
      </c>
      <c r="D309" s="5" t="s">
        <v>291</v>
      </c>
      <c r="E309" s="5">
        <v>18.600000000000001</v>
      </c>
      <c r="F309" s="5">
        <v>51.3</v>
      </c>
      <c r="G309" s="5">
        <v>5.81</v>
      </c>
      <c r="H309" s="5">
        <v>0.2</v>
      </c>
      <c r="I309" s="5">
        <v>0.1</v>
      </c>
      <c r="J309" s="5">
        <v>42.6</v>
      </c>
      <c r="K309" s="5">
        <f t="shared" ref="K309:K310" si="173">0.4*(100/(100-L309))</f>
        <v>0.43478260869565216</v>
      </c>
      <c r="L309" s="5">
        <v>8</v>
      </c>
      <c r="M309" s="5">
        <f t="shared" ref="M309:M310" si="174">77.4*(100/(100-L309))</f>
        <v>84.130434782608702</v>
      </c>
      <c r="N309" s="5">
        <f t="shared" ref="N309:N310" si="175">14.2*(100/(100-L309))</f>
        <v>15.434782608695651</v>
      </c>
      <c r="O309" s="5" t="s">
        <v>291</v>
      </c>
      <c r="P309" s="5" t="s">
        <v>291</v>
      </c>
      <c r="Q309" s="5" t="s">
        <v>291</v>
      </c>
      <c r="R309" s="5">
        <v>750</v>
      </c>
      <c r="S309" s="5" t="s">
        <v>39</v>
      </c>
      <c r="T309" s="5" t="s">
        <v>291</v>
      </c>
      <c r="U309" s="5" t="s">
        <v>291</v>
      </c>
      <c r="V309" s="5" t="s">
        <v>291</v>
      </c>
      <c r="W309" s="5" t="s">
        <v>291</v>
      </c>
      <c r="X309" s="5" t="s">
        <v>161</v>
      </c>
      <c r="Y309" s="5" t="s">
        <v>79</v>
      </c>
      <c r="Z309" s="5" t="s">
        <v>295</v>
      </c>
      <c r="AA309" s="5">
        <v>0</v>
      </c>
      <c r="AB309" s="5" t="s">
        <v>293</v>
      </c>
      <c r="AC309" s="5" t="s">
        <v>291</v>
      </c>
      <c r="AD309" s="5">
        <v>25</v>
      </c>
      <c r="AE309" s="5">
        <v>40</v>
      </c>
      <c r="AF309" s="5">
        <v>16</v>
      </c>
      <c r="AG309" s="5">
        <v>14</v>
      </c>
      <c r="AH309" s="5" t="s">
        <v>291</v>
      </c>
      <c r="AI309" s="5">
        <f>(AD309*Calculations!$B$23+AE309*Calculations!$B$21+AG309*Calculations!$B$22)/100</f>
        <v>12.77257</v>
      </c>
      <c r="AJ309" s="5">
        <v>11.9</v>
      </c>
      <c r="AK309" s="5">
        <v>0.51295999999999997</v>
      </c>
      <c r="AL309" s="5" t="s">
        <v>291</v>
      </c>
      <c r="AM309" s="5">
        <f t="shared" si="170"/>
        <v>35.224825307526878</v>
      </c>
      <c r="AN309" s="5">
        <f>100*(AK309/F309)*(AE309*Calculations!$B$5*Calculations!$B$9+AF309*Calculations!$B$6*Calculations!$B$10+AG309*Calculations!$B$7*Calculations!$B$11)</f>
        <v>35.078621754385956</v>
      </c>
      <c r="AO309" s="11" t="s">
        <v>306</v>
      </c>
    </row>
    <row r="310" spans="1:41" x14ac:dyDescent="0.3">
      <c r="A310" s="11">
        <v>309</v>
      </c>
      <c r="B310" s="3" t="s">
        <v>289</v>
      </c>
      <c r="C310" s="3" t="s">
        <v>42</v>
      </c>
      <c r="D310" s="5" t="s">
        <v>291</v>
      </c>
      <c r="E310" s="5">
        <v>18.600000000000001</v>
      </c>
      <c r="F310" s="5">
        <v>51.3</v>
      </c>
      <c r="G310" s="5">
        <v>5.81</v>
      </c>
      <c r="H310" s="5">
        <v>0.2</v>
      </c>
      <c r="I310" s="5">
        <v>0.1</v>
      </c>
      <c r="J310" s="5">
        <v>42.6</v>
      </c>
      <c r="K310" s="5">
        <f t="shared" si="173"/>
        <v>0.43478260869565216</v>
      </c>
      <c r="L310" s="5">
        <v>8</v>
      </c>
      <c r="M310" s="5">
        <f t="shared" si="174"/>
        <v>84.130434782608702</v>
      </c>
      <c r="N310" s="5">
        <f t="shared" si="175"/>
        <v>15.434782608695651</v>
      </c>
      <c r="O310" s="5" t="s">
        <v>291</v>
      </c>
      <c r="P310" s="5" t="s">
        <v>291</v>
      </c>
      <c r="Q310" s="5" t="s">
        <v>291</v>
      </c>
      <c r="R310" s="5">
        <v>800</v>
      </c>
      <c r="S310" s="5" t="s">
        <v>39</v>
      </c>
      <c r="T310" s="5" t="s">
        <v>291</v>
      </c>
      <c r="U310" s="5" t="s">
        <v>291</v>
      </c>
      <c r="V310" s="5" t="s">
        <v>291</v>
      </c>
      <c r="W310" s="5" t="s">
        <v>291</v>
      </c>
      <c r="X310" s="5" t="s">
        <v>161</v>
      </c>
      <c r="Y310" s="5" t="s">
        <v>79</v>
      </c>
      <c r="Z310" s="5" t="s">
        <v>295</v>
      </c>
      <c r="AA310" s="5">
        <v>0</v>
      </c>
      <c r="AB310" s="5" t="s">
        <v>293</v>
      </c>
      <c r="AC310" s="5" t="s">
        <v>291</v>
      </c>
      <c r="AD310" s="5">
        <v>25.5</v>
      </c>
      <c r="AE310" s="5">
        <v>42.5</v>
      </c>
      <c r="AF310" s="5">
        <v>13</v>
      </c>
      <c r="AG310" s="5">
        <v>13.5</v>
      </c>
      <c r="AH310" s="5" t="s">
        <v>291</v>
      </c>
      <c r="AI310" s="5">
        <f>(AD310*Calculations!$B$23+AE310*Calculations!$B$21+AG310*Calculations!$B$22)/100</f>
        <v>12.962894999999998</v>
      </c>
      <c r="AJ310" s="5">
        <v>10.4</v>
      </c>
      <c r="AK310" s="5">
        <v>0.58898799999999996</v>
      </c>
      <c r="AL310" s="5" t="s">
        <v>291</v>
      </c>
      <c r="AM310" s="5">
        <f t="shared" si="170"/>
        <v>41.048331184193536</v>
      </c>
      <c r="AN310" s="5">
        <f>100*(AK310/F310)*(AE310*Calculations!$B$5*Calculations!$B$9+AF310*Calculations!$B$6*Calculations!$B$10+AG310*Calculations!$B$7*Calculations!$B$11)</f>
        <v>39.537295660400993</v>
      </c>
      <c r="AO310" s="11" t="s">
        <v>307</v>
      </c>
    </row>
    <row r="311" spans="1:41" x14ac:dyDescent="0.3">
      <c r="A311" s="11">
        <v>310</v>
      </c>
      <c r="B311" s="3" t="s">
        <v>289</v>
      </c>
      <c r="C311" s="3" t="s">
        <v>159</v>
      </c>
      <c r="D311" s="5">
        <v>15</v>
      </c>
      <c r="E311" s="5">
        <f>17.4-(9*((G311/100*((100+0)/100)))*Calculations!$B$16)</f>
        <v>16.282784999999997</v>
      </c>
      <c r="F311" s="5">
        <v>48.3</v>
      </c>
      <c r="G311" s="5">
        <v>5.5</v>
      </c>
      <c r="H311" s="5">
        <v>0.6</v>
      </c>
      <c r="I311" s="5">
        <v>0.01</v>
      </c>
      <c r="J311" s="5">
        <v>38.1</v>
      </c>
      <c r="K311" s="5">
        <v>7.5</v>
      </c>
      <c r="L311" s="5">
        <v>0</v>
      </c>
      <c r="M311" s="5">
        <v>71</v>
      </c>
      <c r="N311" s="5">
        <v>21.5</v>
      </c>
      <c r="O311" s="5" t="s">
        <v>291</v>
      </c>
      <c r="P311" s="5" t="s">
        <v>291</v>
      </c>
      <c r="Q311" s="5" t="s">
        <v>291</v>
      </c>
      <c r="R311" s="5">
        <v>850</v>
      </c>
      <c r="S311" s="5" t="s">
        <v>39</v>
      </c>
      <c r="T311" s="5" t="s">
        <v>291</v>
      </c>
      <c r="U311" s="5">
        <v>6</v>
      </c>
      <c r="V311" s="5">
        <v>0.6</v>
      </c>
      <c r="W311" s="5" t="s">
        <v>291</v>
      </c>
      <c r="X311" s="5" t="s">
        <v>161</v>
      </c>
      <c r="Y311" s="5" t="s">
        <v>290</v>
      </c>
      <c r="Z311" s="5" t="s">
        <v>291</v>
      </c>
      <c r="AA311" s="5">
        <v>0</v>
      </c>
      <c r="AB311" s="5" t="s">
        <v>293</v>
      </c>
      <c r="AC311" s="5" t="s">
        <v>291</v>
      </c>
      <c r="AD311" s="5">
        <v>40.4</v>
      </c>
      <c r="AE311" s="5">
        <v>24.1</v>
      </c>
      <c r="AF311" s="5">
        <v>21.7</v>
      </c>
      <c r="AG311" s="5">
        <v>12.2</v>
      </c>
      <c r="AH311" s="5">
        <v>1.7</v>
      </c>
      <c r="AI311" s="5">
        <f>(AD311*Calculations!$B$23+AE311*Calculations!$B$21+AG311*Calculations!$B$22+AH311*Calculations!$B$24)/100</f>
        <v>12.789380000000001</v>
      </c>
      <c r="AJ311" s="5" t="s">
        <v>291</v>
      </c>
      <c r="AK311" s="5">
        <v>0.74441788851883106</v>
      </c>
      <c r="AL311" s="5">
        <v>219</v>
      </c>
      <c r="AM311" s="5">
        <f t="shared" si="170"/>
        <v>58.470607178470814</v>
      </c>
      <c r="AN311" s="5">
        <f>100*(AK311/F311)*(AE311*Calculations!$B$5*Calculations!$B$9+AF311*Calculations!$B$6*Calculations!$B$10+AG311*Calculations!$B$7*Calculations!$B$11)</f>
        <v>45.472869102402363</v>
      </c>
      <c r="AO311" s="11" t="s">
        <v>311</v>
      </c>
    </row>
    <row r="312" spans="1:41" ht="14.5" thickBot="1" x14ac:dyDescent="0.35">
      <c r="A312" s="11">
        <v>311</v>
      </c>
      <c r="B312" s="3" t="s">
        <v>289</v>
      </c>
      <c r="C312" s="3" t="s">
        <v>159</v>
      </c>
      <c r="D312" s="5">
        <v>15</v>
      </c>
      <c r="E312" s="5">
        <f>17.4-(9*((G312/100*((100+0)/100)))*Calculations!$B$16)</f>
        <v>16.282784999999997</v>
      </c>
      <c r="F312" s="5">
        <v>48.3</v>
      </c>
      <c r="G312" s="5">
        <v>5.5</v>
      </c>
      <c r="H312" s="5">
        <v>0.6</v>
      </c>
      <c r="I312" s="5">
        <v>0.01</v>
      </c>
      <c r="J312" s="5">
        <v>38.1</v>
      </c>
      <c r="K312" s="5">
        <v>7.5</v>
      </c>
      <c r="L312" s="5">
        <v>0</v>
      </c>
      <c r="M312" s="5">
        <v>71</v>
      </c>
      <c r="N312" s="5">
        <v>21.5</v>
      </c>
      <c r="O312" s="5" t="s">
        <v>291</v>
      </c>
      <c r="P312" s="5" t="s">
        <v>291</v>
      </c>
      <c r="Q312" s="5" t="s">
        <v>291</v>
      </c>
      <c r="R312" s="5">
        <v>850</v>
      </c>
      <c r="S312" s="5" t="s">
        <v>39</v>
      </c>
      <c r="T312" s="5" t="s">
        <v>291</v>
      </c>
      <c r="U312" s="5">
        <v>6</v>
      </c>
      <c r="V312" s="5">
        <v>0.7</v>
      </c>
      <c r="W312" s="5" t="s">
        <v>291</v>
      </c>
      <c r="X312" s="5" t="s">
        <v>161</v>
      </c>
      <c r="Y312" s="5" t="s">
        <v>290</v>
      </c>
      <c r="Z312" s="5" t="s">
        <v>291</v>
      </c>
      <c r="AA312" s="5">
        <v>0</v>
      </c>
      <c r="AB312" s="5" t="s">
        <v>293</v>
      </c>
      <c r="AC312" s="5" t="s">
        <v>291</v>
      </c>
      <c r="AD312" s="5">
        <v>39.4</v>
      </c>
      <c r="AE312" s="5">
        <v>23.5</v>
      </c>
      <c r="AF312" s="5">
        <v>23.1</v>
      </c>
      <c r="AG312" s="5">
        <v>11.3</v>
      </c>
      <c r="AH312" s="5">
        <v>2.7</v>
      </c>
      <c r="AI312" s="5">
        <f>(AD312*Calculations!$B$23+AE312*Calculations!$B$21+AG312*Calculations!$B$22+AH312*Calculations!$B$24)/100</f>
        <v>12.877375000000002</v>
      </c>
      <c r="AJ312" s="5" t="s">
        <v>291</v>
      </c>
      <c r="AK312" s="5">
        <v>0.71989446347165509</v>
      </c>
      <c r="AL312" s="5">
        <v>217</v>
      </c>
      <c r="AM312" s="5">
        <f t="shared" si="170"/>
        <v>56.933448218767907</v>
      </c>
      <c r="AN312" s="5">
        <f>100*(AK312/F312)*(AE312*Calculations!$B$5*Calculations!$B$9+AF312*Calculations!$B$6*Calculations!$B$10+AG312*Calculations!$B$7*Calculations!$B$11)</f>
        <v>44.003740710884188</v>
      </c>
      <c r="AO312" s="11" t="s">
        <v>311</v>
      </c>
    </row>
    <row r="313" spans="1:41" ht="14.5" thickBot="1" x14ac:dyDescent="0.35">
      <c r="A313" s="11">
        <v>312</v>
      </c>
      <c r="B313" s="3" t="s">
        <v>289</v>
      </c>
      <c r="C313" s="3" t="s">
        <v>159</v>
      </c>
      <c r="D313" s="5">
        <v>15</v>
      </c>
      <c r="E313" s="5">
        <f>17.4-(9*((G313/100*((100+0)/100)))*Calculations!$B$16)</f>
        <v>16.282784999999997</v>
      </c>
      <c r="F313" s="5">
        <v>48.3</v>
      </c>
      <c r="G313" s="5">
        <v>5.5</v>
      </c>
      <c r="H313" s="5">
        <v>0.6</v>
      </c>
      <c r="I313" s="5">
        <v>0.01</v>
      </c>
      <c r="J313" s="5">
        <v>38.1</v>
      </c>
      <c r="K313" s="5">
        <v>7.5</v>
      </c>
      <c r="L313" s="5">
        <v>0</v>
      </c>
      <c r="M313" s="5">
        <v>71</v>
      </c>
      <c r="N313" s="5">
        <v>21.5</v>
      </c>
      <c r="O313" s="5" t="s">
        <v>291</v>
      </c>
      <c r="P313" s="5" t="s">
        <v>291</v>
      </c>
      <c r="Q313" s="5" t="s">
        <v>291</v>
      </c>
      <c r="R313" s="5">
        <v>850</v>
      </c>
      <c r="S313" s="5" t="s">
        <v>39</v>
      </c>
      <c r="T313" s="5" t="s">
        <v>291</v>
      </c>
      <c r="U313" s="5">
        <v>6</v>
      </c>
      <c r="V313" s="5">
        <v>1</v>
      </c>
      <c r="W313" s="5" t="s">
        <v>291</v>
      </c>
      <c r="X313" s="5" t="s">
        <v>161</v>
      </c>
      <c r="Y313" s="5" t="s">
        <v>290</v>
      </c>
      <c r="Z313" s="5" t="s">
        <v>291</v>
      </c>
      <c r="AA313" s="5">
        <v>0</v>
      </c>
      <c r="AB313" s="5" t="s">
        <v>293</v>
      </c>
      <c r="AC313" s="5" t="s">
        <v>291</v>
      </c>
      <c r="AD313" s="24">
        <v>52.2</v>
      </c>
      <c r="AE313" s="24">
        <v>22.1</v>
      </c>
      <c r="AF313" s="24">
        <v>19.5</v>
      </c>
      <c r="AG313" s="24">
        <v>6</v>
      </c>
      <c r="AH313" s="24">
        <v>0.2</v>
      </c>
      <c r="AI313" s="5">
        <f>(AD313*Calculations!$B$23+AE313*Calculations!$B$21+AG313*Calculations!$B$22+AH313*Calculations!$B$24)/100</f>
        <v>10.692512999999998</v>
      </c>
      <c r="AJ313" s="5" t="s">
        <v>291</v>
      </c>
      <c r="AK313" s="5">
        <v>0.86276010359505939</v>
      </c>
      <c r="AL313" s="5">
        <v>212</v>
      </c>
      <c r="AM313" s="5">
        <f t="shared" si="170"/>
        <v>56.655379430309495</v>
      </c>
      <c r="AN313" s="5">
        <f>100*(AK313/F313)*(AE313*Calculations!$B$5*Calculations!$B$9+AF313*Calculations!$B$6*Calculations!$B$10+AG313*Calculations!$B$7*Calculations!$B$11)</f>
        <v>43.377235465798627</v>
      </c>
      <c r="AO313" s="11" t="s">
        <v>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8DC4F-2CAF-48A9-8999-B96753245E13}">
  <dimension ref="A1:AP327"/>
  <sheetViews>
    <sheetView zoomScale="40" zoomScaleNormal="40" workbookViewId="0">
      <pane ySplit="3" topLeftCell="A184" activePane="bottomLeft" state="frozen"/>
      <selection pane="bottomLeft" activeCell="AO210" sqref="B210:AO215"/>
    </sheetView>
  </sheetViews>
  <sheetFormatPr defaultColWidth="8.58203125" defaultRowHeight="14" x14ac:dyDescent="0.3"/>
  <cols>
    <col min="1" max="1" width="8.58203125" style="6"/>
    <col min="2" max="2" width="23.25" style="3" customWidth="1"/>
    <col min="3" max="3" width="20.25" style="3" customWidth="1"/>
    <col min="4" max="4" width="20.83203125" style="3" customWidth="1"/>
    <col min="5" max="5" width="14.5" style="3" customWidth="1"/>
    <col min="6" max="6" width="12.33203125" style="3" customWidth="1"/>
    <col min="7" max="7" width="11" style="3" customWidth="1"/>
    <col min="8" max="8" width="12.75" style="3" customWidth="1"/>
    <col min="9" max="10" width="12.33203125" style="3" customWidth="1"/>
    <col min="11" max="11" width="11.58203125" style="3" customWidth="1"/>
    <col min="12" max="12" width="15.5" style="3" customWidth="1"/>
    <col min="13" max="13" width="21.5" style="3" customWidth="1"/>
    <col min="14" max="14" width="19.5" style="3" customWidth="1"/>
    <col min="15" max="15" width="17.33203125" style="3" customWidth="1"/>
    <col min="16" max="16" width="20.83203125" style="3" customWidth="1"/>
    <col min="17" max="17" width="17.33203125" style="3" customWidth="1"/>
    <col min="18" max="18" width="19.25" style="3" customWidth="1"/>
    <col min="19" max="20" width="31.75" style="3" customWidth="1"/>
    <col min="21" max="21" width="23.75" style="3" customWidth="1"/>
    <col min="22" max="22" width="18.33203125" style="3" customWidth="1"/>
    <col min="23" max="23" width="14.58203125" style="3" customWidth="1"/>
    <col min="24" max="24" width="18.25" style="3" customWidth="1"/>
    <col min="25" max="25" width="23.58203125" style="3" customWidth="1"/>
    <col min="26" max="26" width="18.83203125" style="3" customWidth="1"/>
    <col min="27" max="27" width="31.5" style="3" customWidth="1"/>
    <col min="28" max="28" width="30.08203125" style="3" customWidth="1"/>
    <col min="29" max="30" width="12.5" style="3" customWidth="1"/>
    <col min="31" max="31" width="12.75" style="3" customWidth="1"/>
    <col min="32" max="33" width="14.08203125" style="3" customWidth="1"/>
    <col min="34" max="34" width="15.25" style="3" customWidth="1"/>
    <col min="35" max="35" width="16.33203125" style="3" customWidth="1"/>
    <col min="36" max="36" width="17.25" style="3" customWidth="1"/>
    <col min="37" max="38" width="24.08203125" style="3" customWidth="1"/>
    <col min="39" max="40" width="14.25" style="3" customWidth="1"/>
    <col min="41" max="41" width="64.33203125" style="6" customWidth="1"/>
    <col min="42" max="42" width="216.33203125" style="6" customWidth="1"/>
    <col min="43" max="16384" width="8.58203125" style="6"/>
  </cols>
  <sheetData>
    <row r="1" spans="1:42" ht="20" x14ac:dyDescent="0.4">
      <c r="A1" s="47" t="s">
        <v>24</v>
      </c>
      <c r="B1" s="44" t="s">
        <v>21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5" t="s">
        <v>22</v>
      </c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3" t="s">
        <v>23</v>
      </c>
      <c r="AP1" s="43"/>
    </row>
    <row r="2" spans="1:42" ht="17.5" x14ac:dyDescent="0.35">
      <c r="A2" s="47"/>
      <c r="B2" s="48" t="s">
        <v>32</v>
      </c>
      <c r="C2" s="48"/>
      <c r="D2" s="48"/>
      <c r="E2" s="48"/>
      <c r="F2" s="48" t="s">
        <v>4</v>
      </c>
      <c r="G2" s="48"/>
      <c r="H2" s="48"/>
      <c r="I2" s="48"/>
      <c r="J2" s="48"/>
      <c r="K2" s="48" t="s">
        <v>5</v>
      </c>
      <c r="L2" s="48"/>
      <c r="M2" s="48"/>
      <c r="N2" s="48"/>
      <c r="O2" s="48" t="s">
        <v>18</v>
      </c>
      <c r="P2" s="48"/>
      <c r="Q2" s="48"/>
      <c r="R2" s="48" t="s">
        <v>8</v>
      </c>
      <c r="S2" s="48"/>
      <c r="T2" s="48"/>
      <c r="U2" s="48"/>
      <c r="V2" s="48"/>
      <c r="W2" s="48"/>
      <c r="X2" s="48"/>
      <c r="Y2" s="48"/>
      <c r="Z2" s="48"/>
      <c r="AA2" s="48"/>
      <c r="AB2" s="48"/>
      <c r="AC2" s="49" t="s">
        <v>7</v>
      </c>
      <c r="AD2" s="49"/>
      <c r="AE2" s="49"/>
      <c r="AF2" s="49"/>
      <c r="AG2" s="49"/>
      <c r="AH2" s="49"/>
      <c r="AI2" s="49"/>
      <c r="AJ2" s="49"/>
      <c r="AK2" s="49" t="s">
        <v>10</v>
      </c>
      <c r="AL2" s="49"/>
      <c r="AM2" s="49"/>
      <c r="AN2" s="49"/>
      <c r="AO2" s="46" t="s">
        <v>9</v>
      </c>
      <c r="AP2" s="46"/>
    </row>
    <row r="3" spans="1:42" ht="15" customHeight="1" x14ac:dyDescent="0.3">
      <c r="A3" s="47"/>
      <c r="B3" s="1" t="s">
        <v>41</v>
      </c>
      <c r="C3" s="1" t="s">
        <v>40</v>
      </c>
      <c r="D3" s="1" t="s">
        <v>43</v>
      </c>
      <c r="E3" s="1" t="s">
        <v>107</v>
      </c>
      <c r="F3" s="1" t="s">
        <v>222</v>
      </c>
      <c r="G3" s="1" t="s">
        <v>223</v>
      </c>
      <c r="H3" s="1" t="s">
        <v>224</v>
      </c>
      <c r="I3" s="1" t="s">
        <v>225</v>
      </c>
      <c r="J3" s="1" t="s">
        <v>226</v>
      </c>
      <c r="K3" s="1" t="s">
        <v>76</v>
      </c>
      <c r="L3" s="1" t="s">
        <v>88</v>
      </c>
      <c r="M3" s="1" t="s">
        <v>77</v>
      </c>
      <c r="N3" s="1" t="s">
        <v>78</v>
      </c>
      <c r="O3" s="1" t="s">
        <v>134</v>
      </c>
      <c r="P3" s="1" t="s">
        <v>135</v>
      </c>
      <c r="Q3" s="1" t="s">
        <v>136</v>
      </c>
      <c r="R3" s="1" t="s">
        <v>20</v>
      </c>
      <c r="S3" s="1" t="s">
        <v>19</v>
      </c>
      <c r="T3" s="1" t="s">
        <v>194</v>
      </c>
      <c r="U3" s="1" t="s">
        <v>36</v>
      </c>
      <c r="V3" s="1" t="s">
        <v>171</v>
      </c>
      <c r="W3" s="1" t="s">
        <v>0</v>
      </c>
      <c r="X3" s="1" t="s">
        <v>6</v>
      </c>
      <c r="Y3" s="1" t="s">
        <v>1</v>
      </c>
      <c r="Z3" s="1" t="s">
        <v>37</v>
      </c>
      <c r="AA3" s="1" t="s">
        <v>11</v>
      </c>
      <c r="AB3" s="1" t="s">
        <v>2</v>
      </c>
      <c r="AC3" s="2" t="s">
        <v>123</v>
      </c>
      <c r="AD3" s="2" t="s">
        <v>124</v>
      </c>
      <c r="AE3" s="2" t="s">
        <v>125</v>
      </c>
      <c r="AF3" s="2" t="s">
        <v>126</v>
      </c>
      <c r="AG3" s="2" t="s">
        <v>127</v>
      </c>
      <c r="AH3" s="2" t="s">
        <v>180</v>
      </c>
      <c r="AI3" s="2" t="s">
        <v>128</v>
      </c>
      <c r="AJ3" s="2" t="s">
        <v>129</v>
      </c>
      <c r="AK3" s="2" t="s">
        <v>96</v>
      </c>
      <c r="AL3" s="2" t="s">
        <v>118</v>
      </c>
      <c r="AM3" s="2" t="s">
        <v>116</v>
      </c>
      <c r="AN3" s="2" t="s">
        <v>117</v>
      </c>
      <c r="AO3" s="15" t="s">
        <v>324</v>
      </c>
      <c r="AP3" s="15" t="s">
        <v>3</v>
      </c>
    </row>
    <row r="4" spans="1:42" x14ac:dyDescent="0.3">
      <c r="A4" s="6">
        <v>1</v>
      </c>
      <c r="B4" s="7" t="s">
        <v>35</v>
      </c>
      <c r="C4" s="7" t="s">
        <v>42</v>
      </c>
      <c r="D4" s="3" t="s">
        <v>44</v>
      </c>
      <c r="E4" s="5">
        <f t="shared" ref="E4:E9" si="0">(18.6+20.3)/2</f>
        <v>19.450000000000003</v>
      </c>
      <c r="F4" s="5">
        <f t="shared" ref="F4:F9" si="1">((45.4+41.2)/2)*(100/(100-K4-L4))</f>
        <v>59.392196990063809</v>
      </c>
      <c r="G4" s="5">
        <f t="shared" ref="G4:G9" si="2">6.25*(100/(100-K4-L4))</f>
        <v>8.5727767017990502</v>
      </c>
      <c r="H4" s="5">
        <f t="shared" ref="H4:H9" si="3">0.68*(100/(100-K4-L4))</f>
        <v>0.93271810515573661</v>
      </c>
      <c r="I4" s="5">
        <f t="shared" ref="I4:I9" si="4">0.2*(100/(100-K4-L4))</f>
        <v>0.2743288544575696</v>
      </c>
      <c r="J4" s="5">
        <f t="shared" ref="J4:J9" si="5">((22.9+24.2)/2)*(100/(100-K4-L4))</f>
        <v>32.302222612378813</v>
      </c>
      <c r="K4" s="5">
        <f>((20.4+18.5)/2)*((100+L4)/100)</f>
        <v>20.694800000000001</v>
      </c>
      <c r="L4" s="5">
        <f t="shared" ref="L4:L9" si="6">(9.1+3.7)/2</f>
        <v>6.4</v>
      </c>
      <c r="M4" s="5" t="s">
        <v>15</v>
      </c>
      <c r="N4" s="5" t="s">
        <v>15</v>
      </c>
      <c r="O4" s="5" t="s">
        <v>15</v>
      </c>
      <c r="P4" s="5" t="s">
        <v>15</v>
      </c>
      <c r="Q4" s="5" t="s">
        <v>15</v>
      </c>
      <c r="R4" s="5">
        <v>849</v>
      </c>
      <c r="S4" s="5" t="s">
        <v>39</v>
      </c>
      <c r="T4" s="5" t="s">
        <v>15</v>
      </c>
      <c r="U4" s="5">
        <v>120</v>
      </c>
      <c r="V4" s="5" t="s">
        <v>15</v>
      </c>
      <c r="W4" s="5">
        <v>0.25600000000000001</v>
      </c>
      <c r="X4" s="5" t="s">
        <v>33</v>
      </c>
      <c r="Y4" s="5" t="s">
        <v>34</v>
      </c>
      <c r="Z4" s="5" t="s">
        <v>38</v>
      </c>
      <c r="AA4" s="5" t="s">
        <v>38</v>
      </c>
      <c r="AB4" s="5" t="s">
        <v>46</v>
      </c>
      <c r="AC4" s="5">
        <v>61.77</v>
      </c>
      <c r="AD4" s="5">
        <v>8.48</v>
      </c>
      <c r="AE4" s="5">
        <v>9.74</v>
      </c>
      <c r="AF4" s="5">
        <v>13.36</v>
      </c>
      <c r="AG4" s="5">
        <v>4.18</v>
      </c>
      <c r="AH4" s="5">
        <v>2.19</v>
      </c>
      <c r="AI4" s="5">
        <v>5.39</v>
      </c>
      <c r="AJ4" s="5">
        <v>73</v>
      </c>
      <c r="AK4" s="5">
        <v>1.62</v>
      </c>
      <c r="AL4" s="5" t="s">
        <v>15</v>
      </c>
      <c r="AM4" s="5">
        <v>53</v>
      </c>
      <c r="AN4" s="5">
        <f>100*0.7</f>
        <v>70</v>
      </c>
      <c r="AO4" s="6" t="s">
        <v>45</v>
      </c>
      <c r="AP4" s="6" t="s">
        <v>314</v>
      </c>
    </row>
    <row r="5" spans="1:42" x14ac:dyDescent="0.3">
      <c r="A5" s="6">
        <v>2</v>
      </c>
      <c r="B5" s="7" t="s">
        <v>35</v>
      </c>
      <c r="C5" s="7" t="s">
        <v>42</v>
      </c>
      <c r="D5" s="3" t="s">
        <v>44</v>
      </c>
      <c r="E5" s="5">
        <f t="shared" si="0"/>
        <v>19.450000000000003</v>
      </c>
      <c r="F5" s="5">
        <f t="shared" si="1"/>
        <v>59.392196990063809</v>
      </c>
      <c r="G5" s="5">
        <f t="shared" si="2"/>
        <v>8.5727767017990502</v>
      </c>
      <c r="H5" s="5">
        <f t="shared" si="3"/>
        <v>0.93271810515573661</v>
      </c>
      <c r="I5" s="5">
        <f t="shared" si="4"/>
        <v>0.2743288544575696</v>
      </c>
      <c r="J5" s="5">
        <f t="shared" si="5"/>
        <v>32.302222612378813</v>
      </c>
      <c r="K5" s="5">
        <v>20.694800000000001</v>
      </c>
      <c r="L5" s="5">
        <f t="shared" si="6"/>
        <v>6.4</v>
      </c>
      <c r="M5" s="5" t="s">
        <v>15</v>
      </c>
      <c r="N5" s="5" t="s">
        <v>15</v>
      </c>
      <c r="O5" s="5" t="s">
        <v>15</v>
      </c>
      <c r="P5" s="5" t="s">
        <v>15</v>
      </c>
      <c r="Q5" s="5" t="s">
        <v>15</v>
      </c>
      <c r="R5" s="5">
        <v>852</v>
      </c>
      <c r="S5" s="5" t="s">
        <v>39</v>
      </c>
      <c r="T5" s="5" t="s">
        <v>15</v>
      </c>
      <c r="U5" s="5">
        <v>120</v>
      </c>
      <c r="V5" s="5" t="s">
        <v>15</v>
      </c>
      <c r="W5" s="5">
        <v>0.255</v>
      </c>
      <c r="X5" s="5" t="s">
        <v>33</v>
      </c>
      <c r="Y5" s="5" t="s">
        <v>34</v>
      </c>
      <c r="Z5" s="5" t="s">
        <v>38</v>
      </c>
      <c r="AA5" s="5" t="s">
        <v>38</v>
      </c>
      <c r="AB5" s="5" t="s">
        <v>46</v>
      </c>
      <c r="AC5" s="5">
        <v>60.64</v>
      </c>
      <c r="AD5" s="5">
        <v>7.11</v>
      </c>
      <c r="AE5" s="5">
        <v>8.98</v>
      </c>
      <c r="AF5" s="5">
        <v>15.69</v>
      </c>
      <c r="AG5" s="5">
        <v>4.2</v>
      </c>
      <c r="AH5" s="5">
        <v>2.72</v>
      </c>
      <c r="AI5" s="5">
        <v>5.6520000000000001</v>
      </c>
      <c r="AJ5" s="5">
        <v>47</v>
      </c>
      <c r="AK5" s="5">
        <v>1.73</v>
      </c>
      <c r="AL5" s="5" t="s">
        <v>15</v>
      </c>
      <c r="AM5" s="5">
        <v>56.000000000000007</v>
      </c>
      <c r="AN5" s="5">
        <f>100*0.8</f>
        <v>80</v>
      </c>
      <c r="AO5" s="6" t="s">
        <v>45</v>
      </c>
      <c r="AP5" s="6" t="s">
        <v>314</v>
      </c>
    </row>
    <row r="6" spans="1:42" x14ac:dyDescent="0.3">
      <c r="A6" s="6">
        <v>3</v>
      </c>
      <c r="B6" s="7" t="s">
        <v>35</v>
      </c>
      <c r="C6" s="7" t="s">
        <v>42</v>
      </c>
      <c r="D6" s="3" t="s">
        <v>44</v>
      </c>
      <c r="E6" s="5">
        <f t="shared" si="0"/>
        <v>19.450000000000003</v>
      </c>
      <c r="F6" s="5">
        <f t="shared" si="1"/>
        <v>59.392196990063809</v>
      </c>
      <c r="G6" s="5">
        <f t="shared" si="2"/>
        <v>8.5727767017990502</v>
      </c>
      <c r="H6" s="5">
        <f t="shared" si="3"/>
        <v>0.93271810515573661</v>
      </c>
      <c r="I6" s="5">
        <f t="shared" si="4"/>
        <v>0.2743288544575696</v>
      </c>
      <c r="J6" s="5">
        <f t="shared" si="5"/>
        <v>32.302222612378813</v>
      </c>
      <c r="K6" s="5">
        <v>20.694800000000001</v>
      </c>
      <c r="L6" s="5">
        <f t="shared" si="6"/>
        <v>6.4</v>
      </c>
      <c r="M6" s="5" t="s">
        <v>15</v>
      </c>
      <c r="N6" s="5" t="s">
        <v>15</v>
      </c>
      <c r="O6" s="5" t="s">
        <v>15</v>
      </c>
      <c r="P6" s="5" t="s">
        <v>15</v>
      </c>
      <c r="Q6" s="5" t="s">
        <v>15</v>
      </c>
      <c r="R6" s="5">
        <v>869</v>
      </c>
      <c r="S6" s="5" t="s">
        <v>39</v>
      </c>
      <c r="T6" s="5" t="s">
        <v>15</v>
      </c>
      <c r="U6" s="5">
        <v>120</v>
      </c>
      <c r="V6" s="5" t="s">
        <v>15</v>
      </c>
      <c r="W6" s="5">
        <v>0.27200000000000002</v>
      </c>
      <c r="X6" s="5" t="s">
        <v>33</v>
      </c>
      <c r="Y6" s="5" t="s">
        <v>34</v>
      </c>
      <c r="Z6" s="5" t="s">
        <v>38</v>
      </c>
      <c r="AA6" s="5" t="s">
        <v>38</v>
      </c>
      <c r="AB6" s="5" t="s">
        <v>46</v>
      </c>
      <c r="AC6" s="5">
        <v>61.67</v>
      </c>
      <c r="AD6" s="5">
        <v>8.44</v>
      </c>
      <c r="AE6" s="5">
        <v>10.47</v>
      </c>
      <c r="AF6" s="5">
        <v>12.28</v>
      </c>
      <c r="AG6" s="5">
        <v>4.57</v>
      </c>
      <c r="AH6" s="5">
        <v>2.14</v>
      </c>
      <c r="AI6" s="5">
        <v>5.55</v>
      </c>
      <c r="AJ6" s="5">
        <v>58</v>
      </c>
      <c r="AK6" s="5">
        <v>1.72</v>
      </c>
      <c r="AL6" s="5" t="s">
        <v>15</v>
      </c>
      <c r="AM6" s="5">
        <v>57.999999999999993</v>
      </c>
      <c r="AN6" s="5">
        <f>100*0.75</f>
        <v>75</v>
      </c>
      <c r="AO6" s="6" t="s">
        <v>45</v>
      </c>
      <c r="AP6" s="6" t="s">
        <v>314</v>
      </c>
    </row>
    <row r="7" spans="1:42" x14ac:dyDescent="0.3">
      <c r="A7" s="6">
        <v>4</v>
      </c>
      <c r="B7" s="7" t="s">
        <v>35</v>
      </c>
      <c r="C7" s="7" t="s">
        <v>42</v>
      </c>
      <c r="D7" s="3" t="s">
        <v>44</v>
      </c>
      <c r="E7" s="5">
        <f t="shared" si="0"/>
        <v>19.450000000000003</v>
      </c>
      <c r="F7" s="5">
        <f t="shared" si="1"/>
        <v>59.392196990063809</v>
      </c>
      <c r="G7" s="5">
        <f t="shared" si="2"/>
        <v>8.5727767017990502</v>
      </c>
      <c r="H7" s="5">
        <f t="shared" si="3"/>
        <v>0.93271810515573661</v>
      </c>
      <c r="I7" s="5">
        <f t="shared" si="4"/>
        <v>0.2743288544575696</v>
      </c>
      <c r="J7" s="5">
        <f t="shared" si="5"/>
        <v>32.302222612378813</v>
      </c>
      <c r="K7" s="5">
        <v>20.694800000000001</v>
      </c>
      <c r="L7" s="5">
        <f t="shared" si="6"/>
        <v>6.4</v>
      </c>
      <c r="M7" s="5" t="s">
        <v>15</v>
      </c>
      <c r="N7" s="5" t="s">
        <v>15</v>
      </c>
      <c r="O7" s="5" t="s">
        <v>15</v>
      </c>
      <c r="P7" s="5" t="s">
        <v>15</v>
      </c>
      <c r="Q7" s="5" t="s">
        <v>15</v>
      </c>
      <c r="R7" s="5">
        <v>879</v>
      </c>
      <c r="S7" s="5" t="s">
        <v>39</v>
      </c>
      <c r="T7" s="5" t="s">
        <v>15</v>
      </c>
      <c r="U7" s="5">
        <v>120</v>
      </c>
      <c r="V7" s="5" t="s">
        <v>15</v>
      </c>
      <c r="W7" s="5">
        <v>0.30199999999999999</v>
      </c>
      <c r="X7" s="5" t="s">
        <v>33</v>
      </c>
      <c r="Y7" s="5" t="s">
        <v>34</v>
      </c>
      <c r="Z7" s="5" t="s">
        <v>38</v>
      </c>
      <c r="AA7" s="5" t="s">
        <v>38</v>
      </c>
      <c r="AB7" s="5" t="s">
        <v>46</v>
      </c>
      <c r="AC7" s="5">
        <v>61.86</v>
      </c>
      <c r="AD7" s="5">
        <v>8.24</v>
      </c>
      <c r="AE7" s="5">
        <v>10.4</v>
      </c>
      <c r="AF7" s="5">
        <v>12.83</v>
      </c>
      <c r="AG7" s="5">
        <v>4.3499999999999996</v>
      </c>
      <c r="AH7" s="5">
        <v>2.0499999999999998</v>
      </c>
      <c r="AI7" s="5">
        <v>5.16</v>
      </c>
      <c r="AJ7" s="5">
        <v>39</v>
      </c>
      <c r="AK7" s="5">
        <v>1.91</v>
      </c>
      <c r="AL7" s="5" t="s">
        <v>15</v>
      </c>
      <c r="AM7" s="17">
        <v>61</v>
      </c>
      <c r="AN7" s="5">
        <f>100*0.81</f>
        <v>81</v>
      </c>
      <c r="AO7" s="6" t="s">
        <v>45</v>
      </c>
      <c r="AP7" s="6" t="s">
        <v>314</v>
      </c>
    </row>
    <row r="8" spans="1:42" x14ac:dyDescent="0.3">
      <c r="A8" s="6">
        <v>5</v>
      </c>
      <c r="B8" s="7" t="s">
        <v>35</v>
      </c>
      <c r="C8" s="7" t="s">
        <v>42</v>
      </c>
      <c r="D8" s="3" t="s">
        <v>44</v>
      </c>
      <c r="E8" s="5">
        <f t="shared" si="0"/>
        <v>19.450000000000003</v>
      </c>
      <c r="F8" s="5">
        <f t="shared" si="1"/>
        <v>59.392196990063809</v>
      </c>
      <c r="G8" s="5">
        <f t="shared" si="2"/>
        <v>8.5727767017990502</v>
      </c>
      <c r="H8" s="5">
        <f t="shared" si="3"/>
        <v>0.93271810515573661</v>
      </c>
      <c r="I8" s="5">
        <f t="shared" si="4"/>
        <v>0.2743288544575696</v>
      </c>
      <c r="J8" s="5">
        <f t="shared" si="5"/>
        <v>32.302222612378813</v>
      </c>
      <c r="K8" s="5">
        <v>20.694800000000001</v>
      </c>
      <c r="L8" s="5">
        <f t="shared" si="6"/>
        <v>6.4</v>
      </c>
      <c r="M8" s="5" t="s">
        <v>15</v>
      </c>
      <c r="N8" s="5" t="s">
        <v>15</v>
      </c>
      <c r="O8" s="5" t="s">
        <v>15</v>
      </c>
      <c r="P8" s="5" t="s">
        <v>15</v>
      </c>
      <c r="Q8" s="5" t="s">
        <v>15</v>
      </c>
      <c r="R8" s="5">
        <v>898</v>
      </c>
      <c r="S8" s="5" t="s">
        <v>39</v>
      </c>
      <c r="T8" s="5" t="s">
        <v>15</v>
      </c>
      <c r="U8" s="5">
        <v>120</v>
      </c>
      <c r="V8" s="5" t="s">
        <v>15</v>
      </c>
      <c r="W8" s="5">
        <v>0.318</v>
      </c>
      <c r="X8" s="5" t="s">
        <v>33</v>
      </c>
      <c r="Y8" s="5" t="s">
        <v>34</v>
      </c>
      <c r="Z8" s="5" t="s">
        <v>38</v>
      </c>
      <c r="AA8" s="5" t="s">
        <v>38</v>
      </c>
      <c r="AB8" s="5" t="s">
        <v>46</v>
      </c>
      <c r="AC8" s="5">
        <v>60.66</v>
      </c>
      <c r="AD8" s="5">
        <v>7.08</v>
      </c>
      <c r="AE8" s="5">
        <v>12.73</v>
      </c>
      <c r="AF8" s="5">
        <v>14.04</v>
      </c>
      <c r="AG8" s="5">
        <v>3.33</v>
      </c>
      <c r="AH8" s="5">
        <v>1.78</v>
      </c>
      <c r="AI8" s="5">
        <v>4.91</v>
      </c>
      <c r="AJ8" s="5">
        <v>5</v>
      </c>
      <c r="AK8" s="5">
        <v>2.04</v>
      </c>
      <c r="AL8" s="5" t="s">
        <v>15</v>
      </c>
      <c r="AM8" s="5">
        <v>61</v>
      </c>
      <c r="AN8" s="5">
        <f>100*0.92</f>
        <v>92</v>
      </c>
      <c r="AO8" s="6" t="s">
        <v>45</v>
      </c>
      <c r="AP8" s="6" t="s">
        <v>314</v>
      </c>
    </row>
    <row r="9" spans="1:42" x14ac:dyDescent="0.3">
      <c r="A9" s="6">
        <v>6</v>
      </c>
      <c r="B9" s="7" t="s">
        <v>35</v>
      </c>
      <c r="C9" s="7" t="s">
        <v>42</v>
      </c>
      <c r="D9" s="3" t="s">
        <v>44</v>
      </c>
      <c r="E9" s="5">
        <f t="shared" si="0"/>
        <v>19.450000000000003</v>
      </c>
      <c r="F9" s="5">
        <f t="shared" si="1"/>
        <v>59.392196990063809</v>
      </c>
      <c r="G9" s="5">
        <f t="shared" si="2"/>
        <v>8.5727767017990502</v>
      </c>
      <c r="H9" s="5">
        <f t="shared" si="3"/>
        <v>0.93271810515573661</v>
      </c>
      <c r="I9" s="5">
        <f t="shared" si="4"/>
        <v>0.2743288544575696</v>
      </c>
      <c r="J9" s="5">
        <f t="shared" si="5"/>
        <v>32.302222612378813</v>
      </c>
      <c r="K9" s="5">
        <v>20.694800000000001</v>
      </c>
      <c r="L9" s="5">
        <f t="shared" si="6"/>
        <v>6.4</v>
      </c>
      <c r="M9" s="5" t="s">
        <v>15</v>
      </c>
      <c r="N9" s="5" t="s">
        <v>15</v>
      </c>
      <c r="O9" s="5" t="s">
        <v>15</v>
      </c>
      <c r="P9" s="5" t="s">
        <v>15</v>
      </c>
      <c r="Q9" s="5" t="s">
        <v>15</v>
      </c>
      <c r="R9" s="5">
        <v>932</v>
      </c>
      <c r="S9" s="5" t="s">
        <v>39</v>
      </c>
      <c r="T9" s="5" t="s">
        <v>15</v>
      </c>
      <c r="U9" s="5">
        <v>120</v>
      </c>
      <c r="V9" s="5" t="s">
        <v>15</v>
      </c>
      <c r="W9" s="5">
        <v>0.33200000000000002</v>
      </c>
      <c r="X9" s="5" t="s">
        <v>33</v>
      </c>
      <c r="Y9" s="5" t="s">
        <v>34</v>
      </c>
      <c r="Z9" s="5" t="s">
        <v>38</v>
      </c>
      <c r="AA9" s="5" t="s">
        <v>38</v>
      </c>
      <c r="AB9" s="5" t="s">
        <v>46</v>
      </c>
      <c r="AC9" s="5">
        <v>64.61</v>
      </c>
      <c r="AD9" s="5">
        <v>7.68</v>
      </c>
      <c r="AE9" s="5">
        <v>10.58</v>
      </c>
      <c r="AF9" s="5">
        <v>11.66</v>
      </c>
      <c r="AG9" s="5">
        <v>3.78</v>
      </c>
      <c r="AH9" s="5">
        <v>1.27</v>
      </c>
      <c r="AI9" s="5">
        <v>4.6900000000000004</v>
      </c>
      <c r="AJ9" s="5">
        <v>42</v>
      </c>
      <c r="AK9" s="5">
        <v>2</v>
      </c>
      <c r="AL9" s="5" t="s">
        <v>15</v>
      </c>
      <c r="AM9" s="5">
        <v>56.999999999999993</v>
      </c>
      <c r="AN9" s="5">
        <f>100*0.79</f>
        <v>79</v>
      </c>
      <c r="AO9" s="6" t="s">
        <v>45</v>
      </c>
      <c r="AP9" s="6" t="s">
        <v>314</v>
      </c>
    </row>
    <row r="10" spans="1:42" x14ac:dyDescent="0.3">
      <c r="A10" s="6">
        <v>7</v>
      </c>
      <c r="B10" s="3" t="s">
        <v>56</v>
      </c>
      <c r="C10" s="7" t="s">
        <v>42</v>
      </c>
      <c r="D10" s="4" t="s">
        <v>52</v>
      </c>
      <c r="E10" s="5">
        <f>42.9</f>
        <v>42.9</v>
      </c>
      <c r="F10" s="13">
        <f t="shared" ref="F10:F19" si="7">85*(100/(100-K10-L10))</f>
        <v>86.034130245551538</v>
      </c>
      <c r="G10" s="13">
        <f t="shared" ref="G10:G19" si="8">13.8*(100/(100-K10-L10))</f>
        <v>13.967894086924838</v>
      </c>
      <c r="H10" s="5">
        <v>0</v>
      </c>
      <c r="I10" s="5">
        <v>0</v>
      </c>
      <c r="J10" s="13">
        <v>0</v>
      </c>
      <c r="K10" s="13">
        <f>((100+L10)/100)*1</f>
        <v>1.002</v>
      </c>
      <c r="L10" s="13">
        <v>0.2</v>
      </c>
      <c r="M10" s="5" t="s">
        <v>15</v>
      </c>
      <c r="N10" s="5" t="s">
        <v>15</v>
      </c>
      <c r="O10" s="5" t="s">
        <v>15</v>
      </c>
      <c r="P10" s="5" t="s">
        <v>15</v>
      </c>
      <c r="Q10" s="5" t="s">
        <v>15</v>
      </c>
      <c r="R10" s="5">
        <v>867</v>
      </c>
      <c r="S10" s="5" t="s">
        <v>39</v>
      </c>
      <c r="T10" s="5" t="s">
        <v>15</v>
      </c>
      <c r="U10" s="5" t="s">
        <v>15</v>
      </c>
      <c r="V10" s="5" t="s">
        <v>15</v>
      </c>
      <c r="W10" s="5">
        <v>0.22</v>
      </c>
      <c r="X10" s="5" t="s">
        <v>33</v>
      </c>
      <c r="Y10" s="5" t="s">
        <v>34</v>
      </c>
      <c r="Z10" s="5" t="s">
        <v>156</v>
      </c>
      <c r="AA10" s="5" t="s">
        <v>15</v>
      </c>
      <c r="AB10" s="5" t="s">
        <v>47</v>
      </c>
      <c r="AC10" s="5">
        <f>100-AD10-AE10-AF10-AG10-AH10</f>
        <v>64.7</v>
      </c>
      <c r="AD10" s="5">
        <v>9.5</v>
      </c>
      <c r="AE10" s="5">
        <v>2.4</v>
      </c>
      <c r="AF10" s="5">
        <v>9.6</v>
      </c>
      <c r="AG10" s="5">
        <v>9.1</v>
      </c>
      <c r="AH10" s="5">
        <v>4.7</v>
      </c>
      <c r="AI10" s="5">
        <v>7.5</v>
      </c>
      <c r="AJ10" s="5">
        <v>130</v>
      </c>
      <c r="AK10" s="5">
        <v>3.3120000000000003</v>
      </c>
      <c r="AL10" s="5" t="s">
        <v>15</v>
      </c>
      <c r="AM10" s="13">
        <v>57.999999999999993</v>
      </c>
      <c r="AN10" s="5">
        <f>100*(AK10/F10)*(AE10*Calculations!$B$5*Calculations!$B$9+AF10*Calculations!$B$6*Calculations!$B$10+AG10*Calculations!$B$7*Calculations!$B$11+AH10*Calculations!$B$8*Calculations!$B$12)</f>
        <v>60.032404510051755</v>
      </c>
      <c r="AO10" s="6" t="s">
        <v>48</v>
      </c>
      <c r="AP10" s="6" t="s">
        <v>315</v>
      </c>
    </row>
    <row r="11" spans="1:42" x14ac:dyDescent="0.3">
      <c r="A11" s="6">
        <v>8</v>
      </c>
      <c r="B11" s="3" t="s">
        <v>56</v>
      </c>
      <c r="C11" s="7" t="s">
        <v>42</v>
      </c>
      <c r="D11" s="4" t="s">
        <v>52</v>
      </c>
      <c r="E11" s="5">
        <v>42.9</v>
      </c>
      <c r="F11" s="13">
        <f t="shared" si="7"/>
        <v>86.034130245551538</v>
      </c>
      <c r="G11" s="13">
        <f t="shared" si="8"/>
        <v>13.967894086924838</v>
      </c>
      <c r="H11" s="5">
        <v>0</v>
      </c>
      <c r="I11" s="5">
        <v>0</v>
      </c>
      <c r="J11" s="13">
        <v>0</v>
      </c>
      <c r="K11" s="13">
        <v>1.002</v>
      </c>
      <c r="L11" s="13">
        <v>0.2</v>
      </c>
      <c r="M11" s="5" t="s">
        <v>15</v>
      </c>
      <c r="N11" s="5" t="s">
        <v>15</v>
      </c>
      <c r="O11" s="5" t="s">
        <v>15</v>
      </c>
      <c r="P11" s="5" t="s">
        <v>15</v>
      </c>
      <c r="Q11" s="5" t="s">
        <v>15</v>
      </c>
      <c r="R11" s="5">
        <v>898</v>
      </c>
      <c r="S11" s="5" t="s">
        <v>39</v>
      </c>
      <c r="T11" s="5" t="s">
        <v>15</v>
      </c>
      <c r="U11" s="5" t="s">
        <v>15</v>
      </c>
      <c r="V11" s="5" t="s">
        <v>15</v>
      </c>
      <c r="W11" s="5">
        <v>0.31</v>
      </c>
      <c r="X11" s="5" t="s">
        <v>33</v>
      </c>
      <c r="Y11" s="5" t="s">
        <v>34</v>
      </c>
      <c r="Z11" s="5" t="s">
        <v>156</v>
      </c>
      <c r="AA11" s="5" t="s">
        <v>15</v>
      </c>
      <c r="AB11" s="5" t="s">
        <v>47</v>
      </c>
      <c r="AC11" s="5">
        <f t="shared" ref="AC11:AC33" si="9">100-AD11-AE11-AF11-AG11-AH11</f>
        <v>68</v>
      </c>
      <c r="AD11" s="5">
        <v>8.1</v>
      </c>
      <c r="AE11" s="5">
        <v>2.2000000000000002</v>
      </c>
      <c r="AF11" s="5">
        <v>10.4</v>
      </c>
      <c r="AG11" s="5">
        <v>7.1</v>
      </c>
      <c r="AH11" s="5">
        <v>4.2</v>
      </c>
      <c r="AI11" s="5">
        <v>6.3</v>
      </c>
      <c r="AJ11" s="5">
        <v>81</v>
      </c>
      <c r="AK11" s="5">
        <v>4.3428571428571425</v>
      </c>
      <c r="AL11" s="5" t="s">
        <v>15</v>
      </c>
      <c r="AM11" s="13">
        <v>63</v>
      </c>
      <c r="AN11" s="5">
        <f>100*(AK11/F11)*(AE11*Calculations!$B$5*Calculations!$B$9+AF11*Calculations!$B$6*Calculations!$B$10+AG11*Calculations!$B$7*Calculations!$B$11+AH11*Calculations!$B$8*Calculations!$B$12)</f>
        <v>72.877459194756298</v>
      </c>
      <c r="AO11" s="6" t="s">
        <v>48</v>
      </c>
      <c r="AP11" s="6" t="s">
        <v>315</v>
      </c>
    </row>
    <row r="12" spans="1:42" x14ac:dyDescent="0.3">
      <c r="A12" s="6">
        <v>9</v>
      </c>
      <c r="B12" s="3" t="s">
        <v>56</v>
      </c>
      <c r="C12" s="7" t="s">
        <v>42</v>
      </c>
      <c r="D12" s="4" t="s">
        <v>52</v>
      </c>
      <c r="E12" s="5">
        <v>42.9</v>
      </c>
      <c r="F12" s="13">
        <f t="shared" si="7"/>
        <v>86.034130245551538</v>
      </c>
      <c r="G12" s="13">
        <f t="shared" si="8"/>
        <v>13.967894086924838</v>
      </c>
      <c r="H12" s="5">
        <v>0</v>
      </c>
      <c r="I12" s="5">
        <v>0</v>
      </c>
      <c r="J12" s="13">
        <v>0</v>
      </c>
      <c r="K12" s="13">
        <v>1.002</v>
      </c>
      <c r="L12" s="13">
        <v>0.2</v>
      </c>
      <c r="M12" s="5" t="s">
        <v>15</v>
      </c>
      <c r="N12" s="5" t="s">
        <v>15</v>
      </c>
      <c r="O12" s="5" t="s">
        <v>15</v>
      </c>
      <c r="P12" s="5" t="s">
        <v>15</v>
      </c>
      <c r="Q12" s="5" t="s">
        <v>15</v>
      </c>
      <c r="R12" s="5">
        <v>845</v>
      </c>
      <c r="S12" s="5" t="s">
        <v>39</v>
      </c>
      <c r="T12" s="5" t="s">
        <v>15</v>
      </c>
      <c r="U12" s="5" t="s">
        <v>15</v>
      </c>
      <c r="V12" s="5" t="s">
        <v>15</v>
      </c>
      <c r="W12" s="5">
        <v>0.2</v>
      </c>
      <c r="X12" s="5" t="s">
        <v>33</v>
      </c>
      <c r="Y12" s="5" t="s">
        <v>34</v>
      </c>
      <c r="Z12" s="5" t="s">
        <v>156</v>
      </c>
      <c r="AA12" s="5" t="s">
        <v>15</v>
      </c>
      <c r="AB12" s="5" t="s">
        <v>47</v>
      </c>
      <c r="AC12" s="5">
        <f t="shared" si="9"/>
        <v>64.100000000000009</v>
      </c>
      <c r="AD12" s="5">
        <v>9.1</v>
      </c>
      <c r="AE12" s="5">
        <v>2.8</v>
      </c>
      <c r="AF12" s="5">
        <v>9.1</v>
      </c>
      <c r="AG12" s="5">
        <v>10.4</v>
      </c>
      <c r="AH12" s="5">
        <v>4.5</v>
      </c>
      <c r="AI12" s="5">
        <v>7.9</v>
      </c>
      <c r="AJ12" s="5">
        <v>160</v>
      </c>
      <c r="AK12" s="5">
        <v>2.9620253164556964</v>
      </c>
      <c r="AL12" s="5" t="s">
        <v>15</v>
      </c>
      <c r="AM12" s="13">
        <v>55.000000000000007</v>
      </c>
      <c r="AN12" s="5">
        <f>100*(AK12/F12)*(AE12*Calculations!$B$5*Calculations!$B$9+AF12*Calculations!$B$6*Calculations!$B$10+AG12*Calculations!$B$7*Calculations!$B$11+AH12*Calculations!$B$8*Calculations!$B$12)</f>
        <v>54.941085002412507</v>
      </c>
      <c r="AO12" s="6" t="s">
        <v>48</v>
      </c>
      <c r="AP12" s="6" t="s">
        <v>315</v>
      </c>
    </row>
    <row r="13" spans="1:42" x14ac:dyDescent="0.3">
      <c r="A13" s="6">
        <v>10</v>
      </c>
      <c r="B13" s="3" t="s">
        <v>56</v>
      </c>
      <c r="C13" s="7" t="s">
        <v>42</v>
      </c>
      <c r="D13" s="4" t="s">
        <v>52</v>
      </c>
      <c r="E13" s="5">
        <v>42.9</v>
      </c>
      <c r="F13" s="13">
        <f t="shared" si="7"/>
        <v>86.034130245551538</v>
      </c>
      <c r="G13" s="13">
        <f t="shared" si="8"/>
        <v>13.967894086924838</v>
      </c>
      <c r="H13" s="5">
        <v>0</v>
      </c>
      <c r="I13" s="5">
        <v>0</v>
      </c>
      <c r="J13" s="13">
        <v>0</v>
      </c>
      <c r="K13" s="13">
        <v>1.002</v>
      </c>
      <c r="L13" s="13">
        <v>0.2</v>
      </c>
      <c r="M13" s="5" t="s">
        <v>15</v>
      </c>
      <c r="N13" s="5" t="s">
        <v>15</v>
      </c>
      <c r="O13" s="5" t="s">
        <v>15</v>
      </c>
      <c r="P13" s="5" t="s">
        <v>15</v>
      </c>
      <c r="Q13" s="5" t="s">
        <v>15</v>
      </c>
      <c r="R13" s="5">
        <v>807</v>
      </c>
      <c r="S13" s="5" t="s">
        <v>39</v>
      </c>
      <c r="T13" s="5" t="s">
        <v>15</v>
      </c>
      <c r="U13" s="5" t="s">
        <v>15</v>
      </c>
      <c r="V13" s="5" t="s">
        <v>15</v>
      </c>
      <c r="W13" s="5">
        <v>0.27</v>
      </c>
      <c r="X13" s="5" t="s">
        <v>33</v>
      </c>
      <c r="Y13" s="5" t="s">
        <v>34</v>
      </c>
      <c r="Z13" s="5" t="s">
        <v>38</v>
      </c>
      <c r="AA13" s="5" t="s">
        <v>38</v>
      </c>
      <c r="AB13" s="5" t="s">
        <v>47</v>
      </c>
      <c r="AC13" s="5">
        <f t="shared" si="9"/>
        <v>48.999999999999993</v>
      </c>
      <c r="AD13" s="5">
        <v>26.9</v>
      </c>
      <c r="AE13" s="5">
        <v>20</v>
      </c>
      <c r="AF13" s="5">
        <v>1.4</v>
      </c>
      <c r="AG13" s="5">
        <v>2.2000000000000002</v>
      </c>
      <c r="AH13" s="5">
        <v>0.5</v>
      </c>
      <c r="AI13" s="5">
        <v>6.5</v>
      </c>
      <c r="AJ13" s="5">
        <v>0</v>
      </c>
      <c r="AK13" s="5">
        <v>5.4276923076923076</v>
      </c>
      <c r="AL13" s="5" t="s">
        <v>15</v>
      </c>
      <c r="AM13" s="13">
        <v>82</v>
      </c>
      <c r="AN13" s="5">
        <f>100*(AK13/F13)*(AE13*Calculations!$B$5*Calculations!$B$9+AF13*Calculations!$B$6*Calculations!$B$10+AG13*Calculations!$B$7*Calculations!$B$11+AH13*Calculations!$B$8*Calculations!$B$12)</f>
        <v>76.444539247189127</v>
      </c>
      <c r="AO13" s="6" t="s">
        <v>48</v>
      </c>
      <c r="AP13" s="6" t="s">
        <v>315</v>
      </c>
    </row>
    <row r="14" spans="1:42" x14ac:dyDescent="0.3">
      <c r="A14" s="6">
        <v>11</v>
      </c>
      <c r="B14" s="3" t="s">
        <v>56</v>
      </c>
      <c r="C14" s="7" t="s">
        <v>42</v>
      </c>
      <c r="D14" s="4" t="s">
        <v>52</v>
      </c>
      <c r="E14" s="5">
        <v>42.9</v>
      </c>
      <c r="F14" s="13">
        <f t="shared" si="7"/>
        <v>86.034130245551538</v>
      </c>
      <c r="G14" s="13">
        <f t="shared" si="8"/>
        <v>13.967894086924838</v>
      </c>
      <c r="H14" s="5">
        <v>0</v>
      </c>
      <c r="I14" s="5">
        <v>0</v>
      </c>
      <c r="J14" s="13">
        <v>0</v>
      </c>
      <c r="K14" s="13">
        <v>1.002</v>
      </c>
      <c r="L14" s="13">
        <v>0.2</v>
      </c>
      <c r="M14" s="5" t="s">
        <v>15</v>
      </c>
      <c r="N14" s="5" t="s">
        <v>15</v>
      </c>
      <c r="O14" s="5" t="s">
        <v>15</v>
      </c>
      <c r="P14" s="5" t="s">
        <v>15</v>
      </c>
      <c r="Q14" s="5" t="s">
        <v>15</v>
      </c>
      <c r="R14" s="5">
        <v>819</v>
      </c>
      <c r="S14" s="5" t="s">
        <v>39</v>
      </c>
      <c r="T14" s="5" t="s">
        <v>15</v>
      </c>
      <c r="U14" s="5" t="s">
        <v>15</v>
      </c>
      <c r="V14" s="5" t="s">
        <v>15</v>
      </c>
      <c r="W14" s="5">
        <v>0.2</v>
      </c>
      <c r="X14" s="5" t="s">
        <v>33</v>
      </c>
      <c r="Y14" s="5" t="s">
        <v>34</v>
      </c>
      <c r="Z14" s="5" t="s">
        <v>38</v>
      </c>
      <c r="AA14" s="5" t="s">
        <v>38</v>
      </c>
      <c r="AB14" s="5" t="s">
        <v>47</v>
      </c>
      <c r="AC14" s="5">
        <f t="shared" si="9"/>
        <v>45.100000000000009</v>
      </c>
      <c r="AD14" s="5">
        <v>30.1</v>
      </c>
      <c r="AE14" s="5">
        <v>18.399999999999999</v>
      </c>
      <c r="AF14" s="5">
        <v>1.6</v>
      </c>
      <c r="AG14" s="5">
        <v>3.4</v>
      </c>
      <c r="AH14" s="5">
        <v>1.4</v>
      </c>
      <c r="AI14" s="5">
        <v>7.6000000000000005</v>
      </c>
      <c r="AJ14" s="5">
        <v>0</v>
      </c>
      <c r="AK14" s="5">
        <v>4.1684210526315795</v>
      </c>
      <c r="AL14" s="5" t="s">
        <v>15</v>
      </c>
      <c r="AM14" s="13">
        <v>74</v>
      </c>
      <c r="AN14" s="5">
        <f>100*(AK14/F14)*(AE14*Calculations!$B$5*Calculations!$B$9+AF14*Calculations!$B$6*Calculations!$B$10+AG14*Calculations!$B$7*Calculations!$B$11+AH14*Calculations!$B$8*Calculations!$B$12)</f>
        <v>62.719851229077399</v>
      </c>
      <c r="AO14" s="6" t="s">
        <v>48</v>
      </c>
      <c r="AP14" s="6" t="s">
        <v>315</v>
      </c>
    </row>
    <row r="15" spans="1:42" x14ac:dyDescent="0.3">
      <c r="A15" s="6">
        <v>12</v>
      </c>
      <c r="B15" s="3" t="s">
        <v>56</v>
      </c>
      <c r="C15" s="7" t="s">
        <v>42</v>
      </c>
      <c r="D15" s="4" t="s">
        <v>52</v>
      </c>
      <c r="E15" s="5">
        <v>42.9</v>
      </c>
      <c r="F15" s="13">
        <f t="shared" si="7"/>
        <v>86.034130245551538</v>
      </c>
      <c r="G15" s="13">
        <f t="shared" si="8"/>
        <v>13.967894086924838</v>
      </c>
      <c r="H15" s="5">
        <v>0</v>
      </c>
      <c r="I15" s="5">
        <v>0</v>
      </c>
      <c r="J15" s="13">
        <v>0</v>
      </c>
      <c r="K15" s="13">
        <v>1.002</v>
      </c>
      <c r="L15" s="13">
        <v>0.2</v>
      </c>
      <c r="M15" s="5" t="s">
        <v>15</v>
      </c>
      <c r="N15" s="5" t="s">
        <v>15</v>
      </c>
      <c r="O15" s="5" t="s">
        <v>15</v>
      </c>
      <c r="P15" s="5" t="s">
        <v>15</v>
      </c>
      <c r="Q15" s="5" t="s">
        <v>15</v>
      </c>
      <c r="R15" s="5">
        <v>816</v>
      </c>
      <c r="S15" s="5" t="s">
        <v>39</v>
      </c>
      <c r="T15" s="5" t="s">
        <v>15</v>
      </c>
      <c r="U15" s="5" t="s">
        <v>15</v>
      </c>
      <c r="V15" s="5" t="s">
        <v>15</v>
      </c>
      <c r="W15" s="5">
        <v>0.28000000000000003</v>
      </c>
      <c r="X15" s="5" t="s">
        <v>33</v>
      </c>
      <c r="Y15" s="5" t="s">
        <v>34</v>
      </c>
      <c r="Z15" s="5" t="s">
        <v>38</v>
      </c>
      <c r="AA15" s="5" t="s">
        <v>38</v>
      </c>
      <c r="AB15" s="5" t="s">
        <v>47</v>
      </c>
      <c r="AC15" s="5">
        <f t="shared" si="9"/>
        <v>48.5</v>
      </c>
      <c r="AD15" s="5">
        <v>27.1</v>
      </c>
      <c r="AE15" s="5">
        <v>20.100000000000001</v>
      </c>
      <c r="AF15" s="5">
        <v>1.7</v>
      </c>
      <c r="AG15" s="5">
        <v>2.1</v>
      </c>
      <c r="AH15" s="5">
        <v>0.5</v>
      </c>
      <c r="AI15" s="5">
        <v>6.5</v>
      </c>
      <c r="AJ15" s="5">
        <v>0</v>
      </c>
      <c r="AK15" s="5">
        <v>5.6492307692307691</v>
      </c>
      <c r="AL15" s="5" t="s">
        <v>15</v>
      </c>
      <c r="AM15" s="13">
        <v>85</v>
      </c>
      <c r="AN15" s="5">
        <f>100*(AK15/F15)*(AE15*Calculations!$B$5*Calculations!$B$9+AF15*Calculations!$B$6*Calculations!$B$10+AG15*Calculations!$B$7*Calculations!$B$11+AH15*Calculations!$B$8*Calculations!$B$12)</f>
        <v>80.625716027446131</v>
      </c>
      <c r="AO15" s="6" t="s">
        <v>48</v>
      </c>
      <c r="AP15" s="6" t="s">
        <v>315</v>
      </c>
    </row>
    <row r="16" spans="1:42" x14ac:dyDescent="0.3">
      <c r="A16" s="6">
        <v>13</v>
      </c>
      <c r="B16" s="3" t="s">
        <v>56</v>
      </c>
      <c r="C16" s="7" t="s">
        <v>42</v>
      </c>
      <c r="D16" s="4" t="s">
        <v>52</v>
      </c>
      <c r="E16" s="5">
        <v>42.9</v>
      </c>
      <c r="F16" s="13">
        <f t="shared" si="7"/>
        <v>86.034130245551538</v>
      </c>
      <c r="G16" s="13">
        <f t="shared" si="8"/>
        <v>13.967894086924838</v>
      </c>
      <c r="H16" s="5">
        <v>0</v>
      </c>
      <c r="I16" s="5">
        <v>0</v>
      </c>
      <c r="J16" s="13">
        <v>0</v>
      </c>
      <c r="K16" s="13">
        <v>1.002</v>
      </c>
      <c r="L16" s="13">
        <v>0.2</v>
      </c>
      <c r="M16" s="5" t="s">
        <v>15</v>
      </c>
      <c r="N16" s="5" t="s">
        <v>15</v>
      </c>
      <c r="O16" s="5" t="s">
        <v>15</v>
      </c>
      <c r="P16" s="5" t="s">
        <v>15</v>
      </c>
      <c r="Q16" s="5" t="s">
        <v>15</v>
      </c>
      <c r="R16" s="5">
        <v>825</v>
      </c>
      <c r="S16" s="5" t="s">
        <v>39</v>
      </c>
      <c r="T16" s="5" t="s">
        <v>15</v>
      </c>
      <c r="U16" s="5" t="s">
        <v>15</v>
      </c>
      <c r="V16" s="5" t="s">
        <v>15</v>
      </c>
      <c r="W16" s="5">
        <v>0.31</v>
      </c>
      <c r="X16" s="5" t="s">
        <v>33</v>
      </c>
      <c r="Y16" s="5" t="s">
        <v>34</v>
      </c>
      <c r="Z16" s="5" t="s">
        <v>38</v>
      </c>
      <c r="AA16" s="5" t="s">
        <v>38</v>
      </c>
      <c r="AB16" s="5" t="s">
        <v>47</v>
      </c>
      <c r="AC16" s="5">
        <f t="shared" si="9"/>
        <v>50.300000000000004</v>
      </c>
      <c r="AD16" s="5">
        <v>24</v>
      </c>
      <c r="AE16" s="5">
        <v>19.5</v>
      </c>
      <c r="AF16" s="5">
        <v>3.3</v>
      </c>
      <c r="AG16" s="5">
        <v>2</v>
      </c>
      <c r="AH16" s="5">
        <v>0.9</v>
      </c>
      <c r="AI16" s="5">
        <v>6.3</v>
      </c>
      <c r="AJ16" s="5">
        <v>0</v>
      </c>
      <c r="AK16" s="5">
        <v>6.0000000000000009</v>
      </c>
      <c r="AL16" s="5" t="s">
        <v>15</v>
      </c>
      <c r="AM16" s="13">
        <v>88</v>
      </c>
      <c r="AN16" s="5">
        <f>100*(AK16/F16)*(AE16*Calculations!$B$5*Calculations!$B$9+AF16*Calculations!$B$6*Calculations!$B$10+AG16*Calculations!$B$7*Calculations!$B$11+AH16*Calculations!$B$8*Calculations!$B$12)</f>
        <v>92.090861152941159</v>
      </c>
      <c r="AO16" s="6" t="s">
        <v>48</v>
      </c>
      <c r="AP16" s="6" t="s">
        <v>315</v>
      </c>
    </row>
    <row r="17" spans="1:42" x14ac:dyDescent="0.3">
      <c r="A17" s="6">
        <v>14</v>
      </c>
      <c r="B17" s="3" t="s">
        <v>56</v>
      </c>
      <c r="C17" s="7" t="s">
        <v>42</v>
      </c>
      <c r="D17" s="4" t="s">
        <v>52</v>
      </c>
      <c r="E17" s="5">
        <v>42.9</v>
      </c>
      <c r="F17" s="13">
        <f t="shared" si="7"/>
        <v>86.034130245551538</v>
      </c>
      <c r="G17" s="13">
        <f t="shared" si="8"/>
        <v>13.967894086924838</v>
      </c>
      <c r="H17" s="5">
        <v>0</v>
      </c>
      <c r="I17" s="5">
        <v>0</v>
      </c>
      <c r="J17" s="13">
        <v>0</v>
      </c>
      <c r="K17" s="13">
        <v>1.002</v>
      </c>
      <c r="L17" s="13">
        <v>0.2</v>
      </c>
      <c r="M17" s="5" t="s">
        <v>15</v>
      </c>
      <c r="N17" s="5" t="s">
        <v>15</v>
      </c>
      <c r="O17" s="5" t="s">
        <v>15</v>
      </c>
      <c r="P17" s="5" t="s">
        <v>15</v>
      </c>
      <c r="Q17" s="5" t="s">
        <v>15</v>
      </c>
      <c r="R17" s="5">
        <v>825</v>
      </c>
      <c r="S17" s="5" t="s">
        <v>39</v>
      </c>
      <c r="T17" s="5" t="s">
        <v>15</v>
      </c>
      <c r="U17" s="5" t="s">
        <v>15</v>
      </c>
      <c r="V17" s="5" t="s">
        <v>15</v>
      </c>
      <c r="W17" s="5">
        <v>0.21</v>
      </c>
      <c r="X17" s="5" t="s">
        <v>33</v>
      </c>
      <c r="Y17" s="5" t="s">
        <v>34</v>
      </c>
      <c r="Z17" s="5" t="s">
        <v>38</v>
      </c>
      <c r="AA17" s="5" t="s">
        <v>38</v>
      </c>
      <c r="AB17" s="5" t="s">
        <v>47</v>
      </c>
      <c r="AC17" s="5">
        <f t="shared" si="9"/>
        <v>44.4</v>
      </c>
      <c r="AD17" s="5">
        <v>30.8</v>
      </c>
      <c r="AE17" s="5">
        <v>19</v>
      </c>
      <c r="AF17" s="5">
        <v>1.6</v>
      </c>
      <c r="AG17" s="5">
        <v>3.2</v>
      </c>
      <c r="AH17" s="5">
        <v>1</v>
      </c>
      <c r="AI17" s="5">
        <v>7.5</v>
      </c>
      <c r="AJ17" s="5">
        <v>0</v>
      </c>
      <c r="AK17" s="5">
        <v>4.8</v>
      </c>
      <c r="AL17" s="5" t="s">
        <v>15</v>
      </c>
      <c r="AM17" s="13">
        <v>84</v>
      </c>
      <c r="AN17" s="5">
        <f>100*(AK17/F17)*(AE17*Calculations!$B$5*Calculations!$B$9+AF17*Calculations!$B$6*Calculations!$B$10+AG17*Calculations!$B$7*Calculations!$B$11+AH17*Calculations!$B$8*Calculations!$B$12)</f>
        <v>71.051350497882325</v>
      </c>
      <c r="AO17" s="6" t="s">
        <v>48</v>
      </c>
      <c r="AP17" s="6" t="s">
        <v>315</v>
      </c>
    </row>
    <row r="18" spans="1:42" x14ac:dyDescent="0.3">
      <c r="A18" s="6">
        <v>15</v>
      </c>
      <c r="B18" s="3" t="s">
        <v>56</v>
      </c>
      <c r="C18" s="7" t="s">
        <v>42</v>
      </c>
      <c r="D18" s="4" t="s">
        <v>52</v>
      </c>
      <c r="E18" s="5">
        <v>42.9</v>
      </c>
      <c r="F18" s="13">
        <f t="shared" si="7"/>
        <v>86.034130245551538</v>
      </c>
      <c r="G18" s="13">
        <f t="shared" si="8"/>
        <v>13.967894086924838</v>
      </c>
      <c r="H18" s="5">
        <v>0</v>
      </c>
      <c r="I18" s="5">
        <v>0</v>
      </c>
      <c r="J18" s="13">
        <v>0</v>
      </c>
      <c r="K18" s="13">
        <v>1.002</v>
      </c>
      <c r="L18" s="13">
        <v>0.2</v>
      </c>
      <c r="M18" s="5" t="s">
        <v>15</v>
      </c>
      <c r="N18" s="5" t="s">
        <v>15</v>
      </c>
      <c r="O18" s="5" t="s">
        <v>15</v>
      </c>
      <c r="P18" s="5" t="s">
        <v>15</v>
      </c>
      <c r="Q18" s="5" t="s">
        <v>15</v>
      </c>
      <c r="R18" s="5">
        <v>850</v>
      </c>
      <c r="S18" s="5" t="s">
        <v>39</v>
      </c>
      <c r="T18" s="5" t="s">
        <v>15</v>
      </c>
      <c r="U18" s="5" t="s">
        <v>15</v>
      </c>
      <c r="V18" s="5" t="s">
        <v>15</v>
      </c>
      <c r="W18" s="5">
        <v>0.28999999999999998</v>
      </c>
      <c r="X18" s="5" t="s">
        <v>33</v>
      </c>
      <c r="Y18" s="5" t="s">
        <v>34</v>
      </c>
      <c r="Z18" s="5" t="s">
        <v>38</v>
      </c>
      <c r="AA18" s="5" t="s">
        <v>38</v>
      </c>
      <c r="AB18" s="5" t="s">
        <v>47</v>
      </c>
      <c r="AC18" s="5">
        <f t="shared" si="9"/>
        <v>47.2</v>
      </c>
      <c r="AD18" s="5">
        <v>29.1</v>
      </c>
      <c r="AE18" s="5">
        <v>20.9</v>
      </c>
      <c r="AF18" s="5">
        <v>1.2</v>
      </c>
      <c r="AG18" s="5">
        <v>1.5</v>
      </c>
      <c r="AH18" s="5">
        <v>0.1</v>
      </c>
      <c r="AI18" s="5">
        <v>6.4</v>
      </c>
      <c r="AJ18" s="5">
        <v>0</v>
      </c>
      <c r="AK18" s="5">
        <v>6.1875</v>
      </c>
      <c r="AL18" s="5" t="s">
        <v>15</v>
      </c>
      <c r="AM18" s="13">
        <v>92</v>
      </c>
      <c r="AN18" s="5">
        <f>100*(AK18/F18)*(AE18*Calculations!$B$5*Calculations!$B$9+AF18*Calculations!$B$6*Calculations!$B$10+AG18*Calculations!$B$7*Calculations!$B$11+AH18*Calculations!$B$8*Calculations!$B$12)</f>
        <v>84.141146761213207</v>
      </c>
      <c r="AO18" s="6" t="s">
        <v>48</v>
      </c>
      <c r="AP18" s="6" t="s">
        <v>315</v>
      </c>
    </row>
    <row r="19" spans="1:42" x14ac:dyDescent="0.3">
      <c r="A19" s="6">
        <v>16</v>
      </c>
      <c r="B19" s="3" t="s">
        <v>56</v>
      </c>
      <c r="C19" s="7" t="s">
        <v>42</v>
      </c>
      <c r="D19" s="4" t="s">
        <v>52</v>
      </c>
      <c r="E19" s="5">
        <v>42.9</v>
      </c>
      <c r="F19" s="13">
        <f t="shared" si="7"/>
        <v>86.034130245551538</v>
      </c>
      <c r="G19" s="13">
        <f t="shared" si="8"/>
        <v>13.967894086924838</v>
      </c>
      <c r="H19" s="5">
        <v>0</v>
      </c>
      <c r="I19" s="5">
        <v>0</v>
      </c>
      <c r="J19" s="13">
        <v>0</v>
      </c>
      <c r="K19" s="13">
        <v>1.002</v>
      </c>
      <c r="L19" s="13">
        <v>0.2</v>
      </c>
      <c r="M19" s="5" t="s">
        <v>15</v>
      </c>
      <c r="N19" s="5" t="s">
        <v>15</v>
      </c>
      <c r="O19" s="5" t="s">
        <v>15</v>
      </c>
      <c r="P19" s="5" t="s">
        <v>15</v>
      </c>
      <c r="Q19" s="5" t="s">
        <v>15</v>
      </c>
      <c r="R19" s="5">
        <v>856</v>
      </c>
      <c r="S19" s="5" t="s">
        <v>39</v>
      </c>
      <c r="T19" s="5" t="s">
        <v>15</v>
      </c>
      <c r="U19" s="5" t="s">
        <v>15</v>
      </c>
      <c r="V19" s="5" t="s">
        <v>15</v>
      </c>
      <c r="W19" s="5">
        <v>0.3</v>
      </c>
      <c r="X19" s="5" t="s">
        <v>33</v>
      </c>
      <c r="Y19" s="5" t="s">
        <v>34</v>
      </c>
      <c r="Z19" s="5" t="s">
        <v>49</v>
      </c>
      <c r="AA19" s="5" t="s">
        <v>49</v>
      </c>
      <c r="AB19" s="5" t="s">
        <v>47</v>
      </c>
      <c r="AC19" s="5">
        <f t="shared" si="9"/>
        <v>56.199999999999996</v>
      </c>
      <c r="AD19" s="5">
        <v>14.7</v>
      </c>
      <c r="AE19" s="5">
        <v>18.3</v>
      </c>
      <c r="AF19" s="5">
        <v>3.1</v>
      </c>
      <c r="AG19" s="5">
        <v>5.7</v>
      </c>
      <c r="AH19" s="5">
        <v>2</v>
      </c>
      <c r="AI19" s="5">
        <v>7.1000000000000005</v>
      </c>
      <c r="AJ19" s="5">
        <v>0</v>
      </c>
      <c r="AK19" s="5">
        <v>5.6788732394366193</v>
      </c>
      <c r="AL19" s="5" t="s">
        <v>15</v>
      </c>
      <c r="AM19" s="13">
        <v>94</v>
      </c>
      <c r="AN19" s="5">
        <f>100*(AK19/F19)*(AE19*Calculations!$B$5*Calculations!$B$9+AF19*Calculations!$B$6*Calculations!$B$10+AG19*Calculations!$B$7*Calculations!$B$11+AH19*Calculations!$B$8*Calculations!$B$12)</f>
        <v>101.95731218553104</v>
      </c>
      <c r="AO19" s="6" t="s">
        <v>48</v>
      </c>
      <c r="AP19" s="6" t="s">
        <v>315</v>
      </c>
    </row>
    <row r="20" spans="1:42" x14ac:dyDescent="0.3">
      <c r="A20" s="6">
        <v>17</v>
      </c>
      <c r="B20" s="3" t="s">
        <v>56</v>
      </c>
      <c r="C20" s="7" t="s">
        <v>42</v>
      </c>
      <c r="D20" s="4" t="s">
        <v>53</v>
      </c>
      <c r="E20" s="5">
        <v>42.9</v>
      </c>
      <c r="F20" s="13">
        <f>84.4*(100/(100-K20-L20))</f>
        <v>85.775757372497495</v>
      </c>
      <c r="G20" s="13">
        <f>14*(100/(100-K20-L20))</f>
        <v>14.228206199229442</v>
      </c>
      <c r="H20" s="5">
        <v>0</v>
      </c>
      <c r="I20" s="5">
        <v>0</v>
      </c>
      <c r="J20" s="13">
        <v>0</v>
      </c>
      <c r="K20" s="13">
        <f>((100+L20)/100)*1.3</f>
        <v>1.3038999999999998</v>
      </c>
      <c r="L20" s="13">
        <v>0.3</v>
      </c>
      <c r="M20" s="5" t="s">
        <v>15</v>
      </c>
      <c r="N20" s="5" t="s">
        <v>15</v>
      </c>
      <c r="O20" s="5" t="s">
        <v>15</v>
      </c>
      <c r="P20" s="5" t="s">
        <v>15</v>
      </c>
      <c r="Q20" s="5" t="s">
        <v>15</v>
      </c>
      <c r="R20" s="5">
        <v>818</v>
      </c>
      <c r="S20" s="5" t="s">
        <v>39</v>
      </c>
      <c r="T20" s="5" t="s">
        <v>15</v>
      </c>
      <c r="U20" s="5" t="s">
        <v>15</v>
      </c>
      <c r="V20" s="5" t="s">
        <v>15</v>
      </c>
      <c r="W20" s="5">
        <v>0.23</v>
      </c>
      <c r="X20" s="5" t="s">
        <v>33</v>
      </c>
      <c r="Y20" s="5" t="s">
        <v>34</v>
      </c>
      <c r="Z20" s="5" t="s">
        <v>38</v>
      </c>
      <c r="AA20" s="5" t="s">
        <v>38</v>
      </c>
      <c r="AB20" s="5" t="s">
        <v>47</v>
      </c>
      <c r="AC20" s="5">
        <f t="shared" si="9"/>
        <v>46.20000000000001</v>
      </c>
      <c r="AD20" s="5">
        <v>30.6</v>
      </c>
      <c r="AE20" s="5">
        <v>17.5</v>
      </c>
      <c r="AF20" s="5">
        <v>2.2999999999999998</v>
      </c>
      <c r="AG20" s="5">
        <v>2.8</v>
      </c>
      <c r="AH20" s="5">
        <v>0.6</v>
      </c>
      <c r="AI20" s="5">
        <v>6.9</v>
      </c>
      <c r="AJ20" s="5">
        <v>0</v>
      </c>
      <c r="AK20" s="5">
        <v>4.9043478260869566</v>
      </c>
      <c r="AL20" s="5" t="s">
        <v>15</v>
      </c>
      <c r="AM20" s="13">
        <v>79</v>
      </c>
      <c r="AN20" s="5">
        <f>100*(AK20/F20)*(AE20*Calculations!$B$5*Calculations!$B$9+AF20*Calculations!$B$6*Calculations!$B$10+AG20*Calculations!$B$7*Calculations!$B$11+AH20*Calculations!$B$8*Calculations!$B$12)</f>
        <v>67.345533152394083</v>
      </c>
      <c r="AO20" s="6" t="s">
        <v>48</v>
      </c>
      <c r="AP20" s="6" t="s">
        <v>315</v>
      </c>
    </row>
    <row r="21" spans="1:42" x14ac:dyDescent="0.3">
      <c r="A21" s="6">
        <v>18</v>
      </c>
      <c r="B21" s="3" t="s">
        <v>56</v>
      </c>
      <c r="C21" s="7" t="s">
        <v>42</v>
      </c>
      <c r="D21" s="4" t="s">
        <v>53</v>
      </c>
      <c r="E21" s="5">
        <v>42.9</v>
      </c>
      <c r="F21" s="13">
        <f>84.4*(100/(100-K21-L21))</f>
        <v>85.775757372497495</v>
      </c>
      <c r="G21" s="13">
        <f>14*(100/(100-K21-L21))</f>
        <v>14.228206199229442</v>
      </c>
      <c r="H21" s="5">
        <v>0</v>
      </c>
      <c r="I21" s="5">
        <v>0</v>
      </c>
      <c r="J21" s="13">
        <v>0</v>
      </c>
      <c r="K21" s="13">
        <v>1.3038999999999998</v>
      </c>
      <c r="L21" s="13">
        <v>0.3</v>
      </c>
      <c r="M21" s="5" t="s">
        <v>15</v>
      </c>
      <c r="N21" s="5" t="s">
        <v>15</v>
      </c>
      <c r="O21" s="5" t="s">
        <v>15</v>
      </c>
      <c r="P21" s="5" t="s">
        <v>15</v>
      </c>
      <c r="Q21" s="5" t="s">
        <v>15</v>
      </c>
      <c r="R21" s="5">
        <v>831</v>
      </c>
      <c r="S21" s="5" t="s">
        <v>39</v>
      </c>
      <c r="T21" s="5" t="s">
        <v>15</v>
      </c>
      <c r="U21" s="5" t="s">
        <v>15</v>
      </c>
      <c r="V21" s="5" t="s">
        <v>15</v>
      </c>
      <c r="W21" s="5">
        <v>0.27</v>
      </c>
      <c r="X21" s="5" t="s">
        <v>33</v>
      </c>
      <c r="Y21" s="5" t="s">
        <v>34</v>
      </c>
      <c r="Z21" s="5" t="s">
        <v>38</v>
      </c>
      <c r="AA21" s="5" t="s">
        <v>38</v>
      </c>
      <c r="AB21" s="5" t="s">
        <v>47</v>
      </c>
      <c r="AC21" s="5">
        <f t="shared" si="9"/>
        <v>46.4</v>
      </c>
      <c r="AD21" s="5">
        <v>28.2</v>
      </c>
      <c r="AE21" s="5">
        <v>21.1</v>
      </c>
      <c r="AF21" s="5">
        <v>1.5</v>
      </c>
      <c r="AG21" s="5">
        <v>2.2999999999999998</v>
      </c>
      <c r="AH21" s="5">
        <v>0.5</v>
      </c>
      <c r="AI21" s="5">
        <v>6.8</v>
      </c>
      <c r="AJ21" s="5">
        <v>0</v>
      </c>
      <c r="AK21" s="5">
        <v>5.8235294117647065</v>
      </c>
      <c r="AL21" s="5" t="s">
        <v>15</v>
      </c>
      <c r="AM21" s="13">
        <v>93</v>
      </c>
      <c r="AN21" s="5">
        <f>100*(AK21/F21)*(AE21*Calculations!$B$5*Calculations!$B$9+AF21*Calculations!$B$6*Calculations!$B$10+AG21*Calculations!$B$7*Calculations!$B$11+AH21*Calculations!$B$8*Calculations!$B$12)</f>
        <v>86.616530544159701</v>
      </c>
      <c r="AO21" s="6" t="s">
        <v>48</v>
      </c>
      <c r="AP21" s="6" t="s">
        <v>315</v>
      </c>
    </row>
    <row r="22" spans="1:42" x14ac:dyDescent="0.3">
      <c r="A22" s="6">
        <v>19</v>
      </c>
      <c r="B22" s="3" t="s">
        <v>56</v>
      </c>
      <c r="C22" s="7" t="s">
        <v>42</v>
      </c>
      <c r="D22" s="4" t="s">
        <v>53</v>
      </c>
      <c r="E22" s="5">
        <v>42.9</v>
      </c>
      <c r="F22" s="13">
        <f>84.4*(100/(100-K22-L22))</f>
        <v>85.775757372497495</v>
      </c>
      <c r="G22" s="13">
        <f>14*(100/(100-K22-L22))</f>
        <v>14.228206199229442</v>
      </c>
      <c r="H22" s="5">
        <v>0</v>
      </c>
      <c r="I22" s="5">
        <v>0</v>
      </c>
      <c r="J22" s="13">
        <v>0</v>
      </c>
      <c r="K22" s="13">
        <v>1.3038999999999998</v>
      </c>
      <c r="L22" s="13">
        <v>0.3</v>
      </c>
      <c r="M22" s="5" t="s">
        <v>15</v>
      </c>
      <c r="N22" s="5" t="s">
        <v>15</v>
      </c>
      <c r="O22" s="5" t="s">
        <v>15</v>
      </c>
      <c r="P22" s="5" t="s">
        <v>15</v>
      </c>
      <c r="Q22" s="5" t="s">
        <v>15</v>
      </c>
      <c r="R22" s="5">
        <v>829</v>
      </c>
      <c r="S22" s="5" t="s">
        <v>39</v>
      </c>
      <c r="T22" s="5" t="s">
        <v>15</v>
      </c>
      <c r="U22" s="5" t="s">
        <v>15</v>
      </c>
      <c r="V22" s="5" t="s">
        <v>15</v>
      </c>
      <c r="W22" s="5">
        <v>0.24</v>
      </c>
      <c r="X22" s="5" t="s">
        <v>33</v>
      </c>
      <c r="Y22" s="5" t="s">
        <v>34</v>
      </c>
      <c r="Z22" s="5" t="s">
        <v>38</v>
      </c>
      <c r="AA22" s="5" t="s">
        <v>38</v>
      </c>
      <c r="AB22" s="5" t="s">
        <v>47</v>
      </c>
      <c r="AC22" s="5">
        <f t="shared" si="9"/>
        <v>45.699999999999996</v>
      </c>
      <c r="AD22" s="5">
        <v>29.5</v>
      </c>
      <c r="AE22" s="5">
        <v>19.899999999999999</v>
      </c>
      <c r="AF22" s="5">
        <v>1.7</v>
      </c>
      <c r="AG22" s="5">
        <v>2.5</v>
      </c>
      <c r="AH22" s="5">
        <v>0.7</v>
      </c>
      <c r="AI22" s="5">
        <v>7</v>
      </c>
      <c r="AJ22" s="5">
        <v>0</v>
      </c>
      <c r="AK22" s="5">
        <v>5.1428571428571432</v>
      </c>
      <c r="AL22" s="5" t="s">
        <v>15</v>
      </c>
      <c r="AM22" s="13">
        <v>84</v>
      </c>
      <c r="AN22" s="5">
        <f>100*(AK22/F22)*(AE22*Calculations!$B$5*Calculations!$B$9+AF22*Calculations!$B$6*Calculations!$B$10+AG22*Calculations!$B$7*Calculations!$B$11+AH22*Calculations!$B$8*Calculations!$B$12)</f>
        <v>75.428583503542384</v>
      </c>
      <c r="AO22" s="6" t="s">
        <v>48</v>
      </c>
      <c r="AP22" s="6" t="s">
        <v>315</v>
      </c>
    </row>
    <row r="23" spans="1:42" x14ac:dyDescent="0.3">
      <c r="A23" s="6">
        <v>20</v>
      </c>
      <c r="B23" s="3" t="s">
        <v>56</v>
      </c>
      <c r="C23" s="7" t="s">
        <v>42</v>
      </c>
      <c r="D23" s="4" t="s">
        <v>53</v>
      </c>
      <c r="E23" s="5">
        <v>42.9</v>
      </c>
      <c r="F23" s="13">
        <f>84.4*(100/(100-K23-L23))</f>
        <v>85.775757372497495</v>
      </c>
      <c r="G23" s="13">
        <f>14*(100/(100-K23-L23))</f>
        <v>14.228206199229442</v>
      </c>
      <c r="H23" s="5">
        <v>0</v>
      </c>
      <c r="I23" s="5">
        <v>0</v>
      </c>
      <c r="J23" s="13">
        <v>0</v>
      </c>
      <c r="K23" s="13">
        <v>1.3038999999999998</v>
      </c>
      <c r="L23" s="13">
        <v>0.3</v>
      </c>
      <c r="M23" s="5" t="s">
        <v>15</v>
      </c>
      <c r="N23" s="5" t="s">
        <v>15</v>
      </c>
      <c r="O23" s="5" t="s">
        <v>15</v>
      </c>
      <c r="P23" s="5" t="s">
        <v>15</v>
      </c>
      <c r="Q23" s="5" t="s">
        <v>15</v>
      </c>
      <c r="R23" s="5">
        <v>879</v>
      </c>
      <c r="S23" s="5" t="s">
        <v>39</v>
      </c>
      <c r="T23" s="5" t="s">
        <v>15</v>
      </c>
      <c r="U23" s="5" t="s">
        <v>15</v>
      </c>
      <c r="V23" s="5" t="s">
        <v>15</v>
      </c>
      <c r="W23" s="5">
        <v>0.28999999999999998</v>
      </c>
      <c r="X23" s="5" t="s">
        <v>33</v>
      </c>
      <c r="Y23" s="5" t="s">
        <v>34</v>
      </c>
      <c r="Z23" s="5" t="s">
        <v>49</v>
      </c>
      <c r="AA23" s="5" t="s">
        <v>49</v>
      </c>
      <c r="AB23" s="5" t="s">
        <v>47</v>
      </c>
      <c r="AC23" s="5">
        <f t="shared" si="9"/>
        <v>54.800000000000004</v>
      </c>
      <c r="AD23" s="5">
        <v>13.7</v>
      </c>
      <c r="AE23" s="5">
        <v>16.7</v>
      </c>
      <c r="AF23" s="5">
        <v>5.0999999999999996</v>
      </c>
      <c r="AG23" s="5">
        <v>7.3</v>
      </c>
      <c r="AH23" s="5">
        <v>2.4</v>
      </c>
      <c r="AI23" s="5">
        <v>7.7</v>
      </c>
      <c r="AJ23" s="5">
        <v>0</v>
      </c>
      <c r="AK23" s="5">
        <v>5.1428571428571432</v>
      </c>
      <c r="AL23" s="5" t="s">
        <v>15</v>
      </c>
      <c r="AM23" s="13">
        <v>93</v>
      </c>
      <c r="AN23" s="5">
        <f>100*(AK23/F23)*(AE23*Calculations!$B$5*Calculations!$B$9+AF23*Calculations!$B$6*Calculations!$B$10+AG23*Calculations!$B$7*Calculations!$B$11+AH23*Calculations!$B$8*Calculations!$B$12)</f>
        <v>101.55304783854578</v>
      </c>
      <c r="AO23" s="6" t="s">
        <v>48</v>
      </c>
      <c r="AP23" s="6" t="s">
        <v>315</v>
      </c>
    </row>
    <row r="24" spans="1:42" x14ac:dyDescent="0.3">
      <c r="A24" s="6">
        <v>21</v>
      </c>
      <c r="B24" s="3" t="s">
        <v>56</v>
      </c>
      <c r="C24" s="7" t="s">
        <v>42</v>
      </c>
      <c r="D24" s="4" t="s">
        <v>50</v>
      </c>
      <c r="E24" s="5">
        <v>33.4</v>
      </c>
      <c r="F24" s="13">
        <f>68.1*(100/(100-K24-L24))</f>
        <v>73.494654639876188</v>
      </c>
      <c r="G24" s="13">
        <f>10.2*(100/(100-K24-L24))</f>
        <v>11.008009946060751</v>
      </c>
      <c r="H24" s="5">
        <v>0</v>
      </c>
      <c r="I24" s="5">
        <f t="shared" ref="I24:I30" si="10">0.1*(100/(100-K24-L24))</f>
        <v>0.10792166613785051</v>
      </c>
      <c r="J24" s="13">
        <f>14.3*(100/(100-K24-L24))</f>
        <v>15.432798257712623</v>
      </c>
      <c r="K24" s="13">
        <f>((100+L24)/100)*6.7</f>
        <v>6.7402000000000006</v>
      </c>
      <c r="L24" s="13">
        <v>0.6</v>
      </c>
      <c r="M24" s="5" t="s">
        <v>15</v>
      </c>
      <c r="N24" s="5" t="s">
        <v>15</v>
      </c>
      <c r="O24" s="5" t="s">
        <v>15</v>
      </c>
      <c r="P24" s="5" t="s">
        <v>15</v>
      </c>
      <c r="Q24" s="5" t="s">
        <v>15</v>
      </c>
      <c r="R24" s="5">
        <v>914</v>
      </c>
      <c r="S24" s="5" t="s">
        <v>39</v>
      </c>
      <c r="T24" s="5" t="s">
        <v>15</v>
      </c>
      <c r="U24" s="5" t="s">
        <v>15</v>
      </c>
      <c r="V24" s="5" t="s">
        <v>15</v>
      </c>
      <c r="W24" s="5">
        <v>0.31</v>
      </c>
      <c r="X24" s="5" t="s">
        <v>33</v>
      </c>
      <c r="Y24" s="5" t="s">
        <v>34</v>
      </c>
      <c r="Z24" s="5" t="s">
        <v>38</v>
      </c>
      <c r="AA24" s="5" t="s">
        <v>38</v>
      </c>
      <c r="AB24" s="5" t="s">
        <v>47</v>
      </c>
      <c r="AC24" s="5">
        <f t="shared" si="9"/>
        <v>68.5</v>
      </c>
      <c r="AD24" s="5">
        <v>6.6</v>
      </c>
      <c r="AE24" s="5">
        <v>4.8</v>
      </c>
      <c r="AF24" s="5">
        <v>11.4</v>
      </c>
      <c r="AG24" s="5">
        <v>6.3</v>
      </c>
      <c r="AH24" s="5">
        <v>2.4</v>
      </c>
      <c r="AI24" s="5">
        <v>5.2</v>
      </c>
      <c r="AJ24" s="5">
        <v>56</v>
      </c>
      <c r="AK24" s="5">
        <v>3.3230769230769233</v>
      </c>
      <c r="AL24" s="5" t="s">
        <v>15</v>
      </c>
      <c r="AM24" s="13">
        <v>52</v>
      </c>
      <c r="AN24" s="5">
        <f>100*(AK24/F24)*(AE24*Calculations!$B$5*Calculations!$B$9+AF24*Calculations!$B$6*Calculations!$B$10+AG24*Calculations!$B$7*Calculations!$B$11+AH24*Calculations!$B$8*Calculations!$B$12)</f>
        <v>63.45004886983007</v>
      </c>
      <c r="AO24" s="6" t="s">
        <v>48</v>
      </c>
      <c r="AP24" s="6" t="s">
        <v>315</v>
      </c>
    </row>
    <row r="25" spans="1:42" x14ac:dyDescent="0.3">
      <c r="A25" s="6">
        <v>22</v>
      </c>
      <c r="B25" s="3" t="s">
        <v>56</v>
      </c>
      <c r="C25" s="7" t="s">
        <v>42</v>
      </c>
      <c r="D25" s="4" t="s">
        <v>50</v>
      </c>
      <c r="E25" s="5">
        <v>33.4</v>
      </c>
      <c r="F25" s="13">
        <f>68.1*(100/(100-K25-L25))</f>
        <v>73.494654639876188</v>
      </c>
      <c r="G25" s="13">
        <f>10.2*(100/(100-K25-L25))</f>
        <v>11.008009946060751</v>
      </c>
      <c r="H25" s="5">
        <v>0</v>
      </c>
      <c r="I25" s="5">
        <f t="shared" si="10"/>
        <v>0.10792166613785051</v>
      </c>
      <c r="J25" s="13">
        <f>14.3*(100/(100-K25-L25))</f>
        <v>15.432798257712623</v>
      </c>
      <c r="K25" s="13">
        <v>6.7402000000000006</v>
      </c>
      <c r="L25" s="13">
        <v>0.6</v>
      </c>
      <c r="M25" s="5" t="s">
        <v>15</v>
      </c>
      <c r="N25" s="5" t="s">
        <v>15</v>
      </c>
      <c r="O25" s="5" t="s">
        <v>15</v>
      </c>
      <c r="P25" s="5" t="s">
        <v>15</v>
      </c>
      <c r="Q25" s="5" t="s">
        <v>15</v>
      </c>
      <c r="R25" s="5">
        <v>884</v>
      </c>
      <c r="S25" s="5" t="s">
        <v>39</v>
      </c>
      <c r="T25" s="5" t="s">
        <v>15</v>
      </c>
      <c r="U25" s="5" t="s">
        <v>15</v>
      </c>
      <c r="V25" s="5" t="s">
        <v>15</v>
      </c>
      <c r="W25" s="5">
        <v>0.25</v>
      </c>
      <c r="X25" s="5" t="s">
        <v>33</v>
      </c>
      <c r="Y25" s="5" t="s">
        <v>34</v>
      </c>
      <c r="Z25" s="5" t="s">
        <v>38</v>
      </c>
      <c r="AA25" s="5" t="s">
        <v>38</v>
      </c>
      <c r="AB25" s="5" t="s">
        <v>47</v>
      </c>
      <c r="AC25" s="5">
        <f t="shared" si="9"/>
        <v>64.2</v>
      </c>
      <c r="AD25" s="5">
        <v>8</v>
      </c>
      <c r="AE25" s="5">
        <v>4.5999999999999996</v>
      </c>
      <c r="AF25" s="5">
        <v>11.6</v>
      </c>
      <c r="AG25" s="5">
        <v>7.9</v>
      </c>
      <c r="AH25" s="5">
        <v>3.7</v>
      </c>
      <c r="AI25" s="5">
        <v>6.4</v>
      </c>
      <c r="AJ25" s="5">
        <v>55</v>
      </c>
      <c r="AK25" s="5">
        <v>3.0375000000000001</v>
      </c>
      <c r="AL25" s="5" t="s">
        <v>15</v>
      </c>
      <c r="AM25" s="13">
        <v>57.999999999999993</v>
      </c>
      <c r="AN25" s="5">
        <f>100*(AK25/F25)*(AE25*Calculations!$B$5*Calculations!$B$9+AF25*Calculations!$B$6*Calculations!$B$10+AG25*Calculations!$B$7*Calculations!$B$11+AH25*Calculations!$B$8*Calculations!$B$12)</f>
        <v>66.732484927885878</v>
      </c>
      <c r="AO25" s="6" t="s">
        <v>48</v>
      </c>
      <c r="AP25" s="6" t="s">
        <v>315</v>
      </c>
    </row>
    <row r="26" spans="1:42" x14ac:dyDescent="0.3">
      <c r="A26" s="6">
        <v>23</v>
      </c>
      <c r="B26" s="3" t="s">
        <v>56</v>
      </c>
      <c r="C26" s="7" t="s">
        <v>42</v>
      </c>
      <c r="D26" s="4" t="s">
        <v>50</v>
      </c>
      <c r="E26" s="5">
        <v>33.4</v>
      </c>
      <c r="F26" s="13">
        <f>68.1*(100/(100-K26-L26))</f>
        <v>73.494654639876188</v>
      </c>
      <c r="G26" s="13">
        <f>10.2*(100/(100-K26-L26))</f>
        <v>11.008009946060751</v>
      </c>
      <c r="H26" s="5">
        <v>0</v>
      </c>
      <c r="I26" s="5">
        <f t="shared" si="10"/>
        <v>0.10792166613785051</v>
      </c>
      <c r="J26" s="13">
        <f>14.3*(100/(100-K26-L26))</f>
        <v>15.432798257712623</v>
      </c>
      <c r="K26" s="13">
        <v>6.7402000000000006</v>
      </c>
      <c r="L26" s="13">
        <v>0.6</v>
      </c>
      <c r="M26" s="5" t="s">
        <v>15</v>
      </c>
      <c r="N26" s="5" t="s">
        <v>15</v>
      </c>
      <c r="O26" s="5" t="s">
        <v>15</v>
      </c>
      <c r="P26" s="5" t="s">
        <v>15</v>
      </c>
      <c r="Q26" s="5" t="s">
        <v>15</v>
      </c>
      <c r="R26" s="5">
        <v>869</v>
      </c>
      <c r="S26" s="5" t="s">
        <v>39</v>
      </c>
      <c r="T26" s="5" t="s">
        <v>15</v>
      </c>
      <c r="U26" s="5" t="s">
        <v>15</v>
      </c>
      <c r="V26" s="5" t="s">
        <v>15</v>
      </c>
      <c r="W26" s="5">
        <v>0.22</v>
      </c>
      <c r="X26" s="5" t="s">
        <v>33</v>
      </c>
      <c r="Y26" s="5" t="s">
        <v>34</v>
      </c>
      <c r="Z26" s="5" t="s">
        <v>38</v>
      </c>
      <c r="AA26" s="5" t="s">
        <v>38</v>
      </c>
      <c r="AB26" s="5" t="s">
        <v>47</v>
      </c>
      <c r="AC26" s="5">
        <f t="shared" si="9"/>
        <v>66.300000000000011</v>
      </c>
      <c r="AD26" s="5">
        <v>6.8</v>
      </c>
      <c r="AE26" s="5">
        <v>3.7</v>
      </c>
      <c r="AF26" s="5">
        <v>11.1</v>
      </c>
      <c r="AG26" s="5">
        <v>7.3</v>
      </c>
      <c r="AH26" s="5">
        <v>4.8</v>
      </c>
      <c r="AI26" s="5">
        <v>6.8</v>
      </c>
      <c r="AJ26" s="5">
        <v>99</v>
      </c>
      <c r="AK26" s="5">
        <v>2.6470588235294117</v>
      </c>
      <c r="AL26" s="5" t="s">
        <v>15</v>
      </c>
      <c r="AM26" s="13">
        <v>54</v>
      </c>
      <c r="AN26" s="5">
        <f>100*(AK26/F26)*(AE26*Calculations!$B$5*Calculations!$B$9+AF26*Calculations!$B$6*Calculations!$B$10+AG26*Calculations!$B$7*Calculations!$B$11+AH26*Calculations!$B$8*Calculations!$B$12)</f>
        <v>58.540799197025507</v>
      </c>
      <c r="AO26" s="6" t="s">
        <v>48</v>
      </c>
      <c r="AP26" s="6" t="s">
        <v>315</v>
      </c>
    </row>
    <row r="27" spans="1:42" x14ac:dyDescent="0.3">
      <c r="A27" s="6">
        <v>24</v>
      </c>
      <c r="B27" s="3" t="s">
        <v>56</v>
      </c>
      <c r="C27" s="7" t="s">
        <v>42</v>
      </c>
      <c r="D27" s="4" t="s">
        <v>50</v>
      </c>
      <c r="E27" s="5">
        <v>40.200000000000003</v>
      </c>
      <c r="F27" s="13">
        <f>79.5*(100/(100-K27-L27))</f>
        <v>81.633323646863502</v>
      </c>
      <c r="G27" s="13">
        <f>13.1*(100/(100-K27-L27))</f>
        <v>13.451528802187569</v>
      </c>
      <c r="H27" s="5">
        <f>0.2*(100/(100-K27-L27))</f>
        <v>0.20536685194179496</v>
      </c>
      <c r="I27" s="5">
        <f t="shared" si="10"/>
        <v>0.10268342597089748</v>
      </c>
      <c r="J27" s="13">
        <f>4.5*(100/(100-K27-L27))</f>
        <v>4.6207541686903868</v>
      </c>
      <c r="K27" s="13">
        <f>((100+L27)/100)*1.9</f>
        <v>1.9133000000000002</v>
      </c>
      <c r="L27" s="13">
        <v>0.7</v>
      </c>
      <c r="M27" s="5" t="s">
        <v>15</v>
      </c>
      <c r="N27" s="5" t="s">
        <v>15</v>
      </c>
      <c r="O27" s="5" t="s">
        <v>15</v>
      </c>
      <c r="P27" s="5" t="s">
        <v>15</v>
      </c>
      <c r="Q27" s="5" t="s">
        <v>15</v>
      </c>
      <c r="R27" s="5">
        <v>894</v>
      </c>
      <c r="S27" s="5" t="s">
        <v>39</v>
      </c>
      <c r="T27" s="5" t="s">
        <v>15</v>
      </c>
      <c r="U27" s="5" t="s">
        <v>15</v>
      </c>
      <c r="V27" s="5" t="s">
        <v>15</v>
      </c>
      <c r="W27" s="5">
        <v>0.27</v>
      </c>
      <c r="X27" s="5" t="s">
        <v>33</v>
      </c>
      <c r="Y27" s="5" t="s">
        <v>34</v>
      </c>
      <c r="Z27" s="5" t="s">
        <v>38</v>
      </c>
      <c r="AA27" s="5" t="s">
        <v>38</v>
      </c>
      <c r="AB27" s="5" t="s">
        <v>47</v>
      </c>
      <c r="AC27" s="5">
        <f t="shared" si="9"/>
        <v>65.600000000000009</v>
      </c>
      <c r="AD27" s="5">
        <v>8.6</v>
      </c>
      <c r="AE27" s="5">
        <v>5.3</v>
      </c>
      <c r="AF27" s="5">
        <v>9.8000000000000007</v>
      </c>
      <c r="AG27" s="5">
        <v>7.3</v>
      </c>
      <c r="AH27" s="5">
        <v>3.4</v>
      </c>
      <c r="AI27" s="5">
        <v>6.4</v>
      </c>
      <c r="AJ27" s="5">
        <v>59</v>
      </c>
      <c r="AK27" s="5">
        <v>3.7687499999999998</v>
      </c>
      <c r="AL27" s="5" t="s">
        <v>15</v>
      </c>
      <c r="AM27" s="13">
        <v>60</v>
      </c>
      <c r="AN27" s="5">
        <f>100*(AK27/F27)*(AE27*Calculations!$B$5*Calculations!$B$9+AF27*Calculations!$B$6*Calculations!$B$10+AG27*Calculations!$B$7*Calculations!$B$11+AH27*Calculations!$B$8*Calculations!$B$12)</f>
        <v>68.868693176287636</v>
      </c>
      <c r="AO27" s="6" t="s">
        <v>48</v>
      </c>
      <c r="AP27" s="6" t="s">
        <v>315</v>
      </c>
    </row>
    <row r="28" spans="1:42" x14ac:dyDescent="0.3">
      <c r="A28" s="6">
        <v>25</v>
      </c>
      <c r="B28" s="3" t="s">
        <v>56</v>
      </c>
      <c r="C28" s="7" t="s">
        <v>42</v>
      </c>
      <c r="D28" s="4" t="s">
        <v>50</v>
      </c>
      <c r="E28" s="5">
        <v>40.200000000000003</v>
      </c>
      <c r="F28" s="13">
        <f>79.5*(100/(100-K28-L28))</f>
        <v>81.633323646863502</v>
      </c>
      <c r="G28" s="13">
        <f>13.1*(100/(100-K28-L28))</f>
        <v>13.451528802187569</v>
      </c>
      <c r="H28" s="5">
        <f>0.2*(100/(100-K28-L28))</f>
        <v>0.20536685194179496</v>
      </c>
      <c r="I28" s="5">
        <f t="shared" si="10"/>
        <v>0.10268342597089748</v>
      </c>
      <c r="J28" s="13">
        <f>4.5*(100/(100-K28-L28))</f>
        <v>4.6207541686903868</v>
      </c>
      <c r="K28" s="13">
        <v>1.9133000000000002</v>
      </c>
      <c r="L28" s="13">
        <v>0.7</v>
      </c>
      <c r="M28" s="5" t="s">
        <v>15</v>
      </c>
      <c r="N28" s="5" t="s">
        <v>15</v>
      </c>
      <c r="O28" s="5" t="s">
        <v>15</v>
      </c>
      <c r="P28" s="5" t="s">
        <v>15</v>
      </c>
      <c r="Q28" s="5" t="s">
        <v>15</v>
      </c>
      <c r="R28" s="5">
        <v>890</v>
      </c>
      <c r="S28" s="5" t="s">
        <v>39</v>
      </c>
      <c r="T28" s="5" t="s">
        <v>15</v>
      </c>
      <c r="U28" s="5" t="s">
        <v>15</v>
      </c>
      <c r="V28" s="5" t="s">
        <v>15</v>
      </c>
      <c r="W28" s="5">
        <v>0.24</v>
      </c>
      <c r="X28" s="5" t="s">
        <v>33</v>
      </c>
      <c r="Y28" s="5" t="s">
        <v>34</v>
      </c>
      <c r="Z28" s="5" t="s">
        <v>38</v>
      </c>
      <c r="AA28" s="5" t="s">
        <v>38</v>
      </c>
      <c r="AB28" s="5" t="s">
        <v>47</v>
      </c>
      <c r="AC28" s="5">
        <f t="shared" si="9"/>
        <v>61.000000000000007</v>
      </c>
      <c r="AD28" s="5">
        <v>9.6</v>
      </c>
      <c r="AE28" s="5">
        <v>4.5</v>
      </c>
      <c r="AF28" s="5">
        <v>10.9</v>
      </c>
      <c r="AG28" s="5">
        <v>8.6</v>
      </c>
      <c r="AH28" s="5">
        <v>5.4</v>
      </c>
      <c r="AI28" s="5">
        <v>7.9</v>
      </c>
      <c r="AJ28" s="5">
        <v>32</v>
      </c>
      <c r="AK28" s="5">
        <v>3.5088607594936709</v>
      </c>
      <c r="AL28" s="5" t="s">
        <v>15</v>
      </c>
      <c r="AM28" s="13">
        <v>69</v>
      </c>
      <c r="AN28" s="5">
        <f>100*(AK28/F28)*(AE28*Calculations!$B$5*Calculations!$B$9+AF28*Calculations!$B$6*Calculations!$B$10+AG28*Calculations!$B$7*Calculations!$B$11+AH28*Calculations!$B$8*Calculations!$B$12)</f>
        <v>76.441030928933358</v>
      </c>
      <c r="AO28" s="6" t="s">
        <v>48</v>
      </c>
      <c r="AP28" s="6" t="s">
        <v>315</v>
      </c>
    </row>
    <row r="29" spans="1:42" x14ac:dyDescent="0.3">
      <c r="A29" s="6">
        <v>26</v>
      </c>
      <c r="B29" s="3" t="s">
        <v>56</v>
      </c>
      <c r="C29" s="7" t="s">
        <v>42</v>
      </c>
      <c r="D29" s="4" t="s">
        <v>51</v>
      </c>
      <c r="E29" s="5">
        <v>25.400000000000002</v>
      </c>
      <c r="F29" s="13">
        <f>53.9*(100/(100-K29-L29))</f>
        <v>61.132181613617384</v>
      </c>
      <c r="G29" s="13">
        <f>7.7*(100/(100-K29-L29))</f>
        <v>8.7331688019453413</v>
      </c>
      <c r="H29" s="5">
        <f>0.5*(100/(100-K29-L29))</f>
        <v>0.56708888324320395</v>
      </c>
      <c r="I29" s="5">
        <f t="shared" si="10"/>
        <v>0.11341777664864079</v>
      </c>
      <c r="J29" s="13">
        <f>26.3*(100/(100-K29-L29))</f>
        <v>29.828875258592529</v>
      </c>
      <c r="K29" s="13">
        <f>((100+L29)/100)*5.9</f>
        <v>6.2304000000000004</v>
      </c>
      <c r="L29" s="13">
        <v>5.6</v>
      </c>
      <c r="M29" s="5" t="s">
        <v>15</v>
      </c>
      <c r="N29" s="5" t="s">
        <v>15</v>
      </c>
      <c r="O29" s="5" t="s">
        <v>15</v>
      </c>
      <c r="P29" s="5" t="s">
        <v>15</v>
      </c>
      <c r="Q29" s="5" t="s">
        <v>15</v>
      </c>
      <c r="R29" s="5">
        <v>879</v>
      </c>
      <c r="S29" s="5" t="s">
        <v>39</v>
      </c>
      <c r="T29" s="5" t="s">
        <v>15</v>
      </c>
      <c r="U29" s="5" t="s">
        <v>15</v>
      </c>
      <c r="V29" s="5" t="s">
        <v>15</v>
      </c>
      <c r="W29" s="5">
        <v>0.26</v>
      </c>
      <c r="X29" s="5" t="s">
        <v>33</v>
      </c>
      <c r="Y29" s="5" t="s">
        <v>34</v>
      </c>
      <c r="Z29" s="5" t="s">
        <v>38</v>
      </c>
      <c r="AA29" s="5" t="s">
        <v>38</v>
      </c>
      <c r="AB29" s="5" t="s">
        <v>47</v>
      </c>
      <c r="AC29" s="5">
        <f t="shared" si="9"/>
        <v>55.800000000000004</v>
      </c>
      <c r="AD29" s="5">
        <v>9.9</v>
      </c>
      <c r="AE29" s="5">
        <v>11.6</v>
      </c>
      <c r="AF29" s="5">
        <v>14.3</v>
      </c>
      <c r="AG29" s="5">
        <v>6.3</v>
      </c>
      <c r="AH29" s="5">
        <v>2.1</v>
      </c>
      <c r="AI29" s="5">
        <v>6.2</v>
      </c>
      <c r="AJ29" s="5">
        <v>19</v>
      </c>
      <c r="AK29" s="5">
        <v>2.4387096774193551</v>
      </c>
      <c r="AL29" s="5" t="s">
        <v>15</v>
      </c>
      <c r="AM29" s="13">
        <v>60</v>
      </c>
      <c r="AN29" s="5">
        <f>100*(AK29/F29)*(AE29*Calculations!$B$5*Calculations!$B$9+AF29*Calculations!$B$6*Calculations!$B$10+AG29*Calculations!$B$7*Calculations!$B$11+AH29*Calculations!$B$8*Calculations!$B$12)</f>
        <v>74.270694432959488</v>
      </c>
      <c r="AO29" s="6" t="s">
        <v>48</v>
      </c>
      <c r="AP29" s="6" t="s">
        <v>315</v>
      </c>
    </row>
    <row r="30" spans="1:42" x14ac:dyDescent="0.3">
      <c r="A30" s="6">
        <v>27</v>
      </c>
      <c r="B30" s="3" t="s">
        <v>56</v>
      </c>
      <c r="C30" s="7" t="s">
        <v>42</v>
      </c>
      <c r="D30" s="4" t="s">
        <v>51</v>
      </c>
      <c r="E30" s="5">
        <v>25.400000000000002</v>
      </c>
      <c r="F30" s="13">
        <f>53.9*(100/(100-K30-L30))</f>
        <v>61.132181613617384</v>
      </c>
      <c r="G30" s="13">
        <f>7.7*(100/(100-K30-L30))</f>
        <v>8.7331688019453413</v>
      </c>
      <c r="H30" s="5">
        <f>0.5*(100/(100-K30-L30))</f>
        <v>0.56708888324320395</v>
      </c>
      <c r="I30" s="5">
        <f t="shared" si="10"/>
        <v>0.11341777664864079</v>
      </c>
      <c r="J30" s="13">
        <f>26.3*(100/(100-K30-L30))</f>
        <v>29.828875258592529</v>
      </c>
      <c r="K30" s="13">
        <v>6.2304000000000004</v>
      </c>
      <c r="L30" s="13">
        <v>5.6</v>
      </c>
      <c r="M30" s="5" t="s">
        <v>15</v>
      </c>
      <c r="N30" s="5" t="s">
        <v>15</v>
      </c>
      <c r="O30" s="5" t="s">
        <v>15</v>
      </c>
      <c r="P30" s="5" t="s">
        <v>15</v>
      </c>
      <c r="Q30" s="5" t="s">
        <v>15</v>
      </c>
      <c r="R30" s="5">
        <v>915</v>
      </c>
      <c r="S30" s="5" t="s">
        <v>39</v>
      </c>
      <c r="T30" s="5" t="s">
        <v>15</v>
      </c>
      <c r="U30" s="5" t="s">
        <v>15</v>
      </c>
      <c r="V30" s="5" t="s">
        <v>15</v>
      </c>
      <c r="W30" s="5">
        <v>0.31</v>
      </c>
      <c r="X30" s="5" t="s">
        <v>33</v>
      </c>
      <c r="Y30" s="5" t="s">
        <v>34</v>
      </c>
      <c r="Z30" s="5" t="s">
        <v>38</v>
      </c>
      <c r="AA30" s="5" t="s">
        <v>38</v>
      </c>
      <c r="AB30" s="5" t="s">
        <v>47</v>
      </c>
      <c r="AC30" s="5">
        <f t="shared" si="9"/>
        <v>60.699999999999996</v>
      </c>
      <c r="AD30" s="5">
        <v>7.9</v>
      </c>
      <c r="AE30" s="5">
        <v>10.9</v>
      </c>
      <c r="AF30" s="5">
        <v>14.1</v>
      </c>
      <c r="AG30" s="5">
        <v>4.9000000000000004</v>
      </c>
      <c r="AH30" s="5">
        <v>1.5</v>
      </c>
      <c r="AI30" s="5">
        <v>5</v>
      </c>
      <c r="AJ30" s="5">
        <v>14</v>
      </c>
      <c r="AK30" s="5">
        <v>2.7359999999999998</v>
      </c>
      <c r="AL30" s="5" t="s">
        <v>15</v>
      </c>
      <c r="AM30" s="13">
        <v>54</v>
      </c>
      <c r="AN30" s="5">
        <f>100*(AK30/F30)*(AE30*Calculations!$B$5*Calculations!$B$9+AF30*Calculations!$B$6*Calculations!$B$10+AG30*Calculations!$B$7*Calculations!$B$11+AH30*Calculations!$B$8*Calculations!$B$12)</f>
        <v>75.507174470425454</v>
      </c>
      <c r="AO30" s="6" t="s">
        <v>48</v>
      </c>
      <c r="AP30" s="6" t="s">
        <v>315</v>
      </c>
    </row>
    <row r="31" spans="1:42" x14ac:dyDescent="0.3">
      <c r="A31" s="6">
        <v>28</v>
      </c>
      <c r="B31" s="3" t="s">
        <v>55</v>
      </c>
      <c r="C31" s="7" t="s">
        <v>42</v>
      </c>
      <c r="D31" s="4" t="s">
        <v>54</v>
      </c>
      <c r="E31" s="5">
        <v>27.3</v>
      </c>
      <c r="F31" s="13">
        <f>56.8*(100/(100-K31-L31))</f>
        <v>69.614497464218388</v>
      </c>
      <c r="G31" s="13">
        <f>8.3*(100/(100-K31-L31))</f>
        <v>10.172541002693887</v>
      </c>
      <c r="H31" s="5">
        <f>0.5*(100/(100-K31-L31))</f>
        <v>0.61280367486107745</v>
      </c>
      <c r="I31" s="5">
        <f>0.6*(100/(100-K31-L31))</f>
        <v>0.73536440983329288</v>
      </c>
      <c r="J31" s="13">
        <f>15.7*(100/(100-K31-L31))</f>
        <v>19.242035390637831</v>
      </c>
      <c r="K31" s="13">
        <f>((100+L31)/100)*16.2</f>
        <v>16.5078</v>
      </c>
      <c r="L31" s="13">
        <v>1.9</v>
      </c>
      <c r="M31" s="5" t="s">
        <v>15</v>
      </c>
      <c r="N31" s="5" t="s">
        <v>15</v>
      </c>
      <c r="O31" s="5" t="s">
        <v>15</v>
      </c>
      <c r="P31" s="5" t="s">
        <v>15</v>
      </c>
      <c r="Q31" s="5" t="s">
        <v>15</v>
      </c>
      <c r="R31" s="5">
        <v>899</v>
      </c>
      <c r="S31" s="5" t="s">
        <v>39</v>
      </c>
      <c r="T31" s="5" t="s">
        <v>15</v>
      </c>
      <c r="U31" s="5" t="s">
        <v>15</v>
      </c>
      <c r="V31" s="5" t="s">
        <v>15</v>
      </c>
      <c r="W31" s="5">
        <v>0.34</v>
      </c>
      <c r="X31" s="5" t="s">
        <v>33</v>
      </c>
      <c r="Y31" s="5" t="s">
        <v>34</v>
      </c>
      <c r="Z31" s="5" t="s">
        <v>38</v>
      </c>
      <c r="AA31" s="5" t="s">
        <v>38</v>
      </c>
      <c r="AB31" s="5" t="s">
        <v>47</v>
      </c>
      <c r="AC31" s="5">
        <f t="shared" si="9"/>
        <v>64.7</v>
      </c>
      <c r="AD31" s="5">
        <v>5.9</v>
      </c>
      <c r="AE31" s="5">
        <v>7.6</v>
      </c>
      <c r="AF31" s="5">
        <v>13.4</v>
      </c>
      <c r="AG31" s="5">
        <v>6.6</v>
      </c>
      <c r="AH31" s="5">
        <v>1.8</v>
      </c>
      <c r="AI31" s="5">
        <v>5.2</v>
      </c>
      <c r="AJ31" s="5">
        <v>15</v>
      </c>
      <c r="AK31" s="5">
        <v>2.4923076923076923</v>
      </c>
      <c r="AL31" s="5" t="s">
        <v>15</v>
      </c>
      <c r="AM31" s="13">
        <v>48</v>
      </c>
      <c r="AN31" s="5">
        <f>100*(AK31/F31)*(AE31*Calculations!$B$5*Calculations!$B$9+AF31*Calculations!$B$6*Calculations!$B$10+AG31*Calculations!$B$7*Calculations!$B$11+AH31*Calculations!$B$8*Calculations!$B$12)</f>
        <v>57.360775497833927</v>
      </c>
      <c r="AO31" s="6" t="s">
        <v>48</v>
      </c>
      <c r="AP31" s="6" t="s">
        <v>315</v>
      </c>
    </row>
    <row r="32" spans="1:42" x14ac:dyDescent="0.3">
      <c r="A32" s="6">
        <v>29</v>
      </c>
      <c r="B32" s="3" t="s">
        <v>55</v>
      </c>
      <c r="C32" s="7" t="s">
        <v>42</v>
      </c>
      <c r="D32" s="4" t="s">
        <v>54</v>
      </c>
      <c r="E32" s="5">
        <v>27.3</v>
      </c>
      <c r="F32" s="13">
        <f>56.8*(100/(100-K32-L32))</f>
        <v>69.614497464218388</v>
      </c>
      <c r="G32" s="13">
        <f>8.3*(100/(100-K32-L32))</f>
        <v>10.172541002693887</v>
      </c>
      <c r="H32" s="5">
        <f>0.5*(100/(100-K32-L32))</f>
        <v>0.61280367486107745</v>
      </c>
      <c r="I32" s="5">
        <f>0.6*(100/(100-K32-L32))</f>
        <v>0.73536440983329288</v>
      </c>
      <c r="J32" s="13">
        <f>15.7*(100/(100-K32-L32))</f>
        <v>19.242035390637831</v>
      </c>
      <c r="K32" s="13">
        <v>16.5078</v>
      </c>
      <c r="L32" s="13">
        <v>1.9</v>
      </c>
      <c r="M32" s="5" t="s">
        <v>15</v>
      </c>
      <c r="N32" s="5" t="s">
        <v>15</v>
      </c>
      <c r="O32" s="5" t="s">
        <v>15</v>
      </c>
      <c r="P32" s="5" t="s">
        <v>15</v>
      </c>
      <c r="Q32" s="5" t="s">
        <v>15</v>
      </c>
      <c r="R32" s="5">
        <v>896</v>
      </c>
      <c r="S32" s="5" t="s">
        <v>39</v>
      </c>
      <c r="T32" s="5" t="s">
        <v>15</v>
      </c>
      <c r="U32" s="5" t="s">
        <v>15</v>
      </c>
      <c r="V32" s="5" t="s">
        <v>15</v>
      </c>
      <c r="W32" s="5">
        <v>0.28000000000000003</v>
      </c>
      <c r="X32" s="5" t="s">
        <v>33</v>
      </c>
      <c r="Y32" s="5" t="s">
        <v>34</v>
      </c>
      <c r="Z32" s="5" t="s">
        <v>38</v>
      </c>
      <c r="AA32" s="5" t="s">
        <v>38</v>
      </c>
      <c r="AB32" s="5" t="s">
        <v>47</v>
      </c>
      <c r="AC32" s="5">
        <f t="shared" si="9"/>
        <v>62.3</v>
      </c>
      <c r="AD32" s="5">
        <v>7.9</v>
      </c>
      <c r="AE32" s="5">
        <v>8.6999999999999993</v>
      </c>
      <c r="AF32" s="5">
        <v>12.3</v>
      </c>
      <c r="AG32" s="5">
        <v>7</v>
      </c>
      <c r="AH32" s="5">
        <v>1.8</v>
      </c>
      <c r="AI32" s="5">
        <v>5.7</v>
      </c>
      <c r="AJ32" s="5">
        <v>43</v>
      </c>
      <c r="AK32" s="5">
        <v>2.2105263157894735</v>
      </c>
      <c r="AL32" s="5" t="s">
        <v>15</v>
      </c>
      <c r="AM32" s="18">
        <v>46</v>
      </c>
      <c r="AN32" s="5">
        <f>100*(AK32/F32)*(AE32*Calculations!$B$5*Calculations!$B$9+AF32*Calculations!$B$6*Calculations!$B$10+AG32*Calculations!$B$7*Calculations!$B$11+AH32*Calculations!$B$8*Calculations!$B$12)</f>
        <v>51.321773536045214</v>
      </c>
      <c r="AO32" s="6" t="s">
        <v>48</v>
      </c>
      <c r="AP32" s="6" t="s">
        <v>315</v>
      </c>
    </row>
    <row r="33" spans="1:42" ht="14.5" thickBot="1" x14ac:dyDescent="0.35">
      <c r="A33" s="6">
        <v>30</v>
      </c>
      <c r="B33" s="3" t="s">
        <v>55</v>
      </c>
      <c r="C33" s="7" t="s">
        <v>42</v>
      </c>
      <c r="D33" s="4" t="s">
        <v>54</v>
      </c>
      <c r="E33" s="5">
        <v>27.3</v>
      </c>
      <c r="F33" s="13">
        <f>56.8*(100/(100-K33-L33))</f>
        <v>69.614497464218388</v>
      </c>
      <c r="G33" s="13">
        <f>8.3*(100/(100-K33-L33))</f>
        <v>10.172541002693887</v>
      </c>
      <c r="H33" s="5">
        <f>0.5*(100/(100-K33-L33))</f>
        <v>0.61280367486107745</v>
      </c>
      <c r="I33" s="5">
        <f>0.6*(100/(100-K33-L33))</f>
        <v>0.73536440983329288</v>
      </c>
      <c r="J33" s="13">
        <f>15.7*(100/(100-K33-L33))</f>
        <v>19.242035390637831</v>
      </c>
      <c r="K33" s="13">
        <v>16.5078</v>
      </c>
      <c r="L33" s="13">
        <v>1.9</v>
      </c>
      <c r="M33" s="5" t="s">
        <v>15</v>
      </c>
      <c r="N33" s="5" t="s">
        <v>15</v>
      </c>
      <c r="O33" s="5" t="s">
        <v>15</v>
      </c>
      <c r="P33" s="5" t="s">
        <v>15</v>
      </c>
      <c r="Q33" s="5" t="s">
        <v>15</v>
      </c>
      <c r="R33" s="5">
        <v>869</v>
      </c>
      <c r="S33" s="5" t="s">
        <v>39</v>
      </c>
      <c r="T33" s="5" t="s">
        <v>15</v>
      </c>
      <c r="U33" s="5" t="s">
        <v>15</v>
      </c>
      <c r="V33" s="5" t="s">
        <v>15</v>
      </c>
      <c r="W33" s="5">
        <v>0.23</v>
      </c>
      <c r="X33" s="5" t="s">
        <v>33</v>
      </c>
      <c r="Y33" s="5" t="s">
        <v>34</v>
      </c>
      <c r="Z33" s="5" t="s">
        <v>38</v>
      </c>
      <c r="AA33" s="5" t="s">
        <v>38</v>
      </c>
      <c r="AB33" s="5" t="s">
        <v>47</v>
      </c>
      <c r="AC33" s="5">
        <f t="shared" si="9"/>
        <v>57.900000000000006</v>
      </c>
      <c r="AD33" s="5">
        <v>9.1999999999999993</v>
      </c>
      <c r="AE33" s="5">
        <v>9.1</v>
      </c>
      <c r="AF33" s="5">
        <v>12.8</v>
      </c>
      <c r="AG33" s="5">
        <v>8.3000000000000007</v>
      </c>
      <c r="AH33" s="5">
        <v>2.7</v>
      </c>
      <c r="AI33" s="5">
        <v>6.9</v>
      </c>
      <c r="AJ33" s="5">
        <v>54</v>
      </c>
      <c r="AK33" s="5">
        <v>1.9304347826086956</v>
      </c>
      <c r="AL33" s="5" t="s">
        <v>15</v>
      </c>
      <c r="AM33" s="19">
        <v>49</v>
      </c>
      <c r="AN33" s="5">
        <f>100*(AK33/F33)*(AE33*Calculations!$B$5*Calculations!$B$9+AF33*Calculations!$B$6*Calculations!$B$10+AG33*Calculations!$B$7*Calculations!$B$11+AH33*Calculations!$B$8*Calculations!$B$12)</f>
        <v>50.410132355830861</v>
      </c>
      <c r="AO33" s="6" t="s">
        <v>48</v>
      </c>
      <c r="AP33" s="6" t="s">
        <v>315</v>
      </c>
    </row>
    <row r="34" spans="1:42" x14ac:dyDescent="0.3">
      <c r="A34" s="6">
        <v>31</v>
      </c>
      <c r="B34" s="3" t="s">
        <v>63</v>
      </c>
      <c r="C34" s="3" t="s">
        <v>67</v>
      </c>
      <c r="D34" s="3">
        <f>(2+6)/2</f>
        <v>4</v>
      </c>
      <c r="E34" s="5">
        <f>15.22-(9*((G34/100*(100/(100-L34))))*Calculations!$B$16)</f>
        <v>13.959800867678959</v>
      </c>
      <c r="F34" s="20">
        <v>43.52</v>
      </c>
      <c r="G34" s="5">
        <v>5.72</v>
      </c>
      <c r="H34" s="5">
        <v>1.2</v>
      </c>
      <c r="I34" s="5">
        <v>0.66</v>
      </c>
      <c r="J34" s="5">
        <v>48.9</v>
      </c>
      <c r="K34" s="5">
        <f>(100/(100-L34))*4.5</f>
        <v>4.8806941431670285</v>
      </c>
      <c r="L34" s="5">
        <v>7.8</v>
      </c>
      <c r="M34" s="5">
        <f>(100/(100-L34))*79.34</f>
        <v>86.052060737527128</v>
      </c>
      <c r="N34" s="5">
        <f>(100/(100-L34))*8.36</f>
        <v>9.0672451193058574</v>
      </c>
      <c r="O34" s="5" t="s">
        <v>15</v>
      </c>
      <c r="P34" s="5" t="s">
        <v>15</v>
      </c>
      <c r="Q34" s="5" t="s">
        <v>15</v>
      </c>
      <c r="R34" s="5">
        <v>650</v>
      </c>
      <c r="S34" s="5" t="s">
        <v>39</v>
      </c>
      <c r="T34" s="5" t="s">
        <v>75</v>
      </c>
      <c r="U34" s="5" t="s">
        <v>15</v>
      </c>
      <c r="V34" s="5" t="s">
        <v>15</v>
      </c>
      <c r="W34" s="5">
        <v>0.25</v>
      </c>
      <c r="X34" s="5" t="s">
        <v>33</v>
      </c>
      <c r="Y34" s="5" t="s">
        <v>64</v>
      </c>
      <c r="Z34" s="5" t="s">
        <v>73</v>
      </c>
      <c r="AA34" s="5" t="s">
        <v>15</v>
      </c>
      <c r="AB34" s="5" t="s">
        <v>65</v>
      </c>
      <c r="AC34" s="5">
        <f>100-AD34-AE34-AF34-AG34</f>
        <v>62</v>
      </c>
      <c r="AD34" s="5">
        <v>7.25</v>
      </c>
      <c r="AE34" s="5">
        <v>11.5</v>
      </c>
      <c r="AF34" s="5">
        <v>17</v>
      </c>
      <c r="AG34" s="5">
        <v>2.25</v>
      </c>
      <c r="AH34" s="5" t="s">
        <v>15</v>
      </c>
      <c r="AI34" s="5">
        <v>3.27</v>
      </c>
      <c r="AJ34" s="5" t="s">
        <v>15</v>
      </c>
      <c r="AK34" s="5">
        <v>1.3</v>
      </c>
      <c r="AL34" s="5" t="s">
        <v>15</v>
      </c>
      <c r="AM34" s="5">
        <v>28</v>
      </c>
      <c r="AN34" s="5">
        <v>50</v>
      </c>
      <c r="AO34" s="6" t="s">
        <v>62</v>
      </c>
      <c r="AP34" s="6" t="s">
        <v>316</v>
      </c>
    </row>
    <row r="35" spans="1:42" x14ac:dyDescent="0.3">
      <c r="A35" s="6">
        <v>32</v>
      </c>
      <c r="B35" s="3" t="s">
        <v>63</v>
      </c>
      <c r="C35" s="3" t="s">
        <v>67</v>
      </c>
      <c r="D35" s="3">
        <f t="shared" ref="D35:D47" si="11">(2+6)/2</f>
        <v>4</v>
      </c>
      <c r="E35" s="5">
        <f>15.22-(9*((G35/100*(100/(100-L35))))*Calculations!$B$16)</f>
        <v>13.959800867678959</v>
      </c>
      <c r="F35" s="5">
        <v>43.52</v>
      </c>
      <c r="G35" s="5">
        <v>5.72</v>
      </c>
      <c r="H35" s="5">
        <v>1.2</v>
      </c>
      <c r="I35" s="5">
        <v>0.66</v>
      </c>
      <c r="J35" s="5">
        <v>48.9</v>
      </c>
      <c r="K35" s="5">
        <f>(100/(100-L35))*4.5</f>
        <v>4.8806941431670285</v>
      </c>
      <c r="L35" s="5">
        <v>7.8</v>
      </c>
      <c r="M35" s="5">
        <f>(100/(100-L35))*79.34</f>
        <v>86.052060737527128</v>
      </c>
      <c r="N35" s="5">
        <f>(100/(100-L35))*8.36</f>
        <v>9.0672451193058574</v>
      </c>
      <c r="O35" s="5" t="s">
        <v>15</v>
      </c>
      <c r="P35" s="5" t="s">
        <v>15</v>
      </c>
      <c r="Q35" s="5" t="s">
        <v>15</v>
      </c>
      <c r="R35" s="5">
        <v>750</v>
      </c>
      <c r="S35" s="5" t="s">
        <v>39</v>
      </c>
      <c r="T35" s="5" t="s">
        <v>75</v>
      </c>
      <c r="U35" s="5" t="s">
        <v>15</v>
      </c>
      <c r="V35" s="5" t="s">
        <v>15</v>
      </c>
      <c r="W35" s="5">
        <v>0.25</v>
      </c>
      <c r="X35" s="5" t="s">
        <v>33</v>
      </c>
      <c r="Y35" s="5" t="s">
        <v>64</v>
      </c>
      <c r="Z35" s="5" t="s">
        <v>73</v>
      </c>
      <c r="AA35" s="5" t="s">
        <v>15</v>
      </c>
      <c r="AB35" s="5" t="s">
        <v>65</v>
      </c>
      <c r="AC35" s="5">
        <f t="shared" ref="AC35:AC47" si="12">100-AD35-AE35-AF35-AG35</f>
        <v>57.4</v>
      </c>
      <c r="AD35" s="5">
        <v>6.5</v>
      </c>
      <c r="AE35" s="5">
        <v>13.75</v>
      </c>
      <c r="AF35" s="5">
        <v>18.75</v>
      </c>
      <c r="AG35" s="5">
        <v>3.6</v>
      </c>
      <c r="AH35" s="5" t="s">
        <v>15</v>
      </c>
      <c r="AI35" s="5">
        <v>3.45</v>
      </c>
      <c r="AJ35" s="5" t="s">
        <v>15</v>
      </c>
      <c r="AK35" s="5">
        <v>1.5</v>
      </c>
      <c r="AL35" s="5" t="s">
        <v>15</v>
      </c>
      <c r="AM35" s="5">
        <v>37</v>
      </c>
      <c r="AN35" s="5">
        <v>64</v>
      </c>
      <c r="AO35" s="6" t="s">
        <v>62</v>
      </c>
      <c r="AP35" s="6" t="s">
        <v>316</v>
      </c>
    </row>
    <row r="36" spans="1:42" x14ac:dyDescent="0.3">
      <c r="A36" s="6">
        <v>33</v>
      </c>
      <c r="B36" s="3" t="s">
        <v>63</v>
      </c>
      <c r="C36" s="3" t="s">
        <v>67</v>
      </c>
      <c r="D36" s="3">
        <f t="shared" si="11"/>
        <v>4</v>
      </c>
      <c r="E36" s="5">
        <f>15.22-(9*((G36/100*(100/(100-L36))))*Calculations!$B$16)</f>
        <v>13.959800867678959</v>
      </c>
      <c r="F36" s="5">
        <v>43.52</v>
      </c>
      <c r="G36" s="5">
        <v>5.72</v>
      </c>
      <c r="H36" s="5">
        <v>1.2</v>
      </c>
      <c r="I36" s="5">
        <v>0.66</v>
      </c>
      <c r="J36" s="5">
        <v>48.9</v>
      </c>
      <c r="K36" s="5">
        <f>(100/(100-L36))*4.5</f>
        <v>4.8806941431670285</v>
      </c>
      <c r="L36" s="5">
        <v>7.8</v>
      </c>
      <c r="M36" s="5">
        <f>(100/(100-L36))*79.34</f>
        <v>86.052060737527128</v>
      </c>
      <c r="N36" s="5">
        <f>(100/(100-L36))*8.36</f>
        <v>9.0672451193058574</v>
      </c>
      <c r="O36" s="5" t="s">
        <v>15</v>
      </c>
      <c r="P36" s="5" t="s">
        <v>15</v>
      </c>
      <c r="Q36" s="5" t="s">
        <v>15</v>
      </c>
      <c r="R36" s="5">
        <v>850</v>
      </c>
      <c r="S36" s="5" t="s">
        <v>39</v>
      </c>
      <c r="T36" s="5" t="s">
        <v>75</v>
      </c>
      <c r="U36" s="5" t="s">
        <v>15</v>
      </c>
      <c r="V36" s="5" t="s">
        <v>15</v>
      </c>
      <c r="W36" s="5">
        <v>0.25</v>
      </c>
      <c r="X36" s="5" t="s">
        <v>33</v>
      </c>
      <c r="Y36" s="5" t="s">
        <v>64</v>
      </c>
      <c r="Z36" s="5" t="s">
        <v>73</v>
      </c>
      <c r="AA36" s="5" t="s">
        <v>15</v>
      </c>
      <c r="AB36" s="5" t="s">
        <v>65</v>
      </c>
      <c r="AC36" s="5">
        <f t="shared" si="12"/>
        <v>53</v>
      </c>
      <c r="AD36" s="5">
        <v>7.25</v>
      </c>
      <c r="AE36" s="5">
        <v>17.25</v>
      </c>
      <c r="AF36" s="5">
        <v>19</v>
      </c>
      <c r="AG36" s="5">
        <v>3.5</v>
      </c>
      <c r="AH36" s="5" t="s">
        <v>15</v>
      </c>
      <c r="AI36" s="5">
        <v>4.45</v>
      </c>
      <c r="AJ36" s="5" t="s">
        <v>15</v>
      </c>
      <c r="AK36" s="5">
        <v>1.75</v>
      </c>
      <c r="AL36" s="5" t="s">
        <v>15</v>
      </c>
      <c r="AM36" s="5">
        <v>50</v>
      </c>
      <c r="AN36" s="5">
        <v>75</v>
      </c>
      <c r="AO36" s="6" t="s">
        <v>62</v>
      </c>
      <c r="AP36" s="6" t="s">
        <v>316</v>
      </c>
    </row>
    <row r="37" spans="1:42" x14ac:dyDescent="0.3">
      <c r="A37" s="6">
        <v>34</v>
      </c>
      <c r="B37" s="3" t="s">
        <v>63</v>
      </c>
      <c r="C37" s="3" t="s">
        <v>67</v>
      </c>
      <c r="D37" s="3">
        <f t="shared" si="11"/>
        <v>4</v>
      </c>
      <c r="E37" s="5">
        <f>15.22-(9*((G37/100*(100/(100-L37))))*Calculations!$B$16)</f>
        <v>13.959800867678959</v>
      </c>
      <c r="F37" s="5">
        <v>43.52</v>
      </c>
      <c r="G37" s="5">
        <v>5.72</v>
      </c>
      <c r="H37" s="5">
        <v>1.2</v>
      </c>
      <c r="I37" s="5">
        <v>0.66</v>
      </c>
      <c r="J37" s="5">
        <v>48.9</v>
      </c>
      <c r="K37" s="5">
        <f t="shared" ref="K37:K42" si="13">(100/(100-L37))*4.5</f>
        <v>4.8806941431670285</v>
      </c>
      <c r="L37" s="5">
        <v>7.8</v>
      </c>
      <c r="M37" s="5">
        <f t="shared" ref="M37:M42" si="14">(100/(100-L37))*79.34</f>
        <v>86.052060737527128</v>
      </c>
      <c r="N37" s="5">
        <f t="shared" ref="N37:N42" si="15">(100/(100-L37))*8.36</f>
        <v>9.0672451193058574</v>
      </c>
      <c r="O37" s="5" t="s">
        <v>15</v>
      </c>
      <c r="P37" s="5" t="s">
        <v>15</v>
      </c>
      <c r="Q37" s="5" t="s">
        <v>15</v>
      </c>
      <c r="R37" s="5">
        <v>950</v>
      </c>
      <c r="S37" s="5" t="s">
        <v>39</v>
      </c>
      <c r="T37" s="5" t="s">
        <v>75</v>
      </c>
      <c r="U37" s="5" t="s">
        <v>15</v>
      </c>
      <c r="V37" s="5" t="s">
        <v>15</v>
      </c>
      <c r="W37" s="5">
        <v>0.25</v>
      </c>
      <c r="X37" s="5" t="s">
        <v>33</v>
      </c>
      <c r="Y37" s="5" t="s">
        <v>64</v>
      </c>
      <c r="Z37" s="5" t="s">
        <v>73</v>
      </c>
      <c r="AA37" s="5" t="s">
        <v>15</v>
      </c>
      <c r="AB37" s="5" t="s">
        <v>65</v>
      </c>
      <c r="AC37" s="5">
        <f t="shared" si="12"/>
        <v>51.75</v>
      </c>
      <c r="AD37" s="5">
        <v>9.5</v>
      </c>
      <c r="AE37" s="5">
        <v>18.75</v>
      </c>
      <c r="AF37" s="5">
        <v>17</v>
      </c>
      <c r="AG37" s="5">
        <v>3</v>
      </c>
      <c r="AH37" s="5" t="s">
        <v>15</v>
      </c>
      <c r="AI37" s="5">
        <v>4.95</v>
      </c>
      <c r="AJ37" s="5" t="s">
        <v>15</v>
      </c>
      <c r="AK37" s="5">
        <v>1.9</v>
      </c>
      <c r="AL37" s="5" t="s">
        <v>15</v>
      </c>
      <c r="AM37" s="5">
        <v>63</v>
      </c>
      <c r="AN37" s="5">
        <v>82</v>
      </c>
      <c r="AO37" s="6" t="s">
        <v>62</v>
      </c>
      <c r="AP37" s="6" t="s">
        <v>316</v>
      </c>
    </row>
    <row r="38" spans="1:42" x14ac:dyDescent="0.3">
      <c r="A38" s="6">
        <v>35</v>
      </c>
      <c r="B38" s="3" t="s">
        <v>63</v>
      </c>
      <c r="C38" s="3" t="s">
        <v>67</v>
      </c>
      <c r="D38" s="3">
        <f t="shared" si="11"/>
        <v>4</v>
      </c>
      <c r="E38" s="5">
        <f>15.22-(9*((G38/100*(100/(100-L38))))*Calculations!$B$16)</f>
        <v>13.959800867678959</v>
      </c>
      <c r="F38" s="5">
        <v>43.52</v>
      </c>
      <c r="G38" s="5">
        <v>5.72</v>
      </c>
      <c r="H38" s="5">
        <v>1.2</v>
      </c>
      <c r="I38" s="5">
        <v>0.66</v>
      </c>
      <c r="J38" s="5">
        <v>48.9</v>
      </c>
      <c r="K38" s="5">
        <f t="shared" si="13"/>
        <v>4.8806941431670285</v>
      </c>
      <c r="L38" s="5">
        <v>7.8</v>
      </c>
      <c r="M38" s="5">
        <f t="shared" si="14"/>
        <v>86.052060737527128</v>
      </c>
      <c r="N38" s="5">
        <f t="shared" si="15"/>
        <v>9.0672451193058574</v>
      </c>
      <c r="O38" s="5" t="s">
        <v>15</v>
      </c>
      <c r="P38" s="5" t="s">
        <v>15</v>
      </c>
      <c r="Q38" s="5" t="s">
        <v>15</v>
      </c>
      <c r="R38" s="5">
        <v>1050</v>
      </c>
      <c r="S38" s="5" t="s">
        <v>39</v>
      </c>
      <c r="T38" s="5" t="s">
        <v>75</v>
      </c>
      <c r="U38" s="5" t="s">
        <v>15</v>
      </c>
      <c r="V38" s="5" t="s">
        <v>15</v>
      </c>
      <c r="W38" s="5">
        <v>0.25</v>
      </c>
      <c r="X38" s="5" t="s">
        <v>33</v>
      </c>
      <c r="Y38" s="5" t="s">
        <v>64</v>
      </c>
      <c r="Z38" s="5" t="s">
        <v>73</v>
      </c>
      <c r="AA38" s="5" t="s">
        <v>15</v>
      </c>
      <c r="AB38" s="5" t="s">
        <v>65</v>
      </c>
      <c r="AC38" s="5">
        <f t="shared" si="12"/>
        <v>50.75</v>
      </c>
      <c r="AD38" s="5">
        <v>12.25</v>
      </c>
      <c r="AE38" s="5">
        <v>20</v>
      </c>
      <c r="AF38" s="5">
        <v>14</v>
      </c>
      <c r="AG38" s="5">
        <v>3</v>
      </c>
      <c r="AH38" s="5" t="s">
        <v>15</v>
      </c>
      <c r="AI38" s="5">
        <v>5.37</v>
      </c>
      <c r="AJ38" s="5" t="s">
        <v>15</v>
      </c>
      <c r="AK38" s="5">
        <v>2</v>
      </c>
      <c r="AL38" s="5" t="s">
        <v>15</v>
      </c>
      <c r="AM38" s="5">
        <v>71</v>
      </c>
      <c r="AN38" s="5">
        <v>89</v>
      </c>
      <c r="AO38" s="6" t="s">
        <v>62</v>
      </c>
      <c r="AP38" s="6" t="s">
        <v>316</v>
      </c>
    </row>
    <row r="39" spans="1:42" x14ac:dyDescent="0.3">
      <c r="A39" s="6">
        <v>36</v>
      </c>
      <c r="B39" s="3" t="s">
        <v>63</v>
      </c>
      <c r="C39" s="3" t="s">
        <v>67</v>
      </c>
      <c r="D39" s="3">
        <f t="shared" si="11"/>
        <v>4</v>
      </c>
      <c r="E39" s="5">
        <f>15.22-(9*((G39/100*(100/(100-L39))))*Calculations!$B$16)</f>
        <v>13.959800867678959</v>
      </c>
      <c r="F39" s="5">
        <v>43.52</v>
      </c>
      <c r="G39" s="5">
        <v>5.72</v>
      </c>
      <c r="H39" s="5">
        <v>1.2</v>
      </c>
      <c r="I39" s="5">
        <v>0.66</v>
      </c>
      <c r="J39" s="5">
        <v>48.9</v>
      </c>
      <c r="K39" s="5">
        <f t="shared" si="13"/>
        <v>4.8806941431670285</v>
      </c>
      <c r="L39" s="5">
        <v>7.8</v>
      </c>
      <c r="M39" s="5">
        <f t="shared" si="14"/>
        <v>86.052060737527128</v>
      </c>
      <c r="N39" s="5">
        <f t="shared" si="15"/>
        <v>9.0672451193058574</v>
      </c>
      <c r="O39" s="5" t="s">
        <v>15</v>
      </c>
      <c r="P39" s="5" t="s">
        <v>15</v>
      </c>
      <c r="Q39" s="5" t="s">
        <v>15</v>
      </c>
      <c r="R39" s="5">
        <v>770</v>
      </c>
      <c r="S39" s="5" t="s">
        <v>39</v>
      </c>
      <c r="T39" s="5" t="s">
        <v>75</v>
      </c>
      <c r="U39" s="5" t="s">
        <v>15</v>
      </c>
      <c r="V39" s="5" t="s">
        <v>15</v>
      </c>
      <c r="W39" s="5">
        <v>0.17</v>
      </c>
      <c r="X39" s="5" t="s">
        <v>33</v>
      </c>
      <c r="Y39" s="5" t="s">
        <v>64</v>
      </c>
      <c r="Z39" s="5" t="s">
        <v>73</v>
      </c>
      <c r="AA39" s="5" t="s">
        <v>15</v>
      </c>
      <c r="AB39" s="5" t="s">
        <v>65</v>
      </c>
      <c r="AC39" s="5">
        <f t="shared" si="12"/>
        <v>55.75</v>
      </c>
      <c r="AD39" s="5">
        <v>7.5</v>
      </c>
      <c r="AE39" s="5">
        <v>15.75</v>
      </c>
      <c r="AF39" s="5">
        <v>18</v>
      </c>
      <c r="AG39" s="5">
        <v>3</v>
      </c>
      <c r="AH39" s="5" t="s">
        <v>15</v>
      </c>
      <c r="AI39" s="5">
        <v>4.25</v>
      </c>
      <c r="AJ39" s="5" t="s">
        <v>15</v>
      </c>
      <c r="AK39" s="5">
        <v>1.2</v>
      </c>
      <c r="AL39" s="5" t="s">
        <v>15</v>
      </c>
      <c r="AM39" s="5">
        <v>29</v>
      </c>
      <c r="AN39" s="5">
        <v>47</v>
      </c>
      <c r="AO39" s="6" t="s">
        <v>62</v>
      </c>
      <c r="AP39" s="6" t="s">
        <v>316</v>
      </c>
    </row>
    <row r="40" spans="1:42" x14ac:dyDescent="0.3">
      <c r="A40" s="6">
        <v>37</v>
      </c>
      <c r="B40" s="3" t="s">
        <v>63</v>
      </c>
      <c r="C40" s="3" t="s">
        <v>67</v>
      </c>
      <c r="D40" s="3">
        <f t="shared" si="11"/>
        <v>4</v>
      </c>
      <c r="E40" s="5">
        <f>15.22-(9*((G40/100*(100/(100-L40))))*Calculations!$B$16)</f>
        <v>13.959800867678959</v>
      </c>
      <c r="F40" s="5">
        <v>43.52</v>
      </c>
      <c r="G40" s="5">
        <v>5.72</v>
      </c>
      <c r="H40" s="5">
        <v>1.2</v>
      </c>
      <c r="I40" s="5">
        <v>0.66</v>
      </c>
      <c r="J40" s="5">
        <v>48.9</v>
      </c>
      <c r="K40" s="5">
        <f t="shared" si="13"/>
        <v>4.8806941431670285</v>
      </c>
      <c r="L40" s="5">
        <v>7.8</v>
      </c>
      <c r="M40" s="5">
        <f t="shared" si="14"/>
        <v>86.052060737527128</v>
      </c>
      <c r="N40" s="5">
        <f t="shared" si="15"/>
        <v>9.0672451193058574</v>
      </c>
      <c r="O40" s="5" t="s">
        <v>15</v>
      </c>
      <c r="P40" s="5" t="s">
        <v>15</v>
      </c>
      <c r="Q40" s="5" t="s">
        <v>15</v>
      </c>
      <c r="R40" s="5">
        <v>770</v>
      </c>
      <c r="S40" s="5" t="s">
        <v>39</v>
      </c>
      <c r="T40" s="5" t="s">
        <v>75</v>
      </c>
      <c r="U40" s="5" t="s">
        <v>15</v>
      </c>
      <c r="V40" s="5" t="s">
        <v>15</v>
      </c>
      <c r="W40" s="5">
        <v>0.21</v>
      </c>
      <c r="X40" s="5" t="s">
        <v>33</v>
      </c>
      <c r="Y40" s="5" t="s">
        <v>64</v>
      </c>
      <c r="Z40" s="5" t="s">
        <v>73</v>
      </c>
      <c r="AA40" s="5" t="s">
        <v>15</v>
      </c>
      <c r="AB40" s="5" t="s">
        <v>65</v>
      </c>
      <c r="AC40" s="5">
        <f t="shared" si="12"/>
        <v>54.28</v>
      </c>
      <c r="AD40" s="5">
        <v>5.55</v>
      </c>
      <c r="AE40" s="5">
        <v>16.62</v>
      </c>
      <c r="AF40" s="5">
        <v>19.239999999999998</v>
      </c>
      <c r="AG40" s="5">
        <v>4.3099999999999996</v>
      </c>
      <c r="AH40" s="5" t="s">
        <v>15</v>
      </c>
      <c r="AI40" s="5">
        <v>4.53</v>
      </c>
      <c r="AJ40" s="5" t="s">
        <v>15</v>
      </c>
      <c r="AK40" s="5">
        <v>1.3</v>
      </c>
      <c r="AL40" s="5" t="s">
        <v>15</v>
      </c>
      <c r="AM40" s="5">
        <v>36</v>
      </c>
      <c r="AN40" s="5">
        <v>59</v>
      </c>
      <c r="AO40" s="6" t="s">
        <v>62</v>
      </c>
      <c r="AP40" s="6" t="s">
        <v>316</v>
      </c>
    </row>
    <row r="41" spans="1:42" x14ac:dyDescent="0.3">
      <c r="A41" s="6">
        <v>38</v>
      </c>
      <c r="B41" s="3" t="s">
        <v>63</v>
      </c>
      <c r="C41" s="3" t="s">
        <v>67</v>
      </c>
      <c r="D41" s="3">
        <f t="shared" si="11"/>
        <v>4</v>
      </c>
      <c r="E41" s="5">
        <f>15.22-(9*((G41/100*(100/(100-L41))))*Calculations!$B$16)</f>
        <v>13.959800867678959</v>
      </c>
      <c r="F41" s="5">
        <v>43.52</v>
      </c>
      <c r="G41" s="5">
        <v>5.72</v>
      </c>
      <c r="H41" s="5">
        <v>1.2</v>
      </c>
      <c r="I41" s="5">
        <v>0.66</v>
      </c>
      <c r="J41" s="5">
        <v>48.9</v>
      </c>
      <c r="K41" s="5">
        <f t="shared" si="13"/>
        <v>4.8806941431670285</v>
      </c>
      <c r="L41" s="5">
        <v>7.8</v>
      </c>
      <c r="M41" s="5">
        <f t="shared" si="14"/>
        <v>86.052060737527128</v>
      </c>
      <c r="N41" s="5">
        <f t="shared" si="15"/>
        <v>9.0672451193058574</v>
      </c>
      <c r="O41" s="5" t="s">
        <v>15</v>
      </c>
      <c r="P41" s="5" t="s">
        <v>15</v>
      </c>
      <c r="Q41" s="5" t="s">
        <v>15</v>
      </c>
      <c r="R41" s="5">
        <v>770</v>
      </c>
      <c r="S41" s="5" t="s">
        <v>39</v>
      </c>
      <c r="T41" s="5" t="s">
        <v>75</v>
      </c>
      <c r="U41" s="5" t="s">
        <v>15</v>
      </c>
      <c r="V41" s="5" t="s">
        <v>15</v>
      </c>
      <c r="W41" s="5">
        <v>0.28000000000000003</v>
      </c>
      <c r="X41" s="5" t="s">
        <v>33</v>
      </c>
      <c r="Y41" s="5" t="s">
        <v>64</v>
      </c>
      <c r="Z41" s="5" t="s">
        <v>73</v>
      </c>
      <c r="AA41" s="5" t="s">
        <v>15</v>
      </c>
      <c r="AB41" s="5" t="s">
        <v>65</v>
      </c>
      <c r="AC41" s="5">
        <f t="shared" si="12"/>
        <v>57.5</v>
      </c>
      <c r="AD41" s="5">
        <v>5</v>
      </c>
      <c r="AE41" s="5">
        <v>14.75</v>
      </c>
      <c r="AF41" s="5">
        <v>19.75</v>
      </c>
      <c r="AG41" s="5">
        <v>3</v>
      </c>
      <c r="AH41" s="5" t="s">
        <v>15</v>
      </c>
      <c r="AI41" s="5">
        <v>3.8</v>
      </c>
      <c r="AJ41" s="5" t="s">
        <v>15</v>
      </c>
      <c r="AK41" s="5">
        <v>1.65</v>
      </c>
      <c r="AL41" s="5" t="s">
        <v>15</v>
      </c>
      <c r="AM41" s="5">
        <v>38</v>
      </c>
      <c r="AN41" s="5">
        <v>67</v>
      </c>
      <c r="AO41" s="6" t="s">
        <v>62</v>
      </c>
      <c r="AP41" s="6" t="s">
        <v>316</v>
      </c>
    </row>
    <row r="42" spans="1:42" x14ac:dyDescent="0.3">
      <c r="A42" s="6">
        <v>39</v>
      </c>
      <c r="B42" s="3" t="s">
        <v>63</v>
      </c>
      <c r="C42" s="3" t="s">
        <v>67</v>
      </c>
      <c r="D42" s="3">
        <f t="shared" si="11"/>
        <v>4</v>
      </c>
      <c r="E42" s="5">
        <f>15.22-(9*((G42/100*(100/(100-L42))))*Calculations!$B$16)</f>
        <v>13.959800867678959</v>
      </c>
      <c r="F42" s="5">
        <v>43.52</v>
      </c>
      <c r="G42" s="5">
        <v>5.72</v>
      </c>
      <c r="H42" s="5">
        <v>1.2</v>
      </c>
      <c r="I42" s="5">
        <v>0.66</v>
      </c>
      <c r="J42" s="5">
        <v>48.9</v>
      </c>
      <c r="K42" s="5">
        <f t="shared" si="13"/>
        <v>4.8806941431670285</v>
      </c>
      <c r="L42" s="5">
        <v>7.8</v>
      </c>
      <c r="M42" s="5">
        <f t="shared" si="14"/>
        <v>86.052060737527128</v>
      </c>
      <c r="N42" s="5">
        <f t="shared" si="15"/>
        <v>9.0672451193058574</v>
      </c>
      <c r="O42" s="5" t="s">
        <v>15</v>
      </c>
      <c r="P42" s="5" t="s">
        <v>15</v>
      </c>
      <c r="Q42" s="5" t="s">
        <v>15</v>
      </c>
      <c r="R42" s="5">
        <v>770</v>
      </c>
      <c r="S42" s="5" t="s">
        <v>39</v>
      </c>
      <c r="T42" s="5" t="s">
        <v>75</v>
      </c>
      <c r="U42" s="5" t="s">
        <v>15</v>
      </c>
      <c r="V42" s="5" t="s">
        <v>15</v>
      </c>
      <c r="W42" s="5">
        <v>0.32</v>
      </c>
      <c r="X42" s="5" t="s">
        <v>33</v>
      </c>
      <c r="Y42" s="5" t="s">
        <v>64</v>
      </c>
      <c r="Z42" s="5" t="s">
        <v>73</v>
      </c>
      <c r="AA42" s="5" t="s">
        <v>15</v>
      </c>
      <c r="AB42" s="5" t="s">
        <v>65</v>
      </c>
      <c r="AC42" s="5">
        <f t="shared" si="12"/>
        <v>58.5</v>
      </c>
      <c r="AD42" s="5">
        <v>4</v>
      </c>
      <c r="AE42" s="5">
        <v>13.75</v>
      </c>
      <c r="AF42" s="5">
        <v>21</v>
      </c>
      <c r="AG42" s="5">
        <v>2.75</v>
      </c>
      <c r="AH42" s="5" t="s">
        <v>15</v>
      </c>
      <c r="AI42" s="5">
        <v>3.35</v>
      </c>
      <c r="AJ42" s="5" t="s">
        <v>15</v>
      </c>
      <c r="AK42" s="5">
        <v>1.76</v>
      </c>
      <c r="AL42" s="5" t="s">
        <v>15</v>
      </c>
      <c r="AM42" s="5">
        <v>39</v>
      </c>
      <c r="AN42" s="5">
        <v>71</v>
      </c>
      <c r="AO42" s="6" t="s">
        <v>62</v>
      </c>
      <c r="AP42" s="6" t="s">
        <v>316</v>
      </c>
    </row>
    <row r="43" spans="1:42" x14ac:dyDescent="0.3">
      <c r="A43" s="6">
        <v>40</v>
      </c>
      <c r="B43" s="3" t="s">
        <v>66</v>
      </c>
      <c r="C43" s="3" t="s">
        <v>67</v>
      </c>
      <c r="D43" s="3">
        <f t="shared" si="11"/>
        <v>4</v>
      </c>
      <c r="E43" s="5">
        <f>17.12-(9*((G43/100*(100/(100-L43))))*Calculations!$B$16)</f>
        <v>15.733292857142859</v>
      </c>
      <c r="F43" s="5">
        <v>44.96</v>
      </c>
      <c r="G43" s="5">
        <v>5.83</v>
      </c>
      <c r="H43" s="5">
        <v>3.1</v>
      </c>
      <c r="I43" s="5">
        <v>0.61</v>
      </c>
      <c r="J43" s="5">
        <v>45.5</v>
      </c>
      <c r="K43" s="5">
        <f>(100/(100-L43))*0.4</f>
        <v>0.46838407494145201</v>
      </c>
      <c r="L43" s="5">
        <v>14.6</v>
      </c>
      <c r="M43" s="5">
        <f>(100/(100-L43))*76.1</f>
        <v>89.110070257611227</v>
      </c>
      <c r="N43" s="5">
        <f>(100/(100-L43))*8.9</f>
        <v>10.421545667447306</v>
      </c>
      <c r="O43" s="5" t="s">
        <v>15</v>
      </c>
      <c r="P43" s="5" t="s">
        <v>15</v>
      </c>
      <c r="Q43" s="5" t="s">
        <v>15</v>
      </c>
      <c r="R43" s="5">
        <v>650</v>
      </c>
      <c r="S43" s="5" t="s">
        <v>39</v>
      </c>
      <c r="T43" s="5" t="s">
        <v>75</v>
      </c>
      <c r="U43" s="5" t="s">
        <v>15</v>
      </c>
      <c r="V43" s="5" t="s">
        <v>15</v>
      </c>
      <c r="W43" s="5">
        <v>0.25</v>
      </c>
      <c r="X43" s="5" t="s">
        <v>33</v>
      </c>
      <c r="Y43" s="5" t="s">
        <v>64</v>
      </c>
      <c r="Z43" s="5" t="s">
        <v>73</v>
      </c>
      <c r="AA43" s="5" t="s">
        <v>15</v>
      </c>
      <c r="AB43" s="5" t="s">
        <v>65</v>
      </c>
      <c r="AC43" s="5">
        <f t="shared" si="12"/>
        <v>61</v>
      </c>
      <c r="AD43" s="5">
        <v>6</v>
      </c>
      <c r="AE43" s="5">
        <v>15</v>
      </c>
      <c r="AF43" s="5">
        <v>15</v>
      </c>
      <c r="AG43" s="5">
        <v>3</v>
      </c>
      <c r="AH43" s="5" t="s">
        <v>15</v>
      </c>
      <c r="AI43" s="5">
        <v>3.86</v>
      </c>
      <c r="AJ43" s="5" t="s">
        <v>15</v>
      </c>
      <c r="AK43" s="5">
        <v>1.2</v>
      </c>
      <c r="AL43" s="5" t="s">
        <v>15</v>
      </c>
      <c r="AM43" s="5">
        <v>30</v>
      </c>
      <c r="AN43" s="5">
        <v>52</v>
      </c>
      <c r="AO43" s="6" t="s">
        <v>62</v>
      </c>
      <c r="AP43" s="6" t="s">
        <v>316</v>
      </c>
    </row>
    <row r="44" spans="1:42" x14ac:dyDescent="0.3">
      <c r="A44" s="6">
        <v>41</v>
      </c>
      <c r="B44" s="3" t="s">
        <v>66</v>
      </c>
      <c r="C44" s="3" t="s">
        <v>67</v>
      </c>
      <c r="D44" s="3">
        <f t="shared" si="11"/>
        <v>4</v>
      </c>
      <c r="E44" s="5">
        <f>17.12-(9*((G44/100*(100/(100-L44))))*Calculations!$B$16)</f>
        <v>15.733292857142859</v>
      </c>
      <c r="F44" s="5">
        <v>44.96</v>
      </c>
      <c r="G44" s="5">
        <v>5.83</v>
      </c>
      <c r="H44" s="5">
        <v>3.1</v>
      </c>
      <c r="I44" s="5">
        <v>0.61</v>
      </c>
      <c r="J44" s="5">
        <v>45.5</v>
      </c>
      <c r="K44" s="5">
        <f>(100/(100-L44))*0.4</f>
        <v>0.46838407494145201</v>
      </c>
      <c r="L44" s="5">
        <v>14.6</v>
      </c>
      <c r="M44" s="5">
        <f>(100/(100-L44))*76.1</f>
        <v>89.110070257611227</v>
      </c>
      <c r="N44" s="5">
        <f>(100/(100-L44))*8.9</f>
        <v>10.421545667447306</v>
      </c>
      <c r="O44" s="5" t="s">
        <v>15</v>
      </c>
      <c r="P44" s="5" t="s">
        <v>15</v>
      </c>
      <c r="Q44" s="5" t="s">
        <v>15</v>
      </c>
      <c r="R44" s="5">
        <v>750</v>
      </c>
      <c r="S44" s="5" t="s">
        <v>39</v>
      </c>
      <c r="T44" s="5" t="s">
        <v>75</v>
      </c>
      <c r="U44" s="5" t="s">
        <v>15</v>
      </c>
      <c r="V44" s="5" t="s">
        <v>15</v>
      </c>
      <c r="W44" s="5">
        <v>0.25</v>
      </c>
      <c r="X44" s="5" t="s">
        <v>33</v>
      </c>
      <c r="Y44" s="5" t="s">
        <v>64</v>
      </c>
      <c r="Z44" s="5" t="s">
        <v>73</v>
      </c>
      <c r="AA44" s="5" t="s">
        <v>15</v>
      </c>
      <c r="AB44" s="5" t="s">
        <v>65</v>
      </c>
      <c r="AC44" s="5">
        <f t="shared" si="12"/>
        <v>59.75</v>
      </c>
      <c r="AD44" s="5">
        <v>6</v>
      </c>
      <c r="AE44" s="5">
        <v>14.5</v>
      </c>
      <c r="AF44" s="5">
        <v>17.5</v>
      </c>
      <c r="AG44" s="5">
        <v>2.25</v>
      </c>
      <c r="AH44" s="5" t="s">
        <v>15</v>
      </c>
      <c r="AI44" s="5">
        <v>3.5</v>
      </c>
      <c r="AJ44" s="5" t="s">
        <v>15</v>
      </c>
      <c r="AK44" s="5">
        <v>1.7</v>
      </c>
      <c r="AL44" s="5" t="s">
        <v>15</v>
      </c>
      <c r="AM44" s="5">
        <v>35</v>
      </c>
      <c r="AN44" s="5">
        <v>70</v>
      </c>
      <c r="AO44" s="6" t="s">
        <v>62</v>
      </c>
      <c r="AP44" s="6" t="s">
        <v>316</v>
      </c>
    </row>
    <row r="45" spans="1:42" x14ac:dyDescent="0.3">
      <c r="A45" s="6">
        <v>42</v>
      </c>
      <c r="B45" s="3" t="s">
        <v>66</v>
      </c>
      <c r="C45" s="3" t="s">
        <v>67</v>
      </c>
      <c r="D45" s="3">
        <f t="shared" si="11"/>
        <v>4</v>
      </c>
      <c r="E45" s="5">
        <f>17.12-(9*((G45/100*(100/(100-L45))))*Calculations!$B$16)</f>
        <v>15.733292857142859</v>
      </c>
      <c r="F45" s="5">
        <v>44.96</v>
      </c>
      <c r="G45" s="5">
        <v>5.83</v>
      </c>
      <c r="H45" s="5">
        <v>3.1</v>
      </c>
      <c r="I45" s="5">
        <v>0.61</v>
      </c>
      <c r="J45" s="5">
        <v>45.5</v>
      </c>
      <c r="K45" s="5">
        <f t="shared" ref="K45:K47" si="16">(100/(100-L45))*0.4</f>
        <v>0.46838407494145201</v>
      </c>
      <c r="L45" s="5">
        <v>14.6</v>
      </c>
      <c r="M45" s="5">
        <f t="shared" ref="M45:M47" si="17">(100/(100-L45))*76.1</f>
        <v>89.110070257611227</v>
      </c>
      <c r="N45" s="5">
        <f t="shared" ref="N45:N47" si="18">(100/(100-L45))*8.9</f>
        <v>10.421545667447306</v>
      </c>
      <c r="O45" s="5" t="s">
        <v>15</v>
      </c>
      <c r="P45" s="5" t="s">
        <v>15</v>
      </c>
      <c r="Q45" s="5" t="s">
        <v>15</v>
      </c>
      <c r="R45" s="5">
        <v>850</v>
      </c>
      <c r="S45" s="5" t="s">
        <v>39</v>
      </c>
      <c r="T45" s="5" t="s">
        <v>75</v>
      </c>
      <c r="U45" s="5" t="s">
        <v>15</v>
      </c>
      <c r="V45" s="5" t="s">
        <v>15</v>
      </c>
      <c r="W45" s="5">
        <v>0.25</v>
      </c>
      <c r="X45" s="5" t="s">
        <v>33</v>
      </c>
      <c r="Y45" s="5" t="s">
        <v>64</v>
      </c>
      <c r="Z45" s="5" t="s">
        <v>73</v>
      </c>
      <c r="AA45" s="5" t="s">
        <v>15</v>
      </c>
      <c r="AB45" s="5" t="s">
        <v>65</v>
      </c>
      <c r="AC45" s="5">
        <f t="shared" si="12"/>
        <v>55.25</v>
      </c>
      <c r="AD45" s="5">
        <v>8</v>
      </c>
      <c r="AE45" s="5">
        <v>15</v>
      </c>
      <c r="AF45" s="5">
        <v>19</v>
      </c>
      <c r="AG45" s="5">
        <v>2.75</v>
      </c>
      <c r="AH45" s="5" t="s">
        <v>15</v>
      </c>
      <c r="AI45" s="5">
        <v>4</v>
      </c>
      <c r="AJ45" s="5" t="s">
        <v>15</v>
      </c>
      <c r="AK45" s="5">
        <v>1.75</v>
      </c>
      <c r="AL45" s="5" t="s">
        <v>15</v>
      </c>
      <c r="AM45" s="5">
        <v>43</v>
      </c>
      <c r="AN45" s="5">
        <v>79</v>
      </c>
      <c r="AO45" s="6" t="s">
        <v>62</v>
      </c>
      <c r="AP45" s="6" t="s">
        <v>316</v>
      </c>
    </row>
    <row r="46" spans="1:42" x14ac:dyDescent="0.3">
      <c r="A46" s="6">
        <v>43</v>
      </c>
      <c r="B46" s="3" t="s">
        <v>66</v>
      </c>
      <c r="C46" s="3" t="s">
        <v>67</v>
      </c>
      <c r="D46" s="3">
        <f t="shared" si="11"/>
        <v>4</v>
      </c>
      <c r="E46" s="5">
        <f>17.12-(9*((G46/100*(100/(100-L46))))*Calculations!$B$16)</f>
        <v>15.733292857142859</v>
      </c>
      <c r="F46" s="5">
        <v>44.96</v>
      </c>
      <c r="G46" s="5">
        <v>5.83</v>
      </c>
      <c r="H46" s="5">
        <v>3.1</v>
      </c>
      <c r="I46" s="5">
        <v>0.61</v>
      </c>
      <c r="J46" s="5">
        <v>45.5</v>
      </c>
      <c r="K46" s="5">
        <f t="shared" si="16"/>
        <v>0.46838407494145201</v>
      </c>
      <c r="L46" s="5">
        <v>14.6</v>
      </c>
      <c r="M46" s="5">
        <f t="shared" si="17"/>
        <v>89.110070257611227</v>
      </c>
      <c r="N46" s="5">
        <f t="shared" si="18"/>
        <v>10.421545667447306</v>
      </c>
      <c r="O46" s="5" t="s">
        <v>15</v>
      </c>
      <c r="P46" s="5" t="s">
        <v>15</v>
      </c>
      <c r="Q46" s="5" t="s">
        <v>15</v>
      </c>
      <c r="R46" s="5">
        <v>950</v>
      </c>
      <c r="S46" s="5" t="s">
        <v>39</v>
      </c>
      <c r="T46" s="5" t="s">
        <v>75</v>
      </c>
      <c r="U46" s="5" t="s">
        <v>15</v>
      </c>
      <c r="V46" s="5" t="s">
        <v>15</v>
      </c>
      <c r="W46" s="5">
        <v>0.25</v>
      </c>
      <c r="X46" s="5" t="s">
        <v>33</v>
      </c>
      <c r="Y46" s="5" t="s">
        <v>64</v>
      </c>
      <c r="Z46" s="5" t="s">
        <v>73</v>
      </c>
      <c r="AA46" s="5" t="s">
        <v>15</v>
      </c>
      <c r="AB46" s="5" t="s">
        <v>65</v>
      </c>
      <c r="AC46" s="5">
        <f t="shared" si="12"/>
        <v>50</v>
      </c>
      <c r="AD46" s="5">
        <v>14.5</v>
      </c>
      <c r="AE46" s="5">
        <v>16</v>
      </c>
      <c r="AF46" s="5">
        <v>16.75</v>
      </c>
      <c r="AG46" s="5">
        <v>2.75</v>
      </c>
      <c r="AH46" s="5" t="s">
        <v>15</v>
      </c>
      <c r="AI46" s="5">
        <v>5.0999999999999996</v>
      </c>
      <c r="AJ46" s="5" t="s">
        <v>15</v>
      </c>
      <c r="AK46" s="5">
        <v>1.8</v>
      </c>
      <c r="AL46" s="5" t="s">
        <v>15</v>
      </c>
      <c r="AM46" s="5">
        <v>58</v>
      </c>
      <c r="AN46" s="5">
        <v>82</v>
      </c>
      <c r="AO46" s="6" t="s">
        <v>62</v>
      </c>
      <c r="AP46" s="6" t="s">
        <v>316</v>
      </c>
    </row>
    <row r="47" spans="1:42" x14ac:dyDescent="0.3">
      <c r="A47" s="6">
        <v>44</v>
      </c>
      <c r="B47" s="3" t="s">
        <v>66</v>
      </c>
      <c r="C47" s="3" t="s">
        <v>67</v>
      </c>
      <c r="D47" s="3">
        <f t="shared" si="11"/>
        <v>4</v>
      </c>
      <c r="E47" s="5">
        <f>17.12-(9*((G47/100*(100/(100-L47))))*Calculations!$B$16)</f>
        <v>15.733292857142859</v>
      </c>
      <c r="F47" s="5">
        <v>44.96</v>
      </c>
      <c r="G47" s="5">
        <v>5.83</v>
      </c>
      <c r="H47" s="5">
        <v>3.1</v>
      </c>
      <c r="I47" s="5">
        <v>0.61</v>
      </c>
      <c r="J47" s="5">
        <v>45.5</v>
      </c>
      <c r="K47" s="5">
        <f t="shared" si="16"/>
        <v>0.46838407494145201</v>
      </c>
      <c r="L47" s="5">
        <v>14.6</v>
      </c>
      <c r="M47" s="5">
        <f t="shared" si="17"/>
        <v>89.110070257611227</v>
      </c>
      <c r="N47" s="5">
        <f t="shared" si="18"/>
        <v>10.421545667447306</v>
      </c>
      <c r="O47" s="5" t="s">
        <v>15</v>
      </c>
      <c r="P47" s="5" t="s">
        <v>15</v>
      </c>
      <c r="Q47" s="5" t="s">
        <v>15</v>
      </c>
      <c r="R47" s="5">
        <v>1050</v>
      </c>
      <c r="S47" s="5" t="s">
        <v>39</v>
      </c>
      <c r="T47" s="5" t="s">
        <v>75</v>
      </c>
      <c r="U47" s="5" t="s">
        <v>15</v>
      </c>
      <c r="V47" s="5" t="s">
        <v>15</v>
      </c>
      <c r="W47" s="5">
        <v>0.25</v>
      </c>
      <c r="X47" s="5" t="s">
        <v>33</v>
      </c>
      <c r="Y47" s="5" t="s">
        <v>64</v>
      </c>
      <c r="Z47" s="5" t="s">
        <v>73</v>
      </c>
      <c r="AA47" s="5" t="s">
        <v>15</v>
      </c>
      <c r="AB47" s="5" t="s">
        <v>65</v>
      </c>
      <c r="AC47" s="5">
        <f t="shared" si="12"/>
        <v>46.7</v>
      </c>
      <c r="AD47" s="5">
        <v>19.5</v>
      </c>
      <c r="AE47" s="5">
        <v>17.8</v>
      </c>
      <c r="AF47" s="5">
        <v>13.25</v>
      </c>
      <c r="AG47" s="5">
        <v>2.75</v>
      </c>
      <c r="AH47" s="5" t="s">
        <v>15</v>
      </c>
      <c r="AI47" s="5">
        <v>5.87</v>
      </c>
      <c r="AJ47" s="5" t="s">
        <v>15</v>
      </c>
      <c r="AK47" s="5">
        <v>2</v>
      </c>
      <c r="AL47" s="5" t="s">
        <v>15</v>
      </c>
      <c r="AM47" s="5">
        <v>72</v>
      </c>
      <c r="AN47" s="5">
        <v>84</v>
      </c>
      <c r="AO47" s="6" t="s">
        <v>62</v>
      </c>
      <c r="AP47" s="6" t="s">
        <v>316</v>
      </c>
    </row>
    <row r="48" spans="1:42" x14ac:dyDescent="0.3">
      <c r="A48" s="6">
        <v>45</v>
      </c>
      <c r="B48" s="3" t="s">
        <v>74</v>
      </c>
      <c r="C48" s="3" t="s">
        <v>82</v>
      </c>
      <c r="D48" s="3">
        <f t="shared" ref="D48:D62" si="19">(0.3+0.45)/2</f>
        <v>0.375</v>
      </c>
      <c r="E48" s="5">
        <f>20.54-(9*((G48/100*((100+L48)/100)))*Calculations!$B$16)</f>
        <v>18.978196850678732</v>
      </c>
      <c r="F48" s="5">
        <f>50.54*(100/(100-K48))</f>
        <v>50.819507290095522</v>
      </c>
      <c r="G48" s="5">
        <f>7.08*(100/(100-K48))</f>
        <v>7.1191553544494717</v>
      </c>
      <c r="H48" s="5">
        <f>0.15*(100/(100-K48))</f>
        <v>0.15082956259426847</v>
      </c>
      <c r="I48" s="5">
        <f>0.57*(100/(100-K48))</f>
        <v>0.57315233785822017</v>
      </c>
      <c r="J48" s="5">
        <f>41.11*(100/(100-K48))</f>
        <v>41.337355455002509</v>
      </c>
      <c r="K48" s="5">
        <v>0.55000000000000004</v>
      </c>
      <c r="L48" s="5">
        <v>8</v>
      </c>
      <c r="M48" s="5">
        <v>82.29</v>
      </c>
      <c r="N48" s="5">
        <v>17.16</v>
      </c>
      <c r="O48" s="5" t="s">
        <v>15</v>
      </c>
      <c r="P48" s="5" t="s">
        <v>15</v>
      </c>
      <c r="Q48" s="5" t="s">
        <v>15</v>
      </c>
      <c r="R48" s="5">
        <v>700</v>
      </c>
      <c r="S48" s="5" t="s">
        <v>39</v>
      </c>
      <c r="T48" s="5" t="s">
        <v>75</v>
      </c>
      <c r="U48" s="5" t="s">
        <v>15</v>
      </c>
      <c r="V48" s="5">
        <v>2.7</v>
      </c>
      <c r="W48" s="5">
        <v>0.22</v>
      </c>
      <c r="X48" s="5" t="s">
        <v>81</v>
      </c>
      <c r="Y48" s="5" t="s">
        <v>79</v>
      </c>
      <c r="Z48" s="5" t="s">
        <v>73</v>
      </c>
      <c r="AA48" s="5" t="s">
        <v>15</v>
      </c>
      <c r="AB48" s="5" t="s">
        <v>80</v>
      </c>
      <c r="AC48" s="5">
        <f>100-AD48-AE48-AF48-AG48-AH48</f>
        <v>1.5</v>
      </c>
      <c r="AD48" s="5">
        <v>22</v>
      </c>
      <c r="AE48" s="5">
        <v>42.5</v>
      </c>
      <c r="AF48" s="5">
        <v>21</v>
      </c>
      <c r="AG48" s="5">
        <v>8.5</v>
      </c>
      <c r="AH48" s="5">
        <v>4.5</v>
      </c>
      <c r="AI48" s="21">
        <v>7.9450000000000003</v>
      </c>
      <c r="AJ48" s="5" t="s">
        <v>15</v>
      </c>
      <c r="AK48" s="5">
        <v>1.43</v>
      </c>
      <c r="AL48" s="5" t="s">
        <v>15</v>
      </c>
      <c r="AM48" s="5">
        <f t="shared" ref="AM48:AM79" si="20">100*(AI48*AK48)/E48</f>
        <v>59.865276397919096</v>
      </c>
      <c r="AN48" s="5">
        <v>78.17</v>
      </c>
      <c r="AO48" s="6" t="s">
        <v>72</v>
      </c>
      <c r="AP48" s="6" t="s">
        <v>83</v>
      </c>
    </row>
    <row r="49" spans="1:42" x14ac:dyDescent="0.3">
      <c r="A49" s="6">
        <v>46</v>
      </c>
      <c r="B49" s="3" t="s">
        <v>74</v>
      </c>
      <c r="C49" s="3" t="s">
        <v>82</v>
      </c>
      <c r="D49" s="3">
        <f t="shared" si="19"/>
        <v>0.375</v>
      </c>
      <c r="E49" s="5">
        <f>20.54-(9*((G49/100*((100+L49)/100)))*Calculations!$B$16)</f>
        <v>18.978196850678732</v>
      </c>
      <c r="F49" s="5">
        <f t="shared" ref="F49:F66" si="21">50.54*(100/(100-K49))</f>
        <v>50.819507290095522</v>
      </c>
      <c r="G49" s="5">
        <f t="shared" ref="G49:G66" si="22">7.08*(100/(100-K49))</f>
        <v>7.1191553544494717</v>
      </c>
      <c r="H49" s="5">
        <f t="shared" ref="H49:H66" si="23">0.15*(100/(100-K49))</f>
        <v>0.15082956259426847</v>
      </c>
      <c r="I49" s="5">
        <f t="shared" ref="I49:I66" si="24">0.57*(100/(100-K49))</f>
        <v>0.57315233785822017</v>
      </c>
      <c r="J49" s="5">
        <f t="shared" ref="J49:J66" si="25">41.11*(100/(100-K49))</f>
        <v>41.337355455002509</v>
      </c>
      <c r="K49" s="5">
        <v>0.55000000000000004</v>
      </c>
      <c r="L49" s="5">
        <v>8</v>
      </c>
      <c r="M49" s="5">
        <v>82.29</v>
      </c>
      <c r="N49" s="5">
        <v>17.16</v>
      </c>
      <c r="O49" s="5" t="s">
        <v>15</v>
      </c>
      <c r="P49" s="5" t="s">
        <v>15</v>
      </c>
      <c r="Q49" s="5" t="s">
        <v>15</v>
      </c>
      <c r="R49" s="5">
        <v>750</v>
      </c>
      <c r="S49" s="5" t="s">
        <v>39</v>
      </c>
      <c r="T49" s="5" t="s">
        <v>75</v>
      </c>
      <c r="U49" s="5" t="s">
        <v>15</v>
      </c>
      <c r="V49" s="5">
        <v>2.7</v>
      </c>
      <c r="W49" s="5">
        <v>0.22</v>
      </c>
      <c r="X49" s="5" t="s">
        <v>81</v>
      </c>
      <c r="Y49" s="5" t="s">
        <v>79</v>
      </c>
      <c r="Z49" s="5" t="s">
        <v>73</v>
      </c>
      <c r="AA49" s="5" t="s">
        <v>15</v>
      </c>
      <c r="AB49" s="5" t="s">
        <v>80</v>
      </c>
      <c r="AC49" s="5">
        <f t="shared" ref="AC49:AC52" si="26">100-AD49-AE49-AF49-AG49-AH49</f>
        <v>2.5</v>
      </c>
      <c r="AD49" s="5">
        <v>28</v>
      </c>
      <c r="AE49" s="5">
        <v>39</v>
      </c>
      <c r="AF49" s="5">
        <v>19</v>
      </c>
      <c r="AG49" s="5">
        <v>8</v>
      </c>
      <c r="AH49" s="5">
        <v>3.5</v>
      </c>
      <c r="AI49" s="5">
        <v>7.6509999999999998</v>
      </c>
      <c r="AJ49" s="5" t="s">
        <v>15</v>
      </c>
      <c r="AK49" s="5">
        <v>1.51</v>
      </c>
      <c r="AL49" s="5" t="s">
        <v>15</v>
      </c>
      <c r="AM49" s="5">
        <f t="shared" si="20"/>
        <v>60.875172129889783</v>
      </c>
      <c r="AN49" s="5">
        <v>80.66</v>
      </c>
      <c r="AO49" s="6" t="s">
        <v>72</v>
      </c>
      <c r="AP49" s="6" t="s">
        <v>83</v>
      </c>
    </row>
    <row r="50" spans="1:42" x14ac:dyDescent="0.3">
      <c r="A50" s="6">
        <v>47</v>
      </c>
      <c r="B50" s="3" t="s">
        <v>74</v>
      </c>
      <c r="C50" s="3" t="s">
        <v>82</v>
      </c>
      <c r="D50" s="3">
        <f t="shared" si="19"/>
        <v>0.375</v>
      </c>
      <c r="E50" s="5">
        <f>20.54-(9*((G50/100*((100+L50)/100)))*Calculations!$B$16)</f>
        <v>18.978196850678732</v>
      </c>
      <c r="F50" s="5">
        <f t="shared" si="21"/>
        <v>50.819507290095522</v>
      </c>
      <c r="G50" s="5">
        <f t="shared" si="22"/>
        <v>7.1191553544494717</v>
      </c>
      <c r="H50" s="5">
        <f t="shared" si="23"/>
        <v>0.15082956259426847</v>
      </c>
      <c r="I50" s="5">
        <f t="shared" si="24"/>
        <v>0.57315233785822017</v>
      </c>
      <c r="J50" s="5">
        <f t="shared" si="25"/>
        <v>41.337355455002509</v>
      </c>
      <c r="K50" s="5">
        <v>0.55000000000000004</v>
      </c>
      <c r="L50" s="5">
        <v>8</v>
      </c>
      <c r="M50" s="5">
        <v>82.29</v>
      </c>
      <c r="N50" s="5">
        <v>17.16</v>
      </c>
      <c r="O50" s="5" t="s">
        <v>15</v>
      </c>
      <c r="P50" s="5" t="s">
        <v>15</v>
      </c>
      <c r="Q50" s="5" t="s">
        <v>15</v>
      </c>
      <c r="R50" s="5">
        <v>800</v>
      </c>
      <c r="S50" s="5" t="s">
        <v>39</v>
      </c>
      <c r="T50" s="5" t="s">
        <v>75</v>
      </c>
      <c r="U50" s="5" t="s">
        <v>15</v>
      </c>
      <c r="V50" s="5">
        <v>2.7</v>
      </c>
      <c r="W50" s="5">
        <v>0.22</v>
      </c>
      <c r="X50" s="5" t="s">
        <v>81</v>
      </c>
      <c r="Y50" s="5" t="s">
        <v>79</v>
      </c>
      <c r="Z50" s="5" t="s">
        <v>73</v>
      </c>
      <c r="AA50" s="5" t="s">
        <v>15</v>
      </c>
      <c r="AB50" s="5" t="s">
        <v>80</v>
      </c>
      <c r="AC50" s="5">
        <f t="shared" si="26"/>
        <v>1.5</v>
      </c>
      <c r="AD50" s="5">
        <v>32</v>
      </c>
      <c r="AE50" s="5">
        <v>37.5</v>
      </c>
      <c r="AF50" s="5">
        <v>18</v>
      </c>
      <c r="AG50" s="5">
        <v>7.5</v>
      </c>
      <c r="AH50" s="5">
        <v>3.5</v>
      </c>
      <c r="AI50" s="5">
        <v>8.56</v>
      </c>
      <c r="AJ50" s="5" t="s">
        <v>15</v>
      </c>
      <c r="AK50" s="5">
        <v>2.23</v>
      </c>
      <c r="AL50" s="5" t="s">
        <v>15</v>
      </c>
      <c r="AM50" s="5">
        <f t="shared" si="20"/>
        <v>100.58279061067552</v>
      </c>
      <c r="AN50" s="5">
        <v>85.9</v>
      </c>
      <c r="AO50" s="6" t="s">
        <v>72</v>
      </c>
      <c r="AP50" s="6" t="s">
        <v>83</v>
      </c>
    </row>
    <row r="51" spans="1:42" x14ac:dyDescent="0.3">
      <c r="A51" s="6">
        <v>48</v>
      </c>
      <c r="B51" s="3" t="s">
        <v>74</v>
      </c>
      <c r="C51" s="3" t="s">
        <v>82</v>
      </c>
      <c r="D51" s="3">
        <f t="shared" si="19"/>
        <v>0.375</v>
      </c>
      <c r="E51" s="5">
        <f>20.54-(9*((G51/100*((100+L51)/100)))*Calculations!$B$16)</f>
        <v>18.978196850678732</v>
      </c>
      <c r="F51" s="5">
        <f t="shared" si="21"/>
        <v>50.819507290095522</v>
      </c>
      <c r="G51" s="5">
        <f t="shared" si="22"/>
        <v>7.1191553544494717</v>
      </c>
      <c r="H51" s="5">
        <f t="shared" si="23"/>
        <v>0.15082956259426847</v>
      </c>
      <c r="I51" s="5">
        <f t="shared" si="24"/>
        <v>0.57315233785822017</v>
      </c>
      <c r="J51" s="5">
        <f t="shared" si="25"/>
        <v>41.337355455002509</v>
      </c>
      <c r="K51" s="5">
        <v>0.55000000000000004</v>
      </c>
      <c r="L51" s="5">
        <v>8</v>
      </c>
      <c r="M51" s="5">
        <v>82.29</v>
      </c>
      <c r="N51" s="5">
        <v>17.16</v>
      </c>
      <c r="O51" s="5" t="s">
        <v>15</v>
      </c>
      <c r="P51" s="5" t="s">
        <v>15</v>
      </c>
      <c r="Q51" s="5" t="s">
        <v>15</v>
      </c>
      <c r="R51" s="5">
        <v>850</v>
      </c>
      <c r="S51" s="5" t="s">
        <v>39</v>
      </c>
      <c r="T51" s="5" t="s">
        <v>75</v>
      </c>
      <c r="U51" s="5" t="s">
        <v>15</v>
      </c>
      <c r="V51" s="5">
        <v>2.7</v>
      </c>
      <c r="W51" s="5">
        <v>0.22</v>
      </c>
      <c r="X51" s="5" t="s">
        <v>81</v>
      </c>
      <c r="Y51" s="5" t="s">
        <v>79</v>
      </c>
      <c r="Z51" s="5" t="s">
        <v>73</v>
      </c>
      <c r="AA51" s="5" t="s">
        <v>15</v>
      </c>
      <c r="AB51" s="5" t="s">
        <v>80</v>
      </c>
      <c r="AC51" s="5">
        <f t="shared" si="26"/>
        <v>1</v>
      </c>
      <c r="AD51" s="5">
        <v>36.5</v>
      </c>
      <c r="AE51" s="5">
        <v>34</v>
      </c>
      <c r="AF51" s="5">
        <v>18.5</v>
      </c>
      <c r="AG51" s="5">
        <v>7.5</v>
      </c>
      <c r="AH51" s="5">
        <v>2.5</v>
      </c>
      <c r="AI51" s="5">
        <v>8.2230000000000008</v>
      </c>
      <c r="AJ51" s="5" t="s">
        <v>15</v>
      </c>
      <c r="AK51" s="5">
        <v>2.4500000000000002</v>
      </c>
      <c r="AL51" s="5" t="s">
        <v>15</v>
      </c>
      <c r="AM51" s="5">
        <f t="shared" si="20"/>
        <v>106.15523781585969</v>
      </c>
      <c r="AN51" s="5">
        <v>92.35</v>
      </c>
      <c r="AO51" s="6" t="s">
        <v>72</v>
      </c>
      <c r="AP51" s="6" t="s">
        <v>83</v>
      </c>
    </row>
    <row r="52" spans="1:42" x14ac:dyDescent="0.3">
      <c r="A52" s="6">
        <v>49</v>
      </c>
      <c r="B52" s="3" t="s">
        <v>74</v>
      </c>
      <c r="C52" s="3" t="s">
        <v>82</v>
      </c>
      <c r="D52" s="3">
        <f t="shared" si="19"/>
        <v>0.375</v>
      </c>
      <c r="E52" s="5">
        <f>20.54-(9*((G52/100*((100+L52)/100)))*Calculations!$B$16)</f>
        <v>18.978196850678732</v>
      </c>
      <c r="F52" s="5">
        <f t="shared" si="21"/>
        <v>50.819507290095522</v>
      </c>
      <c r="G52" s="5">
        <f t="shared" si="22"/>
        <v>7.1191553544494717</v>
      </c>
      <c r="H52" s="5">
        <f t="shared" si="23"/>
        <v>0.15082956259426847</v>
      </c>
      <c r="I52" s="5">
        <f t="shared" si="24"/>
        <v>0.57315233785822017</v>
      </c>
      <c r="J52" s="5">
        <f t="shared" si="25"/>
        <v>41.337355455002509</v>
      </c>
      <c r="K52" s="5">
        <v>0.55000000000000004</v>
      </c>
      <c r="L52" s="5">
        <v>8</v>
      </c>
      <c r="M52" s="5">
        <v>82.29</v>
      </c>
      <c r="N52" s="5">
        <v>17.16</v>
      </c>
      <c r="O52" s="5" t="s">
        <v>15</v>
      </c>
      <c r="P52" s="5" t="s">
        <v>15</v>
      </c>
      <c r="Q52" s="5" t="s">
        <v>15</v>
      </c>
      <c r="R52" s="5">
        <v>900</v>
      </c>
      <c r="S52" s="5" t="s">
        <v>39</v>
      </c>
      <c r="T52" s="5" t="s">
        <v>75</v>
      </c>
      <c r="U52" s="5" t="s">
        <v>15</v>
      </c>
      <c r="V52" s="5">
        <v>2.7</v>
      </c>
      <c r="W52" s="5">
        <v>0.22</v>
      </c>
      <c r="X52" s="5" t="s">
        <v>81</v>
      </c>
      <c r="Y52" s="5" t="s">
        <v>79</v>
      </c>
      <c r="Z52" s="5" t="s">
        <v>73</v>
      </c>
      <c r="AA52" s="5" t="s">
        <v>15</v>
      </c>
      <c r="AB52" s="5" t="s">
        <v>80</v>
      </c>
      <c r="AC52" s="5">
        <f t="shared" si="26"/>
        <v>1</v>
      </c>
      <c r="AD52" s="5">
        <v>39</v>
      </c>
      <c r="AE52" s="5">
        <v>33.5</v>
      </c>
      <c r="AF52" s="5">
        <v>19</v>
      </c>
      <c r="AG52" s="5">
        <v>6.5</v>
      </c>
      <c r="AH52" s="5">
        <v>1</v>
      </c>
      <c r="AI52" s="5">
        <v>7.3620000000000001</v>
      </c>
      <c r="AJ52" s="5" t="s">
        <v>15</v>
      </c>
      <c r="AK52" s="5">
        <v>2.5299999999999998</v>
      </c>
      <c r="AL52" s="5" t="s">
        <v>15</v>
      </c>
      <c r="AM52" s="5">
        <f t="shared" si="20"/>
        <v>98.14346508548239</v>
      </c>
      <c r="AN52" s="5">
        <v>92.59</v>
      </c>
      <c r="AO52" s="6" t="s">
        <v>72</v>
      </c>
      <c r="AP52" s="6" t="s">
        <v>83</v>
      </c>
    </row>
    <row r="53" spans="1:42" x14ac:dyDescent="0.3">
      <c r="A53" s="6">
        <v>50</v>
      </c>
      <c r="B53" s="3" t="s">
        <v>74</v>
      </c>
      <c r="C53" s="3" t="s">
        <v>82</v>
      </c>
      <c r="D53" s="3">
        <f t="shared" si="19"/>
        <v>0.375</v>
      </c>
      <c r="E53" s="5">
        <f>20.54-(9*((G53/100*((100+L53)/100)))*Calculations!$B$16)</f>
        <v>18.978196850678732</v>
      </c>
      <c r="F53" s="5">
        <f t="shared" si="21"/>
        <v>50.819507290095522</v>
      </c>
      <c r="G53" s="5">
        <f t="shared" si="22"/>
        <v>7.1191553544494717</v>
      </c>
      <c r="H53" s="5">
        <f t="shared" si="23"/>
        <v>0.15082956259426847</v>
      </c>
      <c r="I53" s="5">
        <f t="shared" si="24"/>
        <v>0.57315233785822017</v>
      </c>
      <c r="J53" s="5">
        <f t="shared" si="25"/>
        <v>41.337355455002509</v>
      </c>
      <c r="K53" s="5">
        <v>0.55000000000000004</v>
      </c>
      <c r="L53" s="5">
        <v>8</v>
      </c>
      <c r="M53" s="5">
        <v>82.29</v>
      </c>
      <c r="N53" s="5">
        <v>17.16</v>
      </c>
      <c r="O53" s="5" t="s">
        <v>15</v>
      </c>
      <c r="P53" s="5" t="s">
        <v>15</v>
      </c>
      <c r="Q53" s="5" t="s">
        <v>15</v>
      </c>
      <c r="R53" s="5">
        <v>800</v>
      </c>
      <c r="S53" s="5" t="s">
        <v>39</v>
      </c>
      <c r="T53" s="5" t="s">
        <v>75</v>
      </c>
      <c r="U53" s="5" t="s">
        <v>15</v>
      </c>
      <c r="V53" s="5">
        <v>1.56</v>
      </c>
      <c r="W53" s="5">
        <v>0.19</v>
      </c>
      <c r="X53" s="5" t="s">
        <v>81</v>
      </c>
      <c r="Y53" s="5" t="s">
        <v>79</v>
      </c>
      <c r="Z53" s="5" t="s">
        <v>73</v>
      </c>
      <c r="AA53" s="5" t="s">
        <v>15</v>
      </c>
      <c r="AB53" s="5" t="s">
        <v>80</v>
      </c>
      <c r="AC53" s="5">
        <f t="shared" ref="AC53:AC66" si="27">100-AD53-AE53-AF53-AG53-AH53</f>
        <v>1.5</v>
      </c>
      <c r="AD53" s="5">
        <v>32.5</v>
      </c>
      <c r="AE53" s="5">
        <v>37.5</v>
      </c>
      <c r="AF53" s="5">
        <v>17.75</v>
      </c>
      <c r="AG53" s="5">
        <v>7.75</v>
      </c>
      <c r="AH53" s="5">
        <v>3</v>
      </c>
      <c r="AI53" s="5">
        <v>8.8170000000000002</v>
      </c>
      <c r="AJ53" s="5" t="s">
        <v>15</v>
      </c>
      <c r="AK53" s="5">
        <v>2.13</v>
      </c>
      <c r="AL53" s="5" t="s">
        <v>15</v>
      </c>
      <c r="AM53" s="5">
        <f t="shared" si="20"/>
        <v>98.956766798044612</v>
      </c>
      <c r="AN53" s="5">
        <v>76.260000000000005</v>
      </c>
      <c r="AO53" s="6" t="s">
        <v>72</v>
      </c>
      <c r="AP53" s="6" t="s">
        <v>83</v>
      </c>
    </row>
    <row r="54" spans="1:42" x14ac:dyDescent="0.3">
      <c r="A54" s="6">
        <v>51</v>
      </c>
      <c r="B54" s="3" t="s">
        <v>74</v>
      </c>
      <c r="C54" s="3" t="s">
        <v>82</v>
      </c>
      <c r="D54" s="3">
        <f t="shared" si="19"/>
        <v>0.375</v>
      </c>
      <c r="E54" s="5">
        <f>20.54-(9*((G54/100*((100+L54)/100)))*Calculations!$B$16)</f>
        <v>18.978196850678732</v>
      </c>
      <c r="F54" s="5">
        <f t="shared" si="21"/>
        <v>50.819507290095522</v>
      </c>
      <c r="G54" s="5">
        <f t="shared" si="22"/>
        <v>7.1191553544494717</v>
      </c>
      <c r="H54" s="5">
        <f t="shared" si="23"/>
        <v>0.15082956259426847</v>
      </c>
      <c r="I54" s="5">
        <f t="shared" si="24"/>
        <v>0.57315233785822017</v>
      </c>
      <c r="J54" s="5">
        <f t="shared" si="25"/>
        <v>41.337355455002509</v>
      </c>
      <c r="K54" s="5">
        <v>0.55000000000000004</v>
      </c>
      <c r="L54" s="5">
        <v>8</v>
      </c>
      <c r="M54" s="5">
        <v>82.29</v>
      </c>
      <c r="N54" s="5">
        <v>17.16</v>
      </c>
      <c r="O54" s="5" t="s">
        <v>15</v>
      </c>
      <c r="P54" s="5" t="s">
        <v>15</v>
      </c>
      <c r="Q54" s="5" t="s">
        <v>15</v>
      </c>
      <c r="R54" s="5">
        <v>800</v>
      </c>
      <c r="S54" s="5" t="s">
        <v>39</v>
      </c>
      <c r="T54" s="5" t="s">
        <v>75</v>
      </c>
      <c r="U54" s="5" t="s">
        <v>15</v>
      </c>
      <c r="V54" s="5">
        <v>1.56</v>
      </c>
      <c r="W54" s="5">
        <v>0.21</v>
      </c>
      <c r="X54" s="5" t="s">
        <v>81</v>
      </c>
      <c r="Y54" s="5" t="s">
        <v>79</v>
      </c>
      <c r="Z54" s="5" t="s">
        <v>73</v>
      </c>
      <c r="AA54" s="5" t="s">
        <v>15</v>
      </c>
      <c r="AB54" s="5" t="s">
        <v>80</v>
      </c>
      <c r="AC54" s="5">
        <f t="shared" si="27"/>
        <v>0.75</v>
      </c>
      <c r="AD54" s="5">
        <v>32</v>
      </c>
      <c r="AE54" s="5">
        <v>39</v>
      </c>
      <c r="AF54" s="5">
        <v>17.5</v>
      </c>
      <c r="AG54" s="5">
        <v>7.75</v>
      </c>
      <c r="AH54" s="5">
        <v>3</v>
      </c>
      <c r="AI54" s="5">
        <v>8.8390000000000004</v>
      </c>
      <c r="AJ54" s="5" t="s">
        <v>15</v>
      </c>
      <c r="AK54" s="5">
        <v>2.25</v>
      </c>
      <c r="AL54" s="5" t="s">
        <v>15</v>
      </c>
      <c r="AM54" s="5">
        <f t="shared" si="20"/>
        <v>104.79262153553192</v>
      </c>
      <c r="AN54" s="5">
        <v>84.49</v>
      </c>
      <c r="AO54" s="6" t="s">
        <v>72</v>
      </c>
      <c r="AP54" s="6" t="s">
        <v>83</v>
      </c>
    </row>
    <row r="55" spans="1:42" x14ac:dyDescent="0.3">
      <c r="A55" s="6">
        <v>52</v>
      </c>
      <c r="B55" s="3" t="s">
        <v>74</v>
      </c>
      <c r="C55" s="3" t="s">
        <v>82</v>
      </c>
      <c r="D55" s="3">
        <f t="shared" si="19"/>
        <v>0.375</v>
      </c>
      <c r="E55" s="5">
        <f>20.54-(9*((G55/100*((100+L55)/100)))*Calculations!$B$16)</f>
        <v>18.978196850678732</v>
      </c>
      <c r="F55" s="5">
        <f t="shared" si="21"/>
        <v>50.819507290095522</v>
      </c>
      <c r="G55" s="5">
        <f t="shared" si="22"/>
        <v>7.1191553544494717</v>
      </c>
      <c r="H55" s="5">
        <f t="shared" si="23"/>
        <v>0.15082956259426847</v>
      </c>
      <c r="I55" s="5">
        <f t="shared" si="24"/>
        <v>0.57315233785822017</v>
      </c>
      <c r="J55" s="5">
        <f t="shared" si="25"/>
        <v>41.337355455002509</v>
      </c>
      <c r="K55" s="5">
        <v>0.55000000000000004</v>
      </c>
      <c r="L55" s="5">
        <v>8</v>
      </c>
      <c r="M55" s="5">
        <v>82.29</v>
      </c>
      <c r="N55" s="5">
        <v>17.16</v>
      </c>
      <c r="O55" s="5" t="s">
        <v>15</v>
      </c>
      <c r="P55" s="5" t="s">
        <v>15</v>
      </c>
      <c r="Q55" s="5" t="s">
        <v>15</v>
      </c>
      <c r="R55" s="5">
        <v>800</v>
      </c>
      <c r="S55" s="5" t="s">
        <v>39</v>
      </c>
      <c r="T55" s="5" t="s">
        <v>75</v>
      </c>
      <c r="U55" s="5" t="s">
        <v>15</v>
      </c>
      <c r="V55" s="5">
        <v>1.56</v>
      </c>
      <c r="W55" s="5">
        <v>0.23</v>
      </c>
      <c r="X55" s="5" t="s">
        <v>81</v>
      </c>
      <c r="Y55" s="5" t="s">
        <v>79</v>
      </c>
      <c r="Z55" s="5" t="s">
        <v>73</v>
      </c>
      <c r="AA55" s="5" t="s">
        <v>15</v>
      </c>
      <c r="AB55" s="5" t="s">
        <v>80</v>
      </c>
      <c r="AC55" s="5">
        <f t="shared" si="27"/>
        <v>0</v>
      </c>
      <c r="AD55" s="5">
        <v>32</v>
      </c>
      <c r="AE55" s="5">
        <v>40</v>
      </c>
      <c r="AF55" s="5">
        <v>17.5</v>
      </c>
      <c r="AG55" s="5">
        <v>7.5</v>
      </c>
      <c r="AH55" s="5">
        <v>3</v>
      </c>
      <c r="AI55" s="5">
        <v>8.7080000000000002</v>
      </c>
      <c r="AJ55" s="5" t="s">
        <v>15</v>
      </c>
      <c r="AK55" s="5">
        <v>2.37</v>
      </c>
      <c r="AL55" s="5" t="s">
        <v>15</v>
      </c>
      <c r="AM55" s="5">
        <f t="shared" si="20"/>
        <v>108.74563143369392</v>
      </c>
      <c r="AN55" s="5">
        <v>90.6</v>
      </c>
      <c r="AO55" s="6" t="s">
        <v>72</v>
      </c>
      <c r="AP55" s="6" t="s">
        <v>83</v>
      </c>
    </row>
    <row r="56" spans="1:42" x14ac:dyDescent="0.3">
      <c r="A56" s="6">
        <v>53</v>
      </c>
      <c r="B56" s="3" t="s">
        <v>74</v>
      </c>
      <c r="C56" s="3" t="s">
        <v>82</v>
      </c>
      <c r="D56" s="3">
        <f t="shared" si="19"/>
        <v>0.375</v>
      </c>
      <c r="E56" s="5">
        <f>20.54-(9*((G56/100*((100+L56)/100)))*Calculations!$B$16)</f>
        <v>18.978196850678732</v>
      </c>
      <c r="F56" s="5">
        <f t="shared" si="21"/>
        <v>50.819507290095522</v>
      </c>
      <c r="G56" s="5">
        <f t="shared" si="22"/>
        <v>7.1191553544494717</v>
      </c>
      <c r="H56" s="5">
        <f t="shared" si="23"/>
        <v>0.15082956259426847</v>
      </c>
      <c r="I56" s="5">
        <f t="shared" si="24"/>
        <v>0.57315233785822017</v>
      </c>
      <c r="J56" s="5">
        <f t="shared" si="25"/>
        <v>41.337355455002509</v>
      </c>
      <c r="K56" s="5">
        <v>0.55000000000000004</v>
      </c>
      <c r="L56" s="5">
        <v>8</v>
      </c>
      <c r="M56" s="5">
        <v>82.29</v>
      </c>
      <c r="N56" s="5">
        <v>17.16</v>
      </c>
      <c r="O56" s="5" t="s">
        <v>15</v>
      </c>
      <c r="P56" s="5" t="s">
        <v>15</v>
      </c>
      <c r="Q56" s="5" t="s">
        <v>15</v>
      </c>
      <c r="R56" s="5">
        <v>800</v>
      </c>
      <c r="S56" s="5" t="s">
        <v>39</v>
      </c>
      <c r="T56" s="5" t="s">
        <v>75</v>
      </c>
      <c r="U56" s="5" t="s">
        <v>15</v>
      </c>
      <c r="V56" s="5">
        <v>1.56</v>
      </c>
      <c r="W56" s="5">
        <v>0.25</v>
      </c>
      <c r="X56" s="5" t="s">
        <v>81</v>
      </c>
      <c r="Y56" s="5" t="s">
        <v>79</v>
      </c>
      <c r="Z56" s="5" t="s">
        <v>73</v>
      </c>
      <c r="AA56" s="5" t="s">
        <v>15</v>
      </c>
      <c r="AB56" s="5" t="s">
        <v>80</v>
      </c>
      <c r="AC56" s="5">
        <f t="shared" si="27"/>
        <v>0.5</v>
      </c>
      <c r="AD56" s="5">
        <v>32</v>
      </c>
      <c r="AE56" s="5">
        <v>39</v>
      </c>
      <c r="AF56" s="5">
        <v>18.25</v>
      </c>
      <c r="AG56" s="5">
        <v>7.5</v>
      </c>
      <c r="AH56" s="5">
        <v>2.75</v>
      </c>
      <c r="AI56" s="5">
        <v>8.1639999999999997</v>
      </c>
      <c r="AJ56" s="5" t="s">
        <v>15</v>
      </c>
      <c r="AK56" s="5">
        <v>2.1800000000000002</v>
      </c>
      <c r="AL56" s="5" t="s">
        <v>15</v>
      </c>
      <c r="AM56" s="5">
        <f t="shared" si="20"/>
        <v>93.778772240754236</v>
      </c>
      <c r="AN56" s="5">
        <v>84</v>
      </c>
      <c r="AO56" s="6" t="s">
        <v>72</v>
      </c>
      <c r="AP56" s="6" t="s">
        <v>83</v>
      </c>
    </row>
    <row r="57" spans="1:42" x14ac:dyDescent="0.3">
      <c r="A57" s="6">
        <v>54</v>
      </c>
      <c r="B57" s="3" t="s">
        <v>74</v>
      </c>
      <c r="C57" s="3" t="s">
        <v>82</v>
      </c>
      <c r="D57" s="3">
        <f t="shared" si="19"/>
        <v>0.375</v>
      </c>
      <c r="E57" s="5">
        <f>20.54-(9*((G57/100*((100+L57)/100)))*Calculations!$B$16)</f>
        <v>18.978196850678732</v>
      </c>
      <c r="F57" s="5">
        <f t="shared" si="21"/>
        <v>50.819507290095522</v>
      </c>
      <c r="G57" s="5">
        <f t="shared" si="22"/>
        <v>7.1191553544494717</v>
      </c>
      <c r="H57" s="5">
        <f t="shared" si="23"/>
        <v>0.15082956259426847</v>
      </c>
      <c r="I57" s="5">
        <f t="shared" si="24"/>
        <v>0.57315233785822017</v>
      </c>
      <c r="J57" s="5">
        <f t="shared" si="25"/>
        <v>41.337355455002509</v>
      </c>
      <c r="K57" s="5">
        <v>0.55000000000000004</v>
      </c>
      <c r="L57" s="5">
        <v>8</v>
      </c>
      <c r="M57" s="5">
        <v>82.29</v>
      </c>
      <c r="N57" s="5">
        <v>17.16</v>
      </c>
      <c r="O57" s="5" t="s">
        <v>15</v>
      </c>
      <c r="P57" s="5" t="s">
        <v>15</v>
      </c>
      <c r="Q57" s="5" t="s">
        <v>15</v>
      </c>
      <c r="R57" s="5">
        <v>800</v>
      </c>
      <c r="S57" s="5" t="s">
        <v>39</v>
      </c>
      <c r="T57" s="5" t="s">
        <v>75</v>
      </c>
      <c r="U57" s="5" t="s">
        <v>15</v>
      </c>
      <c r="V57" s="5">
        <v>1.56</v>
      </c>
      <c r="W57" s="5">
        <v>0.27</v>
      </c>
      <c r="X57" s="5" t="s">
        <v>81</v>
      </c>
      <c r="Y57" s="5" t="s">
        <v>79</v>
      </c>
      <c r="Z57" s="5" t="s">
        <v>73</v>
      </c>
      <c r="AA57" s="5" t="s">
        <v>15</v>
      </c>
      <c r="AB57" s="5" t="s">
        <v>80</v>
      </c>
      <c r="AC57" s="5">
        <f t="shared" si="27"/>
        <v>0.5</v>
      </c>
      <c r="AD57" s="5">
        <v>32.5</v>
      </c>
      <c r="AE57" s="5">
        <v>37.5</v>
      </c>
      <c r="AF57" s="5">
        <v>19.75</v>
      </c>
      <c r="AG57" s="5">
        <v>7.25</v>
      </c>
      <c r="AH57" s="5">
        <v>2.5</v>
      </c>
      <c r="AI57" s="5">
        <v>7.2770000000000001</v>
      </c>
      <c r="AJ57" s="5" t="s">
        <v>15</v>
      </c>
      <c r="AK57" s="5">
        <v>1.88</v>
      </c>
      <c r="AL57" s="5" t="s">
        <v>15</v>
      </c>
      <c r="AM57" s="5">
        <f t="shared" si="20"/>
        <v>72.0867219770182</v>
      </c>
      <c r="AN57" s="5">
        <v>70.599999999999994</v>
      </c>
      <c r="AO57" s="6" t="s">
        <v>72</v>
      </c>
      <c r="AP57" s="6" t="s">
        <v>83</v>
      </c>
    </row>
    <row r="58" spans="1:42" x14ac:dyDescent="0.3">
      <c r="A58" s="6">
        <v>55</v>
      </c>
      <c r="B58" s="3" t="s">
        <v>74</v>
      </c>
      <c r="C58" s="3" t="s">
        <v>82</v>
      </c>
      <c r="D58" s="3">
        <f t="shared" si="19"/>
        <v>0.375</v>
      </c>
      <c r="E58" s="5">
        <f>20.54-(9*((G58/100*((100+L58)/100)))*Calculations!$B$16)</f>
        <v>18.978196850678732</v>
      </c>
      <c r="F58" s="5">
        <f t="shared" si="21"/>
        <v>50.819507290095522</v>
      </c>
      <c r="G58" s="5">
        <f t="shared" si="22"/>
        <v>7.1191553544494717</v>
      </c>
      <c r="H58" s="5">
        <f t="shared" si="23"/>
        <v>0.15082956259426847</v>
      </c>
      <c r="I58" s="5">
        <f t="shared" si="24"/>
        <v>0.57315233785822017</v>
      </c>
      <c r="J58" s="5">
        <f t="shared" si="25"/>
        <v>41.337355455002509</v>
      </c>
      <c r="K58" s="5">
        <v>0.55000000000000004</v>
      </c>
      <c r="L58" s="5">
        <v>8</v>
      </c>
      <c r="M58" s="5">
        <v>82.29</v>
      </c>
      <c r="N58" s="5">
        <v>17.16</v>
      </c>
      <c r="O58" s="5" t="s">
        <v>15</v>
      </c>
      <c r="P58" s="5" t="s">
        <v>15</v>
      </c>
      <c r="Q58" s="5" t="s">
        <v>15</v>
      </c>
      <c r="R58" s="5">
        <v>800</v>
      </c>
      <c r="S58" s="5" t="s">
        <v>39</v>
      </c>
      <c r="T58" s="5" t="s">
        <v>75</v>
      </c>
      <c r="U58" s="5" t="s">
        <v>15</v>
      </c>
      <c r="V58" s="5">
        <v>0</v>
      </c>
      <c r="W58" s="5">
        <v>0.22</v>
      </c>
      <c r="X58" s="5" t="s">
        <v>81</v>
      </c>
      <c r="Y58" s="5" t="s">
        <v>79</v>
      </c>
      <c r="Z58" s="5" t="s">
        <v>73</v>
      </c>
      <c r="AA58" s="5" t="s">
        <v>15</v>
      </c>
      <c r="AB58" s="5" t="s">
        <v>80</v>
      </c>
      <c r="AC58" s="5">
        <f t="shared" si="27"/>
        <v>0</v>
      </c>
      <c r="AD58" s="5">
        <v>33</v>
      </c>
      <c r="AE58" s="5">
        <v>43</v>
      </c>
      <c r="AF58" s="5">
        <v>16</v>
      </c>
      <c r="AG58" s="5">
        <v>6</v>
      </c>
      <c r="AH58" s="5">
        <v>2</v>
      </c>
      <c r="AI58" s="5">
        <v>6.7409999999999997</v>
      </c>
      <c r="AJ58" s="5" t="s">
        <v>15</v>
      </c>
      <c r="AK58" s="5">
        <v>1.46</v>
      </c>
      <c r="AL58" s="5" t="s">
        <v>15</v>
      </c>
      <c r="AM58" s="5">
        <f t="shared" si="20"/>
        <v>51.858772872028766</v>
      </c>
      <c r="AN58" s="5">
        <v>68.67</v>
      </c>
      <c r="AO58" s="6" t="s">
        <v>72</v>
      </c>
      <c r="AP58" s="6" t="s">
        <v>83</v>
      </c>
    </row>
    <row r="59" spans="1:42" x14ac:dyDescent="0.3">
      <c r="A59" s="6">
        <v>56</v>
      </c>
      <c r="B59" s="3" t="s">
        <v>74</v>
      </c>
      <c r="C59" s="3" t="s">
        <v>82</v>
      </c>
      <c r="D59" s="3">
        <f t="shared" si="19"/>
        <v>0.375</v>
      </c>
      <c r="E59" s="5">
        <f>20.54-(9*((G59/100*((100+L59)/100)))*Calculations!$B$16)</f>
        <v>18.978196850678732</v>
      </c>
      <c r="F59" s="5">
        <f t="shared" si="21"/>
        <v>50.819507290095522</v>
      </c>
      <c r="G59" s="5">
        <f t="shared" si="22"/>
        <v>7.1191553544494717</v>
      </c>
      <c r="H59" s="5">
        <f t="shared" si="23"/>
        <v>0.15082956259426847</v>
      </c>
      <c r="I59" s="5">
        <f t="shared" si="24"/>
        <v>0.57315233785822017</v>
      </c>
      <c r="J59" s="5">
        <f t="shared" si="25"/>
        <v>41.337355455002509</v>
      </c>
      <c r="K59" s="5">
        <v>0.55000000000000004</v>
      </c>
      <c r="L59" s="5">
        <v>8</v>
      </c>
      <c r="M59" s="5">
        <v>82.29</v>
      </c>
      <c r="N59" s="5">
        <v>17.16</v>
      </c>
      <c r="O59" s="5" t="s">
        <v>15</v>
      </c>
      <c r="P59" s="5" t="s">
        <v>15</v>
      </c>
      <c r="Q59" s="5" t="s">
        <v>15</v>
      </c>
      <c r="R59" s="5">
        <v>800</v>
      </c>
      <c r="S59" s="5" t="s">
        <v>39</v>
      </c>
      <c r="T59" s="5" t="s">
        <v>75</v>
      </c>
      <c r="U59" s="5" t="s">
        <v>15</v>
      </c>
      <c r="V59" s="5">
        <v>1.35</v>
      </c>
      <c r="W59" s="5">
        <v>0.22</v>
      </c>
      <c r="X59" s="5" t="s">
        <v>81</v>
      </c>
      <c r="Y59" s="5" t="s">
        <v>79</v>
      </c>
      <c r="Z59" s="5" t="s">
        <v>73</v>
      </c>
      <c r="AA59" s="5" t="s">
        <v>15</v>
      </c>
      <c r="AB59" s="5" t="s">
        <v>80</v>
      </c>
      <c r="AC59" s="5">
        <f t="shared" si="27"/>
        <v>1.25</v>
      </c>
      <c r="AD59" s="5">
        <v>30</v>
      </c>
      <c r="AE59" s="5">
        <v>40.5</v>
      </c>
      <c r="AF59" s="5">
        <v>17</v>
      </c>
      <c r="AG59" s="5">
        <v>8</v>
      </c>
      <c r="AH59" s="5">
        <v>3.25</v>
      </c>
      <c r="AI59" s="5">
        <v>9.1430000000000007</v>
      </c>
      <c r="AJ59" s="5" t="s">
        <v>15</v>
      </c>
      <c r="AK59" s="5">
        <v>2.39</v>
      </c>
      <c r="AL59" s="5" t="s">
        <v>15</v>
      </c>
      <c r="AM59" s="5">
        <f t="shared" si="20"/>
        <v>115.14144453201042</v>
      </c>
      <c r="AN59" s="5">
        <v>92.09</v>
      </c>
      <c r="AO59" s="6" t="s">
        <v>72</v>
      </c>
      <c r="AP59" s="6" t="s">
        <v>83</v>
      </c>
    </row>
    <row r="60" spans="1:42" x14ac:dyDescent="0.3">
      <c r="A60" s="6">
        <v>57</v>
      </c>
      <c r="B60" s="3" t="s">
        <v>74</v>
      </c>
      <c r="C60" s="3" t="s">
        <v>82</v>
      </c>
      <c r="D60" s="3">
        <f t="shared" si="19"/>
        <v>0.375</v>
      </c>
      <c r="E60" s="5">
        <f>20.54-(9*((G60/100*((100+L60)/100)))*Calculations!$B$16)</f>
        <v>18.978196850678732</v>
      </c>
      <c r="F60" s="5">
        <f t="shared" si="21"/>
        <v>50.819507290095522</v>
      </c>
      <c r="G60" s="5">
        <f t="shared" si="22"/>
        <v>7.1191553544494717</v>
      </c>
      <c r="H60" s="5">
        <f t="shared" si="23"/>
        <v>0.15082956259426847</v>
      </c>
      <c r="I60" s="5">
        <f t="shared" si="24"/>
        <v>0.57315233785822017</v>
      </c>
      <c r="J60" s="5">
        <f t="shared" si="25"/>
        <v>41.337355455002509</v>
      </c>
      <c r="K60" s="5">
        <v>0.55000000000000004</v>
      </c>
      <c r="L60" s="5">
        <v>8</v>
      </c>
      <c r="M60" s="5">
        <v>82.29</v>
      </c>
      <c r="N60" s="5">
        <v>17.16</v>
      </c>
      <c r="O60" s="5" t="s">
        <v>15</v>
      </c>
      <c r="P60" s="5" t="s">
        <v>15</v>
      </c>
      <c r="Q60" s="5" t="s">
        <v>15</v>
      </c>
      <c r="R60" s="5">
        <v>800</v>
      </c>
      <c r="S60" s="5" t="s">
        <v>39</v>
      </c>
      <c r="T60" s="5" t="s">
        <v>75</v>
      </c>
      <c r="U60" s="5" t="s">
        <v>15</v>
      </c>
      <c r="V60" s="5">
        <v>2.02</v>
      </c>
      <c r="W60" s="5">
        <v>0.22</v>
      </c>
      <c r="X60" s="5" t="s">
        <v>81</v>
      </c>
      <c r="Y60" s="5" t="s">
        <v>79</v>
      </c>
      <c r="Z60" s="5" t="s">
        <v>73</v>
      </c>
      <c r="AA60" s="5" t="s">
        <v>15</v>
      </c>
      <c r="AB60" s="5" t="s">
        <v>80</v>
      </c>
      <c r="AC60" s="5">
        <f t="shared" si="27"/>
        <v>1.75</v>
      </c>
      <c r="AD60" s="5">
        <v>31</v>
      </c>
      <c r="AE60" s="5">
        <v>39</v>
      </c>
      <c r="AF60" s="5">
        <v>17.5</v>
      </c>
      <c r="AG60" s="5">
        <v>7.75</v>
      </c>
      <c r="AH60" s="5">
        <v>3</v>
      </c>
      <c r="AI60" s="5">
        <v>8.9049999999999994</v>
      </c>
      <c r="AJ60" s="5" t="s">
        <v>15</v>
      </c>
      <c r="AK60" s="5">
        <v>2.34</v>
      </c>
      <c r="AL60" s="5" t="s">
        <v>15</v>
      </c>
      <c r="AM60" s="5">
        <f t="shared" si="20"/>
        <v>109.79810233791925</v>
      </c>
      <c r="AN60" s="5">
        <v>88.7</v>
      </c>
      <c r="AO60" s="6" t="s">
        <v>72</v>
      </c>
      <c r="AP60" s="6" t="s">
        <v>83</v>
      </c>
    </row>
    <row r="61" spans="1:42" x14ac:dyDescent="0.3">
      <c r="A61" s="6">
        <v>58</v>
      </c>
      <c r="B61" s="3" t="s">
        <v>74</v>
      </c>
      <c r="C61" s="3" t="s">
        <v>82</v>
      </c>
      <c r="D61" s="3">
        <f t="shared" si="19"/>
        <v>0.375</v>
      </c>
      <c r="E61" s="5">
        <f>20.54-(9*((G61/100*((100+L61)/100)))*Calculations!$B$16)</f>
        <v>18.978196850678732</v>
      </c>
      <c r="F61" s="5">
        <f t="shared" si="21"/>
        <v>50.819507290095522</v>
      </c>
      <c r="G61" s="5">
        <f t="shared" si="22"/>
        <v>7.1191553544494717</v>
      </c>
      <c r="H61" s="5">
        <f t="shared" si="23"/>
        <v>0.15082956259426847</v>
      </c>
      <c r="I61" s="5">
        <f t="shared" si="24"/>
        <v>0.57315233785822017</v>
      </c>
      <c r="J61" s="5">
        <f t="shared" si="25"/>
        <v>41.337355455002509</v>
      </c>
      <c r="K61" s="5">
        <v>0.55000000000000004</v>
      </c>
      <c r="L61" s="5">
        <v>8</v>
      </c>
      <c r="M61" s="5">
        <v>82.29</v>
      </c>
      <c r="N61" s="5">
        <v>17.16</v>
      </c>
      <c r="O61" s="5" t="s">
        <v>15</v>
      </c>
      <c r="P61" s="5" t="s">
        <v>15</v>
      </c>
      <c r="Q61" s="5" t="s">
        <v>15</v>
      </c>
      <c r="R61" s="5">
        <v>800</v>
      </c>
      <c r="S61" s="5" t="s">
        <v>39</v>
      </c>
      <c r="T61" s="5" t="s">
        <v>75</v>
      </c>
      <c r="U61" s="5" t="s">
        <v>15</v>
      </c>
      <c r="V61" s="5">
        <v>2.7</v>
      </c>
      <c r="W61" s="5">
        <v>0.22</v>
      </c>
      <c r="X61" s="5" t="s">
        <v>81</v>
      </c>
      <c r="Y61" s="5" t="s">
        <v>79</v>
      </c>
      <c r="Z61" s="5" t="s">
        <v>73</v>
      </c>
      <c r="AA61" s="5" t="s">
        <v>15</v>
      </c>
      <c r="AB61" s="5" t="s">
        <v>80</v>
      </c>
      <c r="AC61" s="5">
        <f t="shared" si="27"/>
        <v>1</v>
      </c>
      <c r="AD61" s="5">
        <v>32.5</v>
      </c>
      <c r="AE61" s="5">
        <v>37.5</v>
      </c>
      <c r="AF61" s="5">
        <v>18.5</v>
      </c>
      <c r="AG61" s="5">
        <v>7.5</v>
      </c>
      <c r="AH61" s="5">
        <v>3</v>
      </c>
      <c r="AI61" s="5">
        <v>8.56</v>
      </c>
      <c r="AJ61" s="5" t="s">
        <v>15</v>
      </c>
      <c r="AK61" s="5">
        <v>2.23</v>
      </c>
      <c r="AL61" s="5" t="s">
        <v>15</v>
      </c>
      <c r="AM61" s="5">
        <f t="shared" si="20"/>
        <v>100.58279061067552</v>
      </c>
      <c r="AN61" s="5">
        <v>85.9</v>
      </c>
      <c r="AO61" s="6" t="s">
        <v>72</v>
      </c>
      <c r="AP61" s="6" t="s">
        <v>83</v>
      </c>
    </row>
    <row r="62" spans="1:42" x14ac:dyDescent="0.3">
      <c r="A62" s="6">
        <v>59</v>
      </c>
      <c r="B62" s="3" t="s">
        <v>74</v>
      </c>
      <c r="C62" s="3" t="s">
        <v>82</v>
      </c>
      <c r="D62" s="3">
        <f t="shared" si="19"/>
        <v>0.375</v>
      </c>
      <c r="E62" s="5">
        <f>20.54-(9*((G62/100*((100+L62)/100)))*Calculations!$B$16)</f>
        <v>18.978196850678732</v>
      </c>
      <c r="F62" s="5">
        <f t="shared" si="21"/>
        <v>50.819507290095522</v>
      </c>
      <c r="G62" s="5">
        <f t="shared" si="22"/>
        <v>7.1191553544494717</v>
      </c>
      <c r="H62" s="5">
        <f t="shared" si="23"/>
        <v>0.15082956259426847</v>
      </c>
      <c r="I62" s="5">
        <f t="shared" si="24"/>
        <v>0.57315233785822017</v>
      </c>
      <c r="J62" s="5">
        <f t="shared" si="25"/>
        <v>41.337355455002509</v>
      </c>
      <c r="K62" s="5">
        <v>0.55000000000000004</v>
      </c>
      <c r="L62" s="5">
        <v>8</v>
      </c>
      <c r="M62" s="5">
        <v>82.29</v>
      </c>
      <c r="N62" s="5">
        <v>17.16</v>
      </c>
      <c r="O62" s="5" t="s">
        <v>15</v>
      </c>
      <c r="P62" s="5" t="s">
        <v>15</v>
      </c>
      <c r="Q62" s="5" t="s">
        <v>15</v>
      </c>
      <c r="R62" s="5">
        <v>800</v>
      </c>
      <c r="S62" s="5" t="s">
        <v>39</v>
      </c>
      <c r="T62" s="5" t="s">
        <v>75</v>
      </c>
      <c r="U62" s="5" t="s">
        <v>15</v>
      </c>
      <c r="V62" s="5">
        <v>4.04</v>
      </c>
      <c r="W62" s="5">
        <v>0.22</v>
      </c>
      <c r="X62" s="5" t="s">
        <v>81</v>
      </c>
      <c r="Y62" s="5" t="s">
        <v>79</v>
      </c>
      <c r="Z62" s="5" t="s">
        <v>73</v>
      </c>
      <c r="AA62" s="5" t="s">
        <v>15</v>
      </c>
      <c r="AB62" s="5" t="s">
        <v>80</v>
      </c>
      <c r="AC62" s="5">
        <f t="shared" si="27"/>
        <v>0.5</v>
      </c>
      <c r="AD62" s="5">
        <v>32.5</v>
      </c>
      <c r="AE62" s="5">
        <v>37.5</v>
      </c>
      <c r="AF62" s="5">
        <v>19</v>
      </c>
      <c r="AG62" s="5">
        <v>7.5</v>
      </c>
      <c r="AH62" s="5">
        <v>3</v>
      </c>
      <c r="AI62" s="5">
        <v>8.1</v>
      </c>
      <c r="AJ62" s="5" t="s">
        <v>15</v>
      </c>
      <c r="AK62" s="5">
        <v>1.95</v>
      </c>
      <c r="AL62" s="5" t="s">
        <v>15</v>
      </c>
      <c r="AM62" s="5">
        <f t="shared" si="20"/>
        <v>83.227084871527765</v>
      </c>
      <c r="AN62" s="5">
        <v>75.099999999999994</v>
      </c>
      <c r="AO62" s="6" t="s">
        <v>72</v>
      </c>
      <c r="AP62" s="6" t="s">
        <v>83</v>
      </c>
    </row>
    <row r="63" spans="1:42" x14ac:dyDescent="0.3">
      <c r="A63" s="6">
        <v>60</v>
      </c>
      <c r="B63" s="3" t="s">
        <v>74</v>
      </c>
      <c r="C63" s="3" t="s">
        <v>82</v>
      </c>
      <c r="D63" s="3">
        <v>0.75</v>
      </c>
      <c r="E63" s="5">
        <f>20.54-(9*((G63/100*((100+L63)/100)))*Calculations!$B$16)</f>
        <v>18.978196850678732</v>
      </c>
      <c r="F63" s="5">
        <f t="shared" si="21"/>
        <v>50.819507290095522</v>
      </c>
      <c r="G63" s="5">
        <f t="shared" si="22"/>
        <v>7.1191553544494717</v>
      </c>
      <c r="H63" s="5">
        <f t="shared" si="23"/>
        <v>0.15082956259426847</v>
      </c>
      <c r="I63" s="5">
        <f t="shared" si="24"/>
        <v>0.57315233785822017</v>
      </c>
      <c r="J63" s="5">
        <f t="shared" si="25"/>
        <v>41.337355455002509</v>
      </c>
      <c r="K63" s="5">
        <v>0.55000000000000004</v>
      </c>
      <c r="L63" s="5">
        <v>8</v>
      </c>
      <c r="M63" s="5">
        <v>82.29</v>
      </c>
      <c r="N63" s="5">
        <v>17.16</v>
      </c>
      <c r="O63" s="5" t="s">
        <v>15</v>
      </c>
      <c r="P63" s="5" t="s">
        <v>15</v>
      </c>
      <c r="Q63" s="5" t="s">
        <v>15</v>
      </c>
      <c r="R63" s="5">
        <v>800</v>
      </c>
      <c r="S63" s="5" t="s">
        <v>39</v>
      </c>
      <c r="T63" s="5" t="s">
        <v>75</v>
      </c>
      <c r="U63" s="5" t="s">
        <v>15</v>
      </c>
      <c r="V63" s="5">
        <v>1.56</v>
      </c>
      <c r="W63" s="5">
        <v>0.23</v>
      </c>
      <c r="X63" s="5" t="s">
        <v>81</v>
      </c>
      <c r="Y63" s="5" t="s">
        <v>79</v>
      </c>
      <c r="Z63" s="5" t="s">
        <v>73</v>
      </c>
      <c r="AA63" s="5" t="s">
        <v>15</v>
      </c>
      <c r="AB63" s="5" t="s">
        <v>80</v>
      </c>
      <c r="AC63" s="5">
        <f t="shared" si="27"/>
        <v>0</v>
      </c>
      <c r="AD63" s="5">
        <v>32.25</v>
      </c>
      <c r="AE63" s="5">
        <v>37.5</v>
      </c>
      <c r="AF63" s="5">
        <v>21.25</v>
      </c>
      <c r="AG63" s="5">
        <v>6.5</v>
      </c>
      <c r="AH63" s="5">
        <v>2.5</v>
      </c>
      <c r="AI63" s="5">
        <v>6.976</v>
      </c>
      <c r="AJ63" s="5" t="s">
        <v>15</v>
      </c>
      <c r="AK63" s="5">
        <v>1.53</v>
      </c>
      <c r="AL63" s="5" t="s">
        <v>15</v>
      </c>
      <c r="AM63" s="5">
        <f t="shared" si="20"/>
        <v>56.239694866576762</v>
      </c>
      <c r="AN63" s="5">
        <v>77.62</v>
      </c>
      <c r="AO63" s="6" t="s">
        <v>72</v>
      </c>
      <c r="AP63" s="6" t="s">
        <v>83</v>
      </c>
    </row>
    <row r="64" spans="1:42" x14ac:dyDescent="0.3">
      <c r="A64" s="6">
        <v>61</v>
      </c>
      <c r="B64" s="3" t="s">
        <v>74</v>
      </c>
      <c r="C64" s="3" t="s">
        <v>82</v>
      </c>
      <c r="D64" s="3">
        <v>0.53</v>
      </c>
      <c r="E64" s="5">
        <f>20.54-(9*((G64/100*((100+L64)/100)))*Calculations!$B$16)</f>
        <v>18.978196850678732</v>
      </c>
      <c r="F64" s="5">
        <f t="shared" si="21"/>
        <v>50.819507290095522</v>
      </c>
      <c r="G64" s="5">
        <f t="shared" si="22"/>
        <v>7.1191553544494717</v>
      </c>
      <c r="H64" s="5">
        <f t="shared" si="23"/>
        <v>0.15082956259426847</v>
      </c>
      <c r="I64" s="5">
        <f t="shared" si="24"/>
        <v>0.57315233785822017</v>
      </c>
      <c r="J64" s="5">
        <f t="shared" si="25"/>
        <v>41.337355455002509</v>
      </c>
      <c r="K64" s="5">
        <v>0.55000000000000004</v>
      </c>
      <c r="L64" s="5">
        <v>8</v>
      </c>
      <c r="M64" s="5">
        <v>82.29</v>
      </c>
      <c r="N64" s="5">
        <v>17.16</v>
      </c>
      <c r="O64" s="5" t="s">
        <v>15</v>
      </c>
      <c r="P64" s="5" t="s">
        <v>15</v>
      </c>
      <c r="Q64" s="5" t="s">
        <v>15</v>
      </c>
      <c r="R64" s="5">
        <v>800</v>
      </c>
      <c r="S64" s="5" t="s">
        <v>39</v>
      </c>
      <c r="T64" s="5" t="s">
        <v>75</v>
      </c>
      <c r="U64" s="5" t="s">
        <v>15</v>
      </c>
      <c r="V64" s="5">
        <v>1.56</v>
      </c>
      <c r="W64" s="5">
        <v>0.23</v>
      </c>
      <c r="X64" s="5" t="s">
        <v>81</v>
      </c>
      <c r="Y64" s="5" t="s">
        <v>79</v>
      </c>
      <c r="Z64" s="5" t="s">
        <v>73</v>
      </c>
      <c r="AA64" s="5" t="s">
        <v>15</v>
      </c>
      <c r="AB64" s="5" t="s">
        <v>80</v>
      </c>
      <c r="AC64" s="5">
        <f t="shared" si="27"/>
        <v>0.25</v>
      </c>
      <c r="AD64" s="5">
        <v>32.25</v>
      </c>
      <c r="AE64" s="5">
        <v>37.5</v>
      </c>
      <c r="AF64" s="5">
        <v>19.5</v>
      </c>
      <c r="AG64" s="5">
        <v>7.5</v>
      </c>
      <c r="AH64" s="5">
        <v>3</v>
      </c>
      <c r="AI64" s="5">
        <v>7.9370000000000003</v>
      </c>
      <c r="AJ64" s="5" t="s">
        <v>15</v>
      </c>
      <c r="AK64" s="5">
        <v>1.93</v>
      </c>
      <c r="AL64" s="5" t="s">
        <v>15</v>
      </c>
      <c r="AM64" s="5">
        <f t="shared" si="20"/>
        <v>80.715834705087673</v>
      </c>
      <c r="AN64" s="5">
        <v>84.4</v>
      </c>
      <c r="AO64" s="6" t="s">
        <v>72</v>
      </c>
      <c r="AP64" s="6" t="s">
        <v>83</v>
      </c>
    </row>
    <row r="65" spans="1:42" x14ac:dyDescent="0.3">
      <c r="A65" s="6">
        <v>62</v>
      </c>
      <c r="B65" s="3" t="s">
        <v>74</v>
      </c>
      <c r="C65" s="3" t="s">
        <v>82</v>
      </c>
      <c r="D65" s="3">
        <v>0.38</v>
      </c>
      <c r="E65" s="5">
        <f>20.54-(9*((G65/100*((100+L65)/100)))*Calculations!$B$16)</f>
        <v>18.978196850678732</v>
      </c>
      <c r="F65" s="5">
        <f t="shared" si="21"/>
        <v>50.819507290095522</v>
      </c>
      <c r="G65" s="5">
        <f t="shared" si="22"/>
        <v>7.1191553544494717</v>
      </c>
      <c r="H65" s="5">
        <f t="shared" si="23"/>
        <v>0.15082956259426847</v>
      </c>
      <c r="I65" s="5">
        <f t="shared" si="24"/>
        <v>0.57315233785822017</v>
      </c>
      <c r="J65" s="5">
        <f t="shared" si="25"/>
        <v>41.337355455002509</v>
      </c>
      <c r="K65" s="5">
        <v>0.55000000000000004</v>
      </c>
      <c r="L65" s="5">
        <v>8</v>
      </c>
      <c r="M65" s="5">
        <v>82.29</v>
      </c>
      <c r="N65" s="5">
        <v>17.16</v>
      </c>
      <c r="O65" s="5" t="s">
        <v>15</v>
      </c>
      <c r="P65" s="5" t="s">
        <v>15</v>
      </c>
      <c r="Q65" s="5" t="s">
        <v>15</v>
      </c>
      <c r="R65" s="5">
        <v>800</v>
      </c>
      <c r="S65" s="5" t="s">
        <v>39</v>
      </c>
      <c r="T65" s="5" t="s">
        <v>75</v>
      </c>
      <c r="U65" s="5" t="s">
        <v>15</v>
      </c>
      <c r="V65" s="5">
        <v>1.56</v>
      </c>
      <c r="W65" s="5">
        <v>0.23</v>
      </c>
      <c r="X65" s="5" t="s">
        <v>81</v>
      </c>
      <c r="Y65" s="5" t="s">
        <v>79</v>
      </c>
      <c r="Z65" s="5" t="s">
        <v>73</v>
      </c>
      <c r="AA65" s="5" t="s">
        <v>15</v>
      </c>
      <c r="AB65" s="5" t="s">
        <v>80</v>
      </c>
      <c r="AC65" s="5">
        <f t="shared" si="27"/>
        <v>0.25</v>
      </c>
      <c r="AD65" s="5">
        <v>32.25</v>
      </c>
      <c r="AE65" s="5">
        <v>40</v>
      </c>
      <c r="AF65" s="5">
        <v>17</v>
      </c>
      <c r="AG65" s="5">
        <v>7.5</v>
      </c>
      <c r="AH65" s="5">
        <v>3</v>
      </c>
      <c r="AI65" s="5">
        <v>8.7080000000000002</v>
      </c>
      <c r="AJ65" s="5" t="s">
        <v>15</v>
      </c>
      <c r="AK65" s="5">
        <v>2.37</v>
      </c>
      <c r="AL65" s="5" t="s">
        <v>15</v>
      </c>
      <c r="AM65" s="5">
        <f t="shared" si="20"/>
        <v>108.74563143369392</v>
      </c>
      <c r="AN65" s="5">
        <v>90.6</v>
      </c>
      <c r="AO65" s="6" t="s">
        <v>72</v>
      </c>
      <c r="AP65" s="6" t="s">
        <v>83</v>
      </c>
    </row>
    <row r="66" spans="1:42" x14ac:dyDescent="0.3">
      <c r="A66" s="6">
        <v>63</v>
      </c>
      <c r="B66" s="3" t="s">
        <v>74</v>
      </c>
      <c r="C66" s="3" t="s">
        <v>82</v>
      </c>
      <c r="D66" s="3">
        <v>0.25</v>
      </c>
      <c r="E66" s="5">
        <f>20.54-(9*((G66/100*((100+L66)/100)))*Calculations!$B$16)</f>
        <v>18.978196850678732</v>
      </c>
      <c r="F66" s="5">
        <f t="shared" si="21"/>
        <v>50.819507290095522</v>
      </c>
      <c r="G66" s="5">
        <f t="shared" si="22"/>
        <v>7.1191553544494717</v>
      </c>
      <c r="H66" s="5">
        <f t="shared" si="23"/>
        <v>0.15082956259426847</v>
      </c>
      <c r="I66" s="5">
        <f t="shared" si="24"/>
        <v>0.57315233785822017</v>
      </c>
      <c r="J66" s="5">
        <f t="shared" si="25"/>
        <v>41.337355455002509</v>
      </c>
      <c r="K66" s="5">
        <v>0.55000000000000004</v>
      </c>
      <c r="L66" s="5">
        <v>8</v>
      </c>
      <c r="M66" s="5">
        <v>82.29</v>
      </c>
      <c r="N66" s="5">
        <v>17.16</v>
      </c>
      <c r="O66" s="5" t="s">
        <v>15</v>
      </c>
      <c r="P66" s="5" t="s">
        <v>15</v>
      </c>
      <c r="Q66" s="5" t="s">
        <v>15</v>
      </c>
      <c r="R66" s="5">
        <v>800</v>
      </c>
      <c r="S66" s="5" t="s">
        <v>39</v>
      </c>
      <c r="T66" s="5" t="s">
        <v>75</v>
      </c>
      <c r="U66" s="5" t="s">
        <v>15</v>
      </c>
      <c r="V66" s="5">
        <v>1.56</v>
      </c>
      <c r="W66" s="5">
        <v>0.23</v>
      </c>
      <c r="X66" s="5" t="s">
        <v>81</v>
      </c>
      <c r="Y66" s="5" t="s">
        <v>79</v>
      </c>
      <c r="Z66" s="5" t="s">
        <v>73</v>
      </c>
      <c r="AA66" s="5" t="s">
        <v>15</v>
      </c>
      <c r="AB66" s="5" t="s">
        <v>80</v>
      </c>
      <c r="AC66" s="5">
        <f t="shared" si="27"/>
        <v>0.25</v>
      </c>
      <c r="AD66" s="5">
        <v>30.5</v>
      </c>
      <c r="AE66" s="5">
        <v>41</v>
      </c>
      <c r="AF66" s="5">
        <v>17</v>
      </c>
      <c r="AG66" s="5">
        <v>7.75</v>
      </c>
      <c r="AH66" s="5">
        <v>3.5</v>
      </c>
      <c r="AI66" s="5">
        <v>8.7370000000000001</v>
      </c>
      <c r="AJ66" s="5" t="s">
        <v>15</v>
      </c>
      <c r="AK66" s="5">
        <v>2.57</v>
      </c>
      <c r="AL66" s="5" t="s">
        <v>15</v>
      </c>
      <c r="AM66" s="5">
        <f t="shared" si="20"/>
        <v>118.31519177859595</v>
      </c>
      <c r="AN66" s="5">
        <v>95.1</v>
      </c>
      <c r="AO66" s="6" t="s">
        <v>72</v>
      </c>
      <c r="AP66" s="6" t="s">
        <v>83</v>
      </c>
    </row>
    <row r="67" spans="1:42" x14ac:dyDescent="0.3">
      <c r="A67" s="6">
        <v>64</v>
      </c>
      <c r="B67" s="3" t="s">
        <v>85</v>
      </c>
      <c r="C67" s="3" t="s">
        <v>87</v>
      </c>
      <c r="D67" s="3">
        <f>(2+5)/2</f>
        <v>3.5</v>
      </c>
      <c r="E67" s="5">
        <v>11.5</v>
      </c>
      <c r="F67" s="5">
        <f>(25.9+28.7)/2*(100/(100-K67))</f>
        <v>48.75</v>
      </c>
      <c r="G67" s="5">
        <f>4.8*(100/(100-K67))</f>
        <v>8.5714285714285712</v>
      </c>
      <c r="H67" s="5">
        <f>(4.5+3.7)/2*(100/(100-K67))</f>
        <v>7.3214285714285712</v>
      </c>
      <c r="I67" s="5">
        <f>0.9*(100/(100-K67))</f>
        <v>1.6071428571428572</v>
      </c>
      <c r="J67" s="5">
        <f>100-I67-H67-G67-F67</f>
        <v>33.75</v>
      </c>
      <c r="K67" s="5">
        <f>(46.7+41.3)/2</f>
        <v>44</v>
      </c>
      <c r="L67" s="5">
        <f>(6.4+7.5)/2</f>
        <v>6.95</v>
      </c>
      <c r="M67" s="5">
        <f>(58.7+53.3)/2</f>
        <v>56</v>
      </c>
      <c r="N67" s="5" t="s">
        <v>15</v>
      </c>
      <c r="O67" s="5" t="s">
        <v>15</v>
      </c>
      <c r="P67" s="5" t="s">
        <v>15</v>
      </c>
      <c r="Q67" s="5" t="s">
        <v>15</v>
      </c>
      <c r="R67" s="5">
        <v>750</v>
      </c>
      <c r="S67" s="5" t="s">
        <v>39</v>
      </c>
      <c r="T67" s="5" t="s">
        <v>15</v>
      </c>
      <c r="U67" s="5">
        <v>80</v>
      </c>
      <c r="V67" s="5" t="s">
        <v>15</v>
      </c>
      <c r="W67" s="5">
        <v>0.2</v>
      </c>
      <c r="X67" s="5" t="s">
        <v>33</v>
      </c>
      <c r="Y67" s="5" t="s">
        <v>34</v>
      </c>
      <c r="Z67" s="5" t="s">
        <v>73</v>
      </c>
      <c r="AA67" s="5" t="s">
        <v>15</v>
      </c>
      <c r="AB67" s="5" t="s">
        <v>86</v>
      </c>
      <c r="AC67" s="5">
        <v>60.9</v>
      </c>
      <c r="AD67" s="5">
        <v>9.8000000000000007</v>
      </c>
      <c r="AE67" s="5">
        <v>7.2</v>
      </c>
      <c r="AF67" s="5">
        <v>14.2</v>
      </c>
      <c r="AG67" s="5">
        <v>3.7</v>
      </c>
      <c r="AH67" s="5">
        <v>2.6</v>
      </c>
      <c r="AI67" s="5">
        <v>3.4</v>
      </c>
      <c r="AJ67" s="5">
        <v>17.3</v>
      </c>
      <c r="AK67" s="5">
        <v>0.96805000000000008</v>
      </c>
      <c r="AL67" s="5">
        <v>44.479350000000004</v>
      </c>
      <c r="AM67" s="5">
        <f t="shared" si="20"/>
        <v>28.620608695652173</v>
      </c>
      <c r="AN67" s="5">
        <v>54</v>
      </c>
      <c r="AO67" s="8" t="s">
        <v>84</v>
      </c>
      <c r="AP67" s="6" t="s">
        <v>89</v>
      </c>
    </row>
    <row r="68" spans="1:42" x14ac:dyDescent="0.3">
      <c r="A68" s="6">
        <v>65</v>
      </c>
      <c r="B68" s="3" t="s">
        <v>85</v>
      </c>
      <c r="C68" s="3" t="s">
        <v>87</v>
      </c>
      <c r="D68" s="3">
        <f t="shared" ref="D68:D89" si="28">(2+5)/2</f>
        <v>3.5</v>
      </c>
      <c r="E68" s="5">
        <v>11.5</v>
      </c>
      <c r="F68" s="5">
        <f t="shared" ref="F68:F89" si="29">(25.9+28.7)/2*(100/(100-K68))</f>
        <v>48.75</v>
      </c>
      <c r="G68" s="5">
        <f t="shared" ref="G68:G89" si="30">4.8*(100/(100-K68))</f>
        <v>8.5714285714285712</v>
      </c>
      <c r="H68" s="5">
        <f t="shared" ref="H68:H89" si="31">(4.5+3.7)/2*(100/(100-K68))</f>
        <v>7.3214285714285712</v>
      </c>
      <c r="I68" s="5">
        <f t="shared" ref="I68:I89" si="32">0.9*(100/(100-K68))</f>
        <v>1.6071428571428572</v>
      </c>
      <c r="J68" s="5">
        <f t="shared" ref="J68:J89" si="33">100-I68-H68-G68-F68</f>
        <v>33.75</v>
      </c>
      <c r="K68" s="5">
        <f t="shared" ref="K68:K89" si="34">(46.7+41.3)/2</f>
        <v>44</v>
      </c>
      <c r="L68" s="5">
        <f t="shared" ref="L68:L89" si="35">(6.4+7.5)/2</f>
        <v>6.95</v>
      </c>
      <c r="M68" s="5">
        <f t="shared" ref="M68:M89" si="36">(58.7+53.3)/2</f>
        <v>56</v>
      </c>
      <c r="N68" s="5" t="s">
        <v>15</v>
      </c>
      <c r="O68" s="5" t="s">
        <v>15</v>
      </c>
      <c r="P68" s="5" t="s">
        <v>15</v>
      </c>
      <c r="Q68" s="5" t="s">
        <v>15</v>
      </c>
      <c r="R68" s="5">
        <v>800</v>
      </c>
      <c r="S68" s="5" t="s">
        <v>39</v>
      </c>
      <c r="T68" s="5" t="s">
        <v>15</v>
      </c>
      <c r="U68" s="5">
        <v>80</v>
      </c>
      <c r="V68" s="5" t="s">
        <v>15</v>
      </c>
      <c r="W68" s="5">
        <v>0.2</v>
      </c>
      <c r="X68" s="5" t="s">
        <v>33</v>
      </c>
      <c r="Y68" s="5" t="s">
        <v>34</v>
      </c>
      <c r="Z68" s="5" t="s">
        <v>73</v>
      </c>
      <c r="AA68" s="5" t="s">
        <v>15</v>
      </c>
      <c r="AB68" s="5" t="s">
        <v>86</v>
      </c>
      <c r="AC68" s="5">
        <v>52.2</v>
      </c>
      <c r="AD68" s="5">
        <v>14</v>
      </c>
      <c r="AE68" s="5">
        <v>10.7</v>
      </c>
      <c r="AF68" s="5">
        <v>13.6</v>
      </c>
      <c r="AG68" s="5">
        <v>4.9000000000000004</v>
      </c>
      <c r="AH68" s="5">
        <v>3.2</v>
      </c>
      <c r="AI68" s="5">
        <v>4.8</v>
      </c>
      <c r="AJ68" s="5">
        <v>14.1</v>
      </c>
      <c r="AK68" s="5">
        <v>1.0190000000000001</v>
      </c>
      <c r="AL68" s="5">
        <v>35.563100000000006</v>
      </c>
      <c r="AM68" s="5">
        <f t="shared" si="20"/>
        <v>42.532173913043486</v>
      </c>
      <c r="AN68" s="5">
        <v>67.3</v>
      </c>
      <c r="AO68" s="8" t="s">
        <v>84</v>
      </c>
      <c r="AP68" s="6" t="s">
        <v>89</v>
      </c>
    </row>
    <row r="69" spans="1:42" x14ac:dyDescent="0.3">
      <c r="A69" s="6">
        <v>66</v>
      </c>
      <c r="B69" s="3" t="s">
        <v>85</v>
      </c>
      <c r="C69" s="3" t="s">
        <v>87</v>
      </c>
      <c r="D69" s="3">
        <f t="shared" si="28"/>
        <v>3.5</v>
      </c>
      <c r="E69" s="5">
        <v>11.5</v>
      </c>
      <c r="F69" s="5">
        <f t="shared" si="29"/>
        <v>48.75</v>
      </c>
      <c r="G69" s="5">
        <f t="shared" si="30"/>
        <v>8.5714285714285712</v>
      </c>
      <c r="H69" s="5">
        <f t="shared" si="31"/>
        <v>7.3214285714285712</v>
      </c>
      <c r="I69" s="5">
        <f t="shared" si="32"/>
        <v>1.6071428571428572</v>
      </c>
      <c r="J69" s="5">
        <f t="shared" si="33"/>
        <v>33.75</v>
      </c>
      <c r="K69" s="5">
        <f t="shared" si="34"/>
        <v>44</v>
      </c>
      <c r="L69" s="5">
        <f t="shared" si="35"/>
        <v>6.95</v>
      </c>
      <c r="M69" s="5">
        <f t="shared" si="36"/>
        <v>56</v>
      </c>
      <c r="N69" s="5" t="s">
        <v>15</v>
      </c>
      <c r="O69" s="5" t="s">
        <v>15</v>
      </c>
      <c r="P69" s="5" t="s">
        <v>15</v>
      </c>
      <c r="Q69" s="5" t="s">
        <v>15</v>
      </c>
      <c r="R69" s="5">
        <v>850</v>
      </c>
      <c r="S69" s="5" t="s">
        <v>39</v>
      </c>
      <c r="T69" s="5" t="s">
        <v>15</v>
      </c>
      <c r="U69" s="5">
        <v>80</v>
      </c>
      <c r="V69" s="5" t="s">
        <v>15</v>
      </c>
      <c r="W69" s="5">
        <v>0.2</v>
      </c>
      <c r="X69" s="5" t="s">
        <v>33</v>
      </c>
      <c r="Y69" s="5" t="s">
        <v>34</v>
      </c>
      <c r="Z69" s="5" t="s">
        <v>73</v>
      </c>
      <c r="AA69" s="5" t="s">
        <v>15</v>
      </c>
      <c r="AB69" s="5" t="s">
        <v>86</v>
      </c>
      <c r="AC69" s="5">
        <v>47.7</v>
      </c>
      <c r="AD69" s="5">
        <v>16.399999999999999</v>
      </c>
      <c r="AE69" s="5">
        <v>12.6</v>
      </c>
      <c r="AF69" s="5">
        <v>13</v>
      </c>
      <c r="AG69" s="5">
        <v>5.7</v>
      </c>
      <c r="AH69" s="5">
        <v>3.3</v>
      </c>
      <c r="AI69" s="5">
        <v>5.6</v>
      </c>
      <c r="AJ69" s="5">
        <v>10.199999999999999</v>
      </c>
      <c r="AK69" s="5">
        <v>1.0190000000000001</v>
      </c>
      <c r="AL69" s="5">
        <v>36.225450000000002</v>
      </c>
      <c r="AM69" s="5">
        <f t="shared" si="20"/>
        <v>49.62086956521739</v>
      </c>
      <c r="AN69" s="5">
        <v>72.8</v>
      </c>
      <c r="AO69" s="8" t="s">
        <v>84</v>
      </c>
      <c r="AP69" s="6" t="s">
        <v>89</v>
      </c>
    </row>
    <row r="70" spans="1:42" x14ac:dyDescent="0.3">
      <c r="A70" s="6">
        <v>67</v>
      </c>
      <c r="B70" s="3" t="s">
        <v>85</v>
      </c>
      <c r="C70" s="3" t="s">
        <v>87</v>
      </c>
      <c r="D70" s="3">
        <f t="shared" si="28"/>
        <v>3.5</v>
      </c>
      <c r="E70" s="5">
        <v>11.5</v>
      </c>
      <c r="F70" s="5">
        <f t="shared" si="29"/>
        <v>48.75</v>
      </c>
      <c r="G70" s="5">
        <f t="shared" si="30"/>
        <v>8.5714285714285712</v>
      </c>
      <c r="H70" s="5">
        <f t="shared" si="31"/>
        <v>7.3214285714285712</v>
      </c>
      <c r="I70" s="5">
        <f t="shared" si="32"/>
        <v>1.6071428571428572</v>
      </c>
      <c r="J70" s="5">
        <f t="shared" si="33"/>
        <v>33.75</v>
      </c>
      <c r="K70" s="5">
        <f t="shared" si="34"/>
        <v>44</v>
      </c>
      <c r="L70" s="5">
        <f t="shared" si="35"/>
        <v>6.95</v>
      </c>
      <c r="M70" s="5">
        <f t="shared" si="36"/>
        <v>56</v>
      </c>
      <c r="N70" s="5" t="s">
        <v>15</v>
      </c>
      <c r="O70" s="5" t="s">
        <v>15</v>
      </c>
      <c r="P70" s="5" t="s">
        <v>15</v>
      </c>
      <c r="Q70" s="5" t="s">
        <v>15</v>
      </c>
      <c r="R70" s="5">
        <v>750</v>
      </c>
      <c r="S70" s="5" t="s">
        <v>39</v>
      </c>
      <c r="T70" s="5" t="s">
        <v>15</v>
      </c>
      <c r="U70" s="5">
        <v>80</v>
      </c>
      <c r="V70" s="5" t="s">
        <v>15</v>
      </c>
      <c r="W70" s="5">
        <v>0.3</v>
      </c>
      <c r="X70" s="5" t="s">
        <v>33</v>
      </c>
      <c r="Y70" s="5" t="s">
        <v>34</v>
      </c>
      <c r="Z70" s="5" t="s">
        <v>73</v>
      </c>
      <c r="AA70" s="5" t="s">
        <v>15</v>
      </c>
      <c r="AB70" s="5" t="s">
        <v>86</v>
      </c>
      <c r="AC70" s="5">
        <v>65.099999999999994</v>
      </c>
      <c r="AD70" s="5">
        <v>7.6</v>
      </c>
      <c r="AE70" s="5">
        <v>6.9</v>
      </c>
      <c r="AF70" s="5">
        <v>14.1</v>
      </c>
      <c r="AG70" s="5">
        <v>2.7</v>
      </c>
      <c r="AH70" s="5">
        <v>2.1</v>
      </c>
      <c r="AI70" s="5">
        <v>2.8</v>
      </c>
      <c r="AJ70" s="5">
        <v>11.8</v>
      </c>
      <c r="AK70" s="5">
        <v>1.2737500000000002</v>
      </c>
      <c r="AL70" s="5">
        <v>44.988850000000006</v>
      </c>
      <c r="AM70" s="5">
        <f t="shared" si="20"/>
        <v>31.013043478260869</v>
      </c>
      <c r="AN70" s="5">
        <v>66.2</v>
      </c>
      <c r="AO70" s="8" t="s">
        <v>84</v>
      </c>
      <c r="AP70" s="6" t="s">
        <v>89</v>
      </c>
    </row>
    <row r="71" spans="1:42" x14ac:dyDescent="0.3">
      <c r="A71" s="6">
        <v>68</v>
      </c>
      <c r="B71" s="3" t="s">
        <v>85</v>
      </c>
      <c r="C71" s="3" t="s">
        <v>87</v>
      </c>
      <c r="D71" s="3">
        <f t="shared" si="28"/>
        <v>3.5</v>
      </c>
      <c r="E71" s="5">
        <v>11.5</v>
      </c>
      <c r="F71" s="5">
        <f t="shared" si="29"/>
        <v>48.75</v>
      </c>
      <c r="G71" s="5">
        <f t="shared" si="30"/>
        <v>8.5714285714285712</v>
      </c>
      <c r="H71" s="5">
        <f t="shared" si="31"/>
        <v>7.3214285714285712</v>
      </c>
      <c r="I71" s="5">
        <f t="shared" si="32"/>
        <v>1.6071428571428572</v>
      </c>
      <c r="J71" s="5">
        <f t="shared" si="33"/>
        <v>33.75</v>
      </c>
      <c r="K71" s="5">
        <f t="shared" si="34"/>
        <v>44</v>
      </c>
      <c r="L71" s="5">
        <f t="shared" si="35"/>
        <v>6.95</v>
      </c>
      <c r="M71" s="5">
        <f t="shared" si="36"/>
        <v>56</v>
      </c>
      <c r="N71" s="5" t="s">
        <v>15</v>
      </c>
      <c r="O71" s="5" t="s">
        <v>15</v>
      </c>
      <c r="P71" s="5" t="s">
        <v>15</v>
      </c>
      <c r="Q71" s="5" t="s">
        <v>15</v>
      </c>
      <c r="R71" s="5">
        <v>800</v>
      </c>
      <c r="S71" s="5" t="s">
        <v>39</v>
      </c>
      <c r="T71" s="5" t="s">
        <v>15</v>
      </c>
      <c r="U71" s="5">
        <v>80</v>
      </c>
      <c r="V71" s="5" t="s">
        <v>15</v>
      </c>
      <c r="W71" s="5">
        <v>0.3</v>
      </c>
      <c r="X71" s="5" t="s">
        <v>33</v>
      </c>
      <c r="Y71" s="5" t="s">
        <v>34</v>
      </c>
      <c r="Z71" s="5" t="s">
        <v>73</v>
      </c>
      <c r="AA71" s="5" t="s">
        <v>15</v>
      </c>
      <c r="AB71" s="5" t="s">
        <v>86</v>
      </c>
      <c r="AC71" s="5">
        <v>60.8</v>
      </c>
      <c r="AD71" s="5">
        <v>10.4</v>
      </c>
      <c r="AE71" s="5">
        <v>8</v>
      </c>
      <c r="AF71" s="5">
        <v>14.1</v>
      </c>
      <c r="AG71" s="5">
        <v>3</v>
      </c>
      <c r="AH71" s="5">
        <v>2.2000000000000002</v>
      </c>
      <c r="AI71" s="5">
        <v>3.3</v>
      </c>
      <c r="AJ71" s="5">
        <v>7.6</v>
      </c>
      <c r="AK71" s="5">
        <v>1.2737500000000002</v>
      </c>
      <c r="AL71" s="5">
        <v>28.532000000000004</v>
      </c>
      <c r="AM71" s="5">
        <f t="shared" si="20"/>
        <v>36.551086956521743</v>
      </c>
      <c r="AN71" s="5">
        <v>71.3</v>
      </c>
      <c r="AO71" s="8" t="s">
        <v>84</v>
      </c>
      <c r="AP71" s="6" t="s">
        <v>89</v>
      </c>
    </row>
    <row r="72" spans="1:42" x14ac:dyDescent="0.3">
      <c r="A72" s="6">
        <v>69</v>
      </c>
      <c r="B72" s="3" t="s">
        <v>85</v>
      </c>
      <c r="C72" s="3" t="s">
        <v>87</v>
      </c>
      <c r="D72" s="3">
        <f t="shared" si="28"/>
        <v>3.5</v>
      </c>
      <c r="E72" s="5">
        <v>11.5</v>
      </c>
      <c r="F72" s="5">
        <f t="shared" si="29"/>
        <v>48.75</v>
      </c>
      <c r="G72" s="5">
        <f t="shared" si="30"/>
        <v>8.5714285714285712</v>
      </c>
      <c r="H72" s="5">
        <f t="shared" si="31"/>
        <v>7.3214285714285712</v>
      </c>
      <c r="I72" s="5">
        <f t="shared" si="32"/>
        <v>1.6071428571428572</v>
      </c>
      <c r="J72" s="5">
        <f t="shared" si="33"/>
        <v>33.75</v>
      </c>
      <c r="K72" s="5">
        <f t="shared" si="34"/>
        <v>44</v>
      </c>
      <c r="L72" s="5">
        <f t="shared" si="35"/>
        <v>6.95</v>
      </c>
      <c r="M72" s="5">
        <f t="shared" si="36"/>
        <v>56</v>
      </c>
      <c r="N72" s="5" t="s">
        <v>15</v>
      </c>
      <c r="O72" s="5" t="s">
        <v>15</v>
      </c>
      <c r="P72" s="5" t="s">
        <v>15</v>
      </c>
      <c r="Q72" s="5" t="s">
        <v>15</v>
      </c>
      <c r="R72" s="5">
        <v>850</v>
      </c>
      <c r="S72" s="5" t="s">
        <v>39</v>
      </c>
      <c r="T72" s="5" t="s">
        <v>15</v>
      </c>
      <c r="U72" s="5">
        <v>80</v>
      </c>
      <c r="V72" s="5" t="s">
        <v>15</v>
      </c>
      <c r="W72" s="5">
        <v>0.3</v>
      </c>
      <c r="X72" s="5" t="s">
        <v>33</v>
      </c>
      <c r="Y72" s="5" t="s">
        <v>34</v>
      </c>
      <c r="Z72" s="5" t="s">
        <v>73</v>
      </c>
      <c r="AA72" s="5" t="s">
        <v>15</v>
      </c>
      <c r="AB72" s="5" t="s">
        <v>86</v>
      </c>
      <c r="AC72" s="5">
        <v>57.7</v>
      </c>
      <c r="AD72" s="5">
        <v>12.1</v>
      </c>
      <c r="AE72" s="5">
        <v>10.1</v>
      </c>
      <c r="AF72" s="5">
        <v>13.1</v>
      </c>
      <c r="AG72" s="5">
        <v>3.3</v>
      </c>
      <c r="AH72" s="5">
        <v>2.4</v>
      </c>
      <c r="AI72" s="5">
        <v>3.9</v>
      </c>
      <c r="AJ72" s="5">
        <v>4.3</v>
      </c>
      <c r="AK72" s="5">
        <v>1.3247000000000002</v>
      </c>
      <c r="AL72" s="5">
        <v>19.055300000000003</v>
      </c>
      <c r="AM72" s="5">
        <f t="shared" si="20"/>
        <v>44.924608695652175</v>
      </c>
      <c r="AN72" s="5">
        <v>77.900000000000006</v>
      </c>
      <c r="AO72" s="8" t="s">
        <v>84</v>
      </c>
      <c r="AP72" s="6" t="s">
        <v>89</v>
      </c>
    </row>
    <row r="73" spans="1:42" x14ac:dyDescent="0.3">
      <c r="A73" s="6">
        <v>70</v>
      </c>
      <c r="B73" s="3" t="s">
        <v>85</v>
      </c>
      <c r="C73" s="3" t="s">
        <v>87</v>
      </c>
      <c r="D73" s="3">
        <f t="shared" si="28"/>
        <v>3.5</v>
      </c>
      <c r="E73" s="5">
        <v>11.5</v>
      </c>
      <c r="F73" s="5">
        <f t="shared" si="29"/>
        <v>48.75</v>
      </c>
      <c r="G73" s="5">
        <f t="shared" si="30"/>
        <v>8.5714285714285712</v>
      </c>
      <c r="H73" s="5">
        <f t="shared" si="31"/>
        <v>7.3214285714285712</v>
      </c>
      <c r="I73" s="5">
        <f t="shared" si="32"/>
        <v>1.6071428571428572</v>
      </c>
      <c r="J73" s="5">
        <f t="shared" si="33"/>
        <v>33.75</v>
      </c>
      <c r="K73" s="5">
        <f t="shared" si="34"/>
        <v>44</v>
      </c>
      <c r="L73" s="5">
        <f t="shared" si="35"/>
        <v>6.95</v>
      </c>
      <c r="M73" s="5">
        <f t="shared" si="36"/>
        <v>56</v>
      </c>
      <c r="N73" s="5" t="s">
        <v>15</v>
      </c>
      <c r="O73" s="5" t="s">
        <v>15</v>
      </c>
      <c r="P73" s="5" t="s">
        <v>15</v>
      </c>
      <c r="Q73" s="5" t="s">
        <v>15</v>
      </c>
      <c r="R73" s="5">
        <v>750</v>
      </c>
      <c r="S73" s="5" t="s">
        <v>39</v>
      </c>
      <c r="T73" s="5" t="s">
        <v>15</v>
      </c>
      <c r="U73" s="5">
        <v>80</v>
      </c>
      <c r="V73" s="5" t="s">
        <v>15</v>
      </c>
      <c r="W73" s="5">
        <v>0.4</v>
      </c>
      <c r="X73" s="5" t="s">
        <v>33</v>
      </c>
      <c r="Y73" s="5" t="s">
        <v>34</v>
      </c>
      <c r="Z73" s="5" t="s">
        <v>73</v>
      </c>
      <c r="AA73" s="5" t="s">
        <v>15</v>
      </c>
      <c r="AB73" s="5" t="s">
        <v>86</v>
      </c>
      <c r="AC73" s="5">
        <v>74.900000000000006</v>
      </c>
      <c r="AD73" s="5">
        <v>3.2</v>
      </c>
      <c r="AE73" s="5">
        <v>4.3</v>
      </c>
      <c r="AF73" s="5">
        <v>14.1</v>
      </c>
      <c r="AG73" s="5">
        <v>1</v>
      </c>
      <c r="AH73" s="5">
        <v>0.8</v>
      </c>
      <c r="AI73" s="5">
        <v>1.3</v>
      </c>
      <c r="AJ73" s="5">
        <v>6.6</v>
      </c>
      <c r="AK73" s="5">
        <v>1.4775500000000001</v>
      </c>
      <c r="AL73" s="5">
        <v>23.131300000000003</v>
      </c>
      <c r="AM73" s="5">
        <f t="shared" si="20"/>
        <v>16.702739130434782</v>
      </c>
      <c r="AN73" s="5">
        <v>61.6</v>
      </c>
      <c r="AO73" s="8" t="s">
        <v>84</v>
      </c>
      <c r="AP73" s="6" t="s">
        <v>89</v>
      </c>
    </row>
    <row r="74" spans="1:42" x14ac:dyDescent="0.3">
      <c r="A74" s="6">
        <v>71</v>
      </c>
      <c r="B74" s="3" t="s">
        <v>85</v>
      </c>
      <c r="C74" s="3" t="s">
        <v>87</v>
      </c>
      <c r="D74" s="3">
        <f t="shared" si="28"/>
        <v>3.5</v>
      </c>
      <c r="E74" s="5">
        <v>11.5</v>
      </c>
      <c r="F74" s="5">
        <f t="shared" si="29"/>
        <v>48.75</v>
      </c>
      <c r="G74" s="5">
        <f t="shared" si="30"/>
        <v>8.5714285714285712</v>
      </c>
      <c r="H74" s="5">
        <f t="shared" si="31"/>
        <v>7.3214285714285712</v>
      </c>
      <c r="I74" s="5">
        <f t="shared" si="32"/>
        <v>1.6071428571428572</v>
      </c>
      <c r="J74" s="5">
        <f t="shared" si="33"/>
        <v>33.75</v>
      </c>
      <c r="K74" s="5">
        <f t="shared" si="34"/>
        <v>44</v>
      </c>
      <c r="L74" s="5">
        <f t="shared" si="35"/>
        <v>6.95</v>
      </c>
      <c r="M74" s="5">
        <f t="shared" si="36"/>
        <v>56</v>
      </c>
      <c r="N74" s="5" t="s">
        <v>15</v>
      </c>
      <c r="O74" s="5" t="s">
        <v>15</v>
      </c>
      <c r="P74" s="5" t="s">
        <v>15</v>
      </c>
      <c r="Q74" s="5" t="s">
        <v>15</v>
      </c>
      <c r="R74" s="5">
        <v>800</v>
      </c>
      <c r="S74" s="5" t="s">
        <v>39</v>
      </c>
      <c r="T74" s="5" t="s">
        <v>15</v>
      </c>
      <c r="U74" s="5">
        <v>80</v>
      </c>
      <c r="V74" s="5" t="s">
        <v>15</v>
      </c>
      <c r="W74" s="5">
        <v>0.4</v>
      </c>
      <c r="X74" s="5" t="s">
        <v>33</v>
      </c>
      <c r="Y74" s="5" t="s">
        <v>34</v>
      </c>
      <c r="Z74" s="5" t="s">
        <v>73</v>
      </c>
      <c r="AA74" s="5" t="s">
        <v>15</v>
      </c>
      <c r="AB74" s="5" t="s">
        <v>86</v>
      </c>
      <c r="AC74" s="5">
        <v>65.3</v>
      </c>
      <c r="AD74" s="5">
        <v>8.5</v>
      </c>
      <c r="AE74" s="5">
        <v>6.9</v>
      </c>
      <c r="AF74" s="5">
        <v>13.8</v>
      </c>
      <c r="AG74" s="5">
        <v>2.4</v>
      </c>
      <c r="AH74" s="5">
        <v>1.5</v>
      </c>
      <c r="AI74" s="5">
        <v>2.7</v>
      </c>
      <c r="AJ74" s="5">
        <v>4.8</v>
      </c>
      <c r="AK74" s="5">
        <v>1.5794500000000002</v>
      </c>
      <c r="AL74" s="5">
        <v>19.666700000000002</v>
      </c>
      <c r="AM74" s="5">
        <f t="shared" si="20"/>
        <v>37.082739130434796</v>
      </c>
      <c r="AN74" s="5">
        <v>79.5</v>
      </c>
      <c r="AO74" s="8" t="s">
        <v>84</v>
      </c>
      <c r="AP74" s="6" t="s">
        <v>89</v>
      </c>
    </row>
    <row r="75" spans="1:42" x14ac:dyDescent="0.3">
      <c r="A75" s="6">
        <v>72</v>
      </c>
      <c r="B75" s="3" t="s">
        <v>85</v>
      </c>
      <c r="C75" s="3" t="s">
        <v>87</v>
      </c>
      <c r="D75" s="3">
        <f t="shared" si="28"/>
        <v>3.5</v>
      </c>
      <c r="E75" s="5">
        <v>11.5</v>
      </c>
      <c r="F75" s="5">
        <f t="shared" si="29"/>
        <v>48.75</v>
      </c>
      <c r="G75" s="5">
        <f t="shared" si="30"/>
        <v>8.5714285714285712</v>
      </c>
      <c r="H75" s="5">
        <f t="shared" si="31"/>
        <v>7.3214285714285712</v>
      </c>
      <c r="I75" s="5">
        <f t="shared" si="32"/>
        <v>1.6071428571428572</v>
      </c>
      <c r="J75" s="5">
        <f t="shared" si="33"/>
        <v>33.75</v>
      </c>
      <c r="K75" s="5">
        <f t="shared" si="34"/>
        <v>44</v>
      </c>
      <c r="L75" s="5">
        <f t="shared" si="35"/>
        <v>6.95</v>
      </c>
      <c r="M75" s="5">
        <f t="shared" si="36"/>
        <v>56</v>
      </c>
      <c r="N75" s="5" t="s">
        <v>15</v>
      </c>
      <c r="O75" s="5" t="s">
        <v>15</v>
      </c>
      <c r="P75" s="5" t="s">
        <v>15</v>
      </c>
      <c r="Q75" s="5" t="s">
        <v>15</v>
      </c>
      <c r="R75" s="5">
        <v>850</v>
      </c>
      <c r="S75" s="5" t="s">
        <v>39</v>
      </c>
      <c r="T75" s="5" t="s">
        <v>15</v>
      </c>
      <c r="U75" s="5">
        <v>80</v>
      </c>
      <c r="V75" s="5" t="s">
        <v>15</v>
      </c>
      <c r="W75" s="5">
        <v>0.4</v>
      </c>
      <c r="X75" s="5" t="s">
        <v>33</v>
      </c>
      <c r="Y75" s="5" t="s">
        <v>34</v>
      </c>
      <c r="Z75" s="5" t="s">
        <v>73</v>
      </c>
      <c r="AA75" s="5" t="s">
        <v>15</v>
      </c>
      <c r="AB75" s="5" t="s">
        <v>86</v>
      </c>
      <c r="AC75" s="5">
        <v>63.3</v>
      </c>
      <c r="AD75" s="5">
        <v>9.6999999999999993</v>
      </c>
      <c r="AE75" s="5">
        <v>8.1999999999999993</v>
      </c>
      <c r="AF75" s="5">
        <v>13.9</v>
      </c>
      <c r="AG75" s="5">
        <v>2.1</v>
      </c>
      <c r="AH75" s="5">
        <v>1.4</v>
      </c>
      <c r="AI75" s="5">
        <v>2.9</v>
      </c>
      <c r="AJ75" s="5">
        <v>3</v>
      </c>
      <c r="AK75" s="5">
        <v>1.5794500000000002</v>
      </c>
      <c r="AL75" s="5">
        <v>6.5216000000000012</v>
      </c>
      <c r="AM75" s="5">
        <f t="shared" si="20"/>
        <v>39.829608695652176</v>
      </c>
      <c r="AN75" s="5">
        <v>89.1</v>
      </c>
      <c r="AO75" s="8" t="s">
        <v>84</v>
      </c>
      <c r="AP75" s="6" t="s">
        <v>89</v>
      </c>
    </row>
    <row r="76" spans="1:42" x14ac:dyDescent="0.3">
      <c r="A76" s="6">
        <v>73</v>
      </c>
      <c r="B76" s="3" t="s">
        <v>85</v>
      </c>
      <c r="C76" s="3" t="s">
        <v>87</v>
      </c>
      <c r="D76" s="3">
        <f t="shared" si="28"/>
        <v>3.5</v>
      </c>
      <c r="E76" s="5">
        <v>11.5</v>
      </c>
      <c r="F76" s="5">
        <f t="shared" si="29"/>
        <v>48.75</v>
      </c>
      <c r="G76" s="5">
        <f t="shared" si="30"/>
        <v>8.5714285714285712</v>
      </c>
      <c r="H76" s="5">
        <f t="shared" si="31"/>
        <v>7.3214285714285712</v>
      </c>
      <c r="I76" s="5">
        <f t="shared" si="32"/>
        <v>1.6071428571428572</v>
      </c>
      <c r="J76" s="5">
        <f t="shared" si="33"/>
        <v>33.75</v>
      </c>
      <c r="K76" s="5">
        <f t="shared" si="34"/>
        <v>44</v>
      </c>
      <c r="L76" s="5">
        <f t="shared" si="35"/>
        <v>6.95</v>
      </c>
      <c r="M76" s="5">
        <f t="shared" si="36"/>
        <v>56</v>
      </c>
      <c r="N76" s="5" t="s">
        <v>15</v>
      </c>
      <c r="O76" s="5" t="s">
        <v>15</v>
      </c>
      <c r="P76" s="5" t="s">
        <v>15</v>
      </c>
      <c r="Q76" s="5" t="s">
        <v>15</v>
      </c>
      <c r="R76" s="5">
        <v>750</v>
      </c>
      <c r="S76" s="5" t="s">
        <v>39</v>
      </c>
      <c r="T76" s="5" t="s">
        <v>15</v>
      </c>
      <c r="U76" s="5">
        <v>80</v>
      </c>
      <c r="V76" s="5">
        <v>0.5</v>
      </c>
      <c r="W76" s="5">
        <v>0.3</v>
      </c>
      <c r="X76" s="5" t="s">
        <v>81</v>
      </c>
      <c r="Y76" s="5" t="s">
        <v>34</v>
      </c>
      <c r="Z76" s="5" t="s">
        <v>73</v>
      </c>
      <c r="AA76" s="5" t="s">
        <v>15</v>
      </c>
      <c r="AB76" s="5" t="s">
        <v>86</v>
      </c>
      <c r="AC76" s="5">
        <v>60.8</v>
      </c>
      <c r="AD76" s="5">
        <v>9.9</v>
      </c>
      <c r="AE76" s="5">
        <v>7.7</v>
      </c>
      <c r="AF76" s="5">
        <v>14.8</v>
      </c>
      <c r="AG76" s="5">
        <v>2.8</v>
      </c>
      <c r="AH76" s="5">
        <v>1.9</v>
      </c>
      <c r="AI76" s="5">
        <v>3.2</v>
      </c>
      <c r="AJ76" s="5">
        <v>11.2</v>
      </c>
      <c r="AK76" s="5">
        <v>1.2228000000000001</v>
      </c>
      <c r="AL76" s="5">
        <v>18.953400000000006</v>
      </c>
      <c r="AM76" s="5">
        <f t="shared" si="20"/>
        <v>34.025739130434786</v>
      </c>
      <c r="AN76" s="5">
        <v>72.2</v>
      </c>
      <c r="AO76" s="8" t="s">
        <v>84</v>
      </c>
      <c r="AP76" s="6" t="s">
        <v>89</v>
      </c>
    </row>
    <row r="77" spans="1:42" x14ac:dyDescent="0.3">
      <c r="A77" s="6">
        <v>74</v>
      </c>
      <c r="B77" s="3" t="s">
        <v>85</v>
      </c>
      <c r="C77" s="3" t="s">
        <v>87</v>
      </c>
      <c r="D77" s="3">
        <f t="shared" si="28"/>
        <v>3.5</v>
      </c>
      <c r="E77" s="5">
        <v>11.5</v>
      </c>
      <c r="F77" s="5">
        <f t="shared" si="29"/>
        <v>48.75</v>
      </c>
      <c r="G77" s="5">
        <f t="shared" si="30"/>
        <v>8.5714285714285712</v>
      </c>
      <c r="H77" s="5">
        <f t="shared" si="31"/>
        <v>7.3214285714285712</v>
      </c>
      <c r="I77" s="5">
        <f t="shared" si="32"/>
        <v>1.6071428571428572</v>
      </c>
      <c r="J77" s="5">
        <f t="shared" si="33"/>
        <v>33.75</v>
      </c>
      <c r="K77" s="5">
        <f t="shared" si="34"/>
        <v>44</v>
      </c>
      <c r="L77" s="5">
        <f t="shared" si="35"/>
        <v>6.95</v>
      </c>
      <c r="M77" s="5">
        <f t="shared" si="36"/>
        <v>56</v>
      </c>
      <c r="N77" s="5" t="s">
        <v>15</v>
      </c>
      <c r="O77" s="5" t="s">
        <v>15</v>
      </c>
      <c r="P77" s="5" t="s">
        <v>15</v>
      </c>
      <c r="Q77" s="5" t="s">
        <v>15</v>
      </c>
      <c r="R77" s="5">
        <v>800</v>
      </c>
      <c r="S77" s="5" t="s">
        <v>39</v>
      </c>
      <c r="T77" s="5" t="s">
        <v>15</v>
      </c>
      <c r="U77" s="5">
        <v>80</v>
      </c>
      <c r="V77" s="5">
        <v>0.5</v>
      </c>
      <c r="W77" s="5">
        <v>0.3</v>
      </c>
      <c r="X77" s="5" t="s">
        <v>81</v>
      </c>
      <c r="Y77" s="5" t="s">
        <v>34</v>
      </c>
      <c r="Z77" s="5" t="s">
        <v>73</v>
      </c>
      <c r="AA77" s="5" t="s">
        <v>15</v>
      </c>
      <c r="AB77" s="5" t="s">
        <v>86</v>
      </c>
      <c r="AC77" s="5">
        <v>59.2</v>
      </c>
      <c r="AD77" s="5">
        <v>11</v>
      </c>
      <c r="AE77" s="5">
        <v>8.4</v>
      </c>
      <c r="AF77" s="5">
        <v>14.8</v>
      </c>
      <c r="AG77" s="5">
        <v>3.1</v>
      </c>
      <c r="AH77" s="5">
        <v>2</v>
      </c>
      <c r="AI77" s="5">
        <v>3.5</v>
      </c>
      <c r="AJ77" s="5">
        <v>7.2</v>
      </c>
      <c r="AK77" s="5">
        <v>1.3247000000000002</v>
      </c>
      <c r="AL77" s="5">
        <v>8.4067500000000006</v>
      </c>
      <c r="AM77" s="5">
        <f t="shared" si="20"/>
        <v>40.316956521739137</v>
      </c>
      <c r="AN77" s="5">
        <v>79.7</v>
      </c>
      <c r="AO77" s="8" t="s">
        <v>84</v>
      </c>
      <c r="AP77" s="6" t="s">
        <v>89</v>
      </c>
    </row>
    <row r="78" spans="1:42" x14ac:dyDescent="0.3">
      <c r="A78" s="6">
        <v>75</v>
      </c>
      <c r="B78" s="3" t="s">
        <v>85</v>
      </c>
      <c r="C78" s="3" t="s">
        <v>87</v>
      </c>
      <c r="D78" s="3">
        <f t="shared" si="28"/>
        <v>3.5</v>
      </c>
      <c r="E78" s="5">
        <v>11.5</v>
      </c>
      <c r="F78" s="5">
        <f t="shared" si="29"/>
        <v>48.75</v>
      </c>
      <c r="G78" s="5">
        <f t="shared" si="30"/>
        <v>8.5714285714285712</v>
      </c>
      <c r="H78" s="5">
        <f t="shared" si="31"/>
        <v>7.3214285714285712</v>
      </c>
      <c r="I78" s="5">
        <f t="shared" si="32"/>
        <v>1.6071428571428572</v>
      </c>
      <c r="J78" s="5">
        <f t="shared" si="33"/>
        <v>33.75</v>
      </c>
      <c r="K78" s="5">
        <f t="shared" si="34"/>
        <v>44</v>
      </c>
      <c r="L78" s="5">
        <f t="shared" si="35"/>
        <v>6.95</v>
      </c>
      <c r="M78" s="5">
        <f t="shared" si="36"/>
        <v>56</v>
      </c>
      <c r="N78" s="5" t="s">
        <v>15</v>
      </c>
      <c r="O78" s="5" t="s">
        <v>15</v>
      </c>
      <c r="P78" s="5" t="s">
        <v>15</v>
      </c>
      <c r="Q78" s="5" t="s">
        <v>15</v>
      </c>
      <c r="R78" s="5">
        <v>850</v>
      </c>
      <c r="S78" s="5" t="s">
        <v>39</v>
      </c>
      <c r="T78" s="5" t="s">
        <v>15</v>
      </c>
      <c r="U78" s="5">
        <v>80</v>
      </c>
      <c r="V78" s="5">
        <v>0.5</v>
      </c>
      <c r="W78" s="5">
        <v>0.3</v>
      </c>
      <c r="X78" s="5" t="s">
        <v>81</v>
      </c>
      <c r="Y78" s="5" t="s">
        <v>34</v>
      </c>
      <c r="Z78" s="5" t="s">
        <v>73</v>
      </c>
      <c r="AA78" s="5" t="s">
        <v>15</v>
      </c>
      <c r="AB78" s="5" t="s">
        <v>86</v>
      </c>
      <c r="AC78" s="5">
        <v>53.8</v>
      </c>
      <c r="AD78" s="5">
        <v>15.5</v>
      </c>
      <c r="AE78" s="5">
        <v>10.4</v>
      </c>
      <c r="AF78" s="5">
        <v>14.1</v>
      </c>
      <c r="AG78" s="5">
        <v>3.2</v>
      </c>
      <c r="AH78" s="5">
        <v>1.5</v>
      </c>
      <c r="AI78" s="5">
        <v>4.2</v>
      </c>
      <c r="AJ78" s="5">
        <v>4</v>
      </c>
      <c r="AK78" s="5">
        <v>1.4266000000000001</v>
      </c>
      <c r="AL78" s="5">
        <v>6.7254000000000005</v>
      </c>
      <c r="AM78" s="5">
        <f t="shared" si="20"/>
        <v>52.101913043478262</v>
      </c>
      <c r="AN78" s="5">
        <v>86.7</v>
      </c>
      <c r="AO78" s="8" t="s">
        <v>84</v>
      </c>
      <c r="AP78" s="6" t="s">
        <v>89</v>
      </c>
    </row>
    <row r="79" spans="1:42" x14ac:dyDescent="0.3">
      <c r="A79" s="6">
        <v>76</v>
      </c>
      <c r="B79" s="3" t="s">
        <v>85</v>
      </c>
      <c r="C79" s="3" t="s">
        <v>87</v>
      </c>
      <c r="D79" s="3">
        <f t="shared" si="28"/>
        <v>3.5</v>
      </c>
      <c r="E79" s="5">
        <v>11.5</v>
      </c>
      <c r="F79" s="5">
        <f t="shared" si="29"/>
        <v>48.75</v>
      </c>
      <c r="G79" s="5">
        <f t="shared" si="30"/>
        <v>8.5714285714285712</v>
      </c>
      <c r="H79" s="5">
        <f t="shared" si="31"/>
        <v>7.3214285714285712</v>
      </c>
      <c r="I79" s="5">
        <f t="shared" si="32"/>
        <v>1.6071428571428572</v>
      </c>
      <c r="J79" s="5">
        <f t="shared" si="33"/>
        <v>33.75</v>
      </c>
      <c r="K79" s="5">
        <f t="shared" si="34"/>
        <v>44</v>
      </c>
      <c r="L79" s="5">
        <f t="shared" si="35"/>
        <v>6.95</v>
      </c>
      <c r="M79" s="5">
        <f t="shared" si="36"/>
        <v>56</v>
      </c>
      <c r="N79" s="5" t="s">
        <v>15</v>
      </c>
      <c r="O79" s="5" t="s">
        <v>15</v>
      </c>
      <c r="P79" s="5" t="s">
        <v>15</v>
      </c>
      <c r="Q79" s="5" t="s">
        <v>15</v>
      </c>
      <c r="R79" s="5">
        <v>750</v>
      </c>
      <c r="S79" s="5" t="s">
        <v>39</v>
      </c>
      <c r="T79" s="5" t="s">
        <v>15</v>
      </c>
      <c r="U79" s="5">
        <v>80</v>
      </c>
      <c r="V79" s="5">
        <v>1</v>
      </c>
      <c r="W79" s="5">
        <v>0.3</v>
      </c>
      <c r="X79" s="5" t="s">
        <v>81</v>
      </c>
      <c r="Y79" s="5" t="s">
        <v>34</v>
      </c>
      <c r="Z79" s="5" t="s">
        <v>73</v>
      </c>
      <c r="AA79" s="5" t="s">
        <v>15</v>
      </c>
      <c r="AB79" s="5" t="s">
        <v>86</v>
      </c>
      <c r="AC79" s="5">
        <v>60.4</v>
      </c>
      <c r="AD79" s="5">
        <v>10</v>
      </c>
      <c r="AE79" s="5">
        <v>7.8</v>
      </c>
      <c r="AF79" s="5">
        <v>15.6</v>
      </c>
      <c r="AG79" s="5">
        <v>2.9</v>
      </c>
      <c r="AH79" s="5">
        <v>1.8</v>
      </c>
      <c r="AI79" s="5">
        <v>3.2</v>
      </c>
      <c r="AJ79" s="5">
        <v>10.9</v>
      </c>
      <c r="AK79" s="5">
        <v>1.2737500000000002</v>
      </c>
      <c r="AL79" s="5">
        <v>17.679650000000002</v>
      </c>
      <c r="AM79" s="5">
        <f t="shared" si="20"/>
        <v>35.443478260869568</v>
      </c>
      <c r="AN79" s="5">
        <v>74.7</v>
      </c>
      <c r="AO79" s="8" t="s">
        <v>84</v>
      </c>
      <c r="AP79" s="6" t="s">
        <v>89</v>
      </c>
    </row>
    <row r="80" spans="1:42" x14ac:dyDescent="0.3">
      <c r="A80" s="6">
        <v>77</v>
      </c>
      <c r="B80" s="3" t="s">
        <v>85</v>
      </c>
      <c r="C80" s="3" t="s">
        <v>87</v>
      </c>
      <c r="D80" s="3">
        <f t="shared" si="28"/>
        <v>3.5</v>
      </c>
      <c r="E80" s="5">
        <v>11.5</v>
      </c>
      <c r="F80" s="5">
        <f t="shared" si="29"/>
        <v>48.75</v>
      </c>
      <c r="G80" s="5">
        <f t="shared" si="30"/>
        <v>8.5714285714285712</v>
      </c>
      <c r="H80" s="5">
        <f t="shared" si="31"/>
        <v>7.3214285714285712</v>
      </c>
      <c r="I80" s="5">
        <f t="shared" si="32"/>
        <v>1.6071428571428572</v>
      </c>
      <c r="J80" s="5">
        <f t="shared" si="33"/>
        <v>33.75</v>
      </c>
      <c r="K80" s="5">
        <f t="shared" si="34"/>
        <v>44</v>
      </c>
      <c r="L80" s="5">
        <f t="shared" si="35"/>
        <v>6.95</v>
      </c>
      <c r="M80" s="5">
        <f t="shared" si="36"/>
        <v>56</v>
      </c>
      <c r="N80" s="5" t="s">
        <v>15</v>
      </c>
      <c r="O80" s="5" t="s">
        <v>15</v>
      </c>
      <c r="P80" s="5" t="s">
        <v>15</v>
      </c>
      <c r="Q80" s="5" t="s">
        <v>15</v>
      </c>
      <c r="R80" s="5">
        <v>800</v>
      </c>
      <c r="S80" s="5" t="s">
        <v>39</v>
      </c>
      <c r="T80" s="5" t="s">
        <v>15</v>
      </c>
      <c r="U80" s="5">
        <v>80</v>
      </c>
      <c r="V80" s="5">
        <v>1</v>
      </c>
      <c r="W80" s="5">
        <v>0.3</v>
      </c>
      <c r="X80" s="5" t="s">
        <v>81</v>
      </c>
      <c r="Y80" s="5" t="s">
        <v>34</v>
      </c>
      <c r="Z80" s="5" t="s">
        <v>73</v>
      </c>
      <c r="AA80" s="5" t="s">
        <v>15</v>
      </c>
      <c r="AB80" s="5" t="s">
        <v>86</v>
      </c>
      <c r="AC80" s="5">
        <v>58.5</v>
      </c>
      <c r="AD80" s="5">
        <v>12</v>
      </c>
      <c r="AE80" s="5">
        <v>8.6</v>
      </c>
      <c r="AF80" s="5">
        <v>15.2</v>
      </c>
      <c r="AG80" s="5">
        <v>2.7</v>
      </c>
      <c r="AH80" s="5">
        <v>1.6</v>
      </c>
      <c r="AI80" s="5">
        <v>3.5</v>
      </c>
      <c r="AJ80" s="5">
        <v>6.9</v>
      </c>
      <c r="AK80" s="5">
        <v>1.3247000000000002</v>
      </c>
      <c r="AL80" s="5">
        <v>7.5915500000000016</v>
      </c>
      <c r="AM80" s="5">
        <f t="shared" ref="AM80:AM105" si="37">100*(AI80*AK80)/E80</f>
        <v>40.316956521739137</v>
      </c>
      <c r="AN80" s="5">
        <v>79.8</v>
      </c>
      <c r="AO80" s="8" t="s">
        <v>84</v>
      </c>
      <c r="AP80" s="6" t="s">
        <v>89</v>
      </c>
    </row>
    <row r="81" spans="1:42" x14ac:dyDescent="0.3">
      <c r="A81" s="6">
        <v>78</v>
      </c>
      <c r="B81" s="3" t="s">
        <v>85</v>
      </c>
      <c r="C81" s="3" t="s">
        <v>87</v>
      </c>
      <c r="D81" s="3">
        <f t="shared" si="28"/>
        <v>3.5</v>
      </c>
      <c r="E81" s="5">
        <v>11.5</v>
      </c>
      <c r="F81" s="5">
        <f t="shared" si="29"/>
        <v>48.75</v>
      </c>
      <c r="G81" s="5">
        <f t="shared" si="30"/>
        <v>8.5714285714285712</v>
      </c>
      <c r="H81" s="5">
        <f t="shared" si="31"/>
        <v>7.3214285714285712</v>
      </c>
      <c r="I81" s="5">
        <f t="shared" si="32"/>
        <v>1.6071428571428572</v>
      </c>
      <c r="J81" s="5">
        <f t="shared" si="33"/>
        <v>33.75</v>
      </c>
      <c r="K81" s="5">
        <f t="shared" si="34"/>
        <v>44</v>
      </c>
      <c r="L81" s="5">
        <f t="shared" si="35"/>
        <v>6.95</v>
      </c>
      <c r="M81" s="5">
        <f t="shared" si="36"/>
        <v>56</v>
      </c>
      <c r="N81" s="5" t="s">
        <v>15</v>
      </c>
      <c r="O81" s="5" t="s">
        <v>15</v>
      </c>
      <c r="P81" s="5" t="s">
        <v>15</v>
      </c>
      <c r="Q81" s="5" t="s">
        <v>15</v>
      </c>
      <c r="R81" s="5">
        <v>850</v>
      </c>
      <c r="S81" s="5" t="s">
        <v>39</v>
      </c>
      <c r="T81" s="5" t="s">
        <v>15</v>
      </c>
      <c r="U81" s="5">
        <v>80</v>
      </c>
      <c r="V81" s="5">
        <v>1</v>
      </c>
      <c r="W81" s="5">
        <v>0.3</v>
      </c>
      <c r="X81" s="5" t="s">
        <v>81</v>
      </c>
      <c r="Y81" s="5" t="s">
        <v>34</v>
      </c>
      <c r="Z81" s="5" t="s">
        <v>73</v>
      </c>
      <c r="AA81" s="5" t="s">
        <v>15</v>
      </c>
      <c r="AB81" s="5" t="s">
        <v>86</v>
      </c>
      <c r="AC81" s="5">
        <v>53.1</v>
      </c>
      <c r="AD81" s="5">
        <v>16.100000000000001</v>
      </c>
      <c r="AE81" s="5">
        <v>10.1</v>
      </c>
      <c r="AF81" s="5">
        <v>14.7</v>
      </c>
      <c r="AG81" s="5">
        <v>3</v>
      </c>
      <c r="AH81" s="5">
        <v>1.5</v>
      </c>
      <c r="AI81" s="5">
        <v>4.2</v>
      </c>
      <c r="AJ81" s="5">
        <v>3.9</v>
      </c>
      <c r="AK81" s="5">
        <v>1.4266000000000001</v>
      </c>
      <c r="AL81" s="5">
        <v>7.5915500000000016</v>
      </c>
      <c r="AM81" s="5">
        <f t="shared" si="37"/>
        <v>52.101913043478262</v>
      </c>
      <c r="AN81" s="5">
        <v>87.6</v>
      </c>
      <c r="AO81" s="8" t="s">
        <v>84</v>
      </c>
      <c r="AP81" s="6" t="s">
        <v>89</v>
      </c>
    </row>
    <row r="82" spans="1:42" x14ac:dyDescent="0.3">
      <c r="A82" s="6">
        <v>79</v>
      </c>
      <c r="B82" s="3" t="s">
        <v>85</v>
      </c>
      <c r="C82" s="3" t="s">
        <v>87</v>
      </c>
      <c r="D82" s="3">
        <f t="shared" si="28"/>
        <v>3.5</v>
      </c>
      <c r="E82" s="5">
        <v>11.5</v>
      </c>
      <c r="F82" s="5">
        <f t="shared" si="29"/>
        <v>48.75</v>
      </c>
      <c r="G82" s="5">
        <f t="shared" si="30"/>
        <v>8.5714285714285712</v>
      </c>
      <c r="H82" s="5">
        <f t="shared" si="31"/>
        <v>7.3214285714285712</v>
      </c>
      <c r="I82" s="5">
        <f t="shared" si="32"/>
        <v>1.6071428571428572</v>
      </c>
      <c r="J82" s="5">
        <f t="shared" si="33"/>
        <v>33.75</v>
      </c>
      <c r="K82" s="5">
        <f t="shared" si="34"/>
        <v>44</v>
      </c>
      <c r="L82" s="5">
        <f t="shared" si="35"/>
        <v>6.95</v>
      </c>
      <c r="M82" s="5">
        <f t="shared" si="36"/>
        <v>56</v>
      </c>
      <c r="N82" s="5" t="s">
        <v>15</v>
      </c>
      <c r="O82" s="5" t="s">
        <v>15</v>
      </c>
      <c r="P82" s="5" t="s">
        <v>15</v>
      </c>
      <c r="Q82" s="5" t="s">
        <v>15</v>
      </c>
      <c r="R82" s="5">
        <v>750</v>
      </c>
      <c r="S82" s="5" t="s">
        <v>39</v>
      </c>
      <c r="T82" s="5" t="s">
        <v>15</v>
      </c>
      <c r="U82" s="5">
        <v>80</v>
      </c>
      <c r="V82" s="5" t="s">
        <v>15</v>
      </c>
      <c r="W82" s="5">
        <v>0.3</v>
      </c>
      <c r="X82" s="5" t="s">
        <v>33</v>
      </c>
      <c r="Y82" s="5" t="s">
        <v>34</v>
      </c>
      <c r="Z82" s="5" t="s">
        <v>73</v>
      </c>
      <c r="AA82" s="5" t="s">
        <v>152</v>
      </c>
      <c r="AB82" s="5" t="s">
        <v>86</v>
      </c>
      <c r="AC82" s="5">
        <v>64.900000000000006</v>
      </c>
      <c r="AD82" s="5">
        <v>8</v>
      </c>
      <c r="AE82" s="5">
        <v>7.6</v>
      </c>
      <c r="AF82" s="5">
        <v>14.2</v>
      </c>
      <c r="AG82" s="5">
        <v>2.2999999999999998</v>
      </c>
      <c r="AH82" s="5">
        <v>1.5</v>
      </c>
      <c r="AI82" s="5">
        <v>2.7</v>
      </c>
      <c r="AJ82" s="5">
        <v>7.4</v>
      </c>
      <c r="AK82" s="5">
        <v>1.2737500000000002</v>
      </c>
      <c r="AL82" s="5">
        <v>25.271200000000004</v>
      </c>
      <c r="AM82" s="5">
        <f t="shared" si="37"/>
        <v>29.905434782608701</v>
      </c>
      <c r="AN82" s="5">
        <v>68.400000000000006</v>
      </c>
      <c r="AO82" s="8" t="s">
        <v>84</v>
      </c>
      <c r="AP82" s="6" t="s">
        <v>89</v>
      </c>
    </row>
    <row r="83" spans="1:42" x14ac:dyDescent="0.3">
      <c r="A83" s="6">
        <v>80</v>
      </c>
      <c r="B83" s="3" t="s">
        <v>85</v>
      </c>
      <c r="C83" s="3" t="s">
        <v>87</v>
      </c>
      <c r="D83" s="3">
        <f t="shared" si="28"/>
        <v>3.5</v>
      </c>
      <c r="E83" s="5">
        <v>11.5</v>
      </c>
      <c r="F83" s="5">
        <f t="shared" si="29"/>
        <v>48.75</v>
      </c>
      <c r="G83" s="5">
        <f t="shared" si="30"/>
        <v>8.5714285714285712</v>
      </c>
      <c r="H83" s="5">
        <f t="shared" si="31"/>
        <v>7.3214285714285712</v>
      </c>
      <c r="I83" s="5">
        <f t="shared" si="32"/>
        <v>1.6071428571428572</v>
      </c>
      <c r="J83" s="5">
        <f t="shared" si="33"/>
        <v>33.75</v>
      </c>
      <c r="K83" s="5">
        <f t="shared" si="34"/>
        <v>44</v>
      </c>
      <c r="L83" s="5">
        <f t="shared" si="35"/>
        <v>6.95</v>
      </c>
      <c r="M83" s="5">
        <f t="shared" si="36"/>
        <v>56</v>
      </c>
      <c r="N83" s="5" t="s">
        <v>15</v>
      </c>
      <c r="O83" s="5" t="s">
        <v>15</v>
      </c>
      <c r="P83" s="5" t="s">
        <v>15</v>
      </c>
      <c r="Q83" s="5" t="s">
        <v>15</v>
      </c>
      <c r="R83" s="5">
        <v>800</v>
      </c>
      <c r="S83" s="5" t="s">
        <v>39</v>
      </c>
      <c r="T83" s="5" t="s">
        <v>15</v>
      </c>
      <c r="U83" s="5">
        <v>80</v>
      </c>
      <c r="V83" s="5" t="s">
        <v>15</v>
      </c>
      <c r="W83" s="5">
        <v>0.3</v>
      </c>
      <c r="X83" s="5" t="s">
        <v>33</v>
      </c>
      <c r="Y83" s="5" t="s">
        <v>34</v>
      </c>
      <c r="Z83" s="5" t="s">
        <v>73</v>
      </c>
      <c r="AA83" s="5" t="s">
        <v>152</v>
      </c>
      <c r="AB83" s="5" t="s">
        <v>86</v>
      </c>
      <c r="AC83" s="5">
        <v>60.1</v>
      </c>
      <c r="AD83" s="5">
        <v>12.3</v>
      </c>
      <c r="AE83" s="5">
        <v>8.5</v>
      </c>
      <c r="AF83" s="5">
        <v>13.5</v>
      </c>
      <c r="AG83" s="5">
        <v>2.8</v>
      </c>
      <c r="AH83" s="5">
        <v>1.3</v>
      </c>
      <c r="AI83" s="5">
        <v>3.5</v>
      </c>
      <c r="AJ83" s="5">
        <v>4.3</v>
      </c>
      <c r="AK83" s="5">
        <v>1.3756500000000003</v>
      </c>
      <c r="AL83" s="5">
        <v>29.500050000000002</v>
      </c>
      <c r="AM83" s="5">
        <f t="shared" si="37"/>
        <v>41.86760869565218</v>
      </c>
      <c r="AN83" s="5">
        <v>73.099999999999994</v>
      </c>
      <c r="AO83" s="8" t="s">
        <v>84</v>
      </c>
      <c r="AP83" s="6" t="s">
        <v>89</v>
      </c>
    </row>
    <row r="84" spans="1:42" x14ac:dyDescent="0.3">
      <c r="A84" s="6">
        <v>81</v>
      </c>
      <c r="B84" s="3" t="s">
        <v>85</v>
      </c>
      <c r="C84" s="3" t="s">
        <v>87</v>
      </c>
      <c r="D84" s="3">
        <f t="shared" si="28"/>
        <v>3.5</v>
      </c>
      <c r="E84" s="5">
        <v>11.5</v>
      </c>
      <c r="F84" s="5">
        <f t="shared" si="29"/>
        <v>48.75</v>
      </c>
      <c r="G84" s="5">
        <f t="shared" si="30"/>
        <v>8.5714285714285712</v>
      </c>
      <c r="H84" s="5">
        <f t="shared" si="31"/>
        <v>7.3214285714285712</v>
      </c>
      <c r="I84" s="5">
        <f t="shared" si="32"/>
        <v>1.6071428571428572</v>
      </c>
      <c r="J84" s="5">
        <f t="shared" si="33"/>
        <v>33.75</v>
      </c>
      <c r="K84" s="5">
        <f t="shared" si="34"/>
        <v>44</v>
      </c>
      <c r="L84" s="5">
        <f t="shared" si="35"/>
        <v>6.95</v>
      </c>
      <c r="M84" s="5">
        <f t="shared" si="36"/>
        <v>56</v>
      </c>
      <c r="N84" s="5" t="s">
        <v>15</v>
      </c>
      <c r="O84" s="5" t="s">
        <v>15</v>
      </c>
      <c r="P84" s="5" t="s">
        <v>15</v>
      </c>
      <c r="Q84" s="5" t="s">
        <v>15</v>
      </c>
      <c r="R84" s="5">
        <v>850</v>
      </c>
      <c r="S84" s="5" t="s">
        <v>39</v>
      </c>
      <c r="T84" s="5" t="s">
        <v>15</v>
      </c>
      <c r="U84" s="5">
        <v>80</v>
      </c>
      <c r="V84" s="5" t="s">
        <v>15</v>
      </c>
      <c r="W84" s="5">
        <v>0.3</v>
      </c>
      <c r="X84" s="5" t="s">
        <v>33</v>
      </c>
      <c r="Y84" s="5" t="s">
        <v>34</v>
      </c>
      <c r="Z84" s="5" t="s">
        <v>73</v>
      </c>
      <c r="AA84" s="5" t="s">
        <v>152</v>
      </c>
      <c r="AB84" s="5" t="s">
        <v>86</v>
      </c>
      <c r="AC84" s="5">
        <v>55.1</v>
      </c>
      <c r="AD84" s="5">
        <v>15</v>
      </c>
      <c r="AE84" s="5">
        <v>12.2</v>
      </c>
      <c r="AF84" s="5">
        <v>12.5</v>
      </c>
      <c r="AG84" s="5">
        <v>2.8</v>
      </c>
      <c r="AH84" s="5">
        <v>1</v>
      </c>
      <c r="AI84" s="5">
        <v>4.3</v>
      </c>
      <c r="AJ84" s="5">
        <v>2.2999999999999998</v>
      </c>
      <c r="AK84" s="5">
        <v>1.4266000000000001</v>
      </c>
      <c r="AL84" s="5">
        <v>9.2728999999999999</v>
      </c>
      <c r="AM84" s="5">
        <f t="shared" si="37"/>
        <v>53.342434782608692</v>
      </c>
      <c r="AN84" s="5">
        <v>85.5</v>
      </c>
      <c r="AO84" s="8" t="s">
        <v>84</v>
      </c>
      <c r="AP84" s="6" t="s">
        <v>89</v>
      </c>
    </row>
    <row r="85" spans="1:42" ht="15" customHeight="1" x14ac:dyDescent="0.3">
      <c r="A85" s="6">
        <v>82</v>
      </c>
      <c r="B85" s="3" t="s">
        <v>85</v>
      </c>
      <c r="C85" s="3" t="s">
        <v>87</v>
      </c>
      <c r="D85" s="3">
        <f t="shared" si="28"/>
        <v>3.5</v>
      </c>
      <c r="E85" s="5">
        <v>11.5</v>
      </c>
      <c r="F85" s="5">
        <f t="shared" si="29"/>
        <v>48.75</v>
      </c>
      <c r="G85" s="5">
        <f t="shared" si="30"/>
        <v>8.5714285714285712</v>
      </c>
      <c r="H85" s="5">
        <f t="shared" si="31"/>
        <v>7.3214285714285712</v>
      </c>
      <c r="I85" s="5">
        <f t="shared" si="32"/>
        <v>1.6071428571428572</v>
      </c>
      <c r="J85" s="5">
        <f t="shared" si="33"/>
        <v>33.75</v>
      </c>
      <c r="K85" s="5">
        <f t="shared" si="34"/>
        <v>44</v>
      </c>
      <c r="L85" s="5">
        <f t="shared" si="35"/>
        <v>6.95</v>
      </c>
      <c r="M85" s="5">
        <f t="shared" si="36"/>
        <v>56</v>
      </c>
      <c r="N85" s="5" t="s">
        <v>15</v>
      </c>
      <c r="O85" s="5" t="s">
        <v>15</v>
      </c>
      <c r="P85" s="5" t="s">
        <v>15</v>
      </c>
      <c r="Q85" s="5" t="s">
        <v>15</v>
      </c>
      <c r="R85" s="5">
        <v>750</v>
      </c>
      <c r="S85" s="5" t="s">
        <v>39</v>
      </c>
      <c r="T85" s="5" t="s">
        <v>15</v>
      </c>
      <c r="U85" s="5">
        <v>80</v>
      </c>
      <c r="V85" s="5" t="s">
        <v>15</v>
      </c>
      <c r="W85" s="5">
        <v>0.3</v>
      </c>
      <c r="X85" s="5" t="s">
        <v>33</v>
      </c>
      <c r="Y85" s="5" t="s">
        <v>34</v>
      </c>
      <c r="Z85" s="5" t="s">
        <v>73</v>
      </c>
      <c r="AA85" s="5" t="s">
        <v>153</v>
      </c>
      <c r="AB85" s="5" t="s">
        <v>86</v>
      </c>
      <c r="AC85" s="5">
        <v>64.400000000000006</v>
      </c>
      <c r="AD85" s="5">
        <v>8.8000000000000007</v>
      </c>
      <c r="AE85" s="5">
        <v>7.7</v>
      </c>
      <c r="AF85" s="5">
        <v>14.1</v>
      </c>
      <c r="AG85" s="5">
        <v>2.2999999999999998</v>
      </c>
      <c r="AH85" s="5">
        <v>1.3</v>
      </c>
      <c r="AI85" s="5">
        <v>2.8</v>
      </c>
      <c r="AJ85" s="5">
        <v>4.7</v>
      </c>
      <c r="AK85" s="5">
        <v>1.2737500000000002</v>
      </c>
      <c r="AL85" s="5">
        <v>26.137350000000001</v>
      </c>
      <c r="AM85" s="5">
        <f t="shared" si="37"/>
        <v>31.013043478260869</v>
      </c>
      <c r="AN85" s="5">
        <v>69.400000000000006</v>
      </c>
      <c r="AO85" s="8" t="s">
        <v>84</v>
      </c>
      <c r="AP85" s="6" t="s">
        <v>89</v>
      </c>
    </row>
    <row r="86" spans="1:42" x14ac:dyDescent="0.3">
      <c r="A86" s="6">
        <v>83</v>
      </c>
      <c r="B86" s="3" t="s">
        <v>85</v>
      </c>
      <c r="C86" s="3" t="s">
        <v>87</v>
      </c>
      <c r="D86" s="3">
        <f t="shared" si="28"/>
        <v>3.5</v>
      </c>
      <c r="E86" s="5">
        <v>11.5</v>
      </c>
      <c r="F86" s="5">
        <f t="shared" si="29"/>
        <v>48.75</v>
      </c>
      <c r="G86" s="5">
        <f t="shared" si="30"/>
        <v>8.5714285714285712</v>
      </c>
      <c r="H86" s="5">
        <f t="shared" si="31"/>
        <v>7.3214285714285712</v>
      </c>
      <c r="I86" s="5">
        <f t="shared" si="32"/>
        <v>1.6071428571428572</v>
      </c>
      <c r="J86" s="5">
        <f t="shared" si="33"/>
        <v>33.75</v>
      </c>
      <c r="K86" s="5">
        <f t="shared" si="34"/>
        <v>44</v>
      </c>
      <c r="L86" s="5">
        <f t="shared" si="35"/>
        <v>6.95</v>
      </c>
      <c r="M86" s="5">
        <f t="shared" si="36"/>
        <v>56</v>
      </c>
      <c r="N86" s="5" t="s">
        <v>15</v>
      </c>
      <c r="O86" s="5" t="s">
        <v>15</v>
      </c>
      <c r="P86" s="5" t="s">
        <v>15</v>
      </c>
      <c r="Q86" s="5" t="s">
        <v>15</v>
      </c>
      <c r="R86" s="5">
        <v>800</v>
      </c>
      <c r="S86" s="5" t="s">
        <v>39</v>
      </c>
      <c r="T86" s="5" t="s">
        <v>15</v>
      </c>
      <c r="U86" s="5">
        <v>80</v>
      </c>
      <c r="V86" s="5" t="s">
        <v>15</v>
      </c>
      <c r="W86" s="5">
        <v>0.3</v>
      </c>
      <c r="X86" s="5" t="s">
        <v>33</v>
      </c>
      <c r="Y86" s="5" t="s">
        <v>34</v>
      </c>
      <c r="Z86" s="5" t="s">
        <v>73</v>
      </c>
      <c r="AA86" s="5" t="s">
        <v>153</v>
      </c>
      <c r="AB86" s="5" t="s">
        <v>86</v>
      </c>
      <c r="AC86" s="5">
        <v>59.8</v>
      </c>
      <c r="AD86" s="5">
        <v>12.1</v>
      </c>
      <c r="AE86" s="5">
        <v>8.3000000000000007</v>
      </c>
      <c r="AF86" s="5">
        <v>12.6</v>
      </c>
      <c r="AG86" s="5">
        <v>2.8</v>
      </c>
      <c r="AH86" s="5">
        <v>1.4</v>
      </c>
      <c r="AI86" s="5">
        <v>3.5</v>
      </c>
      <c r="AJ86" s="5">
        <v>2.6</v>
      </c>
      <c r="AK86" s="5">
        <v>1.4266000000000001</v>
      </c>
      <c r="AL86" s="5">
        <v>42.950850000000003</v>
      </c>
      <c r="AM86" s="5">
        <f t="shared" si="37"/>
        <v>43.418260869565216</v>
      </c>
      <c r="AN86" s="5">
        <v>71.400000000000006</v>
      </c>
      <c r="AO86" s="8" t="s">
        <v>84</v>
      </c>
      <c r="AP86" s="6" t="s">
        <v>89</v>
      </c>
    </row>
    <row r="87" spans="1:42" x14ac:dyDescent="0.3">
      <c r="A87" s="6">
        <v>84</v>
      </c>
      <c r="B87" s="3" t="s">
        <v>85</v>
      </c>
      <c r="C87" s="3" t="s">
        <v>87</v>
      </c>
      <c r="D87" s="3">
        <f t="shared" si="28"/>
        <v>3.5</v>
      </c>
      <c r="E87" s="5">
        <v>11.5</v>
      </c>
      <c r="F87" s="5">
        <f t="shared" si="29"/>
        <v>48.75</v>
      </c>
      <c r="G87" s="5">
        <f t="shared" si="30"/>
        <v>8.5714285714285712</v>
      </c>
      <c r="H87" s="5">
        <f t="shared" si="31"/>
        <v>7.3214285714285712</v>
      </c>
      <c r="I87" s="5">
        <f t="shared" si="32"/>
        <v>1.6071428571428572</v>
      </c>
      <c r="J87" s="5">
        <f t="shared" si="33"/>
        <v>33.75</v>
      </c>
      <c r="K87" s="5">
        <f t="shared" si="34"/>
        <v>44</v>
      </c>
      <c r="L87" s="5">
        <f t="shared" si="35"/>
        <v>6.95</v>
      </c>
      <c r="M87" s="5">
        <f t="shared" si="36"/>
        <v>56</v>
      </c>
      <c r="N87" s="5" t="s">
        <v>15</v>
      </c>
      <c r="O87" s="5" t="s">
        <v>15</v>
      </c>
      <c r="P87" s="5" t="s">
        <v>15</v>
      </c>
      <c r="Q87" s="5" t="s">
        <v>15</v>
      </c>
      <c r="R87" s="5">
        <v>850</v>
      </c>
      <c r="S87" s="5" t="s">
        <v>39</v>
      </c>
      <c r="T87" s="5" t="s">
        <v>15</v>
      </c>
      <c r="U87" s="5">
        <v>80</v>
      </c>
      <c r="V87" s="5" t="s">
        <v>15</v>
      </c>
      <c r="W87" s="5">
        <v>0.3</v>
      </c>
      <c r="X87" s="5" t="s">
        <v>33</v>
      </c>
      <c r="Y87" s="5" t="s">
        <v>34</v>
      </c>
      <c r="Z87" s="5" t="s">
        <v>73</v>
      </c>
      <c r="AA87" s="5" t="s">
        <v>153</v>
      </c>
      <c r="AB87" s="5" t="s">
        <v>86</v>
      </c>
      <c r="AC87" s="5">
        <v>56.5</v>
      </c>
      <c r="AD87" s="5">
        <v>14.2</v>
      </c>
      <c r="AE87" s="5">
        <v>12.2</v>
      </c>
      <c r="AF87" s="5">
        <v>12.2</v>
      </c>
      <c r="AG87" s="5">
        <v>2.5</v>
      </c>
      <c r="AH87" s="5">
        <v>1</v>
      </c>
      <c r="AI87" s="5">
        <v>4.0999999999999996</v>
      </c>
      <c r="AJ87" s="5">
        <v>1.4</v>
      </c>
      <c r="AK87" s="5">
        <v>1.4266000000000001</v>
      </c>
      <c r="AL87" s="5">
        <v>8.4067500000000006</v>
      </c>
      <c r="AM87" s="5">
        <f t="shared" si="37"/>
        <v>50.861391304347819</v>
      </c>
      <c r="AN87" s="5">
        <v>83.3</v>
      </c>
      <c r="AO87" s="8" t="s">
        <v>84</v>
      </c>
      <c r="AP87" s="6" t="s">
        <v>89</v>
      </c>
    </row>
    <row r="88" spans="1:42" x14ac:dyDescent="0.3">
      <c r="A88" s="6">
        <v>85</v>
      </c>
      <c r="B88" s="3" t="s">
        <v>85</v>
      </c>
      <c r="C88" s="3" t="s">
        <v>87</v>
      </c>
      <c r="D88" s="3">
        <f t="shared" si="28"/>
        <v>3.5</v>
      </c>
      <c r="E88" s="5">
        <v>11.5</v>
      </c>
      <c r="F88" s="5">
        <f t="shared" si="29"/>
        <v>48.75</v>
      </c>
      <c r="G88" s="5">
        <f t="shared" si="30"/>
        <v>8.5714285714285712</v>
      </c>
      <c r="H88" s="5">
        <f t="shared" si="31"/>
        <v>7.3214285714285712</v>
      </c>
      <c r="I88" s="5">
        <f t="shared" si="32"/>
        <v>1.6071428571428572</v>
      </c>
      <c r="J88" s="5">
        <f t="shared" si="33"/>
        <v>33.75</v>
      </c>
      <c r="K88" s="5">
        <f t="shared" si="34"/>
        <v>44</v>
      </c>
      <c r="L88" s="5">
        <f t="shared" si="35"/>
        <v>6.95</v>
      </c>
      <c r="M88" s="5">
        <f t="shared" si="36"/>
        <v>56</v>
      </c>
      <c r="N88" s="5" t="s">
        <v>15</v>
      </c>
      <c r="O88" s="5" t="s">
        <v>15</v>
      </c>
      <c r="P88" s="5" t="s">
        <v>15</v>
      </c>
      <c r="Q88" s="5" t="s">
        <v>15</v>
      </c>
      <c r="R88" s="5">
        <v>800</v>
      </c>
      <c r="S88" s="5" t="s">
        <v>39</v>
      </c>
      <c r="T88" s="5" t="s">
        <v>15</v>
      </c>
      <c r="U88" s="5">
        <v>80</v>
      </c>
      <c r="V88" s="5">
        <v>0.5</v>
      </c>
      <c r="W88" s="5">
        <v>0.3</v>
      </c>
      <c r="X88" s="5" t="s">
        <v>81</v>
      </c>
      <c r="Y88" s="5" t="s">
        <v>34</v>
      </c>
      <c r="Z88" s="5" t="s">
        <v>73</v>
      </c>
      <c r="AA88" s="5" t="s">
        <v>152</v>
      </c>
      <c r="AB88" s="5" t="s">
        <v>86</v>
      </c>
      <c r="AC88" s="5">
        <v>58.2</v>
      </c>
      <c r="AD88" s="5">
        <v>13.3</v>
      </c>
      <c r="AE88" s="5">
        <v>8.4</v>
      </c>
      <c r="AF88" s="5">
        <v>14.9</v>
      </c>
      <c r="AG88" s="5">
        <v>2.4</v>
      </c>
      <c r="AH88" s="5">
        <v>1.3</v>
      </c>
      <c r="AI88" s="5">
        <v>3.5</v>
      </c>
      <c r="AJ88" s="5">
        <v>3.4</v>
      </c>
      <c r="AK88" s="5">
        <v>1.3756500000000003</v>
      </c>
      <c r="AL88" s="5">
        <v>13.501750000000001</v>
      </c>
      <c r="AM88" s="5">
        <f t="shared" si="37"/>
        <v>41.86760869565218</v>
      </c>
      <c r="AN88" s="5">
        <v>79</v>
      </c>
      <c r="AO88" s="8" t="s">
        <v>84</v>
      </c>
      <c r="AP88" s="6" t="s">
        <v>89</v>
      </c>
    </row>
    <row r="89" spans="1:42" x14ac:dyDescent="0.3">
      <c r="A89" s="6">
        <v>86</v>
      </c>
      <c r="B89" s="3" t="s">
        <v>85</v>
      </c>
      <c r="C89" s="3" t="s">
        <v>87</v>
      </c>
      <c r="D89" s="3">
        <f t="shared" si="28"/>
        <v>3.5</v>
      </c>
      <c r="E89" s="5">
        <v>11.5</v>
      </c>
      <c r="F89" s="5">
        <f t="shared" si="29"/>
        <v>48.75</v>
      </c>
      <c r="G89" s="5">
        <f t="shared" si="30"/>
        <v>8.5714285714285712</v>
      </c>
      <c r="H89" s="5">
        <f t="shared" si="31"/>
        <v>7.3214285714285712</v>
      </c>
      <c r="I89" s="5">
        <f t="shared" si="32"/>
        <v>1.6071428571428572</v>
      </c>
      <c r="J89" s="5">
        <f t="shared" si="33"/>
        <v>33.75</v>
      </c>
      <c r="K89" s="5">
        <f t="shared" si="34"/>
        <v>44</v>
      </c>
      <c r="L89" s="5">
        <f t="shared" si="35"/>
        <v>6.95</v>
      </c>
      <c r="M89" s="5">
        <f t="shared" si="36"/>
        <v>56</v>
      </c>
      <c r="N89" s="5" t="s">
        <v>15</v>
      </c>
      <c r="O89" s="5" t="s">
        <v>15</v>
      </c>
      <c r="P89" s="5" t="s">
        <v>15</v>
      </c>
      <c r="Q89" s="5" t="s">
        <v>15</v>
      </c>
      <c r="R89" s="5">
        <v>800</v>
      </c>
      <c r="S89" s="5" t="s">
        <v>39</v>
      </c>
      <c r="T89" s="5" t="s">
        <v>15</v>
      </c>
      <c r="U89" s="5">
        <v>80</v>
      </c>
      <c r="V89" s="5">
        <v>1</v>
      </c>
      <c r="W89" s="5">
        <v>0.3</v>
      </c>
      <c r="X89" s="5" t="s">
        <v>81</v>
      </c>
      <c r="Y89" s="5" t="s">
        <v>34</v>
      </c>
      <c r="Z89" s="5" t="s">
        <v>73</v>
      </c>
      <c r="AA89" s="5" t="s">
        <v>152</v>
      </c>
      <c r="AB89" s="5" t="s">
        <v>86</v>
      </c>
      <c r="AC89" s="5">
        <v>56.1</v>
      </c>
      <c r="AD89" s="5">
        <v>15.2</v>
      </c>
      <c r="AE89" s="5">
        <v>8.1</v>
      </c>
      <c r="AF89" s="5">
        <v>15.3</v>
      </c>
      <c r="AG89" s="5">
        <v>2.6</v>
      </c>
      <c r="AH89" s="5">
        <v>1.3</v>
      </c>
      <c r="AI89" s="5">
        <v>3.7</v>
      </c>
      <c r="AJ89" s="5">
        <v>3.5</v>
      </c>
      <c r="AK89" s="5">
        <v>1.3756500000000003</v>
      </c>
      <c r="AL89" s="5">
        <v>15.183100000000003</v>
      </c>
      <c r="AM89" s="5">
        <f t="shared" si="37"/>
        <v>44.260043478260876</v>
      </c>
      <c r="AN89" s="5">
        <v>80.8</v>
      </c>
      <c r="AO89" s="8" t="s">
        <v>84</v>
      </c>
      <c r="AP89" s="6" t="s">
        <v>89</v>
      </c>
    </row>
    <row r="90" spans="1:42" x14ac:dyDescent="0.3">
      <c r="A90" s="6">
        <v>87</v>
      </c>
      <c r="B90" s="3" t="s">
        <v>131</v>
      </c>
      <c r="C90" s="3" t="s">
        <v>93</v>
      </c>
      <c r="D90" s="3" t="s">
        <v>91</v>
      </c>
      <c r="E90" s="5">
        <v>12.146853999999999</v>
      </c>
      <c r="F90" s="5">
        <v>46.4</v>
      </c>
      <c r="G90" s="5">
        <v>5.7</v>
      </c>
      <c r="H90" s="5">
        <v>0.2</v>
      </c>
      <c r="I90" s="5">
        <v>0</v>
      </c>
      <c r="J90" s="5">
        <v>47.7</v>
      </c>
      <c r="K90" s="5">
        <v>1.095890410958904</v>
      </c>
      <c r="L90" s="5">
        <v>9.5</v>
      </c>
      <c r="M90" s="5">
        <v>88.9</v>
      </c>
      <c r="N90" s="5">
        <v>10</v>
      </c>
      <c r="O90" s="5" t="s">
        <v>15</v>
      </c>
      <c r="P90" s="5" t="s">
        <v>15</v>
      </c>
      <c r="Q90" s="5" t="s">
        <v>15</v>
      </c>
      <c r="R90" s="5">
        <v>761</v>
      </c>
      <c r="S90" s="5" t="s">
        <v>39</v>
      </c>
      <c r="T90" s="5" t="s">
        <v>75</v>
      </c>
      <c r="U90" s="5" t="s">
        <v>15</v>
      </c>
      <c r="V90" s="5" t="s">
        <v>15</v>
      </c>
      <c r="W90" s="5">
        <v>0.38</v>
      </c>
      <c r="X90" s="5" t="s">
        <v>33</v>
      </c>
      <c r="Y90" s="5" t="s">
        <v>34</v>
      </c>
      <c r="Z90" s="5" t="s">
        <v>73</v>
      </c>
      <c r="AA90" s="5" t="s">
        <v>15</v>
      </c>
      <c r="AB90" s="5" t="s">
        <v>95</v>
      </c>
      <c r="AC90" s="5">
        <v>58.27953084078721</v>
      </c>
      <c r="AD90" s="5">
        <v>6.4731458655435254</v>
      </c>
      <c r="AE90" s="5">
        <v>13.196865119430671</v>
      </c>
      <c r="AF90" s="5">
        <v>15.911410159819891</v>
      </c>
      <c r="AG90" s="5">
        <v>3.5080274368106847</v>
      </c>
      <c r="AH90" s="5">
        <v>1.2946291731087052</v>
      </c>
      <c r="AI90" s="5">
        <v>4.5918176760442533</v>
      </c>
      <c r="AJ90" s="5" t="s">
        <v>15</v>
      </c>
      <c r="AK90" s="5">
        <v>1.8824000000000001</v>
      </c>
      <c r="AL90" s="5" t="s">
        <v>15</v>
      </c>
      <c r="AM90" s="5">
        <f t="shared" si="37"/>
        <v>71.159475477236356</v>
      </c>
      <c r="AN90" s="5">
        <v>86.4</v>
      </c>
      <c r="AO90" s="6" t="s">
        <v>90</v>
      </c>
      <c r="AP90" s="6" t="s">
        <v>317</v>
      </c>
    </row>
    <row r="91" spans="1:42" x14ac:dyDescent="0.3">
      <c r="A91" s="6">
        <v>88</v>
      </c>
      <c r="B91" s="3" t="s">
        <v>131</v>
      </c>
      <c r="C91" s="3" t="s">
        <v>93</v>
      </c>
      <c r="D91" s="3" t="s">
        <v>91</v>
      </c>
      <c r="E91" s="5">
        <v>12.146853999999999</v>
      </c>
      <c r="F91" s="5">
        <v>46.4</v>
      </c>
      <c r="G91" s="5">
        <v>5.7</v>
      </c>
      <c r="H91" s="5">
        <v>0.2</v>
      </c>
      <c r="I91" s="5">
        <v>0</v>
      </c>
      <c r="J91" s="5">
        <v>47.7</v>
      </c>
      <c r="K91" s="5">
        <v>1.095890410958904</v>
      </c>
      <c r="L91" s="5">
        <v>18.100000000000001</v>
      </c>
      <c r="M91" s="5">
        <v>88.9</v>
      </c>
      <c r="N91" s="5">
        <v>10</v>
      </c>
      <c r="O91" s="5" t="s">
        <v>15</v>
      </c>
      <c r="P91" s="5" t="s">
        <v>15</v>
      </c>
      <c r="Q91" s="5" t="s">
        <v>15</v>
      </c>
      <c r="R91" s="5">
        <v>730</v>
      </c>
      <c r="S91" s="5" t="s">
        <v>39</v>
      </c>
      <c r="T91" s="5" t="s">
        <v>75</v>
      </c>
      <c r="U91" s="5" t="s">
        <v>15</v>
      </c>
      <c r="V91" s="5" t="s">
        <v>15</v>
      </c>
      <c r="W91" s="5">
        <v>0.38</v>
      </c>
      <c r="X91" s="5" t="s">
        <v>33</v>
      </c>
      <c r="Y91" s="5" t="s">
        <v>34</v>
      </c>
      <c r="Z91" s="5" t="s">
        <v>73</v>
      </c>
      <c r="AA91" s="5" t="s">
        <v>15</v>
      </c>
      <c r="AB91" s="5" t="s">
        <v>95</v>
      </c>
      <c r="AC91" s="5">
        <v>59.916186038031782</v>
      </c>
      <c r="AD91" s="5">
        <v>5.571650140713583</v>
      </c>
      <c r="AE91" s="5">
        <v>11.50405460708488</v>
      </c>
      <c r="AF91" s="5">
        <v>17.556710515342079</v>
      </c>
      <c r="AG91" s="5">
        <v>3.4872918146912353</v>
      </c>
      <c r="AH91" s="5">
        <v>1.242598232821015</v>
      </c>
      <c r="AI91" s="5">
        <v>4.2382765759376859</v>
      </c>
      <c r="AJ91" s="5" t="s">
        <v>15</v>
      </c>
      <c r="AK91" s="5">
        <v>1.65438</v>
      </c>
      <c r="AL91" s="5" t="s">
        <v>15</v>
      </c>
      <c r="AM91" s="5">
        <f t="shared" si="37"/>
        <v>57.724576270528878</v>
      </c>
      <c r="AN91" s="5">
        <v>83.2</v>
      </c>
      <c r="AO91" s="6" t="s">
        <v>90</v>
      </c>
      <c r="AP91" s="6" t="s">
        <v>317</v>
      </c>
    </row>
    <row r="92" spans="1:42" x14ac:dyDescent="0.3">
      <c r="A92" s="6">
        <v>89</v>
      </c>
      <c r="B92" s="3" t="s">
        <v>131</v>
      </c>
      <c r="C92" s="3" t="s">
        <v>93</v>
      </c>
      <c r="D92" s="3" t="s">
        <v>91</v>
      </c>
      <c r="E92" s="5">
        <v>12.146853999999999</v>
      </c>
      <c r="F92" s="5">
        <v>46.4</v>
      </c>
      <c r="G92" s="5">
        <v>5.7</v>
      </c>
      <c r="H92" s="5">
        <v>0.2</v>
      </c>
      <c r="I92" s="5">
        <v>0</v>
      </c>
      <c r="J92" s="5">
        <v>47.7</v>
      </c>
      <c r="K92" s="5">
        <v>1.095890410958904</v>
      </c>
      <c r="L92" s="5">
        <v>25.5</v>
      </c>
      <c r="M92" s="5">
        <v>88.9</v>
      </c>
      <c r="N92" s="5">
        <v>10</v>
      </c>
      <c r="O92" s="5" t="s">
        <v>15</v>
      </c>
      <c r="P92" s="5" t="s">
        <v>15</v>
      </c>
      <c r="Q92" s="5" t="s">
        <v>15</v>
      </c>
      <c r="R92" s="5">
        <v>699</v>
      </c>
      <c r="S92" s="5" t="s">
        <v>39</v>
      </c>
      <c r="T92" s="5" t="s">
        <v>75</v>
      </c>
      <c r="U92" s="5" t="s">
        <v>15</v>
      </c>
      <c r="V92" s="5" t="s">
        <v>15</v>
      </c>
      <c r="W92" s="5">
        <v>0.38</v>
      </c>
      <c r="X92" s="5" t="s">
        <v>33</v>
      </c>
      <c r="Y92" s="5" t="s">
        <v>34</v>
      </c>
      <c r="Z92" s="5" t="s">
        <v>73</v>
      </c>
      <c r="AA92" s="5" t="s">
        <v>15</v>
      </c>
      <c r="AB92" s="5" t="s">
        <v>95</v>
      </c>
      <c r="AC92" s="5">
        <v>61.445842000861553</v>
      </c>
      <c r="AD92" s="5">
        <v>5.4361362778785214</v>
      </c>
      <c r="AE92" s="5">
        <v>10.409622659767381</v>
      </c>
      <c r="AF92" s="5">
        <v>17.657804363605408</v>
      </c>
      <c r="AG92" s="5">
        <v>3.1999951139284915</v>
      </c>
      <c r="AH92" s="5">
        <v>1.195178897973292</v>
      </c>
      <c r="AI92" s="5">
        <v>3.9407506964921635</v>
      </c>
      <c r="AJ92" s="5" t="s">
        <v>15</v>
      </c>
      <c r="AK92" s="5">
        <v>1.49</v>
      </c>
      <c r="AL92" s="5" t="s">
        <v>15</v>
      </c>
      <c r="AM92" s="5">
        <f t="shared" si="37"/>
        <v>48.339418072970368</v>
      </c>
      <c r="AN92" s="5">
        <v>79.599999999999994</v>
      </c>
      <c r="AO92" s="6" t="s">
        <v>90</v>
      </c>
      <c r="AP92" s="6" t="s">
        <v>317</v>
      </c>
    </row>
    <row r="93" spans="1:42" x14ac:dyDescent="0.3">
      <c r="A93" s="6">
        <v>90</v>
      </c>
      <c r="B93" s="3" t="s">
        <v>131</v>
      </c>
      <c r="C93" s="3" t="s">
        <v>93</v>
      </c>
      <c r="D93" s="3" t="s">
        <v>91</v>
      </c>
      <c r="E93" s="5">
        <f>13-(9*((G93/100)*((100+L93)/100))*Calculations!$B$16)</f>
        <v>11.529541930000001</v>
      </c>
      <c r="F93" s="5">
        <v>46.4</v>
      </c>
      <c r="G93" s="5">
        <v>5.7</v>
      </c>
      <c r="H93" s="5">
        <v>0.2</v>
      </c>
      <c r="I93" s="5">
        <v>0</v>
      </c>
      <c r="J93" s="5">
        <v>47.7</v>
      </c>
      <c r="K93" s="5">
        <v>1.095890410958904</v>
      </c>
      <c r="L93" s="5">
        <v>27</v>
      </c>
      <c r="M93" s="5">
        <v>88.9</v>
      </c>
      <c r="N93" s="5">
        <v>10</v>
      </c>
      <c r="O93" s="5" t="s">
        <v>15</v>
      </c>
      <c r="P93" s="5" t="s">
        <v>15</v>
      </c>
      <c r="Q93" s="5" t="s">
        <v>15</v>
      </c>
      <c r="R93" s="5">
        <v>705</v>
      </c>
      <c r="S93" s="5" t="s">
        <v>39</v>
      </c>
      <c r="T93" s="5" t="s">
        <v>75</v>
      </c>
      <c r="U93" s="5" t="s">
        <v>15</v>
      </c>
      <c r="V93" s="5" t="s">
        <v>15</v>
      </c>
      <c r="W93" s="5">
        <v>0.36</v>
      </c>
      <c r="X93" s="5" t="s">
        <v>33</v>
      </c>
      <c r="Y93" s="5" t="s">
        <v>34</v>
      </c>
      <c r="Z93" s="5" t="s">
        <v>73</v>
      </c>
      <c r="AA93" s="5" t="s">
        <v>15</v>
      </c>
      <c r="AB93" s="5" t="s">
        <v>95</v>
      </c>
      <c r="AC93" s="5">
        <v>60.746976104600485</v>
      </c>
      <c r="AD93" s="5">
        <v>5.3151035364884009</v>
      </c>
      <c r="AE93" s="5">
        <v>10.925490602781712</v>
      </c>
      <c r="AF93" s="5">
        <v>17.913867474831275</v>
      </c>
      <c r="AG93" s="5">
        <v>3.2481188278540225</v>
      </c>
      <c r="AH93" s="5">
        <v>1.1811341192196445</v>
      </c>
      <c r="AI93" s="5">
        <v>4.0029604305147437</v>
      </c>
      <c r="AJ93" s="5">
        <v>14.75</v>
      </c>
      <c r="AK93" s="5">
        <v>1.2774999999999999</v>
      </c>
      <c r="AL93" s="5" t="s">
        <v>15</v>
      </c>
      <c r="AM93" s="5">
        <f t="shared" si="37"/>
        <v>44.353730452000569</v>
      </c>
      <c r="AN93" s="5">
        <v>71</v>
      </c>
      <c r="AO93" s="6" t="s">
        <v>90</v>
      </c>
      <c r="AP93" s="6" t="s">
        <v>317</v>
      </c>
    </row>
    <row r="94" spans="1:42" x14ac:dyDescent="0.3">
      <c r="A94" s="6">
        <v>91</v>
      </c>
      <c r="B94" s="3" t="s">
        <v>131</v>
      </c>
      <c r="C94" s="3" t="s">
        <v>93</v>
      </c>
      <c r="D94" s="3" t="s">
        <v>91</v>
      </c>
      <c r="E94" s="5">
        <f>13-(9*((G94/100)*((100+L94)/100))*Calculations!$B$16)</f>
        <v>11.529541930000001</v>
      </c>
      <c r="F94" s="5">
        <v>46.4</v>
      </c>
      <c r="G94" s="5">
        <v>5.7</v>
      </c>
      <c r="H94" s="5">
        <v>0.2</v>
      </c>
      <c r="I94" s="5">
        <v>0</v>
      </c>
      <c r="J94" s="5">
        <v>47.7</v>
      </c>
      <c r="K94" s="5">
        <v>1.095890410958904</v>
      </c>
      <c r="L94" s="5">
        <v>27</v>
      </c>
      <c r="M94" s="5">
        <v>88.9</v>
      </c>
      <c r="N94" s="5">
        <v>10</v>
      </c>
      <c r="O94" s="5" t="s">
        <v>15</v>
      </c>
      <c r="P94" s="5" t="s">
        <v>15</v>
      </c>
      <c r="Q94" s="5" t="s">
        <v>15</v>
      </c>
      <c r="R94" s="5">
        <v>730</v>
      </c>
      <c r="S94" s="5" t="s">
        <v>39</v>
      </c>
      <c r="T94" s="5" t="s">
        <v>75</v>
      </c>
      <c r="U94" s="5" t="s">
        <v>15</v>
      </c>
      <c r="V94" s="5" t="s">
        <v>15</v>
      </c>
      <c r="W94" s="5">
        <v>0.39</v>
      </c>
      <c r="X94" s="5" t="s">
        <v>33</v>
      </c>
      <c r="Y94" s="5" t="s">
        <v>34</v>
      </c>
      <c r="Z94" s="5" t="s">
        <v>73</v>
      </c>
      <c r="AA94" s="5" t="s">
        <v>15</v>
      </c>
      <c r="AB94" s="5" t="s">
        <v>95</v>
      </c>
      <c r="AC94" s="5">
        <v>61.378418505018132</v>
      </c>
      <c r="AD94" s="5">
        <v>5.2998677201197673</v>
      </c>
      <c r="AE94" s="5">
        <v>10.792457902789344</v>
      </c>
      <c r="AF94" s="5">
        <v>17.634105323307587</v>
      </c>
      <c r="AG94" s="5">
        <v>3.0835594007969553</v>
      </c>
      <c r="AH94" s="5">
        <v>1.1563347752988582</v>
      </c>
      <c r="AI94" s="5">
        <v>3.9032385957566849</v>
      </c>
      <c r="AJ94" s="5">
        <v>11.75</v>
      </c>
      <c r="AK94" s="5">
        <v>1.46</v>
      </c>
      <c r="AL94" s="5" t="s">
        <v>15</v>
      </c>
      <c r="AM94" s="5">
        <f t="shared" si="37"/>
        <v>49.427187865778102</v>
      </c>
      <c r="AN94" s="5">
        <v>75</v>
      </c>
      <c r="AO94" s="6" t="s">
        <v>90</v>
      </c>
      <c r="AP94" s="6" t="s">
        <v>317</v>
      </c>
    </row>
    <row r="95" spans="1:42" x14ac:dyDescent="0.3">
      <c r="A95" s="6">
        <v>92</v>
      </c>
      <c r="B95" s="3" t="s">
        <v>131</v>
      </c>
      <c r="C95" s="3" t="s">
        <v>93</v>
      </c>
      <c r="D95" s="3" t="s">
        <v>91</v>
      </c>
      <c r="E95" s="5">
        <f>13-(9*((G95/100)*((100+L95)/100))*Calculations!$B$16)</f>
        <v>11.529541930000001</v>
      </c>
      <c r="F95" s="5">
        <v>46.4</v>
      </c>
      <c r="G95" s="5">
        <v>5.7</v>
      </c>
      <c r="H95" s="5">
        <v>0.2</v>
      </c>
      <c r="I95" s="5">
        <v>0</v>
      </c>
      <c r="J95" s="5">
        <v>47.7</v>
      </c>
      <c r="K95" s="5">
        <v>1.095890410958904</v>
      </c>
      <c r="L95" s="5">
        <v>27</v>
      </c>
      <c r="M95" s="5">
        <v>88.9</v>
      </c>
      <c r="N95" s="5">
        <v>10</v>
      </c>
      <c r="O95" s="5" t="s">
        <v>15</v>
      </c>
      <c r="P95" s="5" t="s">
        <v>15</v>
      </c>
      <c r="Q95" s="5" t="s">
        <v>15</v>
      </c>
      <c r="R95" s="5">
        <v>740</v>
      </c>
      <c r="S95" s="5" t="s">
        <v>39</v>
      </c>
      <c r="T95" s="5" t="s">
        <v>75</v>
      </c>
      <c r="U95" s="5" t="s">
        <v>15</v>
      </c>
      <c r="V95" s="5" t="s">
        <v>15</v>
      </c>
      <c r="W95" s="5">
        <v>0.42</v>
      </c>
      <c r="X95" s="5" t="s">
        <v>33</v>
      </c>
      <c r="Y95" s="5" t="s">
        <v>34</v>
      </c>
      <c r="Z95" s="5" t="s">
        <v>73</v>
      </c>
      <c r="AA95" s="5" t="s">
        <v>15</v>
      </c>
      <c r="AB95" s="5" t="s">
        <v>95</v>
      </c>
      <c r="AC95" s="5">
        <v>62.252104219888309</v>
      </c>
      <c r="AD95" s="5">
        <v>5.3683384717224705</v>
      </c>
      <c r="AE95" s="5">
        <v>10.359951436657399</v>
      </c>
      <c r="AF95" s="5">
        <v>17.329373312226924</v>
      </c>
      <c r="AG95" s="5">
        <v>3.0138040543003344</v>
      </c>
      <c r="AH95" s="5">
        <v>1.03599514366574</v>
      </c>
      <c r="AI95" s="5">
        <v>3.7519885030327629</v>
      </c>
      <c r="AJ95" s="5">
        <v>10</v>
      </c>
      <c r="AK95" s="5">
        <v>1.6060000000000001</v>
      </c>
      <c r="AL95" s="5" t="s">
        <v>15</v>
      </c>
      <c r="AM95" s="5">
        <f t="shared" si="37"/>
        <v>52.263078381212125</v>
      </c>
      <c r="AN95" s="5">
        <v>79</v>
      </c>
      <c r="AO95" s="6" t="s">
        <v>90</v>
      </c>
      <c r="AP95" s="6" t="s">
        <v>317</v>
      </c>
    </row>
    <row r="96" spans="1:42" x14ac:dyDescent="0.3">
      <c r="A96" s="6">
        <v>93</v>
      </c>
      <c r="B96" s="3" t="s">
        <v>131</v>
      </c>
      <c r="C96" s="3" t="s">
        <v>93</v>
      </c>
      <c r="D96" s="3" t="s">
        <v>91</v>
      </c>
      <c r="E96" s="5">
        <f>13-(9*((G96/100)*((100+L96)/100))*Calculations!$B$16)</f>
        <v>11.529541930000001</v>
      </c>
      <c r="F96" s="5">
        <v>46.4</v>
      </c>
      <c r="G96" s="5">
        <v>5.7</v>
      </c>
      <c r="H96" s="5">
        <v>0.2</v>
      </c>
      <c r="I96" s="5">
        <v>0</v>
      </c>
      <c r="J96" s="5">
        <v>47.7</v>
      </c>
      <c r="K96" s="5">
        <v>1.095890410958904</v>
      </c>
      <c r="L96" s="5">
        <v>27</v>
      </c>
      <c r="M96" s="5">
        <v>88.9</v>
      </c>
      <c r="N96" s="5">
        <v>10</v>
      </c>
      <c r="O96" s="5" t="s">
        <v>15</v>
      </c>
      <c r="P96" s="5" t="s">
        <v>15</v>
      </c>
      <c r="Q96" s="5" t="s">
        <v>15</v>
      </c>
      <c r="R96" s="5">
        <v>770</v>
      </c>
      <c r="S96" s="5" t="s">
        <v>39</v>
      </c>
      <c r="T96" s="5" t="s">
        <v>75</v>
      </c>
      <c r="U96" s="5" t="s">
        <v>15</v>
      </c>
      <c r="V96" s="5" t="s">
        <v>15</v>
      </c>
      <c r="W96" s="5">
        <v>0.49</v>
      </c>
      <c r="X96" s="5" t="s">
        <v>33</v>
      </c>
      <c r="Y96" s="5" t="s">
        <v>34</v>
      </c>
      <c r="Z96" s="5" t="s">
        <v>73</v>
      </c>
      <c r="AA96" s="5" t="s">
        <v>15</v>
      </c>
      <c r="AB96" s="5" t="s">
        <v>95</v>
      </c>
      <c r="AC96" s="5">
        <v>62.998795113345764</v>
      </c>
      <c r="AD96" s="5">
        <v>5.1957559519875556</v>
      </c>
      <c r="AE96" s="5">
        <v>9.92760512254765</v>
      </c>
      <c r="AF96" s="5">
        <v>17.442894981672506</v>
      </c>
      <c r="AG96" s="5">
        <v>2.8762220448502536</v>
      </c>
      <c r="AH96" s="5">
        <v>0.92781356285492056</v>
      </c>
      <c r="AI96" s="5">
        <v>3.5551393980813324</v>
      </c>
      <c r="AJ96" s="5">
        <v>4.25</v>
      </c>
      <c r="AK96" s="5">
        <v>1.7885</v>
      </c>
      <c r="AL96" s="5" t="s">
        <v>15</v>
      </c>
      <c r="AM96" s="5">
        <f t="shared" si="37"/>
        <v>55.148477294869096</v>
      </c>
      <c r="AN96" s="5">
        <v>86</v>
      </c>
      <c r="AO96" s="6" t="s">
        <v>90</v>
      </c>
      <c r="AP96" s="6" t="s">
        <v>317</v>
      </c>
    </row>
    <row r="97" spans="1:42" x14ac:dyDescent="0.3">
      <c r="A97" s="6">
        <v>94</v>
      </c>
      <c r="B97" s="3" t="s">
        <v>132</v>
      </c>
      <c r="C97" s="3" t="s">
        <v>94</v>
      </c>
      <c r="D97" s="3" t="s">
        <v>92</v>
      </c>
      <c r="E97" s="5">
        <f>15.4-(9*((G97/100)*((100+L97)/100))*Calculations!$B$16)</f>
        <v>13.837646354838711</v>
      </c>
      <c r="F97" s="5">
        <f>50.1322751322751*(100/(100-K97))</f>
        <v>50.940860215053725</v>
      </c>
      <c r="G97" s="5">
        <f>6.08465608465608*(100/(100-K97))</f>
        <v>6.1827956989247266</v>
      </c>
      <c r="H97" s="5">
        <f>0.132275132275132*(100/(100-K97))</f>
        <v>0.13440860215053735</v>
      </c>
      <c r="I97" s="5">
        <f>0.529100529100529*(100/(100-K97))</f>
        <v>0.53763440860215039</v>
      </c>
      <c r="J97" s="5">
        <f>41.5343915343915*(100/(100-K97))</f>
        <v>42.204301075268788</v>
      </c>
      <c r="K97" s="5">
        <v>1.5873015873015874</v>
      </c>
      <c r="L97" s="5">
        <v>24.4</v>
      </c>
      <c r="M97" s="5">
        <v>86.63000000000001</v>
      </c>
      <c r="N97" s="5">
        <v>11.9</v>
      </c>
      <c r="O97" s="5" t="s">
        <v>15</v>
      </c>
      <c r="P97" s="5" t="s">
        <v>15</v>
      </c>
      <c r="Q97" s="5" t="s">
        <v>15</v>
      </c>
      <c r="R97" s="5">
        <v>725</v>
      </c>
      <c r="S97" s="5" t="s">
        <v>39</v>
      </c>
      <c r="T97" s="5" t="s">
        <v>75</v>
      </c>
      <c r="U97" s="5" t="s">
        <v>15</v>
      </c>
      <c r="V97" s="5" t="s">
        <v>15</v>
      </c>
      <c r="W97" s="5">
        <v>0.3</v>
      </c>
      <c r="X97" s="5" t="s">
        <v>33</v>
      </c>
      <c r="Y97" s="5" t="s">
        <v>34</v>
      </c>
      <c r="Z97" s="5" t="s">
        <v>73</v>
      </c>
      <c r="AA97" s="5" t="s">
        <v>15</v>
      </c>
      <c r="AB97" s="5" t="s">
        <v>95</v>
      </c>
      <c r="AC97" s="5">
        <v>58.202453528229817</v>
      </c>
      <c r="AD97" s="5">
        <v>5.8254420169714543</v>
      </c>
      <c r="AE97" s="5">
        <v>13.835424790307204</v>
      </c>
      <c r="AF97" s="5">
        <v>17.060223049702117</v>
      </c>
      <c r="AG97" s="5">
        <v>3.2247982593949125</v>
      </c>
      <c r="AH97" s="5">
        <v>1.1442832533336786</v>
      </c>
      <c r="AI97" s="5">
        <v>4.3936430153227617</v>
      </c>
      <c r="AJ97" s="5">
        <v>17.25</v>
      </c>
      <c r="AK97" s="5">
        <v>1.3986000000000001</v>
      </c>
      <c r="AL97" s="5" t="s">
        <v>15</v>
      </c>
      <c r="AM97" s="5">
        <f t="shared" si="37"/>
        <v>44.407473378459805</v>
      </c>
      <c r="AN97" s="5">
        <v>67</v>
      </c>
      <c r="AO97" s="6" t="s">
        <v>90</v>
      </c>
      <c r="AP97" s="6" t="s">
        <v>317</v>
      </c>
    </row>
    <row r="98" spans="1:42" x14ac:dyDescent="0.3">
      <c r="A98" s="6">
        <v>95</v>
      </c>
      <c r="B98" s="3" t="s">
        <v>132</v>
      </c>
      <c r="C98" s="3" t="s">
        <v>94</v>
      </c>
      <c r="D98" s="3" t="s">
        <v>92</v>
      </c>
      <c r="E98" s="5">
        <v>13.86244561904762</v>
      </c>
      <c r="F98" s="5">
        <f t="shared" ref="F98:F100" si="38">50.1322751322751*(100/(100-K98))</f>
        <v>50.940860215053725</v>
      </c>
      <c r="G98" s="5">
        <f t="shared" ref="G98:G100" si="39">6.08465608465608*(100/(100-K98))</f>
        <v>6.1827956989247266</v>
      </c>
      <c r="H98" s="5">
        <f t="shared" ref="H98:H100" si="40">0.132275132275132*(100/(100-K98))</f>
        <v>0.13440860215053735</v>
      </c>
      <c r="I98" s="5">
        <f t="shared" ref="I98:I100" si="41">0.529100529100529*(100/(100-K98))</f>
        <v>0.53763440860215039</v>
      </c>
      <c r="J98" s="5">
        <f t="shared" ref="J98:J100" si="42">41.5343915343915*(100/(100-K98))</f>
        <v>42.204301075268788</v>
      </c>
      <c r="K98" s="5">
        <v>1.5873015873015874</v>
      </c>
      <c r="L98" s="5">
        <v>24.4</v>
      </c>
      <c r="M98" s="5">
        <v>86.63000000000001</v>
      </c>
      <c r="N98" s="5">
        <v>11.9</v>
      </c>
      <c r="O98" s="5" t="s">
        <v>15</v>
      </c>
      <c r="P98" s="5" t="s">
        <v>15</v>
      </c>
      <c r="Q98" s="5" t="s">
        <v>15</v>
      </c>
      <c r="R98" s="5">
        <v>770</v>
      </c>
      <c r="S98" s="5" t="s">
        <v>39</v>
      </c>
      <c r="T98" s="5" t="s">
        <v>75</v>
      </c>
      <c r="U98" s="5" t="s">
        <v>15</v>
      </c>
      <c r="V98" s="5" t="s">
        <v>15</v>
      </c>
      <c r="W98" s="5">
        <v>0.38</v>
      </c>
      <c r="X98" s="5" t="s">
        <v>33</v>
      </c>
      <c r="Y98" s="5" t="s">
        <v>34</v>
      </c>
      <c r="Z98" s="5" t="s">
        <v>73</v>
      </c>
      <c r="AA98" s="5" t="s">
        <v>15</v>
      </c>
      <c r="AB98" s="5" t="s">
        <v>95</v>
      </c>
      <c r="AC98" s="5">
        <v>60.214284919561408</v>
      </c>
      <c r="AD98" s="5">
        <v>5.7288268983749715</v>
      </c>
      <c r="AE98" s="5">
        <v>12.741701205006402</v>
      </c>
      <c r="AF98" s="5">
        <v>16.297524797101211</v>
      </c>
      <c r="AG98" s="5">
        <v>3.160732081862053</v>
      </c>
      <c r="AH98" s="5">
        <v>1.1852745306982699</v>
      </c>
      <c r="AI98" s="5">
        <v>4.2454069488849218</v>
      </c>
      <c r="AJ98" s="5">
        <v>9.5</v>
      </c>
      <c r="AK98" s="5">
        <v>1.7387999999999999</v>
      </c>
      <c r="AL98" s="5" t="s">
        <v>15</v>
      </c>
      <c r="AM98" s="5">
        <f t="shared" si="37"/>
        <v>53.251163651657706</v>
      </c>
      <c r="AN98" s="5">
        <v>80</v>
      </c>
      <c r="AO98" s="6" t="s">
        <v>90</v>
      </c>
      <c r="AP98" s="6" t="s">
        <v>317</v>
      </c>
    </row>
    <row r="99" spans="1:42" x14ac:dyDescent="0.3">
      <c r="A99" s="6">
        <v>96</v>
      </c>
      <c r="B99" s="3" t="s">
        <v>132</v>
      </c>
      <c r="C99" s="3" t="s">
        <v>94</v>
      </c>
      <c r="D99" s="3" t="s">
        <v>92</v>
      </c>
      <c r="E99" s="5">
        <v>13.86244561904762</v>
      </c>
      <c r="F99" s="5">
        <f t="shared" si="38"/>
        <v>50.940860215053725</v>
      </c>
      <c r="G99" s="5">
        <f t="shared" si="39"/>
        <v>6.1827956989247266</v>
      </c>
      <c r="H99" s="5">
        <f t="shared" si="40"/>
        <v>0.13440860215053735</v>
      </c>
      <c r="I99" s="5">
        <f t="shared" si="41"/>
        <v>0.53763440860215039</v>
      </c>
      <c r="J99" s="5">
        <f t="shared" si="42"/>
        <v>42.204301075268788</v>
      </c>
      <c r="K99" s="5">
        <v>1.5873015873015874</v>
      </c>
      <c r="L99" s="5">
        <v>24.4</v>
      </c>
      <c r="M99" s="5">
        <v>86.63000000000001</v>
      </c>
      <c r="N99" s="5">
        <v>11.9</v>
      </c>
      <c r="O99" s="5" t="s">
        <v>15</v>
      </c>
      <c r="P99" s="5" t="s">
        <v>15</v>
      </c>
      <c r="Q99" s="5" t="s">
        <v>15</v>
      </c>
      <c r="R99" s="5">
        <v>785</v>
      </c>
      <c r="S99" s="5" t="s">
        <v>39</v>
      </c>
      <c r="T99" s="5" t="s">
        <v>75</v>
      </c>
      <c r="U99" s="5" t="s">
        <v>15</v>
      </c>
      <c r="V99" s="5" t="s">
        <v>15</v>
      </c>
      <c r="W99" s="5">
        <v>0.43</v>
      </c>
      <c r="X99" s="5" t="s">
        <v>33</v>
      </c>
      <c r="Y99" s="5" t="s">
        <v>34</v>
      </c>
      <c r="Z99" s="5" t="s">
        <v>73</v>
      </c>
      <c r="AA99" s="5" t="s">
        <v>15</v>
      </c>
      <c r="AB99" s="5" t="s">
        <v>95</v>
      </c>
      <c r="AC99" s="5">
        <v>60.312764278195395</v>
      </c>
      <c r="AD99" s="5">
        <v>6.1239637002286837</v>
      </c>
      <c r="AE99" s="5">
        <v>12.643021832730186</v>
      </c>
      <c r="AF99" s="5">
        <v>16.198871723185551</v>
      </c>
      <c r="AG99" s="5">
        <v>3.1607554581825466</v>
      </c>
      <c r="AH99" s="5">
        <v>0.8889624726138412</v>
      </c>
      <c r="AI99" s="5">
        <v>4.088192808111101</v>
      </c>
      <c r="AJ99" s="5">
        <v>6.5</v>
      </c>
      <c r="AK99" s="5">
        <v>1.9656000000000002</v>
      </c>
      <c r="AL99" s="5" t="s">
        <v>15</v>
      </c>
      <c r="AM99" s="5">
        <f t="shared" si="37"/>
        <v>57.967778590104622</v>
      </c>
      <c r="AN99" s="5">
        <v>88</v>
      </c>
      <c r="AO99" s="6" t="s">
        <v>90</v>
      </c>
      <c r="AP99" s="6" t="s">
        <v>317</v>
      </c>
    </row>
    <row r="100" spans="1:42" x14ac:dyDescent="0.3">
      <c r="A100" s="6">
        <v>97</v>
      </c>
      <c r="B100" s="3" t="s">
        <v>132</v>
      </c>
      <c r="C100" s="3" t="s">
        <v>94</v>
      </c>
      <c r="D100" s="3" t="s">
        <v>92</v>
      </c>
      <c r="E100" s="5">
        <v>13.86244561904762</v>
      </c>
      <c r="F100" s="5">
        <f t="shared" si="38"/>
        <v>50.940860215053725</v>
      </c>
      <c r="G100" s="5">
        <f t="shared" si="39"/>
        <v>6.1827956989247266</v>
      </c>
      <c r="H100" s="5">
        <f t="shared" si="40"/>
        <v>0.13440860215053735</v>
      </c>
      <c r="I100" s="5">
        <f t="shared" si="41"/>
        <v>0.53763440860215039</v>
      </c>
      <c r="J100" s="5">
        <f t="shared" si="42"/>
        <v>42.204301075268788</v>
      </c>
      <c r="K100" s="5">
        <v>1.5873015873015874</v>
      </c>
      <c r="L100" s="5">
        <v>24.4</v>
      </c>
      <c r="M100" s="5">
        <v>86.63000000000001</v>
      </c>
      <c r="N100" s="5">
        <v>11.9</v>
      </c>
      <c r="O100" s="5" t="s">
        <v>15</v>
      </c>
      <c r="P100" s="5" t="s">
        <v>15</v>
      </c>
      <c r="Q100" s="5" t="s">
        <v>15</v>
      </c>
      <c r="R100" s="5">
        <v>810</v>
      </c>
      <c r="S100" s="5" t="s">
        <v>39</v>
      </c>
      <c r="T100" s="5" t="s">
        <v>75</v>
      </c>
      <c r="U100" s="5" t="s">
        <v>15</v>
      </c>
      <c r="V100" s="5" t="s">
        <v>15</v>
      </c>
      <c r="W100" s="5">
        <v>0.46</v>
      </c>
      <c r="X100" s="5" t="s">
        <v>33</v>
      </c>
      <c r="Y100" s="5" t="s">
        <v>34</v>
      </c>
      <c r="Z100" s="5" t="s">
        <v>73</v>
      </c>
      <c r="AA100" s="5" t="s">
        <v>15</v>
      </c>
      <c r="AB100" s="5" t="s">
        <v>95</v>
      </c>
      <c r="AC100" s="5">
        <v>61.897275980775966</v>
      </c>
      <c r="AD100" s="5">
        <v>5.4729024098934973</v>
      </c>
      <c r="AE100" s="5">
        <v>12.361210615449107</v>
      </c>
      <c r="AF100" s="5">
        <v>15.758184525038175</v>
      </c>
      <c r="AG100" s="5">
        <v>3.0195323640791711</v>
      </c>
      <c r="AH100" s="5">
        <v>0.84924347739726691</v>
      </c>
      <c r="AI100" s="5">
        <v>3.9000794452930325</v>
      </c>
      <c r="AJ100" s="5">
        <v>4.25</v>
      </c>
      <c r="AK100" s="5">
        <v>2.0411999999999999</v>
      </c>
      <c r="AL100" s="5" t="s">
        <v>15</v>
      </c>
      <c r="AM100" s="5">
        <f t="shared" si="37"/>
        <v>57.427400492692172</v>
      </c>
      <c r="AN100" s="5">
        <v>92</v>
      </c>
      <c r="AO100" s="6" t="s">
        <v>90</v>
      </c>
      <c r="AP100" s="6" t="s">
        <v>317</v>
      </c>
    </row>
    <row r="101" spans="1:42" x14ac:dyDescent="0.3">
      <c r="A101" s="6">
        <v>98</v>
      </c>
      <c r="B101" s="3" t="s">
        <v>133</v>
      </c>
      <c r="C101" s="3" t="s">
        <v>94</v>
      </c>
      <c r="D101" s="3" t="s">
        <v>92</v>
      </c>
      <c r="E101" s="5">
        <f>17.8-(9*((G101/100)*((100+L101)/100))*Calculations!$B$16)</f>
        <v>16.185036945169713</v>
      </c>
      <c r="F101" s="5">
        <f>54.2199488491049*(100/(100-K101))</f>
        <v>55.35248041775462</v>
      </c>
      <c r="G101" s="5">
        <f>6.39386189258312*(100/(100-K101))</f>
        <v>6.5274151436031334</v>
      </c>
      <c r="H101" s="5">
        <f>0.255754475703325*(100/(100-K101))</f>
        <v>0.26109660574412552</v>
      </c>
      <c r="I101" s="5">
        <f>0.895140664961637*(100/(100-K101))</f>
        <v>0.91383812010443899</v>
      </c>
      <c r="J101" s="5">
        <f>36.1892583120205*(100/(100-K101))</f>
        <v>36.945169712793778</v>
      </c>
      <c r="K101" s="5">
        <v>2.0460358056265986</v>
      </c>
      <c r="L101" s="5">
        <v>21.8</v>
      </c>
      <c r="M101" s="5">
        <v>84.360000000000014</v>
      </c>
      <c r="N101" s="5">
        <v>13.8</v>
      </c>
      <c r="O101" s="5" t="s">
        <v>15</v>
      </c>
      <c r="P101" s="5" t="s">
        <v>15</v>
      </c>
      <c r="Q101" s="5" t="s">
        <v>15</v>
      </c>
      <c r="R101" s="5">
        <v>745</v>
      </c>
      <c r="S101" s="5" t="s">
        <v>39</v>
      </c>
      <c r="T101" s="5" t="s">
        <v>75</v>
      </c>
      <c r="U101" s="5" t="s">
        <v>15</v>
      </c>
      <c r="V101" s="5" t="s">
        <v>15</v>
      </c>
      <c r="W101" s="5">
        <v>0.3</v>
      </c>
      <c r="X101" s="5" t="s">
        <v>33</v>
      </c>
      <c r="Y101" s="5" t="s">
        <v>34</v>
      </c>
      <c r="Z101" s="5" t="s">
        <v>73</v>
      </c>
      <c r="AA101" s="5" t="s">
        <v>15</v>
      </c>
      <c r="AB101" s="5" t="s">
        <v>95</v>
      </c>
      <c r="AC101" s="5">
        <v>59.279175518737858</v>
      </c>
      <c r="AD101" s="5">
        <v>5.4863386277149599</v>
      </c>
      <c r="AE101" s="5">
        <v>14.020643159716009</v>
      </c>
      <c r="AF101" s="5">
        <v>15.646224975335256</v>
      </c>
      <c r="AG101" s="5">
        <v>3.6575590851433066</v>
      </c>
      <c r="AH101" s="5">
        <v>1.2191863617144356</v>
      </c>
      <c r="AI101" s="5">
        <v>4.5998341359055575</v>
      </c>
      <c r="AJ101" s="5">
        <v>15</v>
      </c>
      <c r="AK101" s="5">
        <v>1.7204000000000002</v>
      </c>
      <c r="AL101" s="5" t="s">
        <v>15</v>
      </c>
      <c r="AM101" s="5">
        <f t="shared" si="37"/>
        <v>48.894263721613903</v>
      </c>
      <c r="AN101" s="5">
        <v>74</v>
      </c>
      <c r="AO101" s="6" t="s">
        <v>90</v>
      </c>
      <c r="AP101" s="6" t="s">
        <v>317</v>
      </c>
    </row>
    <row r="102" spans="1:42" x14ac:dyDescent="0.3">
      <c r="A102" s="6">
        <v>99</v>
      </c>
      <c r="B102" s="3" t="s">
        <v>133</v>
      </c>
      <c r="C102" s="3" t="s">
        <v>94</v>
      </c>
      <c r="D102" s="3" t="s">
        <v>92</v>
      </c>
      <c r="E102" s="5">
        <v>16.218079667519198</v>
      </c>
      <c r="F102" s="5">
        <f t="shared" ref="F102:F105" si="43">54.2199488491049*(100/(100-K102))</f>
        <v>55.35248041775462</v>
      </c>
      <c r="G102" s="5">
        <f t="shared" ref="G102:G105" si="44">6.39386189258312*(100/(100-K102))</f>
        <v>6.5274151436031334</v>
      </c>
      <c r="H102" s="5">
        <f t="shared" ref="H102:H105" si="45">0.255754475703325*(100/(100-K102))</f>
        <v>0.26109660574412552</v>
      </c>
      <c r="I102" s="5">
        <f t="shared" ref="I102:I105" si="46">0.895140664961637*(100/(100-K102))</f>
        <v>0.91383812010443899</v>
      </c>
      <c r="J102" s="5">
        <f t="shared" ref="J102:J105" si="47">36.1892583120205*(100/(100-K102))</f>
        <v>36.945169712793778</v>
      </c>
      <c r="K102" s="5">
        <v>2.0460358056265986</v>
      </c>
      <c r="L102" s="5">
        <v>21.8</v>
      </c>
      <c r="M102" s="5">
        <v>84.360000000000014</v>
      </c>
      <c r="N102" s="5">
        <v>13.8</v>
      </c>
      <c r="O102" s="5" t="s">
        <v>15</v>
      </c>
      <c r="P102" s="5" t="s">
        <v>15</v>
      </c>
      <c r="Q102" s="5" t="s">
        <v>15</v>
      </c>
      <c r="R102" s="5">
        <v>770</v>
      </c>
      <c r="S102" s="5" t="s">
        <v>39</v>
      </c>
      <c r="T102" s="5" t="s">
        <v>75</v>
      </c>
      <c r="U102" s="5" t="s">
        <v>15</v>
      </c>
      <c r="V102" s="5" t="s">
        <v>15</v>
      </c>
      <c r="W102" s="5">
        <v>0.34</v>
      </c>
      <c r="X102" s="5" t="s">
        <v>33</v>
      </c>
      <c r="Y102" s="5" t="s">
        <v>34</v>
      </c>
      <c r="Z102" s="5" t="s">
        <v>73</v>
      </c>
      <c r="AA102" s="5" t="s">
        <v>15</v>
      </c>
      <c r="AB102" s="5" t="s">
        <v>95</v>
      </c>
      <c r="AC102" s="5">
        <v>59.416463624786587</v>
      </c>
      <c r="AD102" s="5">
        <v>6.1211970400020226</v>
      </c>
      <c r="AE102" s="5">
        <v>13.67067338933785</v>
      </c>
      <c r="AF102" s="5">
        <v>15.507032501338458</v>
      </c>
      <c r="AG102" s="5">
        <v>3.4686783226678126</v>
      </c>
      <c r="AH102" s="5">
        <v>1.1222194573337041</v>
      </c>
      <c r="AI102" s="5">
        <v>4.4882433199243632</v>
      </c>
      <c r="AJ102" s="5">
        <v>12</v>
      </c>
      <c r="AK102" s="5">
        <v>1.8767999999999998</v>
      </c>
      <c r="AL102" s="5" t="s">
        <v>15</v>
      </c>
      <c r="AM102" s="5">
        <f t="shared" si="37"/>
        <v>51.939164411088086</v>
      </c>
      <c r="AN102" s="5">
        <v>80</v>
      </c>
      <c r="AO102" s="6" t="s">
        <v>90</v>
      </c>
      <c r="AP102" s="6" t="s">
        <v>317</v>
      </c>
    </row>
    <row r="103" spans="1:42" x14ac:dyDescent="0.3">
      <c r="A103" s="6">
        <v>100</v>
      </c>
      <c r="B103" s="3" t="s">
        <v>133</v>
      </c>
      <c r="C103" s="3" t="s">
        <v>94</v>
      </c>
      <c r="D103" s="3" t="s">
        <v>92</v>
      </c>
      <c r="E103" s="5">
        <v>16.218079667519184</v>
      </c>
      <c r="F103" s="5">
        <f t="shared" si="43"/>
        <v>55.35248041775462</v>
      </c>
      <c r="G103" s="5">
        <f t="shared" si="44"/>
        <v>6.5274151436031334</v>
      </c>
      <c r="H103" s="5">
        <f t="shared" si="45"/>
        <v>0.26109660574412552</v>
      </c>
      <c r="I103" s="5">
        <f t="shared" si="46"/>
        <v>0.91383812010443899</v>
      </c>
      <c r="J103" s="5">
        <f t="shared" si="47"/>
        <v>36.945169712793778</v>
      </c>
      <c r="K103" s="5">
        <v>2.0460358056265986</v>
      </c>
      <c r="L103" s="5">
        <v>21.8</v>
      </c>
      <c r="M103" s="5">
        <v>84.360000000000014</v>
      </c>
      <c r="N103" s="5">
        <v>13.8</v>
      </c>
      <c r="O103" s="5" t="s">
        <v>15</v>
      </c>
      <c r="P103" s="5" t="s">
        <v>15</v>
      </c>
      <c r="Q103" s="5" t="s">
        <v>15</v>
      </c>
      <c r="R103" s="5">
        <v>775</v>
      </c>
      <c r="S103" s="5" t="s">
        <v>39</v>
      </c>
      <c r="T103" s="5" t="s">
        <v>75</v>
      </c>
      <c r="U103" s="5" t="s">
        <v>15</v>
      </c>
      <c r="V103" s="5" t="s">
        <v>15</v>
      </c>
      <c r="W103" s="5">
        <v>0.38</v>
      </c>
      <c r="X103" s="5" t="s">
        <v>33</v>
      </c>
      <c r="Y103" s="5" t="s">
        <v>34</v>
      </c>
      <c r="Z103" s="5" t="s">
        <v>73</v>
      </c>
      <c r="AA103" s="5" t="s">
        <v>15</v>
      </c>
      <c r="AB103" s="5" t="s">
        <v>95</v>
      </c>
      <c r="AC103" s="5">
        <v>60.473979960454308</v>
      </c>
      <c r="AD103" s="5">
        <v>6.295831962496079</v>
      </c>
      <c r="AE103" s="5">
        <v>12.985153422648162</v>
      </c>
      <c r="AF103" s="5">
        <v>15.050973285342188</v>
      </c>
      <c r="AG103" s="5">
        <v>3.4430331044900431</v>
      </c>
      <c r="AH103" s="5">
        <v>1.0820961185540137</v>
      </c>
      <c r="AI103" s="5">
        <v>4.38505495349282</v>
      </c>
      <c r="AJ103" s="5">
        <v>8.5</v>
      </c>
      <c r="AK103" s="5">
        <v>2.1114000000000002</v>
      </c>
      <c r="AL103" s="5" t="s">
        <v>15</v>
      </c>
      <c r="AM103" s="5">
        <f t="shared" si="37"/>
        <v>57.088170847670973</v>
      </c>
      <c r="AN103" s="5">
        <v>86</v>
      </c>
      <c r="AO103" s="6" t="s">
        <v>90</v>
      </c>
      <c r="AP103" s="6" t="s">
        <v>317</v>
      </c>
    </row>
    <row r="104" spans="1:42" x14ac:dyDescent="0.3">
      <c r="A104" s="6">
        <v>101</v>
      </c>
      <c r="B104" s="3" t="s">
        <v>133</v>
      </c>
      <c r="C104" s="3" t="s">
        <v>94</v>
      </c>
      <c r="D104" s="3" t="s">
        <v>92</v>
      </c>
      <c r="E104" s="5">
        <v>16.218079667519184</v>
      </c>
      <c r="F104" s="5">
        <f t="shared" si="43"/>
        <v>55.35248041775462</v>
      </c>
      <c r="G104" s="5">
        <f t="shared" si="44"/>
        <v>6.5274151436031334</v>
      </c>
      <c r="H104" s="5">
        <f t="shared" si="45"/>
        <v>0.26109660574412552</v>
      </c>
      <c r="I104" s="5">
        <f t="shared" si="46"/>
        <v>0.91383812010443899</v>
      </c>
      <c r="J104" s="5">
        <f t="shared" si="47"/>
        <v>36.945169712793778</v>
      </c>
      <c r="K104" s="5">
        <v>2.0460358056265986</v>
      </c>
      <c r="L104" s="5">
        <v>21.8</v>
      </c>
      <c r="M104" s="5">
        <v>84.360000000000014</v>
      </c>
      <c r="N104" s="5">
        <v>13.8</v>
      </c>
      <c r="O104" s="5" t="s">
        <v>15</v>
      </c>
      <c r="P104" s="5" t="s">
        <v>15</v>
      </c>
      <c r="Q104" s="5" t="s">
        <v>15</v>
      </c>
      <c r="R104" s="5">
        <v>790</v>
      </c>
      <c r="S104" s="5" t="s">
        <v>39</v>
      </c>
      <c r="T104" s="5" t="s">
        <v>75</v>
      </c>
      <c r="U104" s="5" t="s">
        <v>15</v>
      </c>
      <c r="V104" s="5" t="s">
        <v>15</v>
      </c>
      <c r="W104" s="5">
        <v>0.4</v>
      </c>
      <c r="X104" s="5" t="s">
        <v>33</v>
      </c>
      <c r="Y104" s="5" t="s">
        <v>34</v>
      </c>
      <c r="Z104" s="5" t="s">
        <v>73</v>
      </c>
      <c r="AA104" s="5" t="s">
        <v>15</v>
      </c>
      <c r="AB104" s="5" t="s">
        <v>95</v>
      </c>
      <c r="AC104" s="5">
        <v>60.684428735733917</v>
      </c>
      <c r="AD104" s="5">
        <v>6.0817500458695042</v>
      </c>
      <c r="AE104" s="5">
        <v>12.948242033141524</v>
      </c>
      <c r="AF104" s="5">
        <v>15.204375114673759</v>
      </c>
      <c r="AG104" s="5">
        <v>3.4332459936360102</v>
      </c>
      <c r="AH104" s="5">
        <v>0.98092742675314581</v>
      </c>
      <c r="AI104" s="5">
        <v>4.2889635164928457</v>
      </c>
      <c r="AJ104" s="5">
        <v>7</v>
      </c>
      <c r="AK104" s="5">
        <v>2.1505000000000001</v>
      </c>
      <c r="AL104" s="5" t="s">
        <v>15</v>
      </c>
      <c r="AM104" s="5">
        <f t="shared" si="37"/>
        <v>56.871197030127391</v>
      </c>
      <c r="AN104" s="5">
        <v>88</v>
      </c>
      <c r="AO104" s="6" t="s">
        <v>90</v>
      </c>
      <c r="AP104" s="6" t="s">
        <v>317</v>
      </c>
    </row>
    <row r="105" spans="1:42" ht="14.5" thickBot="1" x14ac:dyDescent="0.35">
      <c r="A105" s="6">
        <v>102</v>
      </c>
      <c r="B105" s="3" t="s">
        <v>133</v>
      </c>
      <c r="C105" s="3" t="s">
        <v>94</v>
      </c>
      <c r="D105" s="3" t="s">
        <v>92</v>
      </c>
      <c r="E105" s="5">
        <v>16.218079667519184</v>
      </c>
      <c r="F105" s="5">
        <f t="shared" si="43"/>
        <v>55.35248041775462</v>
      </c>
      <c r="G105" s="5">
        <f t="shared" si="44"/>
        <v>6.5274151436031334</v>
      </c>
      <c r="H105" s="5">
        <f t="shared" si="45"/>
        <v>0.26109660574412552</v>
      </c>
      <c r="I105" s="5">
        <f t="shared" si="46"/>
        <v>0.91383812010443899</v>
      </c>
      <c r="J105" s="5">
        <f t="shared" si="47"/>
        <v>36.945169712793778</v>
      </c>
      <c r="K105" s="5">
        <v>2.0460358056265986</v>
      </c>
      <c r="L105" s="5">
        <v>21.8</v>
      </c>
      <c r="M105" s="5">
        <v>84.360000000000014</v>
      </c>
      <c r="N105" s="5">
        <v>13.8</v>
      </c>
      <c r="O105" s="5" t="s">
        <v>15</v>
      </c>
      <c r="P105" s="5" t="s">
        <v>15</v>
      </c>
      <c r="Q105" s="5" t="s">
        <v>15</v>
      </c>
      <c r="R105" s="5">
        <v>825</v>
      </c>
      <c r="S105" s="5" t="s">
        <v>39</v>
      </c>
      <c r="T105" s="5" t="s">
        <v>75</v>
      </c>
      <c r="U105" s="5" t="s">
        <v>15</v>
      </c>
      <c r="V105" s="5" t="s">
        <v>15</v>
      </c>
      <c r="W105" s="5">
        <v>0.45</v>
      </c>
      <c r="X105" s="5" t="s">
        <v>33</v>
      </c>
      <c r="Y105" s="5" t="s">
        <v>34</v>
      </c>
      <c r="Z105" s="5" t="s">
        <v>73</v>
      </c>
      <c r="AA105" s="5" t="s">
        <v>15</v>
      </c>
      <c r="AB105" s="5" t="s">
        <v>95</v>
      </c>
      <c r="AC105" s="5">
        <v>61.60035038174729</v>
      </c>
      <c r="AD105" s="5">
        <v>5.5568355235994433</v>
      </c>
      <c r="AE105" s="5">
        <v>12.742398700667689</v>
      </c>
      <c r="AF105" s="5">
        <v>15.233393935384681</v>
      </c>
      <c r="AG105" s="5">
        <v>3.3532628159651812</v>
      </c>
      <c r="AH105" s="5">
        <v>0.86226758124818947</v>
      </c>
      <c r="AI105" s="5">
        <v>4.0985470512082012</v>
      </c>
      <c r="AJ105" s="5">
        <v>3</v>
      </c>
      <c r="AK105" s="5">
        <v>2.3460000000000001</v>
      </c>
      <c r="AL105" s="5" t="s">
        <v>15</v>
      </c>
      <c r="AM105" s="5">
        <f t="shared" si="37"/>
        <v>59.286867368097219</v>
      </c>
      <c r="AN105" s="5">
        <v>95</v>
      </c>
      <c r="AO105" s="6" t="s">
        <v>90</v>
      </c>
      <c r="AP105" s="6" t="s">
        <v>317</v>
      </c>
    </row>
    <row r="106" spans="1:42" ht="14.5" thickBot="1" x14ac:dyDescent="0.35">
      <c r="A106" s="6">
        <v>103</v>
      </c>
      <c r="B106" s="3" t="s">
        <v>109</v>
      </c>
      <c r="C106" s="3" t="s">
        <v>93</v>
      </c>
      <c r="D106" s="3">
        <v>11</v>
      </c>
      <c r="E106" s="5">
        <v>20.004999999999999</v>
      </c>
      <c r="F106" s="5">
        <f>50.4*(100/(100-K106))</f>
        <v>50.653266331658287</v>
      </c>
      <c r="G106" s="5">
        <f>(100/(100-K106))*5.6</f>
        <v>5.6281407035175874</v>
      </c>
      <c r="H106" s="5">
        <f>(100/(100-K106))*0.12</f>
        <v>0.12060301507537687</v>
      </c>
      <c r="I106" s="5">
        <f>(100/(100-K106))*0.017</f>
        <v>1.7085427135678392E-2</v>
      </c>
      <c r="J106" s="5">
        <f>(100/(100-K106))*43.4</f>
        <v>43.618090452261299</v>
      </c>
      <c r="K106" s="5">
        <v>0.5</v>
      </c>
      <c r="L106" s="5">
        <v>6.6</v>
      </c>
      <c r="M106" s="5">
        <v>82.2</v>
      </c>
      <c r="N106" s="5" t="s">
        <v>15</v>
      </c>
      <c r="O106" s="22">
        <v>40.6</v>
      </c>
      <c r="P106" s="13">
        <v>29.6</v>
      </c>
      <c r="Q106" s="19">
        <v>26.3</v>
      </c>
      <c r="R106" s="5">
        <v>594</v>
      </c>
      <c r="S106" s="5" t="s">
        <v>115</v>
      </c>
      <c r="T106" s="5" t="s">
        <v>15</v>
      </c>
      <c r="U106" s="5">
        <v>255</v>
      </c>
      <c r="V106" s="5" t="s">
        <v>15</v>
      </c>
      <c r="W106" s="5">
        <v>0.49</v>
      </c>
      <c r="X106" s="5" t="s">
        <v>33</v>
      </c>
      <c r="Y106" s="5" t="s">
        <v>114</v>
      </c>
      <c r="Z106" s="5" t="s">
        <v>15</v>
      </c>
      <c r="AA106" s="5" t="s">
        <v>15</v>
      </c>
      <c r="AB106" s="5" t="s">
        <v>86</v>
      </c>
      <c r="AC106" s="5">
        <f t="shared" ref="AC106:AC120" si="48">100-AD106-AE106-AF106-AG106</f>
        <v>56.29999999999999</v>
      </c>
      <c r="AD106" s="5">
        <v>11.9</v>
      </c>
      <c r="AE106" s="5">
        <v>19.7</v>
      </c>
      <c r="AF106" s="5">
        <v>10</v>
      </c>
      <c r="AG106" s="5">
        <v>2.1</v>
      </c>
      <c r="AH106" s="5" t="s">
        <v>15</v>
      </c>
      <c r="AI106" s="5">
        <v>4.5</v>
      </c>
      <c r="AJ106" s="5">
        <v>26.77</v>
      </c>
      <c r="AK106" s="5">
        <v>2.06</v>
      </c>
      <c r="AL106" s="5">
        <v>242.25</v>
      </c>
      <c r="AM106" s="5">
        <v>45.1</v>
      </c>
      <c r="AN106" s="5">
        <v>67.3</v>
      </c>
      <c r="AO106" s="6" t="s">
        <v>108</v>
      </c>
      <c r="AP106" s="6" t="s">
        <v>318</v>
      </c>
    </row>
    <row r="107" spans="1:42" ht="14.5" thickBot="1" x14ac:dyDescent="0.35">
      <c r="A107" s="6">
        <v>104</v>
      </c>
      <c r="B107" s="3" t="s">
        <v>109</v>
      </c>
      <c r="C107" s="3" t="s">
        <v>93</v>
      </c>
      <c r="D107" s="3">
        <v>11</v>
      </c>
      <c r="E107" s="5">
        <v>20.004999999999999</v>
      </c>
      <c r="F107" s="5">
        <f t="shared" ref="F107:F108" si="49">50.4*(100/(100-K107))</f>
        <v>50.653266331658287</v>
      </c>
      <c r="G107" s="5">
        <f t="shared" ref="G107:G108" si="50">(100/(100-K107))*5.6</f>
        <v>5.6281407035175874</v>
      </c>
      <c r="H107" s="5">
        <f t="shared" ref="H107:H108" si="51">(100/(100-K107))*0.12</f>
        <v>0.12060301507537687</v>
      </c>
      <c r="I107" s="5">
        <f t="shared" ref="I107:I108" si="52">(100/(100-K107))*0.017</f>
        <v>1.7085427135678392E-2</v>
      </c>
      <c r="J107" s="5">
        <f t="shared" ref="J107:J108" si="53">(100/(100-K107))*43.4</f>
        <v>43.618090452261299</v>
      </c>
      <c r="K107" s="5">
        <v>0.5</v>
      </c>
      <c r="L107" s="5">
        <v>8.6</v>
      </c>
      <c r="M107" s="5">
        <v>82.2</v>
      </c>
      <c r="N107" s="5" t="s">
        <v>15</v>
      </c>
      <c r="O107" s="22">
        <v>40.6</v>
      </c>
      <c r="P107" s="13">
        <v>29.6</v>
      </c>
      <c r="Q107" s="19">
        <v>26.3</v>
      </c>
      <c r="R107" s="5">
        <v>684</v>
      </c>
      <c r="S107" s="5" t="s">
        <v>115</v>
      </c>
      <c r="T107" s="5" t="s">
        <v>15</v>
      </c>
      <c r="U107" s="5">
        <v>366</v>
      </c>
      <c r="V107" s="5" t="s">
        <v>15</v>
      </c>
      <c r="W107" s="5">
        <v>0.48499999999999999</v>
      </c>
      <c r="X107" s="5" t="s">
        <v>33</v>
      </c>
      <c r="Y107" s="5" t="s">
        <v>114</v>
      </c>
      <c r="Z107" s="5" t="s">
        <v>15</v>
      </c>
      <c r="AA107" s="5" t="s">
        <v>15</v>
      </c>
      <c r="AB107" s="5" t="s">
        <v>86</v>
      </c>
      <c r="AC107" s="5">
        <f t="shared" si="48"/>
        <v>57.700000000000017</v>
      </c>
      <c r="AD107" s="5">
        <v>10.3</v>
      </c>
      <c r="AE107" s="5">
        <v>19.399999999999999</v>
      </c>
      <c r="AF107" s="5">
        <v>10.3</v>
      </c>
      <c r="AG107" s="5">
        <v>2.2999999999999998</v>
      </c>
      <c r="AH107" s="5" t="s">
        <v>15</v>
      </c>
      <c r="AI107" s="5">
        <v>4.4000000000000004</v>
      </c>
      <c r="AJ107" s="5">
        <v>13.21</v>
      </c>
      <c r="AK107" s="5">
        <v>2.02</v>
      </c>
      <c r="AL107" s="5">
        <v>104.15</v>
      </c>
      <c r="AM107" s="5">
        <v>44.1</v>
      </c>
      <c r="AN107" s="5">
        <v>68.5</v>
      </c>
      <c r="AO107" s="6" t="s">
        <v>108</v>
      </c>
      <c r="AP107" s="6" t="s">
        <v>318</v>
      </c>
    </row>
    <row r="108" spans="1:42" ht="14.5" thickBot="1" x14ac:dyDescent="0.35">
      <c r="A108" s="6">
        <v>105</v>
      </c>
      <c r="B108" s="3" t="s">
        <v>109</v>
      </c>
      <c r="C108" s="3" t="s">
        <v>93</v>
      </c>
      <c r="D108" s="3">
        <v>11</v>
      </c>
      <c r="E108" s="5">
        <v>20.004999999999999</v>
      </c>
      <c r="F108" s="5">
        <f t="shared" si="49"/>
        <v>50.653266331658287</v>
      </c>
      <c r="G108" s="5">
        <f t="shared" si="50"/>
        <v>5.6281407035175874</v>
      </c>
      <c r="H108" s="5">
        <f t="shared" si="51"/>
        <v>0.12060301507537687</v>
      </c>
      <c r="I108" s="5">
        <f t="shared" si="52"/>
        <v>1.7085427135678392E-2</v>
      </c>
      <c r="J108" s="5">
        <f t="shared" si="53"/>
        <v>43.618090452261299</v>
      </c>
      <c r="K108" s="5">
        <v>0.5</v>
      </c>
      <c r="L108" s="5">
        <v>8.3000000000000007</v>
      </c>
      <c r="M108" s="5">
        <v>82.2</v>
      </c>
      <c r="N108" s="5" t="s">
        <v>15</v>
      </c>
      <c r="O108" s="22">
        <v>40.6</v>
      </c>
      <c r="P108" s="13">
        <v>29.6</v>
      </c>
      <c r="Q108" s="19">
        <v>26.3</v>
      </c>
      <c r="R108" s="5">
        <v>625</v>
      </c>
      <c r="S108" s="5" t="s">
        <v>115</v>
      </c>
      <c r="T108" s="5" t="s">
        <v>15</v>
      </c>
      <c r="U108" s="5">
        <v>336</v>
      </c>
      <c r="V108" s="5" t="s">
        <v>15</v>
      </c>
      <c r="W108" s="5">
        <v>0.5</v>
      </c>
      <c r="X108" s="5" t="s">
        <v>33</v>
      </c>
      <c r="Y108" s="5" t="s">
        <v>114</v>
      </c>
      <c r="Z108" s="5" t="s">
        <v>15</v>
      </c>
      <c r="AA108" s="5" t="s">
        <v>15</v>
      </c>
      <c r="AB108" s="5" t="s">
        <v>86</v>
      </c>
      <c r="AC108" s="5">
        <f t="shared" si="48"/>
        <v>59.2</v>
      </c>
      <c r="AD108" s="5">
        <v>11</v>
      </c>
      <c r="AE108" s="5">
        <v>18.5</v>
      </c>
      <c r="AF108" s="5">
        <v>9.5</v>
      </c>
      <c r="AG108" s="5">
        <v>1.8</v>
      </c>
      <c r="AH108" s="5" t="s">
        <v>15</v>
      </c>
      <c r="AI108" s="5">
        <v>4.2</v>
      </c>
      <c r="AJ108" s="5">
        <v>9.94</v>
      </c>
      <c r="AK108" s="5">
        <v>2.17</v>
      </c>
      <c r="AL108" s="5">
        <v>48.41</v>
      </c>
      <c r="AM108" s="5">
        <v>44.3</v>
      </c>
      <c r="AN108" s="5">
        <v>68.5</v>
      </c>
      <c r="AO108" s="6" t="s">
        <v>108</v>
      </c>
      <c r="AP108" s="6" t="s">
        <v>318</v>
      </c>
    </row>
    <row r="109" spans="1:42" ht="14.5" thickBot="1" x14ac:dyDescent="0.35">
      <c r="A109" s="6">
        <v>106</v>
      </c>
      <c r="B109" s="3" t="s">
        <v>111</v>
      </c>
      <c r="C109" s="3" t="s">
        <v>93</v>
      </c>
      <c r="D109" s="3">
        <v>11</v>
      </c>
      <c r="E109" s="5">
        <v>18.896000000000001</v>
      </c>
      <c r="F109" s="5">
        <f>(100/(100-K109))*48.9</f>
        <v>49.59432048681542</v>
      </c>
      <c r="G109" s="5">
        <f>(100/(100-K109))*6</f>
        <v>6.0851926977687629</v>
      </c>
      <c r="H109" s="5">
        <f>(100/(100-K109))*0.2</f>
        <v>0.20283975659229211</v>
      </c>
      <c r="I109" s="5">
        <f>(100/(100-K109))*0.018</f>
        <v>1.8255578093306288E-2</v>
      </c>
      <c r="J109" s="5">
        <f>(100/(100-K109))*43.5</f>
        <v>44.117647058823529</v>
      </c>
      <c r="K109" s="5">
        <v>1.4</v>
      </c>
      <c r="L109" s="5">
        <v>7.4</v>
      </c>
      <c r="M109" s="5">
        <v>82.9</v>
      </c>
      <c r="N109" s="5" t="s">
        <v>15</v>
      </c>
      <c r="O109" s="22">
        <v>38.1</v>
      </c>
      <c r="P109" s="13">
        <v>26.1</v>
      </c>
      <c r="Q109" s="19">
        <v>25.9</v>
      </c>
      <c r="R109" s="5">
        <v>647</v>
      </c>
      <c r="S109" s="5" t="s">
        <v>115</v>
      </c>
      <c r="T109" s="5" t="s">
        <v>15</v>
      </c>
      <c r="U109" s="5">
        <v>282</v>
      </c>
      <c r="V109" s="5" t="s">
        <v>15</v>
      </c>
      <c r="W109" s="5">
        <v>0.52</v>
      </c>
      <c r="X109" s="5" t="s">
        <v>33</v>
      </c>
      <c r="Y109" s="5" t="s">
        <v>114</v>
      </c>
      <c r="Z109" s="5" t="s">
        <v>15</v>
      </c>
      <c r="AA109" s="5" t="s">
        <v>15</v>
      </c>
      <c r="AB109" s="5" t="s">
        <v>86</v>
      </c>
      <c r="AC109" s="5">
        <f t="shared" si="48"/>
        <v>57.999999999999993</v>
      </c>
      <c r="AD109" s="5">
        <v>9</v>
      </c>
      <c r="AE109" s="5">
        <v>21.7</v>
      </c>
      <c r="AF109" s="5">
        <v>9.1</v>
      </c>
      <c r="AG109" s="5">
        <v>2.2000000000000002</v>
      </c>
      <c r="AH109" s="5" t="s">
        <v>15</v>
      </c>
      <c r="AI109" s="5">
        <v>4.5</v>
      </c>
      <c r="AJ109" s="5">
        <v>22.41</v>
      </c>
      <c r="AK109" s="5">
        <v>2.13</v>
      </c>
      <c r="AL109" s="5">
        <v>93.06</v>
      </c>
      <c r="AM109" s="5">
        <v>52.5</v>
      </c>
      <c r="AN109" s="5">
        <v>79.5</v>
      </c>
      <c r="AO109" s="6" t="s">
        <v>108</v>
      </c>
      <c r="AP109" s="6" t="s">
        <v>318</v>
      </c>
    </row>
    <row r="110" spans="1:42" ht="15" customHeight="1" thickBot="1" x14ac:dyDescent="0.35">
      <c r="A110" s="6">
        <v>107</v>
      </c>
      <c r="B110" s="3" t="s">
        <v>111</v>
      </c>
      <c r="C110" s="3" t="s">
        <v>93</v>
      </c>
      <c r="D110" s="3">
        <v>11</v>
      </c>
      <c r="E110" s="5">
        <v>18.896000000000001</v>
      </c>
      <c r="F110" s="5">
        <f t="shared" ref="F110:F111" si="54">(100/(100-K110))*48.9</f>
        <v>49.59432048681542</v>
      </c>
      <c r="G110" s="5">
        <f t="shared" ref="G110:G111" si="55">(100/(100-K110))*6</f>
        <v>6.0851926977687629</v>
      </c>
      <c r="H110" s="5">
        <f t="shared" ref="H110:H111" si="56">(100/(100-K110))*0.2</f>
        <v>0.20283975659229211</v>
      </c>
      <c r="I110" s="5">
        <f t="shared" ref="I110:I111" si="57">(100/(100-K110))*0.018</f>
        <v>1.8255578093306288E-2</v>
      </c>
      <c r="J110" s="5">
        <f t="shared" ref="J110:J111" si="58">(100/(100-K110))*43.5</f>
        <v>44.117647058823529</v>
      </c>
      <c r="K110" s="5">
        <v>1.4</v>
      </c>
      <c r="L110" s="5">
        <v>6.7</v>
      </c>
      <c r="M110" s="5">
        <v>82.9</v>
      </c>
      <c r="N110" s="5" t="s">
        <v>15</v>
      </c>
      <c r="O110" s="22">
        <v>38.1</v>
      </c>
      <c r="P110" s="13">
        <v>26.1</v>
      </c>
      <c r="Q110" s="19">
        <v>25.9</v>
      </c>
      <c r="R110" s="5">
        <v>600</v>
      </c>
      <c r="S110" s="5" t="s">
        <v>115</v>
      </c>
      <c r="T110" s="5" t="s">
        <v>15</v>
      </c>
      <c r="U110" s="5">
        <v>250</v>
      </c>
      <c r="V110" s="5" t="s">
        <v>15</v>
      </c>
      <c r="W110" s="5">
        <v>0.56999999999999995</v>
      </c>
      <c r="X110" s="5" t="s">
        <v>33</v>
      </c>
      <c r="Y110" s="5" t="s">
        <v>114</v>
      </c>
      <c r="Z110" s="5" t="s">
        <v>15</v>
      </c>
      <c r="AA110" s="5" t="s">
        <v>15</v>
      </c>
      <c r="AB110" s="5" t="s">
        <v>86</v>
      </c>
      <c r="AC110" s="5">
        <f t="shared" si="48"/>
        <v>55.000000000000007</v>
      </c>
      <c r="AD110" s="5">
        <v>11.1</v>
      </c>
      <c r="AE110" s="5">
        <v>20.3</v>
      </c>
      <c r="AF110" s="5">
        <v>11.1</v>
      </c>
      <c r="AG110" s="5">
        <v>2.5</v>
      </c>
      <c r="AH110" s="5" t="s">
        <v>15</v>
      </c>
      <c r="AI110" s="5">
        <v>4.5999999999999996</v>
      </c>
      <c r="AJ110" s="5">
        <v>39.32</v>
      </c>
      <c r="AK110" s="5">
        <v>2.0499999999999998</v>
      </c>
      <c r="AL110" s="5">
        <v>82.99</v>
      </c>
      <c r="AM110" s="5">
        <v>50.9</v>
      </c>
      <c r="AN110" s="5">
        <v>76.5</v>
      </c>
      <c r="AO110" s="6" t="s">
        <v>108</v>
      </c>
      <c r="AP110" s="6" t="s">
        <v>318</v>
      </c>
    </row>
    <row r="111" spans="1:42" ht="14.5" thickBot="1" x14ac:dyDescent="0.35">
      <c r="A111" s="6">
        <v>108</v>
      </c>
      <c r="B111" s="3" t="s">
        <v>111</v>
      </c>
      <c r="C111" s="3" t="s">
        <v>93</v>
      </c>
      <c r="D111" s="3">
        <v>11</v>
      </c>
      <c r="E111" s="5">
        <v>18.896000000000001</v>
      </c>
      <c r="F111" s="5">
        <f t="shared" si="54"/>
        <v>49.59432048681542</v>
      </c>
      <c r="G111" s="5">
        <f t="shared" si="55"/>
        <v>6.0851926977687629</v>
      </c>
      <c r="H111" s="5">
        <f t="shared" si="56"/>
        <v>0.20283975659229211</v>
      </c>
      <c r="I111" s="5">
        <f t="shared" si="57"/>
        <v>1.8255578093306288E-2</v>
      </c>
      <c r="J111" s="5">
        <f t="shared" si="58"/>
        <v>44.117647058823529</v>
      </c>
      <c r="K111" s="5">
        <v>1.4</v>
      </c>
      <c r="L111" s="5">
        <v>6.7</v>
      </c>
      <c r="M111" s="5">
        <v>82.9</v>
      </c>
      <c r="N111" s="5" t="s">
        <v>15</v>
      </c>
      <c r="O111" s="22">
        <v>38.1</v>
      </c>
      <c r="P111" s="13">
        <v>26.1</v>
      </c>
      <c r="Q111" s="19">
        <v>25.9</v>
      </c>
      <c r="R111" s="5">
        <v>575</v>
      </c>
      <c r="S111" s="5" t="s">
        <v>115</v>
      </c>
      <c r="T111" s="5" t="s">
        <v>15</v>
      </c>
      <c r="U111" s="5">
        <v>347</v>
      </c>
      <c r="V111" s="5" t="s">
        <v>15</v>
      </c>
      <c r="W111" s="5">
        <v>0.51500000000000001</v>
      </c>
      <c r="X111" s="5" t="s">
        <v>33</v>
      </c>
      <c r="Y111" s="5" t="s">
        <v>114</v>
      </c>
      <c r="Z111" s="5" t="s">
        <v>15</v>
      </c>
      <c r="AA111" s="5" t="s">
        <v>15</v>
      </c>
      <c r="AB111" s="5" t="s">
        <v>86</v>
      </c>
      <c r="AC111" s="5">
        <f t="shared" si="48"/>
        <v>63.769999999999989</v>
      </c>
      <c r="AD111" s="5">
        <v>8.5</v>
      </c>
      <c r="AE111" s="5">
        <v>16.399999999999999</v>
      </c>
      <c r="AF111" s="5">
        <v>9.73</v>
      </c>
      <c r="AG111" s="5">
        <v>1.6</v>
      </c>
      <c r="AH111" s="5" t="s">
        <v>15</v>
      </c>
      <c r="AI111" s="5">
        <v>4.3</v>
      </c>
      <c r="AJ111" s="5">
        <v>30.91</v>
      </c>
      <c r="AK111" s="5">
        <v>2.3199999999999998</v>
      </c>
      <c r="AL111" s="5">
        <v>220.34</v>
      </c>
      <c r="AM111" s="5">
        <v>50</v>
      </c>
      <c r="AN111" s="5">
        <v>72.3</v>
      </c>
      <c r="AO111" s="6" t="s">
        <v>108</v>
      </c>
      <c r="AP111" s="6" t="s">
        <v>318</v>
      </c>
    </row>
    <row r="112" spans="1:42" ht="14.5" thickBot="1" x14ac:dyDescent="0.35">
      <c r="A112" s="6">
        <v>109</v>
      </c>
      <c r="B112" s="3" t="s">
        <v>112</v>
      </c>
      <c r="C112" s="3" t="s">
        <v>93</v>
      </c>
      <c r="D112" s="3">
        <v>11</v>
      </c>
      <c r="E112" s="5">
        <v>20.271000000000001</v>
      </c>
      <c r="F112" s="5">
        <f>(100/(100-K112))*50.7</f>
        <v>51.057401812688823</v>
      </c>
      <c r="G112" s="5">
        <f>(100/(100-K112))*6</f>
        <v>6.0422960725075523</v>
      </c>
      <c r="H112" s="5">
        <f>(100/(100-K112))*0.14</f>
        <v>0.14098690835850958</v>
      </c>
      <c r="I112" s="5">
        <f>(100/(100-K112))*0.011</f>
        <v>1.1077542799597179E-2</v>
      </c>
      <c r="J112" s="5">
        <f>(100/(100-K112))*42.4</f>
        <v>42.698892245720039</v>
      </c>
      <c r="K112" s="5">
        <v>0.7</v>
      </c>
      <c r="L112" s="5">
        <v>6.3</v>
      </c>
      <c r="M112" s="5">
        <v>82.6</v>
      </c>
      <c r="N112" s="5" t="s">
        <v>15</v>
      </c>
      <c r="O112" s="22">
        <v>44.5</v>
      </c>
      <c r="P112" s="13">
        <v>20.6</v>
      </c>
      <c r="Q112" s="19">
        <v>27.8</v>
      </c>
      <c r="R112" s="5">
        <v>565</v>
      </c>
      <c r="S112" s="5" t="s">
        <v>115</v>
      </c>
      <c r="T112" s="5" t="s">
        <v>15</v>
      </c>
      <c r="U112" s="5">
        <v>250</v>
      </c>
      <c r="V112" s="5" t="s">
        <v>15</v>
      </c>
      <c r="W112" s="5">
        <v>0.48499999999999999</v>
      </c>
      <c r="X112" s="5" t="s">
        <v>33</v>
      </c>
      <c r="Y112" s="5" t="s">
        <v>114</v>
      </c>
      <c r="Z112" s="5" t="s">
        <v>15</v>
      </c>
      <c r="AA112" s="5" t="s">
        <v>15</v>
      </c>
      <c r="AB112" s="5" t="s">
        <v>86</v>
      </c>
      <c r="AC112" s="5">
        <f t="shared" si="48"/>
        <v>61.4</v>
      </c>
      <c r="AD112" s="5">
        <v>9.1999999999999993</v>
      </c>
      <c r="AE112" s="5">
        <v>18.3</v>
      </c>
      <c r="AF112" s="5">
        <v>9.4</v>
      </c>
      <c r="AG112" s="5">
        <v>1.7</v>
      </c>
      <c r="AH112" s="5" t="s">
        <v>15</v>
      </c>
      <c r="AI112" s="5">
        <v>3.9</v>
      </c>
      <c r="AJ112" s="5">
        <v>34.67</v>
      </c>
      <c r="AK112" s="5">
        <v>1.89</v>
      </c>
      <c r="AL112" s="5">
        <v>102.74</v>
      </c>
      <c r="AM112" s="5">
        <v>34.9</v>
      </c>
      <c r="AN112" s="5">
        <v>56</v>
      </c>
      <c r="AO112" s="6" t="s">
        <v>108</v>
      </c>
      <c r="AP112" s="6" t="s">
        <v>318</v>
      </c>
    </row>
    <row r="113" spans="1:42" ht="14.5" thickBot="1" x14ac:dyDescent="0.35">
      <c r="A113" s="6">
        <v>110</v>
      </c>
      <c r="B113" s="3" t="s">
        <v>112</v>
      </c>
      <c r="C113" s="3" t="s">
        <v>93</v>
      </c>
      <c r="D113" s="3">
        <v>11</v>
      </c>
      <c r="E113" s="5">
        <v>20.271000000000001</v>
      </c>
      <c r="F113" s="5">
        <f t="shared" ref="F113:F114" si="59">(100/(100-K113))*50.7</f>
        <v>51.057401812688823</v>
      </c>
      <c r="G113" s="5">
        <f t="shared" ref="G113:G114" si="60">(100/(100-K113))*6</f>
        <v>6.0422960725075523</v>
      </c>
      <c r="H113" s="5">
        <f t="shared" ref="H113:H114" si="61">(100/(100-K113))*0.14</f>
        <v>0.14098690835850958</v>
      </c>
      <c r="I113" s="5">
        <f t="shared" ref="I113:I114" si="62">(100/(100-K113))*0.011</f>
        <v>1.1077542799597179E-2</v>
      </c>
      <c r="J113" s="5">
        <f t="shared" ref="J113:J114" si="63">(100/(100-K113))*42.4</f>
        <v>42.698892245720039</v>
      </c>
      <c r="K113" s="5">
        <v>0.7</v>
      </c>
      <c r="L113" s="5">
        <v>6.6</v>
      </c>
      <c r="M113" s="5">
        <v>82.6</v>
      </c>
      <c r="N113" s="5" t="s">
        <v>15</v>
      </c>
      <c r="O113" s="22">
        <v>44.5</v>
      </c>
      <c r="P113" s="13">
        <v>20.6</v>
      </c>
      <c r="Q113" s="19">
        <v>27.8</v>
      </c>
      <c r="R113" s="5">
        <v>602</v>
      </c>
      <c r="S113" s="5" t="s">
        <v>115</v>
      </c>
      <c r="T113" s="5" t="s">
        <v>15</v>
      </c>
      <c r="U113" s="5">
        <v>283</v>
      </c>
      <c r="V113" s="5" t="s">
        <v>15</v>
      </c>
      <c r="W113" s="5">
        <v>0.46</v>
      </c>
      <c r="X113" s="5" t="s">
        <v>33</v>
      </c>
      <c r="Y113" s="5" t="s">
        <v>114</v>
      </c>
      <c r="Z113" s="5" t="s">
        <v>15</v>
      </c>
      <c r="AA113" s="5" t="s">
        <v>15</v>
      </c>
      <c r="AB113" s="5" t="s">
        <v>86</v>
      </c>
      <c r="AC113" s="5">
        <f t="shared" si="48"/>
        <v>59.70000000000001</v>
      </c>
      <c r="AD113" s="5">
        <v>10</v>
      </c>
      <c r="AE113" s="5">
        <v>20.6</v>
      </c>
      <c r="AF113" s="5">
        <v>7.9</v>
      </c>
      <c r="AG113" s="5">
        <v>1.8</v>
      </c>
      <c r="AH113" s="5" t="s">
        <v>15</v>
      </c>
      <c r="AI113" s="5">
        <v>4.3</v>
      </c>
      <c r="AJ113" s="5">
        <v>60</v>
      </c>
      <c r="AK113" s="5">
        <v>1.81</v>
      </c>
      <c r="AL113" s="5">
        <v>140.07</v>
      </c>
      <c r="AM113" s="5">
        <v>38.6</v>
      </c>
      <c r="AN113" s="5">
        <v>58.2</v>
      </c>
      <c r="AO113" s="6" t="s">
        <v>108</v>
      </c>
      <c r="AP113" s="6" t="s">
        <v>318</v>
      </c>
    </row>
    <row r="114" spans="1:42" ht="14.5" thickBot="1" x14ac:dyDescent="0.35">
      <c r="A114" s="6">
        <v>111</v>
      </c>
      <c r="B114" s="3" t="s">
        <v>112</v>
      </c>
      <c r="C114" s="3" t="s">
        <v>93</v>
      </c>
      <c r="D114" s="3">
        <v>11</v>
      </c>
      <c r="E114" s="5">
        <v>20.271000000000001</v>
      </c>
      <c r="F114" s="5">
        <f t="shared" si="59"/>
        <v>51.057401812688823</v>
      </c>
      <c r="G114" s="5">
        <f t="shared" si="60"/>
        <v>6.0422960725075523</v>
      </c>
      <c r="H114" s="5">
        <f t="shared" si="61"/>
        <v>0.14098690835850958</v>
      </c>
      <c r="I114" s="5">
        <f t="shared" si="62"/>
        <v>1.1077542799597179E-2</v>
      </c>
      <c r="J114" s="5">
        <f t="shared" si="63"/>
        <v>42.698892245720039</v>
      </c>
      <c r="K114" s="5">
        <v>0.7</v>
      </c>
      <c r="L114" s="5">
        <v>11</v>
      </c>
      <c r="M114" s="5">
        <v>82.6</v>
      </c>
      <c r="N114" s="5" t="s">
        <v>15</v>
      </c>
      <c r="O114" s="22">
        <v>44.5</v>
      </c>
      <c r="P114" s="13">
        <v>20.6</v>
      </c>
      <c r="Q114" s="19">
        <v>27.8</v>
      </c>
      <c r="R114" s="5">
        <v>553</v>
      </c>
      <c r="S114" s="5" t="s">
        <v>115</v>
      </c>
      <c r="T114" s="5" t="s">
        <v>15</v>
      </c>
      <c r="U114" s="5">
        <v>241</v>
      </c>
      <c r="V114" s="5" t="s">
        <v>15</v>
      </c>
      <c r="W114" s="5">
        <v>0.42499999999999999</v>
      </c>
      <c r="X114" s="5" t="s">
        <v>33</v>
      </c>
      <c r="Y114" s="5" t="s">
        <v>114</v>
      </c>
      <c r="Z114" s="5" t="s">
        <v>15</v>
      </c>
      <c r="AA114" s="5" t="s">
        <v>15</v>
      </c>
      <c r="AB114" s="5" t="s">
        <v>86</v>
      </c>
      <c r="AC114" s="5">
        <f t="shared" si="48"/>
        <v>60.899999999999991</v>
      </c>
      <c r="AD114" s="5">
        <v>8.4</v>
      </c>
      <c r="AE114" s="5">
        <v>20.5</v>
      </c>
      <c r="AF114" s="5">
        <v>8.6</v>
      </c>
      <c r="AG114" s="5">
        <v>1.6</v>
      </c>
      <c r="AH114" s="5" t="s">
        <v>15</v>
      </c>
      <c r="AI114" s="5">
        <v>4</v>
      </c>
      <c r="AJ114" s="5">
        <v>28.88</v>
      </c>
      <c r="AK114" s="5">
        <v>1.67</v>
      </c>
      <c r="AL114" s="5">
        <v>201.72</v>
      </c>
      <c r="AM114" s="5">
        <v>32.799999999999997</v>
      </c>
      <c r="AN114" s="5">
        <v>70</v>
      </c>
      <c r="AO114" s="6" t="s">
        <v>108</v>
      </c>
      <c r="AP114" s="6" t="s">
        <v>318</v>
      </c>
    </row>
    <row r="115" spans="1:42" ht="14.5" thickBot="1" x14ac:dyDescent="0.35">
      <c r="A115" s="6">
        <v>112</v>
      </c>
      <c r="B115" s="3" t="s">
        <v>110</v>
      </c>
      <c r="C115" s="3" t="s">
        <v>93</v>
      </c>
      <c r="D115" s="3">
        <v>11</v>
      </c>
      <c r="E115" s="5">
        <v>19.672999999999998</v>
      </c>
      <c r="F115" s="5">
        <f>(100/(100-K115))*49.4</f>
        <v>49.848637739656908</v>
      </c>
      <c r="G115" s="5">
        <f>(100/(100-K115))*6</f>
        <v>6.0544904137235118</v>
      </c>
      <c r="H115" s="5">
        <f>(100/(100-K115))*0.22</f>
        <v>0.22199798183652875</v>
      </c>
      <c r="I115" s="5">
        <f>(100/(100-K115))*0.019</f>
        <v>1.9172552976791119E-2</v>
      </c>
      <c r="J115" s="5">
        <f>(100/(100-K115))*43.5</f>
        <v>43.895055499495456</v>
      </c>
      <c r="K115" s="5">
        <v>0.9</v>
      </c>
      <c r="L115" s="5">
        <v>9.8000000000000007</v>
      </c>
      <c r="M115" s="5">
        <v>83.9</v>
      </c>
      <c r="N115" s="5" t="s">
        <v>15</v>
      </c>
      <c r="O115" s="22">
        <v>46.2</v>
      </c>
      <c r="P115" s="13">
        <v>24.4</v>
      </c>
      <c r="Q115" s="19">
        <v>24.5</v>
      </c>
      <c r="R115" s="5">
        <v>711</v>
      </c>
      <c r="S115" s="5" t="s">
        <v>115</v>
      </c>
      <c r="T115" s="5" t="s">
        <v>15</v>
      </c>
      <c r="U115" s="5">
        <v>403</v>
      </c>
      <c r="V115" s="5" t="s">
        <v>15</v>
      </c>
      <c r="W115" s="5">
        <v>0.52500000000000002</v>
      </c>
      <c r="X115" s="5" t="s">
        <v>33</v>
      </c>
      <c r="Y115" s="5" t="s">
        <v>114</v>
      </c>
      <c r="Z115" s="5" t="s">
        <v>15</v>
      </c>
      <c r="AA115" s="5" t="s">
        <v>15</v>
      </c>
      <c r="AB115" s="5" t="s">
        <v>86</v>
      </c>
      <c r="AC115" s="5">
        <f t="shared" si="48"/>
        <v>57.2</v>
      </c>
      <c r="AD115" s="5">
        <v>14.2</v>
      </c>
      <c r="AE115" s="5">
        <v>19</v>
      </c>
      <c r="AF115" s="5">
        <v>8.8000000000000007</v>
      </c>
      <c r="AG115" s="5">
        <v>0.8</v>
      </c>
      <c r="AH115" s="5" t="s">
        <v>15</v>
      </c>
      <c r="AI115" s="5">
        <v>4.2</v>
      </c>
      <c r="AJ115" s="5">
        <v>11.75</v>
      </c>
      <c r="AK115" s="5">
        <v>2.2999999999999998</v>
      </c>
      <c r="AL115" s="5">
        <v>63.41</v>
      </c>
      <c r="AM115" s="5">
        <v>49.3</v>
      </c>
      <c r="AN115" s="5">
        <v>71.599999999999994</v>
      </c>
      <c r="AO115" s="6" t="s">
        <v>108</v>
      </c>
      <c r="AP115" s="6" t="s">
        <v>318</v>
      </c>
    </row>
    <row r="116" spans="1:42" ht="14.5" thickBot="1" x14ac:dyDescent="0.35">
      <c r="A116" s="6">
        <v>113</v>
      </c>
      <c r="B116" s="12" t="s">
        <v>110</v>
      </c>
      <c r="C116" s="12" t="s">
        <v>93</v>
      </c>
      <c r="D116" s="12">
        <v>11</v>
      </c>
      <c r="E116" s="5">
        <v>19.672999999999998</v>
      </c>
      <c r="F116" s="5">
        <f t="shared" ref="F116:F117" si="64">(100/(100-K116))*49.4</f>
        <v>49.848637739656908</v>
      </c>
      <c r="G116" s="5">
        <f t="shared" ref="G116:G117" si="65">(100/(100-K116))*6</f>
        <v>6.0544904137235118</v>
      </c>
      <c r="H116" s="5">
        <f t="shared" ref="H116:H117" si="66">(100/(100-K116))*0.22</f>
        <v>0.22199798183652875</v>
      </c>
      <c r="I116" s="5">
        <f t="shared" ref="I116:I117" si="67">(100/(100-K116))*0.019</f>
        <v>1.9172552976791119E-2</v>
      </c>
      <c r="J116" s="5">
        <f t="shared" ref="J116:J117" si="68">(100/(100-K116))*43.5</f>
        <v>43.895055499495456</v>
      </c>
      <c r="K116" s="5">
        <v>0.9</v>
      </c>
      <c r="L116" s="5">
        <v>10</v>
      </c>
      <c r="M116" s="5">
        <v>83.9</v>
      </c>
      <c r="N116" s="5" t="s">
        <v>15</v>
      </c>
      <c r="O116" s="22">
        <v>46.2</v>
      </c>
      <c r="P116" s="13">
        <v>24.4</v>
      </c>
      <c r="Q116" s="19">
        <v>24.5</v>
      </c>
      <c r="R116" s="5">
        <v>620</v>
      </c>
      <c r="S116" s="5" t="s">
        <v>115</v>
      </c>
      <c r="T116" s="5" t="s">
        <v>15</v>
      </c>
      <c r="U116" s="5">
        <v>297</v>
      </c>
      <c r="V116" s="5" t="s">
        <v>15</v>
      </c>
      <c r="W116" s="5">
        <v>0.48</v>
      </c>
      <c r="X116" s="5" t="s">
        <v>33</v>
      </c>
      <c r="Y116" s="5" t="s">
        <v>114</v>
      </c>
      <c r="Z116" s="5" t="s">
        <v>15</v>
      </c>
      <c r="AA116" s="5" t="s">
        <v>15</v>
      </c>
      <c r="AB116" s="5" t="s">
        <v>86</v>
      </c>
      <c r="AC116" s="5">
        <f t="shared" si="48"/>
        <v>60.8</v>
      </c>
      <c r="AD116" s="5">
        <v>10.9</v>
      </c>
      <c r="AE116" s="5">
        <v>19.5</v>
      </c>
      <c r="AF116" s="5">
        <v>7.9</v>
      </c>
      <c r="AG116" s="5">
        <v>0.9</v>
      </c>
      <c r="AH116" s="5" t="s">
        <v>15</v>
      </c>
      <c r="AI116" s="5">
        <v>3.9</v>
      </c>
      <c r="AJ116" s="5">
        <v>22.38</v>
      </c>
      <c r="AK116" s="5">
        <v>1.91</v>
      </c>
      <c r="AL116" s="5">
        <v>175.43</v>
      </c>
      <c r="AM116" s="5">
        <v>39</v>
      </c>
      <c r="AN116" s="5">
        <v>59.2</v>
      </c>
      <c r="AO116" s="6" t="s">
        <v>108</v>
      </c>
      <c r="AP116" s="6" t="s">
        <v>318</v>
      </c>
    </row>
    <row r="117" spans="1:42" ht="14.5" thickBot="1" x14ac:dyDescent="0.35">
      <c r="A117" s="6">
        <v>114</v>
      </c>
      <c r="B117" s="12" t="s">
        <v>110</v>
      </c>
      <c r="C117" s="12" t="s">
        <v>93</v>
      </c>
      <c r="D117" s="12">
        <v>11</v>
      </c>
      <c r="E117" s="5">
        <v>19.672999999999998</v>
      </c>
      <c r="F117" s="5">
        <f t="shared" si="64"/>
        <v>49.848637739656908</v>
      </c>
      <c r="G117" s="5">
        <f t="shared" si="65"/>
        <v>6.0544904137235118</v>
      </c>
      <c r="H117" s="5">
        <f t="shared" si="66"/>
        <v>0.22199798183652875</v>
      </c>
      <c r="I117" s="5">
        <f t="shared" si="67"/>
        <v>1.9172552976791119E-2</v>
      </c>
      <c r="J117" s="5">
        <f t="shared" si="68"/>
        <v>43.895055499495456</v>
      </c>
      <c r="K117" s="5">
        <v>0.9</v>
      </c>
      <c r="L117" s="5">
        <v>10.5</v>
      </c>
      <c r="M117" s="5">
        <v>83.9</v>
      </c>
      <c r="N117" s="5" t="s">
        <v>15</v>
      </c>
      <c r="O117" s="22">
        <v>46.2</v>
      </c>
      <c r="P117" s="13">
        <v>24.4</v>
      </c>
      <c r="Q117" s="19">
        <v>24.5</v>
      </c>
      <c r="R117" s="5">
        <v>668</v>
      </c>
      <c r="S117" s="5" t="s">
        <v>115</v>
      </c>
      <c r="T117" s="5" t="s">
        <v>15</v>
      </c>
      <c r="U117" s="5">
        <v>275</v>
      </c>
      <c r="V117" s="5" t="s">
        <v>15</v>
      </c>
      <c r="W117" s="5">
        <v>0.43</v>
      </c>
      <c r="X117" s="5" t="s">
        <v>33</v>
      </c>
      <c r="Y117" s="5" t="s">
        <v>114</v>
      </c>
      <c r="Z117" s="5" t="s">
        <v>15</v>
      </c>
      <c r="AA117" s="5" t="s">
        <v>15</v>
      </c>
      <c r="AB117" s="5" t="s">
        <v>86</v>
      </c>
      <c r="AC117" s="5">
        <f t="shared" si="48"/>
        <v>54.1</v>
      </c>
      <c r="AD117" s="5">
        <v>15.3</v>
      </c>
      <c r="AE117" s="5">
        <v>19.7</v>
      </c>
      <c r="AF117" s="5">
        <v>9.6</v>
      </c>
      <c r="AG117" s="5">
        <v>1.3</v>
      </c>
      <c r="AH117" s="5" t="s">
        <v>15</v>
      </c>
      <c r="AI117" s="5">
        <v>4.5999999999999996</v>
      </c>
      <c r="AJ117" s="5">
        <v>9.5500000000000007</v>
      </c>
      <c r="AK117" s="5">
        <v>1.93</v>
      </c>
      <c r="AL117" s="5">
        <v>60.32</v>
      </c>
      <c r="AM117" s="5">
        <v>40.299999999999997</v>
      </c>
      <c r="AN117" s="5">
        <v>68.599999999999994</v>
      </c>
      <c r="AO117" s="6" t="s">
        <v>108</v>
      </c>
      <c r="AP117" s="6" t="s">
        <v>318</v>
      </c>
    </row>
    <row r="118" spans="1:42" ht="14.5" thickBot="1" x14ac:dyDescent="0.35">
      <c r="A118" s="6">
        <v>115</v>
      </c>
      <c r="B118" s="12" t="s">
        <v>113</v>
      </c>
      <c r="C118" s="12" t="s">
        <v>93</v>
      </c>
      <c r="D118" s="12">
        <v>11</v>
      </c>
      <c r="E118" s="5">
        <v>19.803000000000001</v>
      </c>
      <c r="F118" s="5">
        <f>(100/(100-K118))*49.9</f>
        <v>50.557244174265456</v>
      </c>
      <c r="G118" s="5">
        <f>(100/(100-K118))*5.9</f>
        <v>5.9777102330293825</v>
      </c>
      <c r="H118" s="5">
        <f>(100/(100-K118))*0.53</f>
        <v>0.53698074974670729</v>
      </c>
      <c r="I118" s="5">
        <f>(100/(100-K118))*0.038</f>
        <v>3.8500506585612972E-2</v>
      </c>
      <c r="J118" s="5">
        <f>(100/(100-K118))*42.4</f>
        <v>42.958459979736574</v>
      </c>
      <c r="K118" s="5">
        <v>1.3</v>
      </c>
      <c r="L118" s="5">
        <v>6.9</v>
      </c>
      <c r="M118" s="5">
        <v>80.7</v>
      </c>
      <c r="N118" s="5" t="s">
        <v>15</v>
      </c>
      <c r="O118" s="22">
        <v>38.5</v>
      </c>
      <c r="P118" s="13">
        <v>17.600000000000001</v>
      </c>
      <c r="Q118" s="19">
        <v>26.3</v>
      </c>
      <c r="R118" s="5">
        <v>609</v>
      </c>
      <c r="S118" s="5" t="s">
        <v>115</v>
      </c>
      <c r="T118" s="5" t="s">
        <v>15</v>
      </c>
      <c r="U118" s="5">
        <v>325</v>
      </c>
      <c r="V118" s="5" t="s">
        <v>15</v>
      </c>
      <c r="W118" s="5">
        <v>0.53</v>
      </c>
      <c r="X118" s="5" t="s">
        <v>33</v>
      </c>
      <c r="Y118" s="5" t="s">
        <v>114</v>
      </c>
      <c r="Z118" s="5" t="s">
        <v>15</v>
      </c>
      <c r="AA118" s="5" t="s">
        <v>15</v>
      </c>
      <c r="AB118" s="5" t="s">
        <v>86</v>
      </c>
      <c r="AC118" s="5">
        <f t="shared" si="48"/>
        <v>56.699999999999989</v>
      </c>
      <c r="AD118" s="5">
        <v>12.9</v>
      </c>
      <c r="AE118" s="5">
        <v>19</v>
      </c>
      <c r="AF118" s="5">
        <v>10.199999999999999</v>
      </c>
      <c r="AG118" s="5">
        <v>1.2</v>
      </c>
      <c r="AH118" s="5" t="s">
        <v>15</v>
      </c>
      <c r="AI118" s="5">
        <v>4.2</v>
      </c>
      <c r="AJ118" s="5">
        <v>30.68</v>
      </c>
      <c r="AK118" s="5">
        <v>2.0299999999999998</v>
      </c>
      <c r="AL118" s="5">
        <v>62.37</v>
      </c>
      <c r="AM118" s="5">
        <v>42.9</v>
      </c>
      <c r="AN118" s="5">
        <v>65.8</v>
      </c>
      <c r="AO118" s="6" t="s">
        <v>108</v>
      </c>
      <c r="AP118" s="6" t="s">
        <v>318</v>
      </c>
    </row>
    <row r="119" spans="1:42" ht="14.5" thickBot="1" x14ac:dyDescent="0.35">
      <c r="A119" s="6">
        <v>116</v>
      </c>
      <c r="B119" s="12" t="s">
        <v>113</v>
      </c>
      <c r="C119" s="12" t="s">
        <v>93</v>
      </c>
      <c r="D119" s="12">
        <v>11</v>
      </c>
      <c r="E119" s="5">
        <v>19.803000000000001</v>
      </c>
      <c r="F119" s="5">
        <f t="shared" ref="F119:F120" si="69">(100/(100-K119))*49.9</f>
        <v>50.557244174265456</v>
      </c>
      <c r="G119" s="5">
        <f t="shared" ref="G119:G120" si="70">(100/(100-K119))*5.9</f>
        <v>5.9777102330293825</v>
      </c>
      <c r="H119" s="5">
        <f t="shared" ref="H119:H120" si="71">(100/(100-K119))*0.53</f>
        <v>0.53698074974670729</v>
      </c>
      <c r="I119" s="5">
        <f t="shared" ref="I119:I120" si="72">(100/(100-K119))*0.038</f>
        <v>3.8500506585612972E-2</v>
      </c>
      <c r="J119" s="5">
        <f t="shared" ref="J119:J120" si="73">(100/(100-K119))*42.4</f>
        <v>42.958459979736574</v>
      </c>
      <c r="K119" s="5">
        <v>1.3</v>
      </c>
      <c r="L119" s="5">
        <v>7.7</v>
      </c>
      <c r="M119" s="5">
        <v>80.7</v>
      </c>
      <c r="N119" s="5" t="s">
        <v>15</v>
      </c>
      <c r="O119" s="22">
        <v>38.5</v>
      </c>
      <c r="P119" s="13">
        <v>17.600000000000001</v>
      </c>
      <c r="Q119" s="19">
        <v>26.3</v>
      </c>
      <c r="R119" s="5">
        <v>667</v>
      </c>
      <c r="S119" s="5" t="s">
        <v>115</v>
      </c>
      <c r="T119" s="5" t="s">
        <v>15</v>
      </c>
      <c r="U119" s="5">
        <v>275</v>
      </c>
      <c r="V119" s="5" t="s">
        <v>15</v>
      </c>
      <c r="W119" s="5">
        <v>0.31</v>
      </c>
      <c r="X119" s="5" t="s">
        <v>33</v>
      </c>
      <c r="Y119" s="5" t="s">
        <v>114</v>
      </c>
      <c r="Z119" s="5" t="s">
        <v>15</v>
      </c>
      <c r="AA119" s="5" t="s">
        <v>15</v>
      </c>
      <c r="AB119" s="5" t="s">
        <v>86</v>
      </c>
      <c r="AC119" s="5">
        <f t="shared" si="48"/>
        <v>59.9</v>
      </c>
      <c r="AD119" s="5">
        <v>12.1</v>
      </c>
      <c r="AE119" s="5">
        <v>16.899999999999999</v>
      </c>
      <c r="AF119" s="5">
        <v>9.6</v>
      </c>
      <c r="AG119" s="5">
        <v>1.5</v>
      </c>
      <c r="AH119" s="5" t="s">
        <v>15</v>
      </c>
      <c r="AI119" s="5">
        <v>3.95</v>
      </c>
      <c r="AJ119" s="5">
        <v>50.95</v>
      </c>
      <c r="AK119" s="5">
        <v>1.45</v>
      </c>
      <c r="AL119" s="5">
        <v>102.15</v>
      </c>
      <c r="AM119" s="5">
        <v>28.9</v>
      </c>
      <c r="AN119" s="5">
        <v>50.4</v>
      </c>
      <c r="AO119" s="6" t="s">
        <v>108</v>
      </c>
      <c r="AP119" s="6" t="s">
        <v>318</v>
      </c>
    </row>
    <row r="120" spans="1:42" ht="14.5" thickBot="1" x14ac:dyDescent="0.35">
      <c r="A120" s="6">
        <v>117</v>
      </c>
      <c r="B120" s="12" t="s">
        <v>113</v>
      </c>
      <c r="C120" s="12" t="s">
        <v>93</v>
      </c>
      <c r="D120" s="12">
        <v>11</v>
      </c>
      <c r="E120" s="5">
        <v>19.803000000000001</v>
      </c>
      <c r="F120" s="5">
        <f t="shared" si="69"/>
        <v>50.557244174265456</v>
      </c>
      <c r="G120" s="5">
        <f t="shared" si="70"/>
        <v>5.9777102330293825</v>
      </c>
      <c r="H120" s="5">
        <f t="shared" si="71"/>
        <v>0.53698074974670729</v>
      </c>
      <c r="I120" s="5">
        <f t="shared" si="72"/>
        <v>3.8500506585612972E-2</v>
      </c>
      <c r="J120" s="5">
        <f t="shared" si="73"/>
        <v>42.958459979736574</v>
      </c>
      <c r="K120" s="5">
        <v>1.3</v>
      </c>
      <c r="L120" s="5">
        <v>9.8000000000000007</v>
      </c>
      <c r="M120" s="5">
        <v>80.7</v>
      </c>
      <c r="N120" s="5" t="s">
        <v>15</v>
      </c>
      <c r="O120" s="22">
        <v>38.5</v>
      </c>
      <c r="P120" s="13">
        <v>17.600000000000001</v>
      </c>
      <c r="Q120" s="19">
        <v>26.3</v>
      </c>
      <c r="R120" s="5">
        <v>755</v>
      </c>
      <c r="S120" s="5" t="s">
        <v>115</v>
      </c>
      <c r="T120" s="5" t="s">
        <v>15</v>
      </c>
      <c r="U120" s="5">
        <v>346</v>
      </c>
      <c r="V120" s="5" t="s">
        <v>15</v>
      </c>
      <c r="W120" s="5">
        <v>0.52</v>
      </c>
      <c r="X120" s="5" t="s">
        <v>33</v>
      </c>
      <c r="Y120" s="5" t="s">
        <v>114</v>
      </c>
      <c r="Z120" s="5" t="s">
        <v>15</v>
      </c>
      <c r="AA120" s="5" t="s">
        <v>15</v>
      </c>
      <c r="AB120" s="5" t="s">
        <v>86</v>
      </c>
      <c r="AC120" s="5">
        <f t="shared" si="48"/>
        <v>58.699999999999996</v>
      </c>
      <c r="AD120" s="5">
        <v>11.4</v>
      </c>
      <c r="AE120" s="5">
        <v>17.3</v>
      </c>
      <c r="AF120" s="5">
        <v>11</v>
      </c>
      <c r="AG120" s="5">
        <v>1.6</v>
      </c>
      <c r="AH120" s="5" t="s">
        <v>15</v>
      </c>
      <c r="AI120" s="5">
        <v>3.97</v>
      </c>
      <c r="AJ120" s="5">
        <v>13.72</v>
      </c>
      <c r="AK120" s="5">
        <v>2.2200000000000002</v>
      </c>
      <c r="AL120" s="5">
        <v>180.64</v>
      </c>
      <c r="AM120" s="5">
        <v>43.1</v>
      </c>
      <c r="AN120" s="5">
        <v>69.599999999999994</v>
      </c>
      <c r="AO120" s="6" t="s">
        <v>108</v>
      </c>
      <c r="AP120" s="6" t="s">
        <v>318</v>
      </c>
    </row>
    <row r="121" spans="1:42" x14ac:dyDescent="0.3">
      <c r="A121" s="6">
        <v>118</v>
      </c>
      <c r="B121" s="12" t="s">
        <v>119</v>
      </c>
      <c r="C121" s="12" t="s">
        <v>42</v>
      </c>
      <c r="D121" s="12" t="s">
        <v>120</v>
      </c>
      <c r="E121" s="5">
        <f>16.69*((100-L121)/100)</f>
        <v>15.232963</v>
      </c>
      <c r="F121" s="5">
        <f>(100/(100-K121))*41.6</f>
        <v>50.109964365843993</v>
      </c>
      <c r="G121" s="5">
        <f>(100/(100-K121))*4.9</f>
        <v>5.9023756103998943</v>
      </c>
      <c r="H121" s="5">
        <f>(100/(100-K121))*2.39</f>
        <v>2.8789138181338259</v>
      </c>
      <c r="I121" s="5">
        <f>(100/(100-K121))*0.25</f>
        <v>0.30114161277550477</v>
      </c>
      <c r="J121" s="5">
        <f>(100/(100-K121))*33.94</f>
        <v>40.882985350402528</v>
      </c>
      <c r="K121" s="5">
        <f>(100/(100-L121))*15.5</f>
        <v>16.982579160731895</v>
      </c>
      <c r="L121" s="5">
        <v>8.73</v>
      </c>
      <c r="M121" s="5">
        <f>(100/(100-L121))*74.4</f>
        <v>81.516379971513103</v>
      </c>
      <c r="N121" s="5" t="s">
        <v>15</v>
      </c>
      <c r="O121" s="5">
        <v>29.6</v>
      </c>
      <c r="P121" s="5">
        <v>14</v>
      </c>
      <c r="Q121" s="5">
        <v>14</v>
      </c>
      <c r="R121" s="5">
        <v>775</v>
      </c>
      <c r="S121" s="5" t="s">
        <v>39</v>
      </c>
      <c r="T121" s="5" t="s">
        <v>15</v>
      </c>
      <c r="U121" s="5">
        <v>200</v>
      </c>
      <c r="V121" s="5" t="s">
        <v>15</v>
      </c>
      <c r="W121" s="5">
        <v>0.25</v>
      </c>
      <c r="X121" s="5" t="s">
        <v>33</v>
      </c>
      <c r="Y121" s="5" t="s">
        <v>34</v>
      </c>
      <c r="Z121" s="5" t="s">
        <v>73</v>
      </c>
      <c r="AA121" s="5" t="s">
        <v>15</v>
      </c>
      <c r="AB121" s="5" t="s">
        <v>65</v>
      </c>
      <c r="AC121" s="5">
        <v>51.5</v>
      </c>
      <c r="AD121" s="5">
        <v>13.02</v>
      </c>
      <c r="AE121" s="5">
        <v>8.43</v>
      </c>
      <c r="AF121" s="5">
        <v>20.309999999999999</v>
      </c>
      <c r="AG121" s="5">
        <v>2.77</v>
      </c>
      <c r="AH121" s="5">
        <v>1.06</v>
      </c>
      <c r="AI121" s="5">
        <v>4.13</v>
      </c>
      <c r="AJ121" s="5">
        <v>1.1499999999999999</v>
      </c>
      <c r="AK121" s="5">
        <v>1.36</v>
      </c>
      <c r="AL121" s="5">
        <v>301.52</v>
      </c>
      <c r="AM121" s="5">
        <v>33.799999999999997</v>
      </c>
      <c r="AN121" s="5">
        <f>100*(AK121/F121)*(AE121*Calculations!$B$5*Calculations!$B$9+AF121*Calculations!$B$6*Calculations!$B$10+AG121*Calculations!$B$7*Calculations!$B$11+AH121*Calculations!$B$8*Calculations!$B$12)</f>
        <v>47.558207722656299</v>
      </c>
      <c r="AO121" s="6" t="s">
        <v>121</v>
      </c>
      <c r="AP121" s="6" t="s">
        <v>312</v>
      </c>
    </row>
    <row r="122" spans="1:42" x14ac:dyDescent="0.3">
      <c r="A122" s="6">
        <v>119</v>
      </c>
      <c r="B122" s="12" t="s">
        <v>119</v>
      </c>
      <c r="C122" s="12" t="s">
        <v>42</v>
      </c>
      <c r="D122" s="12" t="s">
        <v>120</v>
      </c>
      <c r="E122" s="5">
        <f t="shared" ref="E122:E124" si="74">16.69*((100-L122)/100)</f>
        <v>15.232963</v>
      </c>
      <c r="F122" s="5">
        <f t="shared" ref="F122:F124" si="75">(100/(100-K122))*41.6</f>
        <v>50.109964365843993</v>
      </c>
      <c r="G122" s="5">
        <f t="shared" ref="G122:G124" si="76">(100/(100-K122))*4.9</f>
        <v>5.9023756103998943</v>
      </c>
      <c r="H122" s="5">
        <f t="shared" ref="H122:H124" si="77">(100/(100-K122))*2.39</f>
        <v>2.8789138181338259</v>
      </c>
      <c r="I122" s="5">
        <f t="shared" ref="I122:I124" si="78">(100/(100-K122))*0.25</f>
        <v>0.30114161277550477</v>
      </c>
      <c r="J122" s="5">
        <f t="shared" ref="J122:J124" si="79">(100/(100-K122))*33.94</f>
        <v>40.882985350402528</v>
      </c>
      <c r="K122" s="5">
        <f t="shared" ref="K122:K124" si="80">(100/(100-L122))*15.5</f>
        <v>16.982579160731895</v>
      </c>
      <c r="L122" s="5">
        <v>8.73</v>
      </c>
      <c r="M122" s="5">
        <f t="shared" ref="M122:M124" si="81">(100/(100-L122))*74.4</f>
        <v>81.516379971513103</v>
      </c>
      <c r="N122" s="5" t="s">
        <v>15</v>
      </c>
      <c r="O122" s="5">
        <v>29.6</v>
      </c>
      <c r="P122" s="5">
        <v>14</v>
      </c>
      <c r="Q122" s="5">
        <v>14</v>
      </c>
      <c r="R122" s="5">
        <v>775</v>
      </c>
      <c r="S122" s="5" t="s">
        <v>39</v>
      </c>
      <c r="T122" s="5" t="s">
        <v>15</v>
      </c>
      <c r="U122" s="5">
        <v>200</v>
      </c>
      <c r="V122" s="5" t="s">
        <v>15</v>
      </c>
      <c r="W122" s="5">
        <v>0.3</v>
      </c>
      <c r="X122" s="5" t="s">
        <v>33</v>
      </c>
      <c r="Y122" s="5" t="s">
        <v>34</v>
      </c>
      <c r="Z122" s="5" t="s">
        <v>73</v>
      </c>
      <c r="AA122" s="5" t="s">
        <v>15</v>
      </c>
      <c r="AB122" s="5" t="s">
        <v>65</v>
      </c>
      <c r="AC122" s="5">
        <v>50.6</v>
      </c>
      <c r="AD122" s="5">
        <v>12.91</v>
      </c>
      <c r="AE122" s="5">
        <v>9.08</v>
      </c>
      <c r="AF122" s="5">
        <v>19.600000000000001</v>
      </c>
      <c r="AG122" s="5">
        <v>2.67</v>
      </c>
      <c r="AH122" s="5">
        <v>1.1200000000000001</v>
      </c>
      <c r="AI122" s="5">
        <v>4.21</v>
      </c>
      <c r="AJ122" s="5" t="s">
        <v>15</v>
      </c>
      <c r="AK122" s="5">
        <v>1.66</v>
      </c>
      <c r="AL122" s="5" t="s">
        <v>15</v>
      </c>
      <c r="AM122" s="5">
        <v>42.14</v>
      </c>
      <c r="AN122" s="5">
        <f>100*(AK122/F122)*(AE122*Calculations!$B$5*Calculations!$B$9+AF122*Calculations!$B$6*Calculations!$B$10+AG122*Calculations!$B$7*Calculations!$B$11+AH122*Calculations!$B$8*Calculations!$B$12)</f>
        <v>57.868718019558337</v>
      </c>
      <c r="AO122" s="6" t="s">
        <v>121</v>
      </c>
      <c r="AP122" s="6" t="s">
        <v>122</v>
      </c>
    </row>
    <row r="123" spans="1:42" x14ac:dyDescent="0.3">
      <c r="A123" s="6">
        <v>120</v>
      </c>
      <c r="B123" s="12" t="s">
        <v>119</v>
      </c>
      <c r="C123" s="12" t="s">
        <v>42</v>
      </c>
      <c r="D123" s="12" t="s">
        <v>120</v>
      </c>
      <c r="E123" s="5">
        <f t="shared" si="74"/>
        <v>15.232963</v>
      </c>
      <c r="F123" s="5">
        <f t="shared" si="75"/>
        <v>50.109964365843993</v>
      </c>
      <c r="G123" s="5">
        <f t="shared" si="76"/>
        <v>5.9023756103998943</v>
      </c>
      <c r="H123" s="5">
        <f t="shared" si="77"/>
        <v>2.8789138181338259</v>
      </c>
      <c r="I123" s="5">
        <f t="shared" si="78"/>
        <v>0.30114161277550477</v>
      </c>
      <c r="J123" s="5">
        <f t="shared" si="79"/>
        <v>40.882985350402528</v>
      </c>
      <c r="K123" s="5">
        <f t="shared" si="80"/>
        <v>16.982579160731895</v>
      </c>
      <c r="L123" s="5">
        <v>8.73</v>
      </c>
      <c r="M123" s="5">
        <f t="shared" si="81"/>
        <v>81.516379971513103</v>
      </c>
      <c r="N123" s="5" t="s">
        <v>15</v>
      </c>
      <c r="O123" s="5">
        <v>29.6</v>
      </c>
      <c r="P123" s="5">
        <v>14</v>
      </c>
      <c r="Q123" s="5">
        <v>14</v>
      </c>
      <c r="R123" s="5">
        <v>775</v>
      </c>
      <c r="S123" s="5" t="s">
        <v>39</v>
      </c>
      <c r="T123" s="5" t="s">
        <v>15</v>
      </c>
      <c r="U123" s="5">
        <v>200</v>
      </c>
      <c r="V123" s="5" t="s">
        <v>15</v>
      </c>
      <c r="W123" s="5">
        <v>0.25</v>
      </c>
      <c r="X123" s="5" t="s">
        <v>33</v>
      </c>
      <c r="Y123" s="5" t="s">
        <v>34</v>
      </c>
      <c r="Z123" s="5" t="s">
        <v>73</v>
      </c>
      <c r="AA123" s="5" t="s">
        <v>15</v>
      </c>
      <c r="AB123" s="5" t="s">
        <v>65</v>
      </c>
      <c r="AC123" s="5">
        <v>54.14</v>
      </c>
      <c r="AD123" s="5">
        <v>13.5</v>
      </c>
      <c r="AE123" s="5">
        <v>8.42</v>
      </c>
      <c r="AF123" s="5">
        <v>20.04</v>
      </c>
      <c r="AG123" s="5">
        <v>2.7</v>
      </c>
      <c r="AH123" s="5">
        <v>1.2</v>
      </c>
      <c r="AI123" s="5">
        <v>4.25</v>
      </c>
      <c r="AJ123" s="5">
        <v>1.0900000000000001</v>
      </c>
      <c r="AK123" s="5">
        <v>1.35</v>
      </c>
      <c r="AL123" s="5">
        <v>261.92</v>
      </c>
      <c r="AM123" s="5">
        <v>34.76</v>
      </c>
      <c r="AN123" s="5">
        <f>100*(AK123/F123)*(AE123*Calculations!$B$5*Calculations!$B$9+AF123*Calculations!$B$6*Calculations!$B$10+AG123*Calculations!$B$7*Calculations!$B$11+AH123*Calculations!$B$8*Calculations!$B$12)</f>
        <v>47.091112043117235</v>
      </c>
      <c r="AO123" s="6" t="s">
        <v>121</v>
      </c>
      <c r="AP123" s="6" t="s">
        <v>122</v>
      </c>
    </row>
    <row r="124" spans="1:42" x14ac:dyDescent="0.3">
      <c r="A124" s="6">
        <v>121</v>
      </c>
      <c r="B124" s="12" t="s">
        <v>119</v>
      </c>
      <c r="C124" s="12" t="s">
        <v>42</v>
      </c>
      <c r="D124" s="12" t="s">
        <v>120</v>
      </c>
      <c r="E124" s="5">
        <f t="shared" si="74"/>
        <v>15.232963</v>
      </c>
      <c r="F124" s="5">
        <f t="shared" si="75"/>
        <v>50.109964365843993</v>
      </c>
      <c r="G124" s="5">
        <f t="shared" si="76"/>
        <v>5.9023756103998943</v>
      </c>
      <c r="H124" s="5">
        <f t="shared" si="77"/>
        <v>2.8789138181338259</v>
      </c>
      <c r="I124" s="5">
        <f t="shared" si="78"/>
        <v>0.30114161277550477</v>
      </c>
      <c r="J124" s="5">
        <f t="shared" si="79"/>
        <v>40.882985350402528</v>
      </c>
      <c r="K124" s="5">
        <f t="shared" si="80"/>
        <v>16.982579160731895</v>
      </c>
      <c r="L124" s="5">
        <v>8.73</v>
      </c>
      <c r="M124" s="5">
        <f t="shared" si="81"/>
        <v>81.516379971513103</v>
      </c>
      <c r="N124" s="5" t="s">
        <v>15</v>
      </c>
      <c r="O124" s="5">
        <v>29.6</v>
      </c>
      <c r="P124" s="5">
        <v>14</v>
      </c>
      <c r="Q124" s="5">
        <v>14</v>
      </c>
      <c r="R124" s="5">
        <v>775</v>
      </c>
      <c r="S124" s="5" t="s">
        <v>39</v>
      </c>
      <c r="T124" s="5" t="s">
        <v>15</v>
      </c>
      <c r="U124" s="5">
        <v>200</v>
      </c>
      <c r="V124" s="5" t="s">
        <v>15</v>
      </c>
      <c r="W124" s="5">
        <v>0.3</v>
      </c>
      <c r="X124" s="5" t="s">
        <v>33</v>
      </c>
      <c r="Y124" s="5" t="s">
        <v>34</v>
      </c>
      <c r="Z124" s="5" t="s">
        <v>73</v>
      </c>
      <c r="AA124" s="5" t="s">
        <v>15</v>
      </c>
      <c r="AB124" s="5" t="s">
        <v>65</v>
      </c>
      <c r="AC124" s="5">
        <v>54.45</v>
      </c>
      <c r="AD124" s="5">
        <v>12.73</v>
      </c>
      <c r="AE124" s="5">
        <v>9.15</v>
      </c>
      <c r="AF124" s="5">
        <v>19.899999999999999</v>
      </c>
      <c r="AG124" s="5">
        <v>2.65</v>
      </c>
      <c r="AH124" s="5">
        <v>1.0900000000000001</v>
      </c>
      <c r="AI124" s="5">
        <v>4.1900000000000004</v>
      </c>
      <c r="AJ124" s="5" t="s">
        <v>15</v>
      </c>
      <c r="AK124" s="5">
        <v>1.38</v>
      </c>
      <c r="AL124" s="5" t="s">
        <v>15</v>
      </c>
      <c r="AM124" s="5">
        <v>34.85</v>
      </c>
      <c r="AN124" s="5">
        <f>100*(AK124/F124)*(AE124*Calculations!$B$5*Calculations!$B$9+AF124*Calculations!$B$6*Calculations!$B$10+AG124*Calculations!$B$7*Calculations!$B$11+AH124*Calculations!$B$8*Calculations!$B$12)</f>
        <v>48.537350492096344</v>
      </c>
      <c r="AO124" s="6" t="s">
        <v>121</v>
      </c>
      <c r="AP124" s="6" t="s">
        <v>122</v>
      </c>
    </row>
    <row r="125" spans="1:42" x14ac:dyDescent="0.3">
      <c r="A125" s="6">
        <v>122</v>
      </c>
      <c r="B125" s="3" t="s">
        <v>137</v>
      </c>
      <c r="C125" s="3" t="s">
        <v>139</v>
      </c>
      <c r="D125" s="3" t="s">
        <v>15</v>
      </c>
      <c r="E125" s="5">
        <v>14.22</v>
      </c>
      <c r="F125" s="5">
        <f>(100/(100-K125))*37.6</f>
        <v>47</v>
      </c>
      <c r="G125" s="5">
        <f>(100/(100-K125))*5.42</f>
        <v>6.7750000000000004</v>
      </c>
      <c r="H125" s="5">
        <f>(100/(100-K125))*0.38</f>
        <v>0.47499999999999998</v>
      </c>
      <c r="I125" s="5">
        <f>(100/(100-K125))*0.03</f>
        <v>3.7499999999999999E-2</v>
      </c>
      <c r="J125" s="5">
        <f>(100/(100-K125))*36.56</f>
        <v>45.7</v>
      </c>
      <c r="K125" s="5">
        <v>20</v>
      </c>
      <c r="L125" s="5">
        <v>9.08</v>
      </c>
      <c r="M125" s="5">
        <v>66.400000000000006</v>
      </c>
      <c r="N125" s="5">
        <v>13.6</v>
      </c>
      <c r="O125" s="5" t="s">
        <v>15</v>
      </c>
      <c r="P125" s="5" t="s">
        <v>15</v>
      </c>
      <c r="Q125" s="5" t="s">
        <v>15</v>
      </c>
      <c r="R125" s="5">
        <v>665</v>
      </c>
      <c r="S125" s="5" t="s">
        <v>39</v>
      </c>
      <c r="T125" s="5" t="s">
        <v>15</v>
      </c>
      <c r="U125" s="5" t="s">
        <v>15</v>
      </c>
      <c r="V125" s="5" t="s">
        <v>15</v>
      </c>
      <c r="W125" s="5">
        <v>0.25</v>
      </c>
      <c r="X125" s="5" t="s">
        <v>33</v>
      </c>
      <c r="Y125" s="5" t="s">
        <v>79</v>
      </c>
      <c r="Z125" s="5" t="s">
        <v>140</v>
      </c>
      <c r="AA125" s="5" t="s">
        <v>15</v>
      </c>
      <c r="AB125" s="5" t="s">
        <v>141</v>
      </c>
      <c r="AC125" s="5">
        <v>56.57</v>
      </c>
      <c r="AD125" s="5">
        <v>4</v>
      </c>
      <c r="AE125" s="5">
        <v>19.899999999999999</v>
      </c>
      <c r="AF125" s="5">
        <v>14.45</v>
      </c>
      <c r="AG125" s="5">
        <v>2.9</v>
      </c>
      <c r="AH125" s="5">
        <v>2.14</v>
      </c>
      <c r="AI125" s="5">
        <v>4.9569707024000005</v>
      </c>
      <c r="AJ125" s="5" t="s">
        <v>15</v>
      </c>
      <c r="AK125" s="5">
        <v>1.5</v>
      </c>
      <c r="AL125" s="5" t="s">
        <v>15</v>
      </c>
      <c r="AM125" s="5">
        <f t="shared" ref="AM125:AM156" si="82">100*(AI125*AK125)/E125</f>
        <v>52.288720489451478</v>
      </c>
      <c r="AN125" s="5">
        <v>76</v>
      </c>
      <c r="AO125" s="6" t="s">
        <v>138</v>
      </c>
      <c r="AP125" s="6" t="s">
        <v>319</v>
      </c>
    </row>
    <row r="126" spans="1:42" x14ac:dyDescent="0.3">
      <c r="A126" s="6">
        <v>123</v>
      </c>
      <c r="B126" s="3" t="s">
        <v>137</v>
      </c>
      <c r="C126" s="3" t="s">
        <v>139</v>
      </c>
      <c r="D126" s="3" t="s">
        <v>15</v>
      </c>
      <c r="E126" s="5">
        <v>14.22</v>
      </c>
      <c r="F126" s="5">
        <f t="shared" ref="F126:F133" si="83">(100/(100-K126))*37.6</f>
        <v>47</v>
      </c>
      <c r="G126" s="5">
        <f t="shared" ref="G126:G133" si="84">(100/(100-K126))*5.42</f>
        <v>6.7750000000000004</v>
      </c>
      <c r="H126" s="5">
        <f t="shared" ref="H126:H133" si="85">(100/(100-K126))*0.38</f>
        <v>0.47499999999999998</v>
      </c>
      <c r="I126" s="5">
        <f t="shared" ref="I126:I133" si="86">(100/(100-K126))*0.03</f>
        <v>3.7499999999999999E-2</v>
      </c>
      <c r="J126" s="5">
        <f t="shared" ref="J126:J133" si="87">(100/(100-K126))*36.56</f>
        <v>45.7</v>
      </c>
      <c r="K126" s="5">
        <v>20</v>
      </c>
      <c r="L126" s="5">
        <v>9.08</v>
      </c>
      <c r="M126" s="5">
        <v>66.400000000000006</v>
      </c>
      <c r="N126" s="5">
        <v>13.6</v>
      </c>
      <c r="O126" s="5" t="s">
        <v>15</v>
      </c>
      <c r="P126" s="5" t="s">
        <v>15</v>
      </c>
      <c r="Q126" s="5" t="s">
        <v>15</v>
      </c>
      <c r="R126" s="5">
        <v>744</v>
      </c>
      <c r="S126" s="5" t="s">
        <v>39</v>
      </c>
      <c r="T126" s="5" t="s">
        <v>15</v>
      </c>
      <c r="U126" s="5" t="s">
        <v>15</v>
      </c>
      <c r="V126" s="5" t="s">
        <v>15</v>
      </c>
      <c r="W126" s="5">
        <v>0.3</v>
      </c>
      <c r="X126" s="5" t="s">
        <v>33</v>
      </c>
      <c r="Y126" s="5" t="s">
        <v>79</v>
      </c>
      <c r="Z126" s="5" t="s">
        <v>140</v>
      </c>
      <c r="AA126" s="5" t="s">
        <v>15</v>
      </c>
      <c r="AB126" s="5" t="s">
        <v>141</v>
      </c>
      <c r="AC126" s="5">
        <v>61.3</v>
      </c>
      <c r="AD126" s="5">
        <v>3.78</v>
      </c>
      <c r="AE126" s="5">
        <v>14.95</v>
      </c>
      <c r="AF126" s="5">
        <v>16.23</v>
      </c>
      <c r="AG126" s="5">
        <v>2.37</v>
      </c>
      <c r="AH126" s="5">
        <v>1.29</v>
      </c>
      <c r="AI126" s="5">
        <v>3.7609873137680001</v>
      </c>
      <c r="AJ126" s="5" t="s">
        <v>15</v>
      </c>
      <c r="AK126" s="5">
        <v>1.73</v>
      </c>
      <c r="AL126" s="5" t="s">
        <v>15</v>
      </c>
      <c r="AM126" s="5">
        <f t="shared" si="82"/>
        <v>45.756034126713359</v>
      </c>
      <c r="AN126" s="5">
        <v>78.3</v>
      </c>
      <c r="AO126" s="6" t="s">
        <v>138</v>
      </c>
      <c r="AP126" s="6" t="s">
        <v>319</v>
      </c>
    </row>
    <row r="127" spans="1:42" x14ac:dyDescent="0.3">
      <c r="A127" s="6">
        <v>124</v>
      </c>
      <c r="B127" s="3" t="s">
        <v>137</v>
      </c>
      <c r="C127" s="3" t="s">
        <v>139</v>
      </c>
      <c r="D127" s="3" t="s">
        <v>15</v>
      </c>
      <c r="E127" s="5">
        <v>14.22</v>
      </c>
      <c r="F127" s="5">
        <f t="shared" si="83"/>
        <v>47</v>
      </c>
      <c r="G127" s="5">
        <f t="shared" si="84"/>
        <v>6.7750000000000004</v>
      </c>
      <c r="H127" s="5">
        <f t="shared" si="85"/>
        <v>0.47499999999999998</v>
      </c>
      <c r="I127" s="5">
        <f t="shared" si="86"/>
        <v>3.7499999999999999E-2</v>
      </c>
      <c r="J127" s="5">
        <f t="shared" si="87"/>
        <v>45.7</v>
      </c>
      <c r="K127" s="5">
        <v>20</v>
      </c>
      <c r="L127" s="5">
        <v>9.08</v>
      </c>
      <c r="M127" s="5">
        <v>66.400000000000006</v>
      </c>
      <c r="N127" s="5">
        <v>13.6</v>
      </c>
      <c r="O127" s="5" t="s">
        <v>15</v>
      </c>
      <c r="P127" s="5" t="s">
        <v>15</v>
      </c>
      <c r="Q127" s="5" t="s">
        <v>15</v>
      </c>
      <c r="R127" s="5">
        <v>811</v>
      </c>
      <c r="S127" s="5" t="s">
        <v>39</v>
      </c>
      <c r="T127" s="5" t="s">
        <v>15</v>
      </c>
      <c r="U127" s="5" t="s">
        <v>15</v>
      </c>
      <c r="V127" s="5" t="s">
        <v>15</v>
      </c>
      <c r="W127" s="5">
        <v>0.35</v>
      </c>
      <c r="X127" s="5" t="s">
        <v>33</v>
      </c>
      <c r="Y127" s="5" t="s">
        <v>79</v>
      </c>
      <c r="Z127" s="5" t="s">
        <v>140</v>
      </c>
      <c r="AA127" s="5" t="s">
        <v>15</v>
      </c>
      <c r="AB127" s="5" t="s">
        <v>141</v>
      </c>
      <c r="AC127" s="5">
        <v>63.59</v>
      </c>
      <c r="AD127" s="5">
        <v>3.39</v>
      </c>
      <c r="AE127" s="5">
        <v>12.75</v>
      </c>
      <c r="AF127" s="5">
        <v>17.14</v>
      </c>
      <c r="AG127" s="5">
        <v>1.98</v>
      </c>
      <c r="AH127" s="5">
        <v>1.1300000000000001</v>
      </c>
      <c r="AI127" s="5">
        <v>3.2181076702839997</v>
      </c>
      <c r="AJ127" s="5" t="s">
        <v>15</v>
      </c>
      <c r="AK127" s="5">
        <v>1.98</v>
      </c>
      <c r="AL127" s="5" t="s">
        <v>15</v>
      </c>
      <c r="AM127" s="5">
        <f t="shared" si="82"/>
        <v>44.809094143194926</v>
      </c>
      <c r="AN127" s="5">
        <v>81</v>
      </c>
      <c r="AO127" s="6" t="s">
        <v>138</v>
      </c>
      <c r="AP127" s="6" t="s">
        <v>319</v>
      </c>
    </row>
    <row r="128" spans="1:42" x14ac:dyDescent="0.3">
      <c r="A128" s="6">
        <v>125</v>
      </c>
      <c r="B128" s="3" t="s">
        <v>137</v>
      </c>
      <c r="C128" s="3" t="s">
        <v>139</v>
      </c>
      <c r="D128" s="3" t="s">
        <v>15</v>
      </c>
      <c r="E128" s="5">
        <v>14.22</v>
      </c>
      <c r="F128" s="5">
        <f t="shared" si="83"/>
        <v>47</v>
      </c>
      <c r="G128" s="5">
        <f t="shared" si="84"/>
        <v>6.7750000000000004</v>
      </c>
      <c r="H128" s="5">
        <f t="shared" si="85"/>
        <v>0.47499999999999998</v>
      </c>
      <c r="I128" s="5">
        <f t="shared" si="86"/>
        <v>3.7499999999999999E-2</v>
      </c>
      <c r="J128" s="5">
        <f t="shared" si="87"/>
        <v>45.7</v>
      </c>
      <c r="K128" s="5">
        <v>20</v>
      </c>
      <c r="L128" s="5">
        <v>9.08</v>
      </c>
      <c r="M128" s="5">
        <v>66.400000000000006</v>
      </c>
      <c r="N128" s="5">
        <v>13.6</v>
      </c>
      <c r="O128" s="5" t="s">
        <v>15</v>
      </c>
      <c r="P128" s="5" t="s">
        <v>15</v>
      </c>
      <c r="Q128" s="5" t="s">
        <v>15</v>
      </c>
      <c r="R128" s="5">
        <v>670</v>
      </c>
      <c r="S128" s="5" t="s">
        <v>39</v>
      </c>
      <c r="T128" s="5" t="s">
        <v>15</v>
      </c>
      <c r="U128" s="5" t="s">
        <v>15</v>
      </c>
      <c r="V128" s="5" t="s">
        <v>15</v>
      </c>
      <c r="W128" s="5">
        <v>0.25</v>
      </c>
      <c r="X128" s="5" t="s">
        <v>33</v>
      </c>
      <c r="Y128" s="5" t="s">
        <v>79</v>
      </c>
      <c r="Z128" s="5" t="s">
        <v>140</v>
      </c>
      <c r="AA128" s="5" t="s">
        <v>15</v>
      </c>
      <c r="AB128" s="5" t="s">
        <v>141</v>
      </c>
      <c r="AC128" s="5">
        <v>59.46</v>
      </c>
      <c r="AD128" s="5">
        <v>3.77</v>
      </c>
      <c r="AE128" s="5">
        <v>18.29</v>
      </c>
      <c r="AF128" s="5">
        <v>14.5</v>
      </c>
      <c r="AG128" s="5">
        <v>2.36</v>
      </c>
      <c r="AH128" s="5">
        <v>1.6199999999999999</v>
      </c>
      <c r="AI128" s="5">
        <v>4.3111698870120003</v>
      </c>
      <c r="AJ128" s="5" t="s">
        <v>15</v>
      </c>
      <c r="AK128" s="5">
        <v>1.49</v>
      </c>
      <c r="AL128" s="5" t="s">
        <v>15</v>
      </c>
      <c r="AM128" s="5">
        <f t="shared" si="82"/>
        <v>45.173299097383129</v>
      </c>
      <c r="AN128" s="5">
        <v>70.400000000000006</v>
      </c>
      <c r="AO128" s="6" t="s">
        <v>138</v>
      </c>
      <c r="AP128" s="6" t="s">
        <v>319</v>
      </c>
    </row>
    <row r="129" spans="1:42" ht="15.75" customHeight="1" x14ac:dyDescent="0.3">
      <c r="A129" s="6">
        <v>126</v>
      </c>
      <c r="B129" s="3" t="s">
        <v>137</v>
      </c>
      <c r="C129" s="3" t="s">
        <v>139</v>
      </c>
      <c r="D129" s="3" t="s">
        <v>15</v>
      </c>
      <c r="E129" s="5">
        <v>14.22</v>
      </c>
      <c r="F129" s="5">
        <f t="shared" si="83"/>
        <v>47</v>
      </c>
      <c r="G129" s="5">
        <f t="shared" si="84"/>
        <v>6.7750000000000004</v>
      </c>
      <c r="H129" s="5">
        <f t="shared" si="85"/>
        <v>0.47499999999999998</v>
      </c>
      <c r="I129" s="5">
        <f t="shared" si="86"/>
        <v>3.7499999999999999E-2</v>
      </c>
      <c r="J129" s="5">
        <f t="shared" si="87"/>
        <v>45.7</v>
      </c>
      <c r="K129" s="5">
        <v>20</v>
      </c>
      <c r="L129" s="5">
        <v>9.08</v>
      </c>
      <c r="M129" s="5">
        <v>66.400000000000006</v>
      </c>
      <c r="N129" s="5">
        <v>13.6</v>
      </c>
      <c r="O129" s="5" t="s">
        <v>15</v>
      </c>
      <c r="P129" s="5" t="s">
        <v>15</v>
      </c>
      <c r="Q129" s="5" t="s">
        <v>15</v>
      </c>
      <c r="R129" s="5">
        <v>750</v>
      </c>
      <c r="S129" s="5" t="s">
        <v>39</v>
      </c>
      <c r="T129" s="5" t="s">
        <v>15</v>
      </c>
      <c r="U129" s="5" t="s">
        <v>15</v>
      </c>
      <c r="V129" s="5" t="s">
        <v>15</v>
      </c>
      <c r="W129" s="5">
        <v>0.3</v>
      </c>
      <c r="X129" s="5" t="s">
        <v>33</v>
      </c>
      <c r="Y129" s="5" t="s">
        <v>79</v>
      </c>
      <c r="Z129" s="5" t="s">
        <v>140</v>
      </c>
      <c r="AA129" s="5" t="s">
        <v>15</v>
      </c>
      <c r="AB129" s="5" t="s">
        <v>141</v>
      </c>
      <c r="AC129" s="5">
        <v>62.42</v>
      </c>
      <c r="AD129" s="5">
        <v>3.4</v>
      </c>
      <c r="AE129" s="5">
        <v>14.43</v>
      </c>
      <c r="AF129" s="5">
        <v>16.46</v>
      </c>
      <c r="AG129" s="5">
        <v>2</v>
      </c>
      <c r="AH129" s="5">
        <v>1.21</v>
      </c>
      <c r="AI129" s="5">
        <v>3.47792509704</v>
      </c>
      <c r="AJ129" s="5" t="s">
        <v>15</v>
      </c>
      <c r="AK129" s="5">
        <v>1.71</v>
      </c>
      <c r="AL129" s="5" t="s">
        <v>15</v>
      </c>
      <c r="AM129" s="5">
        <f t="shared" si="82"/>
        <v>41.823149901113915</v>
      </c>
      <c r="AN129" s="5">
        <v>72.599999999999994</v>
      </c>
      <c r="AO129" s="6" t="s">
        <v>138</v>
      </c>
      <c r="AP129" s="6" t="s">
        <v>319</v>
      </c>
    </row>
    <row r="130" spans="1:42" ht="15" customHeight="1" x14ac:dyDescent="0.3">
      <c r="A130" s="6">
        <v>127</v>
      </c>
      <c r="B130" s="3" t="s">
        <v>137</v>
      </c>
      <c r="C130" s="3" t="s">
        <v>139</v>
      </c>
      <c r="D130" s="3" t="s">
        <v>15</v>
      </c>
      <c r="E130" s="5">
        <v>14.22</v>
      </c>
      <c r="F130" s="5">
        <f t="shared" si="83"/>
        <v>47</v>
      </c>
      <c r="G130" s="5">
        <f t="shared" si="84"/>
        <v>6.7750000000000004</v>
      </c>
      <c r="H130" s="5">
        <f t="shared" si="85"/>
        <v>0.47499999999999998</v>
      </c>
      <c r="I130" s="5">
        <f t="shared" si="86"/>
        <v>3.7499999999999999E-2</v>
      </c>
      <c r="J130" s="5">
        <f t="shared" si="87"/>
        <v>45.7</v>
      </c>
      <c r="K130" s="5">
        <v>20</v>
      </c>
      <c r="L130" s="5">
        <v>9.08</v>
      </c>
      <c r="M130" s="5">
        <v>66.400000000000006</v>
      </c>
      <c r="N130" s="5">
        <v>13.6</v>
      </c>
      <c r="O130" s="5" t="s">
        <v>15</v>
      </c>
      <c r="P130" s="5" t="s">
        <v>15</v>
      </c>
      <c r="Q130" s="5" t="s">
        <v>15</v>
      </c>
      <c r="R130" s="5">
        <v>822</v>
      </c>
      <c r="S130" s="5" t="s">
        <v>39</v>
      </c>
      <c r="T130" s="5" t="s">
        <v>15</v>
      </c>
      <c r="U130" s="5" t="s">
        <v>15</v>
      </c>
      <c r="V130" s="5" t="s">
        <v>15</v>
      </c>
      <c r="W130" s="5">
        <v>0.35</v>
      </c>
      <c r="X130" s="5" t="s">
        <v>33</v>
      </c>
      <c r="Y130" s="5" t="s">
        <v>79</v>
      </c>
      <c r="Z130" s="5" t="s">
        <v>140</v>
      </c>
      <c r="AA130" s="5" t="s">
        <v>15</v>
      </c>
      <c r="AB130" s="5" t="s">
        <v>141</v>
      </c>
      <c r="AC130" s="5">
        <v>64.11</v>
      </c>
      <c r="AD130" s="5">
        <v>3.26</v>
      </c>
      <c r="AE130" s="5">
        <v>12.5</v>
      </c>
      <c r="AF130" s="5">
        <v>17.23</v>
      </c>
      <c r="AG130" s="5">
        <v>1.85</v>
      </c>
      <c r="AH130" s="5">
        <v>1.05</v>
      </c>
      <c r="AI130" s="5">
        <v>3.090481122456</v>
      </c>
      <c r="AJ130" s="5" t="s">
        <v>15</v>
      </c>
      <c r="AK130" s="5">
        <v>1.97</v>
      </c>
      <c r="AL130" s="5" t="s">
        <v>15</v>
      </c>
      <c r="AM130" s="5">
        <f t="shared" si="82"/>
        <v>42.814682216865826</v>
      </c>
      <c r="AN130" s="5">
        <v>78.599999999999994</v>
      </c>
      <c r="AO130" s="6" t="s">
        <v>138</v>
      </c>
      <c r="AP130" s="6" t="s">
        <v>319</v>
      </c>
    </row>
    <row r="131" spans="1:42" x14ac:dyDescent="0.3">
      <c r="A131" s="6">
        <v>128</v>
      </c>
      <c r="B131" s="3" t="s">
        <v>137</v>
      </c>
      <c r="C131" s="3" t="s">
        <v>139</v>
      </c>
      <c r="D131" s="3" t="s">
        <v>15</v>
      </c>
      <c r="E131" s="5">
        <v>14.22</v>
      </c>
      <c r="F131" s="5">
        <f t="shared" si="83"/>
        <v>47</v>
      </c>
      <c r="G131" s="5">
        <f t="shared" si="84"/>
        <v>6.7750000000000004</v>
      </c>
      <c r="H131" s="5">
        <f t="shared" si="85"/>
        <v>0.47499999999999998</v>
      </c>
      <c r="I131" s="5">
        <f t="shared" si="86"/>
        <v>3.7499999999999999E-2</v>
      </c>
      <c r="J131" s="5">
        <f t="shared" si="87"/>
        <v>45.7</v>
      </c>
      <c r="K131" s="5">
        <v>20</v>
      </c>
      <c r="L131" s="5">
        <v>9.08</v>
      </c>
      <c r="M131" s="5">
        <v>66.400000000000006</v>
      </c>
      <c r="N131" s="5">
        <v>13.6</v>
      </c>
      <c r="O131" s="5" t="s">
        <v>15</v>
      </c>
      <c r="P131" s="5" t="s">
        <v>15</v>
      </c>
      <c r="Q131" s="5" t="s">
        <v>15</v>
      </c>
      <c r="R131" s="5">
        <v>700</v>
      </c>
      <c r="S131" s="5" t="s">
        <v>39</v>
      </c>
      <c r="T131" s="5" t="s">
        <v>15</v>
      </c>
      <c r="U131" s="5" t="s">
        <v>15</v>
      </c>
      <c r="V131" s="5" t="s">
        <v>15</v>
      </c>
      <c r="W131" s="5">
        <v>0.25</v>
      </c>
      <c r="X131" s="5" t="s">
        <v>33</v>
      </c>
      <c r="Y131" s="5" t="s">
        <v>79</v>
      </c>
      <c r="Z131" s="5" t="s">
        <v>140</v>
      </c>
      <c r="AA131" s="5" t="s">
        <v>15</v>
      </c>
      <c r="AB131" s="5" t="s">
        <v>141</v>
      </c>
      <c r="AC131" s="5">
        <v>63.13</v>
      </c>
      <c r="AD131" s="5">
        <v>3.41</v>
      </c>
      <c r="AE131" s="5">
        <v>15.13</v>
      </c>
      <c r="AF131" s="5">
        <v>14.82</v>
      </c>
      <c r="AG131" s="5">
        <v>2</v>
      </c>
      <c r="AH131" s="5">
        <v>1.51</v>
      </c>
      <c r="AI131" s="5">
        <v>3.687742523796</v>
      </c>
      <c r="AJ131" s="5" t="s">
        <v>15</v>
      </c>
      <c r="AK131" s="5">
        <v>1.3</v>
      </c>
      <c r="AL131" s="5" t="s">
        <v>15</v>
      </c>
      <c r="AM131" s="5">
        <f t="shared" si="82"/>
        <v>33.71353924708017</v>
      </c>
      <c r="AN131" s="5">
        <v>55</v>
      </c>
      <c r="AO131" s="6" t="s">
        <v>138</v>
      </c>
      <c r="AP131" s="6" t="s">
        <v>319</v>
      </c>
    </row>
    <row r="132" spans="1:42" ht="15.75" customHeight="1" x14ac:dyDescent="0.3">
      <c r="A132" s="6">
        <v>129</v>
      </c>
      <c r="B132" s="3" t="s">
        <v>137</v>
      </c>
      <c r="C132" s="3" t="s">
        <v>139</v>
      </c>
      <c r="D132" s="3" t="s">
        <v>15</v>
      </c>
      <c r="E132" s="5">
        <v>14.22</v>
      </c>
      <c r="F132" s="5">
        <f t="shared" si="83"/>
        <v>47</v>
      </c>
      <c r="G132" s="5">
        <f t="shared" si="84"/>
        <v>6.7750000000000004</v>
      </c>
      <c r="H132" s="5">
        <f t="shared" si="85"/>
        <v>0.47499999999999998</v>
      </c>
      <c r="I132" s="5">
        <f t="shared" si="86"/>
        <v>3.7499999999999999E-2</v>
      </c>
      <c r="J132" s="5">
        <f t="shared" si="87"/>
        <v>45.7</v>
      </c>
      <c r="K132" s="5">
        <v>20</v>
      </c>
      <c r="L132" s="5">
        <v>9.08</v>
      </c>
      <c r="M132" s="5">
        <v>66.400000000000006</v>
      </c>
      <c r="N132" s="5">
        <v>13.6</v>
      </c>
      <c r="O132" s="5" t="s">
        <v>15</v>
      </c>
      <c r="P132" s="5" t="s">
        <v>15</v>
      </c>
      <c r="Q132" s="5" t="s">
        <v>15</v>
      </c>
      <c r="R132" s="5">
        <v>766</v>
      </c>
      <c r="S132" s="5" t="s">
        <v>39</v>
      </c>
      <c r="T132" s="5" t="s">
        <v>15</v>
      </c>
      <c r="U132" s="5" t="s">
        <v>15</v>
      </c>
      <c r="V132" s="5" t="s">
        <v>15</v>
      </c>
      <c r="W132" s="5">
        <v>0.3</v>
      </c>
      <c r="X132" s="5" t="s">
        <v>33</v>
      </c>
      <c r="Y132" s="5" t="s">
        <v>79</v>
      </c>
      <c r="Z132" s="5" t="s">
        <v>140</v>
      </c>
      <c r="AA132" s="5" t="s">
        <v>15</v>
      </c>
      <c r="AB132" s="5" t="s">
        <v>141</v>
      </c>
      <c r="AC132" s="5">
        <v>63.98</v>
      </c>
      <c r="AD132" s="5">
        <v>3.32</v>
      </c>
      <c r="AE132" s="5">
        <v>13</v>
      </c>
      <c r="AF132" s="5">
        <v>16.62</v>
      </c>
      <c r="AG132" s="5">
        <v>1.91</v>
      </c>
      <c r="AH132" s="5">
        <v>1.0900000000000001</v>
      </c>
      <c r="AI132" s="5">
        <v>3.1993856829919998</v>
      </c>
      <c r="AJ132" s="5" t="s">
        <v>15</v>
      </c>
      <c r="AK132" s="5">
        <v>1.5</v>
      </c>
      <c r="AL132" s="5" t="s">
        <v>15</v>
      </c>
      <c r="AM132" s="5">
        <f t="shared" si="82"/>
        <v>33.748794124388176</v>
      </c>
      <c r="AN132" s="5">
        <v>60</v>
      </c>
      <c r="AO132" s="6" t="s">
        <v>138</v>
      </c>
      <c r="AP132" s="6" t="s">
        <v>319</v>
      </c>
    </row>
    <row r="133" spans="1:42" x14ac:dyDescent="0.3">
      <c r="A133" s="6">
        <v>130</v>
      </c>
      <c r="B133" s="3" t="s">
        <v>137</v>
      </c>
      <c r="C133" s="3" t="s">
        <v>139</v>
      </c>
      <c r="D133" s="3" t="s">
        <v>15</v>
      </c>
      <c r="E133" s="5">
        <v>14.22</v>
      </c>
      <c r="F133" s="5">
        <f t="shared" si="83"/>
        <v>47</v>
      </c>
      <c r="G133" s="5">
        <f t="shared" si="84"/>
        <v>6.7750000000000004</v>
      </c>
      <c r="H133" s="5">
        <f t="shared" si="85"/>
        <v>0.47499999999999998</v>
      </c>
      <c r="I133" s="5">
        <f t="shared" si="86"/>
        <v>3.7499999999999999E-2</v>
      </c>
      <c r="J133" s="5">
        <f t="shared" si="87"/>
        <v>45.7</v>
      </c>
      <c r="K133" s="5">
        <v>20</v>
      </c>
      <c r="L133" s="5">
        <v>9.08</v>
      </c>
      <c r="M133" s="5">
        <v>66.400000000000006</v>
      </c>
      <c r="N133" s="5">
        <v>13.6</v>
      </c>
      <c r="O133" s="5" t="s">
        <v>15</v>
      </c>
      <c r="P133" s="5" t="s">
        <v>15</v>
      </c>
      <c r="Q133" s="5" t="s">
        <v>15</v>
      </c>
      <c r="R133" s="5">
        <v>828</v>
      </c>
      <c r="S133" s="5" t="s">
        <v>39</v>
      </c>
      <c r="T133" s="5" t="s">
        <v>15</v>
      </c>
      <c r="U133" s="5" t="s">
        <v>15</v>
      </c>
      <c r="V133" s="5" t="s">
        <v>15</v>
      </c>
      <c r="W133" s="5">
        <v>0.35</v>
      </c>
      <c r="X133" s="5" t="s">
        <v>33</v>
      </c>
      <c r="Y133" s="5" t="s">
        <v>79</v>
      </c>
      <c r="Z133" s="5" t="s">
        <v>140</v>
      </c>
      <c r="AA133" s="5" t="s">
        <v>15</v>
      </c>
      <c r="AB133" s="5" t="s">
        <v>141</v>
      </c>
      <c r="AC133" s="5">
        <v>64.209999999999994</v>
      </c>
      <c r="AD133" s="17">
        <v>3.25</v>
      </c>
      <c r="AE133" s="5">
        <v>12.29</v>
      </c>
      <c r="AF133" s="5">
        <v>17.420000000000002</v>
      </c>
      <c r="AG133" s="5">
        <v>1.84</v>
      </c>
      <c r="AH133" s="5">
        <v>0.98</v>
      </c>
      <c r="AI133" s="5">
        <v>3.0306636956999999</v>
      </c>
      <c r="AJ133" s="5" t="s">
        <v>15</v>
      </c>
      <c r="AK133" s="5">
        <v>1.7</v>
      </c>
      <c r="AL133" s="5" t="s">
        <v>15</v>
      </c>
      <c r="AM133" s="5">
        <f t="shared" si="82"/>
        <v>36.231563169409277</v>
      </c>
      <c r="AN133" s="5">
        <v>67</v>
      </c>
      <c r="AO133" s="6" t="s">
        <v>138</v>
      </c>
      <c r="AP133" s="6" t="s">
        <v>319</v>
      </c>
    </row>
    <row r="134" spans="1:42" x14ac:dyDescent="0.3">
      <c r="A134" s="6">
        <v>131</v>
      </c>
      <c r="B134" s="5" t="s">
        <v>137</v>
      </c>
      <c r="C134" s="5" t="s">
        <v>143</v>
      </c>
      <c r="D134" s="5" t="s">
        <v>15</v>
      </c>
      <c r="E134" s="5">
        <f>15.68-(9*((G134/100*((100+L134)/100)))*Calculations!$B$16)</f>
        <v>14.833093268416311</v>
      </c>
      <c r="F134" s="5">
        <f>(100/(100-K134))*38.43</f>
        <v>49.065950659293918</v>
      </c>
      <c r="G134" s="5">
        <f>(100/(100-K134))*2.97</f>
        <v>3.7919821352615912</v>
      </c>
      <c r="H134" s="5">
        <f>(100/(100-K134))*0.49</f>
        <v>0.62561321423507732</v>
      </c>
      <c r="I134" s="5">
        <f>(100/(100-K134))*0.07</f>
        <v>8.9373316319296764E-2</v>
      </c>
      <c r="J134" s="5">
        <f>(100/(100-K134))*36.36</f>
        <v>46.423054019566145</v>
      </c>
      <c r="K134" s="5">
        <f>19.52*(100/(100-L134))</f>
        <v>21.67684619655747</v>
      </c>
      <c r="L134" s="5">
        <v>9.9499999999999993</v>
      </c>
      <c r="M134" s="5">
        <f>55.54*(100/(100-L134))</f>
        <v>61.676846196557477</v>
      </c>
      <c r="N134" s="5">
        <f>14.99*(100/(100-L134))</f>
        <v>16.646307606885067</v>
      </c>
      <c r="O134" s="5" t="s">
        <v>15</v>
      </c>
      <c r="P134" s="5" t="s">
        <v>15</v>
      </c>
      <c r="Q134" s="5" t="s">
        <v>15</v>
      </c>
      <c r="R134" s="5">
        <v>750</v>
      </c>
      <c r="S134" s="5" t="s">
        <v>39</v>
      </c>
      <c r="T134" s="5" t="s">
        <v>144</v>
      </c>
      <c r="U134" s="5" t="s">
        <v>15</v>
      </c>
      <c r="V134" s="5">
        <v>0.5</v>
      </c>
      <c r="W134" s="5">
        <v>0.35</v>
      </c>
      <c r="X134" s="5" t="s">
        <v>81</v>
      </c>
      <c r="Y134" s="5" t="s">
        <v>34</v>
      </c>
      <c r="Z134" s="5" t="s">
        <v>73</v>
      </c>
      <c r="AA134" s="5" t="s">
        <v>15</v>
      </c>
      <c r="AB134" s="5" t="s">
        <v>86</v>
      </c>
      <c r="AC134" s="5">
        <v>55.1</v>
      </c>
      <c r="AD134" s="5">
        <v>9.1999999999999993</v>
      </c>
      <c r="AE134" s="5">
        <v>12.8</v>
      </c>
      <c r="AF134" s="5">
        <v>20.8</v>
      </c>
      <c r="AG134" s="5">
        <v>2.1</v>
      </c>
      <c r="AH134" s="5" t="s">
        <v>15</v>
      </c>
      <c r="AI134" s="5">
        <v>3.38</v>
      </c>
      <c r="AJ134" s="5" t="s">
        <v>15</v>
      </c>
      <c r="AK134" s="5">
        <v>1.3127645530260963</v>
      </c>
      <c r="AL134" s="5" t="s">
        <v>15</v>
      </c>
      <c r="AM134" s="5">
        <f t="shared" si="82"/>
        <v>29.9138157425066</v>
      </c>
      <c r="AN134" s="5">
        <v>71.900000000000006</v>
      </c>
      <c r="AO134" s="6" t="s">
        <v>142</v>
      </c>
      <c r="AP134" s="6" t="s">
        <v>320</v>
      </c>
    </row>
    <row r="135" spans="1:42" x14ac:dyDescent="0.3">
      <c r="A135" s="6">
        <v>132</v>
      </c>
      <c r="B135" s="5" t="s">
        <v>137</v>
      </c>
      <c r="C135" s="5" t="s">
        <v>143</v>
      </c>
      <c r="D135" s="5" t="s">
        <v>15</v>
      </c>
      <c r="E135" s="5">
        <f>15.68-(9*((G135/100*((100+L135)/100)))*Calculations!$B$16)</f>
        <v>14.833093268416311</v>
      </c>
      <c r="F135" s="5">
        <f t="shared" ref="F135:F141" si="88">(100/(100-K135))*38.43</f>
        <v>49.065950659293918</v>
      </c>
      <c r="G135" s="5">
        <f t="shared" ref="G135:G141" si="89">(100/(100-K135))*2.97</f>
        <v>3.7919821352615912</v>
      </c>
      <c r="H135" s="5">
        <f t="shared" ref="H135:H141" si="90">(100/(100-K135))*0.49</f>
        <v>0.62561321423507732</v>
      </c>
      <c r="I135" s="5">
        <f t="shared" ref="I135:I141" si="91">(100/(100-K135))*0.07</f>
        <v>8.9373316319296764E-2</v>
      </c>
      <c r="J135" s="5">
        <f t="shared" ref="J135:J141" si="92">(100/(100-K135))*36.36</f>
        <v>46.423054019566145</v>
      </c>
      <c r="K135" s="5">
        <f>19.52*(100/(100-L135))</f>
        <v>21.67684619655747</v>
      </c>
      <c r="L135" s="5">
        <v>9.9499999999999993</v>
      </c>
      <c r="M135" s="5">
        <f>55.54*(100/(100-L135))</f>
        <v>61.676846196557477</v>
      </c>
      <c r="N135" s="5">
        <f>14.99*(100/(100-L135))</f>
        <v>16.646307606885067</v>
      </c>
      <c r="O135" s="5" t="s">
        <v>15</v>
      </c>
      <c r="P135" s="5" t="s">
        <v>15</v>
      </c>
      <c r="Q135" s="5" t="s">
        <v>15</v>
      </c>
      <c r="R135" s="5">
        <v>800</v>
      </c>
      <c r="S135" s="5" t="s">
        <v>39</v>
      </c>
      <c r="T135" s="5" t="s">
        <v>144</v>
      </c>
      <c r="U135" s="5" t="s">
        <v>15</v>
      </c>
      <c r="V135" s="5">
        <v>0.5</v>
      </c>
      <c r="W135" s="5">
        <v>0.3</v>
      </c>
      <c r="X135" s="5" t="s">
        <v>81</v>
      </c>
      <c r="Y135" s="5" t="s">
        <v>34</v>
      </c>
      <c r="Z135" s="5" t="s">
        <v>73</v>
      </c>
      <c r="AA135" s="5" t="s">
        <v>15</v>
      </c>
      <c r="AB135" s="5" t="s">
        <v>86</v>
      </c>
      <c r="AC135" s="5">
        <v>52.5</v>
      </c>
      <c r="AD135" s="5">
        <v>11.6</v>
      </c>
      <c r="AE135" s="5">
        <v>14.7</v>
      </c>
      <c r="AF135" s="5">
        <v>18.399999999999999</v>
      </c>
      <c r="AG135" s="5">
        <v>2.8</v>
      </c>
      <c r="AH135" s="5" t="s">
        <v>15</v>
      </c>
      <c r="AI135" s="5">
        <v>4.13</v>
      </c>
      <c r="AJ135" s="5" t="s">
        <v>15</v>
      </c>
      <c r="AK135" s="5">
        <v>1.3401138145474734</v>
      </c>
      <c r="AL135" s="5" t="s">
        <v>15</v>
      </c>
      <c r="AM135" s="5">
        <f t="shared" si="82"/>
        <v>37.312986266093816</v>
      </c>
      <c r="AN135" s="5">
        <v>73.3</v>
      </c>
      <c r="AO135" s="6" t="s">
        <v>142</v>
      </c>
      <c r="AP135" s="6" t="s">
        <v>320</v>
      </c>
    </row>
    <row r="136" spans="1:42" x14ac:dyDescent="0.3">
      <c r="A136" s="6">
        <v>133</v>
      </c>
      <c r="B136" s="5" t="s">
        <v>137</v>
      </c>
      <c r="C136" s="5" t="s">
        <v>143</v>
      </c>
      <c r="D136" s="5" t="s">
        <v>15</v>
      </c>
      <c r="E136" s="5">
        <f>15.68-(9*((G136/100*((100+L136)/100)))*Calculations!$B$16)</f>
        <v>14.833093268416311</v>
      </c>
      <c r="F136" s="5">
        <f t="shared" si="88"/>
        <v>49.065950659293918</v>
      </c>
      <c r="G136" s="5">
        <f t="shared" si="89"/>
        <v>3.7919821352615912</v>
      </c>
      <c r="H136" s="5">
        <f t="shared" si="90"/>
        <v>0.62561321423507732</v>
      </c>
      <c r="I136" s="5">
        <f t="shared" si="91"/>
        <v>8.9373316319296764E-2</v>
      </c>
      <c r="J136" s="5">
        <f t="shared" si="92"/>
        <v>46.423054019566145</v>
      </c>
      <c r="K136" s="5">
        <f t="shared" ref="K136:K141" si="93">19.52*(100/(100-L136))</f>
        <v>21.67684619655747</v>
      </c>
      <c r="L136" s="5">
        <v>9.9499999999999993</v>
      </c>
      <c r="M136" s="5">
        <f t="shared" ref="M136:M141" si="94">55.54*(100/(100-L136))</f>
        <v>61.676846196557477</v>
      </c>
      <c r="N136" s="5">
        <f t="shared" ref="N136:N141" si="95">14.99*(100/(100-L136))</f>
        <v>16.646307606885067</v>
      </c>
      <c r="O136" s="5" t="s">
        <v>15</v>
      </c>
      <c r="P136" s="5" t="s">
        <v>15</v>
      </c>
      <c r="Q136" s="5" t="s">
        <v>15</v>
      </c>
      <c r="R136" s="5">
        <v>800</v>
      </c>
      <c r="S136" s="5" t="s">
        <v>39</v>
      </c>
      <c r="T136" s="5" t="s">
        <v>144</v>
      </c>
      <c r="U136" s="5" t="s">
        <v>15</v>
      </c>
      <c r="V136" s="5">
        <v>0.2</v>
      </c>
      <c r="W136" s="5">
        <v>0.35</v>
      </c>
      <c r="X136" s="5" t="s">
        <v>81</v>
      </c>
      <c r="Y136" s="5" t="s">
        <v>34</v>
      </c>
      <c r="Z136" s="5" t="s">
        <v>73</v>
      </c>
      <c r="AA136" s="5" t="s">
        <v>15</v>
      </c>
      <c r="AB136" s="5" t="s">
        <v>86</v>
      </c>
      <c r="AC136" s="5">
        <v>57.3</v>
      </c>
      <c r="AD136" s="5">
        <v>7.6</v>
      </c>
      <c r="AE136" s="5">
        <v>13.7</v>
      </c>
      <c r="AF136" s="5">
        <v>18.600000000000001</v>
      </c>
      <c r="AG136" s="5">
        <v>2.8</v>
      </c>
      <c r="AH136" s="5" t="s">
        <v>15</v>
      </c>
      <c r="AI136" s="5">
        <v>3.57</v>
      </c>
      <c r="AJ136" s="5" t="s">
        <v>15</v>
      </c>
      <c r="AK136" s="5">
        <v>1.4153242837312601</v>
      </c>
      <c r="AL136" s="5" t="s">
        <v>15</v>
      </c>
      <c r="AM136" s="5">
        <f t="shared" si="82"/>
        <v>34.063749222686994</v>
      </c>
      <c r="AN136" s="5">
        <v>77.099999999999994</v>
      </c>
      <c r="AO136" s="6" t="s">
        <v>142</v>
      </c>
      <c r="AP136" s="6" t="s">
        <v>320</v>
      </c>
    </row>
    <row r="137" spans="1:42" x14ac:dyDescent="0.3">
      <c r="A137" s="6">
        <v>134</v>
      </c>
      <c r="B137" s="5" t="s">
        <v>137</v>
      </c>
      <c r="C137" s="5" t="s">
        <v>143</v>
      </c>
      <c r="D137" s="5" t="s">
        <v>15</v>
      </c>
      <c r="E137" s="5">
        <f>15.68-(9*((G137/100*((100+L137)/100)))*Calculations!$B$16)</f>
        <v>14.833093268416311</v>
      </c>
      <c r="F137" s="5">
        <f t="shared" si="88"/>
        <v>49.065950659293918</v>
      </c>
      <c r="G137" s="5">
        <f t="shared" si="89"/>
        <v>3.7919821352615912</v>
      </c>
      <c r="H137" s="5">
        <f t="shared" si="90"/>
        <v>0.62561321423507732</v>
      </c>
      <c r="I137" s="5">
        <f t="shared" si="91"/>
        <v>8.9373316319296764E-2</v>
      </c>
      <c r="J137" s="5">
        <f t="shared" si="92"/>
        <v>46.423054019566145</v>
      </c>
      <c r="K137" s="5">
        <f t="shared" si="93"/>
        <v>21.67684619655747</v>
      </c>
      <c r="L137" s="5">
        <v>9.9499999999999993</v>
      </c>
      <c r="M137" s="5">
        <f t="shared" si="94"/>
        <v>61.676846196557477</v>
      </c>
      <c r="N137" s="5">
        <f t="shared" si="95"/>
        <v>16.646307606885067</v>
      </c>
      <c r="O137" s="5" t="s">
        <v>15</v>
      </c>
      <c r="P137" s="5" t="s">
        <v>15</v>
      </c>
      <c r="Q137" s="5" t="s">
        <v>15</v>
      </c>
      <c r="R137" s="5">
        <v>800</v>
      </c>
      <c r="S137" s="5" t="s">
        <v>39</v>
      </c>
      <c r="T137" s="5" t="s">
        <v>144</v>
      </c>
      <c r="U137" s="5" t="s">
        <v>15</v>
      </c>
      <c r="V137" s="5">
        <v>0.5</v>
      </c>
      <c r="W137" s="5">
        <v>0.35</v>
      </c>
      <c r="X137" s="5" t="s">
        <v>81</v>
      </c>
      <c r="Y137" s="5" t="s">
        <v>34</v>
      </c>
      <c r="Z137" s="5" t="s">
        <v>73</v>
      </c>
      <c r="AA137" s="5" t="s">
        <v>15</v>
      </c>
      <c r="AB137" s="5" t="s">
        <v>86</v>
      </c>
      <c r="AC137" s="5">
        <v>53.3</v>
      </c>
      <c r="AD137" s="5">
        <v>10.4</v>
      </c>
      <c r="AE137" s="5">
        <v>13.4</v>
      </c>
      <c r="AF137" s="5">
        <v>20.3</v>
      </c>
      <c r="AG137" s="5">
        <v>2.6</v>
      </c>
      <c r="AH137" s="5" t="s">
        <v>15</v>
      </c>
      <c r="AI137" s="5">
        <v>3.76</v>
      </c>
      <c r="AJ137" s="5" t="s">
        <v>15</v>
      </c>
      <c r="AK137" s="5">
        <v>1.4358362298722931</v>
      </c>
      <c r="AL137" s="5" t="s">
        <v>15</v>
      </c>
      <c r="AM137" s="5">
        <f t="shared" si="82"/>
        <v>36.396617526940361</v>
      </c>
      <c r="AN137" s="5">
        <v>78.2</v>
      </c>
      <c r="AO137" s="6" t="s">
        <v>142</v>
      </c>
      <c r="AP137" s="6" t="s">
        <v>320</v>
      </c>
    </row>
    <row r="138" spans="1:42" x14ac:dyDescent="0.3">
      <c r="A138" s="6">
        <v>135</v>
      </c>
      <c r="B138" s="5" t="s">
        <v>137</v>
      </c>
      <c r="C138" s="5" t="s">
        <v>143</v>
      </c>
      <c r="D138" s="5" t="s">
        <v>15</v>
      </c>
      <c r="E138" s="5">
        <f>15.68-(9*((G138/100*((100+L138)/100)))*Calculations!$B$16)</f>
        <v>14.833093268416311</v>
      </c>
      <c r="F138" s="5">
        <f t="shared" si="88"/>
        <v>49.065950659293918</v>
      </c>
      <c r="G138" s="5">
        <f t="shared" si="89"/>
        <v>3.7919821352615912</v>
      </c>
      <c r="H138" s="5">
        <f t="shared" si="90"/>
        <v>0.62561321423507732</v>
      </c>
      <c r="I138" s="5">
        <f t="shared" si="91"/>
        <v>8.9373316319296764E-2</v>
      </c>
      <c r="J138" s="5">
        <f t="shared" si="92"/>
        <v>46.423054019566145</v>
      </c>
      <c r="K138" s="5">
        <f t="shared" si="93"/>
        <v>21.67684619655747</v>
      </c>
      <c r="L138" s="5">
        <v>9.9499999999999993</v>
      </c>
      <c r="M138" s="5">
        <f t="shared" si="94"/>
        <v>61.676846196557477</v>
      </c>
      <c r="N138" s="5">
        <f t="shared" si="95"/>
        <v>16.646307606885067</v>
      </c>
      <c r="O138" s="5" t="s">
        <v>15</v>
      </c>
      <c r="P138" s="5" t="s">
        <v>15</v>
      </c>
      <c r="Q138" s="5" t="s">
        <v>15</v>
      </c>
      <c r="R138" s="5">
        <v>800</v>
      </c>
      <c r="S138" s="5" t="s">
        <v>39</v>
      </c>
      <c r="T138" s="5" t="s">
        <v>144</v>
      </c>
      <c r="U138" s="5" t="s">
        <v>15</v>
      </c>
      <c r="V138" s="5">
        <v>0.5</v>
      </c>
      <c r="W138" s="5">
        <v>0.4</v>
      </c>
      <c r="X138" s="5" t="s">
        <v>81</v>
      </c>
      <c r="Y138" s="5" t="s">
        <v>34</v>
      </c>
      <c r="Z138" s="5" t="s">
        <v>73</v>
      </c>
      <c r="AA138" s="5" t="s">
        <v>15</v>
      </c>
      <c r="AB138" s="5" t="s">
        <v>86</v>
      </c>
      <c r="AC138" s="5">
        <v>54.5</v>
      </c>
      <c r="AD138" s="5">
        <v>9.6</v>
      </c>
      <c r="AE138" s="5">
        <v>12.2</v>
      </c>
      <c r="AF138" s="5">
        <v>21.5</v>
      </c>
      <c r="AG138" s="5">
        <v>2.2000000000000002</v>
      </c>
      <c r="AH138" s="5" t="s">
        <v>15</v>
      </c>
      <c r="AI138" s="5">
        <v>3.38</v>
      </c>
      <c r="AJ138" s="5" t="s">
        <v>15</v>
      </c>
      <c r="AK138" s="5">
        <v>1.5657452220988337</v>
      </c>
      <c r="AL138" s="5" t="s">
        <v>15</v>
      </c>
      <c r="AM138" s="5">
        <f t="shared" si="82"/>
        <v>35.678457317885474</v>
      </c>
      <c r="AN138" s="5">
        <v>85.5</v>
      </c>
      <c r="AO138" s="6" t="s">
        <v>142</v>
      </c>
      <c r="AP138" s="6" t="s">
        <v>320</v>
      </c>
    </row>
    <row r="139" spans="1:42" x14ac:dyDescent="0.3">
      <c r="A139" s="6">
        <v>136</v>
      </c>
      <c r="B139" s="5" t="s">
        <v>137</v>
      </c>
      <c r="C139" s="5" t="s">
        <v>143</v>
      </c>
      <c r="D139" s="5" t="s">
        <v>15</v>
      </c>
      <c r="E139" s="5">
        <f>15.68-(9*((G139/100*((100+L139)/100)))*Calculations!$B$16)</f>
        <v>14.833093268416311</v>
      </c>
      <c r="F139" s="5">
        <f t="shared" si="88"/>
        <v>49.065950659293918</v>
      </c>
      <c r="G139" s="5">
        <f t="shared" si="89"/>
        <v>3.7919821352615912</v>
      </c>
      <c r="H139" s="5">
        <f t="shared" si="90"/>
        <v>0.62561321423507732</v>
      </c>
      <c r="I139" s="5">
        <f t="shared" si="91"/>
        <v>8.9373316319296764E-2</v>
      </c>
      <c r="J139" s="5">
        <f t="shared" si="92"/>
        <v>46.423054019566145</v>
      </c>
      <c r="K139" s="5">
        <f t="shared" si="93"/>
        <v>21.67684619655747</v>
      </c>
      <c r="L139" s="5">
        <v>9.9499999999999993</v>
      </c>
      <c r="M139" s="5">
        <f t="shared" si="94"/>
        <v>61.676846196557477</v>
      </c>
      <c r="N139" s="5">
        <f t="shared" si="95"/>
        <v>16.646307606885067</v>
      </c>
      <c r="O139" s="5" t="s">
        <v>15</v>
      </c>
      <c r="P139" s="5" t="s">
        <v>15</v>
      </c>
      <c r="Q139" s="5" t="s">
        <v>15</v>
      </c>
      <c r="R139" s="5">
        <v>850</v>
      </c>
      <c r="S139" s="5" t="s">
        <v>39</v>
      </c>
      <c r="T139" s="5" t="s">
        <v>144</v>
      </c>
      <c r="U139" s="5" t="s">
        <v>15</v>
      </c>
      <c r="V139" s="5">
        <v>0.5</v>
      </c>
      <c r="W139" s="5">
        <v>0.35</v>
      </c>
      <c r="X139" s="5" t="s">
        <v>81</v>
      </c>
      <c r="Y139" s="5" t="s">
        <v>34</v>
      </c>
      <c r="Z139" s="5" t="s">
        <v>73</v>
      </c>
      <c r="AA139" s="5" t="s">
        <v>15</v>
      </c>
      <c r="AB139" s="5" t="s">
        <v>86</v>
      </c>
      <c r="AC139" s="5">
        <v>51.8</v>
      </c>
      <c r="AD139" s="5">
        <v>12.3</v>
      </c>
      <c r="AE139" s="5">
        <v>14.5</v>
      </c>
      <c r="AF139" s="5">
        <v>18.399999999999999</v>
      </c>
      <c r="AG139" s="5">
        <v>3</v>
      </c>
      <c r="AH139" s="5" t="s">
        <v>15</v>
      </c>
      <c r="AI139" s="5">
        <v>4.25</v>
      </c>
      <c r="AJ139" s="5" t="s">
        <v>15</v>
      </c>
      <c r="AK139" s="5">
        <v>1.5794198528595222</v>
      </c>
      <c r="AL139" s="5" t="s">
        <v>15</v>
      </c>
      <c r="AM139" s="5">
        <f t="shared" si="82"/>
        <v>45.253773121927175</v>
      </c>
      <c r="AN139" s="5">
        <v>86.1</v>
      </c>
      <c r="AO139" s="6" t="s">
        <v>142</v>
      </c>
      <c r="AP139" s="6" t="s">
        <v>320</v>
      </c>
    </row>
    <row r="140" spans="1:42" x14ac:dyDescent="0.3">
      <c r="A140" s="6">
        <v>137</v>
      </c>
      <c r="B140" s="5" t="s">
        <v>137</v>
      </c>
      <c r="C140" s="5" t="s">
        <v>143</v>
      </c>
      <c r="D140" s="5" t="s">
        <v>15</v>
      </c>
      <c r="E140" s="5">
        <f>15.68-(9*((G140/100*((100+L140)/100)))*Calculations!$B$16)</f>
        <v>14.833093268416311</v>
      </c>
      <c r="F140" s="5">
        <f t="shared" si="88"/>
        <v>49.065950659293918</v>
      </c>
      <c r="G140" s="5">
        <f t="shared" si="89"/>
        <v>3.7919821352615912</v>
      </c>
      <c r="H140" s="5">
        <f t="shared" si="90"/>
        <v>0.62561321423507732</v>
      </c>
      <c r="I140" s="5">
        <f t="shared" si="91"/>
        <v>8.9373316319296764E-2</v>
      </c>
      <c r="J140" s="5">
        <f t="shared" si="92"/>
        <v>46.423054019566145</v>
      </c>
      <c r="K140" s="5">
        <f t="shared" si="93"/>
        <v>21.67684619655747</v>
      </c>
      <c r="L140" s="5">
        <v>9.9499999999999993</v>
      </c>
      <c r="M140" s="5">
        <f t="shared" si="94"/>
        <v>61.676846196557477</v>
      </c>
      <c r="N140" s="5">
        <f t="shared" si="95"/>
        <v>16.646307606885067</v>
      </c>
      <c r="O140" s="5" t="s">
        <v>15</v>
      </c>
      <c r="P140" s="5" t="s">
        <v>15</v>
      </c>
      <c r="Q140" s="5" t="s">
        <v>15</v>
      </c>
      <c r="R140" s="5">
        <v>800</v>
      </c>
      <c r="S140" s="5" t="s">
        <v>39</v>
      </c>
      <c r="T140" s="5" t="s">
        <v>144</v>
      </c>
      <c r="U140" s="5" t="s">
        <v>15</v>
      </c>
      <c r="V140" s="5">
        <v>0.8</v>
      </c>
      <c r="W140" s="5">
        <v>0.35</v>
      </c>
      <c r="X140" s="5" t="s">
        <v>81</v>
      </c>
      <c r="Y140" s="5" t="s">
        <v>34</v>
      </c>
      <c r="Z140" s="5" t="s">
        <v>73</v>
      </c>
      <c r="AA140" s="5" t="s">
        <v>15</v>
      </c>
      <c r="AB140" s="5" t="s">
        <v>86</v>
      </c>
      <c r="AC140" s="5">
        <v>51.9</v>
      </c>
      <c r="AD140" s="5">
        <v>11.8</v>
      </c>
      <c r="AE140" s="5">
        <v>12.7</v>
      </c>
      <c r="AF140" s="5">
        <v>21.1</v>
      </c>
      <c r="AG140" s="5">
        <v>2.5</v>
      </c>
      <c r="AH140" s="5" t="s">
        <v>15</v>
      </c>
      <c r="AI140" s="5">
        <v>3.79</v>
      </c>
      <c r="AJ140" s="5" t="s">
        <v>15</v>
      </c>
      <c r="AK140" s="5">
        <v>1.4563481760133257</v>
      </c>
      <c r="AL140" s="5" t="s">
        <v>15</v>
      </c>
      <c r="AM140" s="5">
        <f t="shared" si="82"/>
        <v>37.211116300624546</v>
      </c>
      <c r="AN140" s="5">
        <v>79.599999999999994</v>
      </c>
      <c r="AO140" s="6" t="s">
        <v>142</v>
      </c>
      <c r="AP140" s="6" t="s">
        <v>320</v>
      </c>
    </row>
    <row r="141" spans="1:42" x14ac:dyDescent="0.3">
      <c r="A141" s="6">
        <v>138</v>
      </c>
      <c r="B141" s="5" t="s">
        <v>137</v>
      </c>
      <c r="C141" s="5" t="s">
        <v>143</v>
      </c>
      <c r="D141" s="5" t="s">
        <v>15</v>
      </c>
      <c r="E141" s="5">
        <f>15.68-(9*((G141/100*((100+L141)/100)))*Calculations!$B$16)</f>
        <v>14.833093268416311</v>
      </c>
      <c r="F141" s="5">
        <f t="shared" si="88"/>
        <v>49.065950659293918</v>
      </c>
      <c r="G141" s="5">
        <f t="shared" si="89"/>
        <v>3.7919821352615912</v>
      </c>
      <c r="H141" s="5">
        <f t="shared" si="90"/>
        <v>0.62561321423507732</v>
      </c>
      <c r="I141" s="5">
        <f t="shared" si="91"/>
        <v>8.9373316319296764E-2</v>
      </c>
      <c r="J141" s="5">
        <f t="shared" si="92"/>
        <v>46.423054019566145</v>
      </c>
      <c r="K141" s="5">
        <f t="shared" si="93"/>
        <v>21.67684619655747</v>
      </c>
      <c r="L141" s="5">
        <v>9.9499999999999993</v>
      </c>
      <c r="M141" s="5">
        <f t="shared" si="94"/>
        <v>61.676846196557477</v>
      </c>
      <c r="N141" s="5">
        <f t="shared" si="95"/>
        <v>16.646307606885067</v>
      </c>
      <c r="O141" s="5" t="s">
        <v>15</v>
      </c>
      <c r="P141" s="5" t="s">
        <v>15</v>
      </c>
      <c r="Q141" s="5" t="s">
        <v>15</v>
      </c>
      <c r="R141" s="5">
        <v>850</v>
      </c>
      <c r="S141" s="5" t="s">
        <v>39</v>
      </c>
      <c r="T141" s="5" t="s">
        <v>144</v>
      </c>
      <c r="U141" s="5" t="s">
        <v>15</v>
      </c>
      <c r="V141" s="5">
        <v>0.8</v>
      </c>
      <c r="W141" s="5">
        <v>0.35</v>
      </c>
      <c r="X141" s="5" t="s">
        <v>81</v>
      </c>
      <c r="Y141" s="5" t="s">
        <v>34</v>
      </c>
      <c r="Z141" s="5" t="s">
        <v>73</v>
      </c>
      <c r="AA141" s="5" t="s">
        <v>15</v>
      </c>
      <c r="AB141" s="5" t="s">
        <v>86</v>
      </c>
      <c r="AC141" s="5">
        <v>49.4</v>
      </c>
      <c r="AD141" s="5">
        <v>13.1</v>
      </c>
      <c r="AE141" s="5">
        <v>14.2</v>
      </c>
      <c r="AF141" s="5">
        <v>20.399999999999999</v>
      </c>
      <c r="AG141" s="5">
        <v>2.9</v>
      </c>
      <c r="AH141" s="5" t="s">
        <v>15</v>
      </c>
      <c r="AI141" s="5">
        <v>4.26</v>
      </c>
      <c r="AJ141" s="5" t="s">
        <v>15</v>
      </c>
      <c r="AK141" s="5">
        <v>1.5999317990005548</v>
      </c>
      <c r="AL141" s="5" t="s">
        <v>15</v>
      </c>
      <c r="AM141" s="5">
        <f t="shared" si="82"/>
        <v>45.949346777552201</v>
      </c>
      <c r="AN141" s="5">
        <v>87.3</v>
      </c>
      <c r="AO141" s="6" t="s">
        <v>142</v>
      </c>
      <c r="AP141" s="6" t="s">
        <v>320</v>
      </c>
    </row>
    <row r="142" spans="1:42" x14ac:dyDescent="0.3">
      <c r="A142" s="6">
        <v>139</v>
      </c>
      <c r="B142" s="3" t="s">
        <v>147</v>
      </c>
      <c r="C142" s="3" t="s">
        <v>15</v>
      </c>
      <c r="D142" s="3">
        <v>1.25</v>
      </c>
      <c r="E142" s="5">
        <v>19.3</v>
      </c>
      <c r="F142" s="5">
        <f>(100/(100-K142))*49</f>
        <v>49.196787148594382</v>
      </c>
      <c r="G142" s="5">
        <f>(100/(100-K142))*6.1</f>
        <v>6.1244979919678713</v>
      </c>
      <c r="H142" s="5">
        <f>(100/(100-K142))*0.1</f>
        <v>0.10040160642570282</v>
      </c>
      <c r="I142" s="5">
        <f>(100/(100-K142))*0.01</f>
        <v>1.0040160642570281E-2</v>
      </c>
      <c r="J142" s="5">
        <f>(100/(100-K142))*44.4</f>
        <v>44.578313253012048</v>
      </c>
      <c r="K142" s="5">
        <v>0.4</v>
      </c>
      <c r="L142" s="5">
        <v>7</v>
      </c>
      <c r="M142" s="5" t="s">
        <v>15</v>
      </c>
      <c r="N142" s="5" t="s">
        <v>15</v>
      </c>
      <c r="O142" s="5" t="s">
        <v>15</v>
      </c>
      <c r="P142" s="5" t="s">
        <v>15</v>
      </c>
      <c r="Q142" s="5" t="s">
        <v>15</v>
      </c>
      <c r="R142" s="5">
        <v>700</v>
      </c>
      <c r="S142" s="5" t="s">
        <v>39</v>
      </c>
      <c r="T142" s="5" t="s">
        <v>75</v>
      </c>
      <c r="U142" s="5">
        <v>60</v>
      </c>
      <c r="V142" s="5" t="s">
        <v>15</v>
      </c>
      <c r="W142" s="5">
        <v>0.21</v>
      </c>
      <c r="X142" s="5" t="s">
        <v>146</v>
      </c>
      <c r="Y142" s="5" t="s">
        <v>79</v>
      </c>
      <c r="Z142" s="5" t="s">
        <v>154</v>
      </c>
      <c r="AA142" s="5" t="s">
        <v>15</v>
      </c>
      <c r="AB142" s="5" t="s">
        <v>86</v>
      </c>
      <c r="AC142" s="5">
        <v>0</v>
      </c>
      <c r="AD142" s="5">
        <v>22.05</v>
      </c>
      <c r="AE142" s="5">
        <v>29.87</v>
      </c>
      <c r="AF142" s="5">
        <v>34.19</v>
      </c>
      <c r="AG142" s="5">
        <v>9.5399999999999991</v>
      </c>
      <c r="AH142" s="5">
        <v>4.05</v>
      </c>
      <c r="AI142" s="5">
        <v>11.96</v>
      </c>
      <c r="AJ142" s="5">
        <v>36.640625</v>
      </c>
      <c r="AK142" s="5">
        <v>0.64</v>
      </c>
      <c r="AL142" s="5" t="s">
        <v>15</v>
      </c>
      <c r="AM142" s="5">
        <f t="shared" si="82"/>
        <v>39.660103626943005</v>
      </c>
      <c r="AN142" s="5">
        <v>60</v>
      </c>
      <c r="AO142" s="6" t="s">
        <v>231</v>
      </c>
      <c r="AP142" s="6" t="s">
        <v>321</v>
      </c>
    </row>
    <row r="143" spans="1:42" x14ac:dyDescent="0.3">
      <c r="A143" s="6">
        <v>140</v>
      </c>
      <c r="B143" s="3" t="s">
        <v>147</v>
      </c>
      <c r="C143" s="3" t="s">
        <v>15</v>
      </c>
      <c r="D143" s="3">
        <v>1.25</v>
      </c>
      <c r="E143" s="5">
        <v>19.3</v>
      </c>
      <c r="F143" s="5">
        <f t="shared" ref="F143:F159" si="96">(100/(100-K143))*49</f>
        <v>49.196787148594382</v>
      </c>
      <c r="G143" s="5">
        <f t="shared" ref="G143:G159" si="97">(100/(100-K143))*6.1</f>
        <v>6.1244979919678713</v>
      </c>
      <c r="H143" s="5">
        <f t="shared" ref="H143:H159" si="98">(100/(100-K143))*0.1</f>
        <v>0.10040160642570282</v>
      </c>
      <c r="I143" s="5">
        <f t="shared" ref="I143:I159" si="99">(100/(100-K143))*0.01</f>
        <v>1.0040160642570281E-2</v>
      </c>
      <c r="J143" s="5">
        <f t="shared" ref="J143:J159" si="100">(100/(100-K143))*44.4</f>
        <v>44.578313253012048</v>
      </c>
      <c r="K143" s="5">
        <v>0.4</v>
      </c>
      <c r="L143" s="5">
        <v>7</v>
      </c>
      <c r="M143" s="5" t="s">
        <v>15</v>
      </c>
      <c r="N143" s="5" t="s">
        <v>15</v>
      </c>
      <c r="O143" s="5" t="s">
        <v>15</v>
      </c>
      <c r="P143" s="5" t="s">
        <v>15</v>
      </c>
      <c r="Q143" s="5" t="s">
        <v>15</v>
      </c>
      <c r="R143" s="5">
        <v>700</v>
      </c>
      <c r="S143" s="5" t="s">
        <v>39</v>
      </c>
      <c r="T143" s="5" t="s">
        <v>75</v>
      </c>
      <c r="U143" s="5">
        <v>75</v>
      </c>
      <c r="V143" s="5" t="s">
        <v>15</v>
      </c>
      <c r="W143" s="5">
        <v>0.21</v>
      </c>
      <c r="X143" s="5" t="s">
        <v>146</v>
      </c>
      <c r="Y143" s="5" t="s">
        <v>79</v>
      </c>
      <c r="Z143" s="5" t="s">
        <v>154</v>
      </c>
      <c r="AA143" s="5" t="s">
        <v>49</v>
      </c>
      <c r="AB143" s="5" t="s">
        <v>86</v>
      </c>
      <c r="AC143" s="5">
        <v>0</v>
      </c>
      <c r="AD143" s="5">
        <v>24.2</v>
      </c>
      <c r="AE143" s="5">
        <v>32.76</v>
      </c>
      <c r="AF143" s="5">
        <v>30.02</v>
      </c>
      <c r="AG143" s="5">
        <v>9.92</v>
      </c>
      <c r="AH143" s="5">
        <v>2.85</v>
      </c>
      <c r="AI143" s="5">
        <v>11.99</v>
      </c>
      <c r="AJ143" s="5">
        <v>21.526315789473685</v>
      </c>
      <c r="AK143" s="5">
        <v>0.76</v>
      </c>
      <c r="AL143" s="5" t="s">
        <v>15</v>
      </c>
      <c r="AM143" s="5">
        <f t="shared" si="82"/>
        <v>47.214507772020731</v>
      </c>
      <c r="AN143" s="5">
        <v>64</v>
      </c>
      <c r="AO143" s="6" t="s">
        <v>231</v>
      </c>
      <c r="AP143" s="6" t="s">
        <v>321</v>
      </c>
    </row>
    <row r="144" spans="1:42" x14ac:dyDescent="0.3">
      <c r="A144" s="6">
        <v>141</v>
      </c>
      <c r="B144" s="3" t="s">
        <v>147</v>
      </c>
      <c r="C144" s="3" t="s">
        <v>15</v>
      </c>
      <c r="D144" s="3">
        <v>1.25</v>
      </c>
      <c r="E144" s="5">
        <v>19.3</v>
      </c>
      <c r="F144" s="5">
        <f t="shared" si="96"/>
        <v>49.196787148594382</v>
      </c>
      <c r="G144" s="5">
        <f t="shared" si="97"/>
        <v>6.1244979919678713</v>
      </c>
      <c r="H144" s="5">
        <f t="shared" si="98"/>
        <v>0.10040160642570282</v>
      </c>
      <c r="I144" s="5">
        <f t="shared" si="99"/>
        <v>1.0040160642570281E-2</v>
      </c>
      <c r="J144" s="5">
        <f t="shared" si="100"/>
        <v>44.578313253012048</v>
      </c>
      <c r="K144" s="5">
        <v>0.4</v>
      </c>
      <c r="L144" s="5">
        <v>7</v>
      </c>
      <c r="M144" s="5" t="s">
        <v>15</v>
      </c>
      <c r="N144" s="5" t="s">
        <v>15</v>
      </c>
      <c r="O144" s="5" t="s">
        <v>15</v>
      </c>
      <c r="P144" s="5" t="s">
        <v>15</v>
      </c>
      <c r="Q144" s="5" t="s">
        <v>15</v>
      </c>
      <c r="R144" s="5">
        <v>700</v>
      </c>
      <c r="S144" s="5" t="s">
        <v>39</v>
      </c>
      <c r="T144" s="5" t="s">
        <v>75</v>
      </c>
      <c r="U144" s="5">
        <v>55</v>
      </c>
      <c r="V144" s="5" t="s">
        <v>15</v>
      </c>
      <c r="W144" s="5">
        <v>0.21</v>
      </c>
      <c r="X144" s="5" t="s">
        <v>146</v>
      </c>
      <c r="Y144" s="5" t="s">
        <v>79</v>
      </c>
      <c r="Z144" s="5" t="s">
        <v>154</v>
      </c>
      <c r="AA144" s="5" t="s">
        <v>15</v>
      </c>
      <c r="AB144" s="5" t="s">
        <v>86</v>
      </c>
      <c r="AC144" s="5">
        <v>0</v>
      </c>
      <c r="AD144" s="5">
        <v>20.27</v>
      </c>
      <c r="AE144" s="5">
        <v>30.61</v>
      </c>
      <c r="AF144" s="5">
        <v>34.729999999999997</v>
      </c>
      <c r="AG144" s="5">
        <v>10.18</v>
      </c>
      <c r="AH144" s="5">
        <v>3.65</v>
      </c>
      <c r="AI144" s="5">
        <v>11.87</v>
      </c>
      <c r="AJ144" s="5">
        <v>35.17977528089888</v>
      </c>
      <c r="AK144" s="5">
        <v>0.89</v>
      </c>
      <c r="AL144" s="5" t="s">
        <v>15</v>
      </c>
      <c r="AM144" s="5">
        <f t="shared" si="82"/>
        <v>54.737305699481858</v>
      </c>
      <c r="AN144" s="5">
        <v>81</v>
      </c>
      <c r="AO144" s="6" t="s">
        <v>231</v>
      </c>
      <c r="AP144" s="6" t="s">
        <v>321</v>
      </c>
    </row>
    <row r="145" spans="1:42" x14ac:dyDescent="0.3">
      <c r="A145" s="6">
        <v>142</v>
      </c>
      <c r="B145" s="3" t="s">
        <v>147</v>
      </c>
      <c r="C145" s="3" t="s">
        <v>15</v>
      </c>
      <c r="D145" s="3">
        <v>1.25</v>
      </c>
      <c r="E145" s="5">
        <v>19.3</v>
      </c>
      <c r="F145" s="5">
        <f t="shared" si="96"/>
        <v>49.196787148594382</v>
      </c>
      <c r="G145" s="5">
        <f t="shared" si="97"/>
        <v>6.1244979919678713</v>
      </c>
      <c r="H145" s="5">
        <f t="shared" si="98"/>
        <v>0.10040160642570282</v>
      </c>
      <c r="I145" s="5">
        <f t="shared" si="99"/>
        <v>1.0040160642570281E-2</v>
      </c>
      <c r="J145" s="5">
        <f t="shared" si="100"/>
        <v>44.578313253012048</v>
      </c>
      <c r="K145" s="5">
        <v>0.4</v>
      </c>
      <c r="L145" s="5">
        <v>7</v>
      </c>
      <c r="M145" s="5" t="s">
        <v>15</v>
      </c>
      <c r="N145" s="5" t="s">
        <v>15</v>
      </c>
      <c r="O145" s="5" t="s">
        <v>15</v>
      </c>
      <c r="P145" s="5" t="s">
        <v>15</v>
      </c>
      <c r="Q145" s="5" t="s">
        <v>15</v>
      </c>
      <c r="R145" s="5">
        <v>700</v>
      </c>
      <c r="S145" s="5" t="s">
        <v>39</v>
      </c>
      <c r="T145" s="5" t="s">
        <v>75</v>
      </c>
      <c r="U145" s="5">
        <v>68</v>
      </c>
      <c r="V145" s="5" t="s">
        <v>15</v>
      </c>
      <c r="W145" s="5">
        <v>0.21</v>
      </c>
      <c r="X145" s="5" t="s">
        <v>146</v>
      </c>
      <c r="Y145" s="5" t="s">
        <v>79</v>
      </c>
      <c r="Z145" s="5" t="s">
        <v>154</v>
      </c>
      <c r="AA145" s="5" t="s">
        <v>49</v>
      </c>
      <c r="AB145" s="5" t="s">
        <v>86</v>
      </c>
      <c r="AC145" s="5">
        <v>0</v>
      </c>
      <c r="AD145" s="5">
        <v>22.98</v>
      </c>
      <c r="AE145" s="5">
        <v>33.299999999999997</v>
      </c>
      <c r="AF145" s="5">
        <v>30.51</v>
      </c>
      <c r="AG145" s="5">
        <v>10.15</v>
      </c>
      <c r="AH145" s="5">
        <v>2.4300000000000002</v>
      </c>
      <c r="AI145" s="5">
        <v>11.81</v>
      </c>
      <c r="AJ145" s="5">
        <v>22.333333333333329</v>
      </c>
      <c r="AK145" s="5">
        <v>1.02</v>
      </c>
      <c r="AL145" s="5" t="s">
        <v>15</v>
      </c>
      <c r="AM145" s="5">
        <f t="shared" si="82"/>
        <v>62.415544041450779</v>
      </c>
      <c r="AN145" s="5">
        <v>89</v>
      </c>
      <c r="AO145" s="6" t="s">
        <v>231</v>
      </c>
      <c r="AP145" s="6" t="s">
        <v>321</v>
      </c>
    </row>
    <row r="146" spans="1:42" x14ac:dyDescent="0.3">
      <c r="A146" s="6">
        <v>143</v>
      </c>
      <c r="B146" s="3" t="s">
        <v>147</v>
      </c>
      <c r="C146" s="3" t="s">
        <v>15</v>
      </c>
      <c r="D146" s="3">
        <v>1.25</v>
      </c>
      <c r="E146" s="5">
        <v>19.3</v>
      </c>
      <c r="F146" s="5">
        <f t="shared" si="96"/>
        <v>49.196787148594382</v>
      </c>
      <c r="G146" s="5">
        <f t="shared" si="97"/>
        <v>6.1244979919678713</v>
      </c>
      <c r="H146" s="5">
        <f t="shared" si="98"/>
        <v>0.10040160642570282</v>
      </c>
      <c r="I146" s="5">
        <f t="shared" si="99"/>
        <v>1.0040160642570281E-2</v>
      </c>
      <c r="J146" s="5">
        <f t="shared" si="100"/>
        <v>44.578313253012048</v>
      </c>
      <c r="K146" s="5">
        <v>0.4</v>
      </c>
      <c r="L146" s="5">
        <v>7</v>
      </c>
      <c r="M146" s="5" t="s">
        <v>15</v>
      </c>
      <c r="N146" s="5" t="s">
        <v>15</v>
      </c>
      <c r="O146" s="5" t="s">
        <v>15</v>
      </c>
      <c r="P146" s="5" t="s">
        <v>15</v>
      </c>
      <c r="Q146" s="5" t="s">
        <v>15</v>
      </c>
      <c r="R146" s="5">
        <v>700</v>
      </c>
      <c r="S146" s="5" t="s">
        <v>39</v>
      </c>
      <c r="T146" s="5" t="s">
        <v>75</v>
      </c>
      <c r="U146" s="5">
        <v>45</v>
      </c>
      <c r="V146" s="5" t="s">
        <v>15</v>
      </c>
      <c r="W146" s="5">
        <v>0.21</v>
      </c>
      <c r="X146" s="5" t="s">
        <v>146</v>
      </c>
      <c r="Y146" s="5" t="s">
        <v>79</v>
      </c>
      <c r="Z146" s="5" t="s">
        <v>154</v>
      </c>
      <c r="AA146" s="5" t="s">
        <v>15</v>
      </c>
      <c r="AB146" s="5" t="s">
        <v>86</v>
      </c>
      <c r="AC146" s="5">
        <v>0</v>
      </c>
      <c r="AD146" s="5">
        <v>21.54</v>
      </c>
      <c r="AE146" s="5">
        <v>31.29</v>
      </c>
      <c r="AF146" s="5">
        <v>34.590000000000003</v>
      </c>
      <c r="AG146" s="5">
        <v>9.76</v>
      </c>
      <c r="AH146" s="5">
        <v>2.4900000000000002</v>
      </c>
      <c r="AI146" s="5">
        <v>11.26</v>
      </c>
      <c r="AJ146" s="5">
        <v>33.252873563218387</v>
      </c>
      <c r="AK146" s="5">
        <v>0.87</v>
      </c>
      <c r="AL146" s="5" t="s">
        <v>15</v>
      </c>
      <c r="AM146" s="5">
        <f t="shared" si="82"/>
        <v>50.757512953367865</v>
      </c>
      <c r="AN146" s="5">
        <v>80</v>
      </c>
      <c r="AO146" s="6" t="s">
        <v>231</v>
      </c>
      <c r="AP146" s="6" t="s">
        <v>321</v>
      </c>
    </row>
    <row r="147" spans="1:42" x14ac:dyDescent="0.3">
      <c r="A147" s="6">
        <v>144</v>
      </c>
      <c r="B147" s="3" t="s">
        <v>147</v>
      </c>
      <c r="C147" s="3" t="s">
        <v>15</v>
      </c>
      <c r="D147" s="3">
        <v>1.25</v>
      </c>
      <c r="E147" s="5">
        <v>19.3</v>
      </c>
      <c r="F147" s="5">
        <f t="shared" si="96"/>
        <v>49.196787148594382</v>
      </c>
      <c r="G147" s="5">
        <f t="shared" si="97"/>
        <v>6.1244979919678713</v>
      </c>
      <c r="H147" s="5">
        <f t="shared" si="98"/>
        <v>0.10040160642570282</v>
      </c>
      <c r="I147" s="5">
        <f t="shared" si="99"/>
        <v>1.0040160642570281E-2</v>
      </c>
      <c r="J147" s="5">
        <f t="shared" si="100"/>
        <v>44.578313253012048</v>
      </c>
      <c r="K147" s="5">
        <v>0.4</v>
      </c>
      <c r="L147" s="5">
        <v>7</v>
      </c>
      <c r="M147" s="5" t="s">
        <v>15</v>
      </c>
      <c r="N147" s="5" t="s">
        <v>15</v>
      </c>
      <c r="O147" s="5" t="s">
        <v>15</v>
      </c>
      <c r="P147" s="5" t="s">
        <v>15</v>
      </c>
      <c r="Q147" s="5" t="s">
        <v>15</v>
      </c>
      <c r="R147" s="5">
        <v>700</v>
      </c>
      <c r="S147" s="5" t="s">
        <v>39</v>
      </c>
      <c r="T147" s="5" t="s">
        <v>75</v>
      </c>
      <c r="U147" s="5">
        <v>75</v>
      </c>
      <c r="V147" s="5" t="s">
        <v>15</v>
      </c>
      <c r="W147" s="5">
        <v>0.21</v>
      </c>
      <c r="X147" s="5" t="s">
        <v>146</v>
      </c>
      <c r="Y147" s="5" t="s">
        <v>79</v>
      </c>
      <c r="Z147" s="5" t="s">
        <v>154</v>
      </c>
      <c r="AA147" s="5" t="s">
        <v>49</v>
      </c>
      <c r="AB147" s="5" t="s">
        <v>86</v>
      </c>
      <c r="AC147" s="5">
        <v>0</v>
      </c>
      <c r="AD147" s="5">
        <v>23.15</v>
      </c>
      <c r="AE147" s="5">
        <v>33.46</v>
      </c>
      <c r="AF147" s="5">
        <v>30.92</v>
      </c>
      <c r="AG147" s="5">
        <v>10.23</v>
      </c>
      <c r="AH147" s="5">
        <v>1.98</v>
      </c>
      <c r="AI147" s="5">
        <v>11.67</v>
      </c>
      <c r="AJ147" s="5">
        <v>20.597938144329898</v>
      </c>
      <c r="AK147" s="5">
        <v>0.97</v>
      </c>
      <c r="AL147" s="5" t="s">
        <v>15</v>
      </c>
      <c r="AM147" s="5">
        <f t="shared" si="82"/>
        <v>58.652331606217601</v>
      </c>
      <c r="AN147" s="5">
        <v>85.1</v>
      </c>
      <c r="AO147" s="6" t="s">
        <v>231</v>
      </c>
      <c r="AP147" s="6" t="s">
        <v>321</v>
      </c>
    </row>
    <row r="148" spans="1:42" x14ac:dyDescent="0.3">
      <c r="A148" s="6">
        <v>145</v>
      </c>
      <c r="B148" s="3" t="s">
        <v>147</v>
      </c>
      <c r="C148" s="3" t="s">
        <v>15</v>
      </c>
      <c r="D148" s="3">
        <v>1.25</v>
      </c>
      <c r="E148" s="5">
        <v>19.3</v>
      </c>
      <c r="F148" s="5">
        <f t="shared" si="96"/>
        <v>49.196787148594382</v>
      </c>
      <c r="G148" s="5">
        <f t="shared" si="97"/>
        <v>6.1244979919678713</v>
      </c>
      <c r="H148" s="5">
        <f t="shared" si="98"/>
        <v>0.10040160642570282</v>
      </c>
      <c r="I148" s="5">
        <f t="shared" si="99"/>
        <v>1.0040160642570281E-2</v>
      </c>
      <c r="J148" s="5">
        <f t="shared" si="100"/>
        <v>44.578313253012048</v>
      </c>
      <c r="K148" s="5">
        <v>0.4</v>
      </c>
      <c r="L148" s="5">
        <v>7</v>
      </c>
      <c r="M148" s="5" t="s">
        <v>15</v>
      </c>
      <c r="N148" s="5" t="s">
        <v>15</v>
      </c>
      <c r="O148" s="5" t="s">
        <v>15</v>
      </c>
      <c r="P148" s="5" t="s">
        <v>15</v>
      </c>
      <c r="Q148" s="5" t="s">
        <v>15</v>
      </c>
      <c r="R148" s="5">
        <v>750</v>
      </c>
      <c r="S148" s="5" t="s">
        <v>39</v>
      </c>
      <c r="T148" s="5" t="s">
        <v>75</v>
      </c>
      <c r="U148" s="5">
        <v>40</v>
      </c>
      <c r="V148" s="5" t="s">
        <v>15</v>
      </c>
      <c r="W148" s="5">
        <v>0.25</v>
      </c>
      <c r="X148" s="5" t="s">
        <v>146</v>
      </c>
      <c r="Y148" s="5" t="s">
        <v>79</v>
      </c>
      <c r="Z148" s="5" t="s">
        <v>154</v>
      </c>
      <c r="AA148" s="5" t="s">
        <v>15</v>
      </c>
      <c r="AB148" s="5" t="s">
        <v>86</v>
      </c>
      <c r="AC148" s="5">
        <v>0</v>
      </c>
      <c r="AD148" s="5">
        <v>18.059999999999999</v>
      </c>
      <c r="AE148" s="5">
        <v>34.83</v>
      </c>
      <c r="AF148" s="5">
        <v>31.88</v>
      </c>
      <c r="AG148" s="5">
        <v>10.19</v>
      </c>
      <c r="AH148" s="5">
        <v>4.45</v>
      </c>
      <c r="AI148" s="5">
        <v>12.63</v>
      </c>
      <c r="AJ148" s="5">
        <v>31.42</v>
      </c>
      <c r="AK148" s="5">
        <v>1</v>
      </c>
      <c r="AL148" s="5" t="s">
        <v>15</v>
      </c>
      <c r="AM148" s="5">
        <f t="shared" si="82"/>
        <v>65.440414507772019</v>
      </c>
      <c r="AN148" s="5">
        <v>94.5</v>
      </c>
      <c r="AO148" s="6" t="s">
        <v>231</v>
      </c>
      <c r="AP148" s="6" t="s">
        <v>321</v>
      </c>
    </row>
    <row r="149" spans="1:42" x14ac:dyDescent="0.3">
      <c r="A149" s="6">
        <v>146</v>
      </c>
      <c r="B149" s="3" t="s">
        <v>147</v>
      </c>
      <c r="C149" s="3" t="s">
        <v>15</v>
      </c>
      <c r="D149" s="3">
        <v>1.25</v>
      </c>
      <c r="E149" s="5">
        <v>19.3</v>
      </c>
      <c r="F149" s="5">
        <f t="shared" si="96"/>
        <v>49.196787148594382</v>
      </c>
      <c r="G149" s="5">
        <f t="shared" si="97"/>
        <v>6.1244979919678713</v>
      </c>
      <c r="H149" s="5">
        <f t="shared" si="98"/>
        <v>0.10040160642570282</v>
      </c>
      <c r="I149" s="5">
        <f t="shared" si="99"/>
        <v>1.0040160642570281E-2</v>
      </c>
      <c r="J149" s="5">
        <f t="shared" si="100"/>
        <v>44.578313253012048</v>
      </c>
      <c r="K149" s="5">
        <v>0.4</v>
      </c>
      <c r="L149" s="5">
        <v>7</v>
      </c>
      <c r="M149" s="5" t="s">
        <v>15</v>
      </c>
      <c r="N149" s="5" t="s">
        <v>15</v>
      </c>
      <c r="O149" s="5" t="s">
        <v>15</v>
      </c>
      <c r="P149" s="5" t="s">
        <v>15</v>
      </c>
      <c r="Q149" s="5" t="s">
        <v>15</v>
      </c>
      <c r="R149" s="5">
        <v>750</v>
      </c>
      <c r="S149" s="5" t="s">
        <v>39</v>
      </c>
      <c r="T149" s="5" t="s">
        <v>75</v>
      </c>
      <c r="U149" s="5">
        <v>50</v>
      </c>
      <c r="V149" s="5" t="s">
        <v>15</v>
      </c>
      <c r="W149" s="5">
        <v>0.25</v>
      </c>
      <c r="X149" s="5" t="s">
        <v>146</v>
      </c>
      <c r="Y149" s="5" t="s">
        <v>79</v>
      </c>
      <c r="Z149" s="5" t="s">
        <v>154</v>
      </c>
      <c r="AA149" s="5" t="s">
        <v>49</v>
      </c>
      <c r="AB149" s="5" t="s">
        <v>86</v>
      </c>
      <c r="AC149" s="5">
        <v>0</v>
      </c>
      <c r="AD149" s="5">
        <v>21.87</v>
      </c>
      <c r="AE149" s="5">
        <v>33.92</v>
      </c>
      <c r="AF149" s="5">
        <v>31.19</v>
      </c>
      <c r="AG149" s="5">
        <v>10</v>
      </c>
      <c r="AH149" s="5">
        <v>2.4600000000000004</v>
      </c>
      <c r="AI149" s="5">
        <v>11.69</v>
      </c>
      <c r="AJ149" s="5">
        <v>20.084112149532711</v>
      </c>
      <c r="AK149" s="5">
        <v>1.07</v>
      </c>
      <c r="AL149" s="5" t="s">
        <v>15</v>
      </c>
      <c r="AM149" s="5">
        <f t="shared" si="82"/>
        <v>64.809844559585486</v>
      </c>
      <c r="AN149" s="5">
        <v>94.59</v>
      </c>
      <c r="AO149" s="6" t="s">
        <v>231</v>
      </c>
      <c r="AP149" s="6" t="s">
        <v>321</v>
      </c>
    </row>
    <row r="150" spans="1:42" x14ac:dyDescent="0.3">
      <c r="A150" s="6">
        <v>147</v>
      </c>
      <c r="B150" s="3" t="s">
        <v>147</v>
      </c>
      <c r="C150" s="3" t="s">
        <v>15</v>
      </c>
      <c r="D150" s="3">
        <v>1.25</v>
      </c>
      <c r="E150" s="5">
        <v>19.3</v>
      </c>
      <c r="F150" s="5">
        <f t="shared" si="96"/>
        <v>49.196787148594382</v>
      </c>
      <c r="G150" s="5">
        <f t="shared" si="97"/>
        <v>6.1244979919678713</v>
      </c>
      <c r="H150" s="5">
        <f t="shared" si="98"/>
        <v>0.10040160642570282</v>
      </c>
      <c r="I150" s="5">
        <f t="shared" si="99"/>
        <v>1.0040160642570281E-2</v>
      </c>
      <c r="J150" s="5">
        <f t="shared" si="100"/>
        <v>44.578313253012048</v>
      </c>
      <c r="K150" s="5">
        <v>0.4</v>
      </c>
      <c r="L150" s="5">
        <v>7</v>
      </c>
      <c r="M150" s="5" t="s">
        <v>15</v>
      </c>
      <c r="N150" s="5" t="s">
        <v>15</v>
      </c>
      <c r="O150" s="5" t="s">
        <v>15</v>
      </c>
      <c r="P150" s="5" t="s">
        <v>15</v>
      </c>
      <c r="Q150" s="5" t="s">
        <v>15</v>
      </c>
      <c r="R150" s="5">
        <v>750</v>
      </c>
      <c r="S150" s="5" t="s">
        <v>39</v>
      </c>
      <c r="T150" s="5" t="s">
        <v>75</v>
      </c>
      <c r="U150" s="5">
        <v>50</v>
      </c>
      <c r="V150" s="5" t="s">
        <v>15</v>
      </c>
      <c r="W150" s="5">
        <v>0.24</v>
      </c>
      <c r="X150" s="5" t="s">
        <v>146</v>
      </c>
      <c r="Y150" s="5" t="s">
        <v>79</v>
      </c>
      <c r="Z150" s="5" t="s">
        <v>154</v>
      </c>
      <c r="AA150" s="5" t="s">
        <v>15</v>
      </c>
      <c r="AB150" s="5" t="s">
        <v>86</v>
      </c>
      <c r="AC150" s="5">
        <v>0</v>
      </c>
      <c r="AD150" s="5">
        <v>18.93</v>
      </c>
      <c r="AE150" s="5">
        <v>33.69</v>
      </c>
      <c r="AF150" s="5">
        <v>32.42</v>
      </c>
      <c r="AG150" s="5">
        <v>10.02</v>
      </c>
      <c r="AH150" s="5">
        <v>4.28</v>
      </c>
      <c r="AI150" s="5">
        <v>12.43</v>
      </c>
      <c r="AJ150" s="5">
        <v>40.27835051546392</v>
      </c>
      <c r="AK150" s="5">
        <v>0.97</v>
      </c>
      <c r="AL150" s="5" t="s">
        <v>15</v>
      </c>
      <c r="AM150" s="5">
        <f t="shared" si="82"/>
        <v>62.472020725388603</v>
      </c>
      <c r="AN150" s="5">
        <v>94.87</v>
      </c>
      <c r="AO150" s="6" t="s">
        <v>231</v>
      </c>
      <c r="AP150" s="6" t="s">
        <v>321</v>
      </c>
    </row>
    <row r="151" spans="1:42" x14ac:dyDescent="0.3">
      <c r="A151" s="6">
        <v>148</v>
      </c>
      <c r="B151" s="3" t="s">
        <v>147</v>
      </c>
      <c r="C151" s="3" t="s">
        <v>15</v>
      </c>
      <c r="D151" s="3">
        <v>1.25</v>
      </c>
      <c r="E151" s="5">
        <v>19.3</v>
      </c>
      <c r="F151" s="5">
        <f t="shared" si="96"/>
        <v>49.196787148594382</v>
      </c>
      <c r="G151" s="5">
        <f t="shared" si="97"/>
        <v>6.1244979919678713</v>
      </c>
      <c r="H151" s="5">
        <f t="shared" si="98"/>
        <v>0.10040160642570282</v>
      </c>
      <c r="I151" s="5">
        <f t="shared" si="99"/>
        <v>1.0040160642570281E-2</v>
      </c>
      <c r="J151" s="5">
        <f t="shared" si="100"/>
        <v>44.578313253012048</v>
      </c>
      <c r="K151" s="5">
        <v>0.4</v>
      </c>
      <c r="L151" s="5">
        <v>7</v>
      </c>
      <c r="M151" s="5" t="s">
        <v>15</v>
      </c>
      <c r="N151" s="5" t="s">
        <v>15</v>
      </c>
      <c r="O151" s="5" t="s">
        <v>15</v>
      </c>
      <c r="P151" s="5" t="s">
        <v>15</v>
      </c>
      <c r="Q151" s="5" t="s">
        <v>15</v>
      </c>
      <c r="R151" s="5">
        <v>750</v>
      </c>
      <c r="S151" s="5" t="s">
        <v>39</v>
      </c>
      <c r="T151" s="5" t="s">
        <v>75</v>
      </c>
      <c r="U151" s="5">
        <v>50</v>
      </c>
      <c r="V151" s="5" t="s">
        <v>15</v>
      </c>
      <c r="W151" s="5">
        <v>0.24</v>
      </c>
      <c r="X151" s="5" t="s">
        <v>146</v>
      </c>
      <c r="Y151" s="5" t="s">
        <v>79</v>
      </c>
      <c r="Z151" s="5" t="s">
        <v>154</v>
      </c>
      <c r="AA151" s="5" t="s">
        <v>49</v>
      </c>
      <c r="AB151" s="5" t="s">
        <v>86</v>
      </c>
      <c r="AC151" s="5">
        <v>0</v>
      </c>
      <c r="AD151" s="5">
        <v>21.93</v>
      </c>
      <c r="AE151" s="5">
        <v>34.28</v>
      </c>
      <c r="AF151" s="5">
        <v>30.6</v>
      </c>
      <c r="AG151" s="5">
        <v>9.7200000000000006</v>
      </c>
      <c r="AH151" s="5">
        <v>2.8400000000000003</v>
      </c>
      <c r="AI151" s="5">
        <v>11.86</v>
      </c>
      <c r="AJ151" s="5">
        <v>26.36538461538461</v>
      </c>
      <c r="AK151" s="5">
        <v>1.04</v>
      </c>
      <c r="AL151" s="5" t="s">
        <v>15</v>
      </c>
      <c r="AM151" s="5">
        <f t="shared" si="82"/>
        <v>63.908808290155442</v>
      </c>
      <c r="AN151" s="5">
        <v>91.22</v>
      </c>
      <c r="AO151" s="6" t="s">
        <v>231</v>
      </c>
      <c r="AP151" s="6" t="s">
        <v>321</v>
      </c>
    </row>
    <row r="152" spans="1:42" x14ac:dyDescent="0.3">
      <c r="A152" s="6">
        <v>149</v>
      </c>
      <c r="B152" s="3" t="s">
        <v>147</v>
      </c>
      <c r="C152" s="3" t="s">
        <v>15</v>
      </c>
      <c r="D152" s="3">
        <v>1.25</v>
      </c>
      <c r="E152" s="5">
        <v>19.3</v>
      </c>
      <c r="F152" s="5">
        <f t="shared" si="96"/>
        <v>49.196787148594382</v>
      </c>
      <c r="G152" s="5">
        <f t="shared" si="97"/>
        <v>6.1244979919678713</v>
      </c>
      <c r="H152" s="5">
        <f t="shared" si="98"/>
        <v>0.10040160642570282</v>
      </c>
      <c r="I152" s="5">
        <f t="shared" si="99"/>
        <v>1.0040160642570281E-2</v>
      </c>
      <c r="J152" s="5">
        <f t="shared" si="100"/>
        <v>44.578313253012048</v>
      </c>
      <c r="K152" s="5">
        <v>0.4</v>
      </c>
      <c r="L152" s="5">
        <v>7</v>
      </c>
      <c r="M152" s="5" t="s">
        <v>15</v>
      </c>
      <c r="N152" s="5" t="s">
        <v>15</v>
      </c>
      <c r="O152" s="5" t="s">
        <v>15</v>
      </c>
      <c r="P152" s="5" t="s">
        <v>15</v>
      </c>
      <c r="Q152" s="5" t="s">
        <v>15</v>
      </c>
      <c r="R152" s="5">
        <v>750</v>
      </c>
      <c r="S152" s="5" t="s">
        <v>39</v>
      </c>
      <c r="T152" s="5" t="s">
        <v>75</v>
      </c>
      <c r="U152" s="5">
        <v>55</v>
      </c>
      <c r="V152" s="5" t="s">
        <v>15</v>
      </c>
      <c r="W152" s="5">
        <v>0.24</v>
      </c>
      <c r="X152" s="5" t="s">
        <v>146</v>
      </c>
      <c r="Y152" s="5" t="s">
        <v>79</v>
      </c>
      <c r="Z152" s="5" t="s">
        <v>154</v>
      </c>
      <c r="AA152" s="5" t="s">
        <v>15</v>
      </c>
      <c r="AB152" s="5" t="s">
        <v>86</v>
      </c>
      <c r="AC152" s="5">
        <v>0</v>
      </c>
      <c r="AD152" s="5">
        <v>20.2</v>
      </c>
      <c r="AE152" s="5">
        <v>31.92</v>
      </c>
      <c r="AF152" s="5">
        <v>33.19</v>
      </c>
      <c r="AG152" s="5">
        <v>9.84</v>
      </c>
      <c r="AH152" s="5">
        <v>4.2300000000000004</v>
      </c>
      <c r="AI152" s="5">
        <v>12.24</v>
      </c>
      <c r="AJ152" s="5">
        <v>33.163265306122447</v>
      </c>
      <c r="AK152" s="5">
        <v>0.98</v>
      </c>
      <c r="AL152" s="5" t="s">
        <v>15</v>
      </c>
      <c r="AM152" s="5">
        <f t="shared" si="82"/>
        <v>62.151295336787562</v>
      </c>
      <c r="AN152" s="5">
        <v>92.8</v>
      </c>
      <c r="AO152" s="6" t="s">
        <v>231</v>
      </c>
      <c r="AP152" s="6" t="s">
        <v>321</v>
      </c>
    </row>
    <row r="153" spans="1:42" x14ac:dyDescent="0.3">
      <c r="A153" s="6">
        <v>150</v>
      </c>
      <c r="B153" s="3" t="s">
        <v>147</v>
      </c>
      <c r="C153" s="3" t="s">
        <v>15</v>
      </c>
      <c r="D153" s="3">
        <v>1.25</v>
      </c>
      <c r="E153" s="5">
        <v>19.3</v>
      </c>
      <c r="F153" s="5">
        <f t="shared" si="96"/>
        <v>49.196787148594382</v>
      </c>
      <c r="G153" s="5">
        <f t="shared" si="97"/>
        <v>6.1244979919678713</v>
      </c>
      <c r="H153" s="5">
        <f t="shared" si="98"/>
        <v>0.10040160642570282</v>
      </c>
      <c r="I153" s="5">
        <f t="shared" si="99"/>
        <v>1.0040160642570281E-2</v>
      </c>
      <c r="J153" s="5">
        <f t="shared" si="100"/>
        <v>44.578313253012048</v>
      </c>
      <c r="K153" s="5">
        <v>0.4</v>
      </c>
      <c r="L153" s="5">
        <v>7</v>
      </c>
      <c r="M153" s="5" t="s">
        <v>15</v>
      </c>
      <c r="N153" s="5" t="s">
        <v>15</v>
      </c>
      <c r="O153" s="5" t="s">
        <v>15</v>
      </c>
      <c r="P153" s="5" t="s">
        <v>15</v>
      </c>
      <c r="Q153" s="5" t="s">
        <v>15</v>
      </c>
      <c r="R153" s="5">
        <v>750</v>
      </c>
      <c r="S153" s="5" t="s">
        <v>39</v>
      </c>
      <c r="T153" s="5" t="s">
        <v>75</v>
      </c>
      <c r="U153" s="5">
        <v>51</v>
      </c>
      <c r="V153" s="5" t="s">
        <v>15</v>
      </c>
      <c r="W153" s="5">
        <v>0.24</v>
      </c>
      <c r="X153" s="5" t="s">
        <v>146</v>
      </c>
      <c r="Y153" s="5" t="s">
        <v>79</v>
      </c>
      <c r="Z153" s="5" t="s">
        <v>154</v>
      </c>
      <c r="AA153" s="5" t="s">
        <v>49</v>
      </c>
      <c r="AB153" s="5" t="s">
        <v>86</v>
      </c>
      <c r="AC153" s="5">
        <v>0</v>
      </c>
      <c r="AD153" s="5">
        <v>22.08</v>
      </c>
      <c r="AE153" s="5">
        <v>34.15</v>
      </c>
      <c r="AF153" s="5">
        <v>30.5</v>
      </c>
      <c r="AG153" s="5">
        <v>9.5399999999999991</v>
      </c>
      <c r="AH153" s="5">
        <v>3.08</v>
      </c>
      <c r="AI153" s="5">
        <v>11.95</v>
      </c>
      <c r="AJ153" s="5">
        <v>24.495238095238093</v>
      </c>
      <c r="AK153" s="5">
        <v>1.05</v>
      </c>
      <c r="AL153" s="5" t="s">
        <v>15</v>
      </c>
      <c r="AM153" s="5">
        <f t="shared" si="82"/>
        <v>65.012953367875639</v>
      </c>
      <c r="AN153" s="5">
        <v>93.7</v>
      </c>
      <c r="AO153" s="6" t="s">
        <v>231</v>
      </c>
      <c r="AP153" s="6" t="s">
        <v>321</v>
      </c>
    </row>
    <row r="154" spans="1:42" x14ac:dyDescent="0.3">
      <c r="A154" s="6">
        <v>151</v>
      </c>
      <c r="B154" s="3" t="s">
        <v>147</v>
      </c>
      <c r="C154" s="3" t="s">
        <v>15</v>
      </c>
      <c r="D154" s="3">
        <v>1.25</v>
      </c>
      <c r="E154" s="5">
        <v>19.3</v>
      </c>
      <c r="F154" s="5">
        <f t="shared" si="96"/>
        <v>49.196787148594382</v>
      </c>
      <c r="G154" s="5">
        <f t="shared" si="97"/>
        <v>6.1244979919678713</v>
      </c>
      <c r="H154" s="5">
        <f t="shared" si="98"/>
        <v>0.10040160642570282</v>
      </c>
      <c r="I154" s="5">
        <f t="shared" si="99"/>
        <v>1.0040160642570281E-2</v>
      </c>
      <c r="J154" s="5">
        <f t="shared" si="100"/>
        <v>44.578313253012048</v>
      </c>
      <c r="K154" s="5">
        <v>0.4</v>
      </c>
      <c r="L154" s="5">
        <v>7</v>
      </c>
      <c r="M154" s="5" t="s">
        <v>15</v>
      </c>
      <c r="N154" s="5" t="s">
        <v>15</v>
      </c>
      <c r="O154" s="5" t="s">
        <v>15</v>
      </c>
      <c r="P154" s="5" t="s">
        <v>15</v>
      </c>
      <c r="Q154" s="5" t="s">
        <v>15</v>
      </c>
      <c r="R154" s="5">
        <v>800</v>
      </c>
      <c r="S154" s="5" t="s">
        <v>39</v>
      </c>
      <c r="T154" s="5" t="s">
        <v>75</v>
      </c>
      <c r="U154" s="5">
        <v>40</v>
      </c>
      <c r="V154" s="5" t="s">
        <v>15</v>
      </c>
      <c r="W154" s="5">
        <v>0.23</v>
      </c>
      <c r="X154" s="5" t="s">
        <v>146</v>
      </c>
      <c r="Y154" s="5" t="s">
        <v>79</v>
      </c>
      <c r="Z154" s="5" t="s">
        <v>154</v>
      </c>
      <c r="AA154" s="5" t="s">
        <v>15</v>
      </c>
      <c r="AB154" s="5" t="s">
        <v>86</v>
      </c>
      <c r="AC154" s="5">
        <v>0</v>
      </c>
      <c r="AD154" s="5">
        <v>19.87</v>
      </c>
      <c r="AE154" s="5">
        <v>36.630000000000003</v>
      </c>
      <c r="AF154" s="5">
        <v>29.73</v>
      </c>
      <c r="AG154" s="5">
        <v>9.81</v>
      </c>
      <c r="AH154" s="5">
        <v>3.29</v>
      </c>
      <c r="AI154" s="5">
        <v>12.25</v>
      </c>
      <c r="AJ154" s="5">
        <v>35.66346153846154</v>
      </c>
      <c r="AK154" s="5">
        <v>1.04</v>
      </c>
      <c r="AL154" s="5" t="s">
        <v>15</v>
      </c>
      <c r="AM154" s="5">
        <f t="shared" si="82"/>
        <v>66.010362694300511</v>
      </c>
      <c r="AN154" s="5">
        <v>96</v>
      </c>
      <c r="AO154" s="6" t="s">
        <v>231</v>
      </c>
      <c r="AP154" s="6" t="s">
        <v>321</v>
      </c>
    </row>
    <row r="155" spans="1:42" x14ac:dyDescent="0.3">
      <c r="A155" s="6">
        <v>152</v>
      </c>
      <c r="B155" s="3" t="s">
        <v>147</v>
      </c>
      <c r="C155" s="3" t="s">
        <v>15</v>
      </c>
      <c r="D155" s="3">
        <v>1.25</v>
      </c>
      <c r="E155" s="5">
        <v>19.3</v>
      </c>
      <c r="F155" s="5">
        <f t="shared" si="96"/>
        <v>49.196787148594382</v>
      </c>
      <c r="G155" s="5">
        <f t="shared" si="97"/>
        <v>6.1244979919678713</v>
      </c>
      <c r="H155" s="5">
        <f t="shared" si="98"/>
        <v>0.10040160642570282</v>
      </c>
      <c r="I155" s="5">
        <f t="shared" si="99"/>
        <v>1.0040160642570281E-2</v>
      </c>
      <c r="J155" s="5">
        <f t="shared" si="100"/>
        <v>44.578313253012048</v>
      </c>
      <c r="K155" s="5">
        <v>0.4</v>
      </c>
      <c r="L155" s="5">
        <v>7</v>
      </c>
      <c r="M155" s="5" t="s">
        <v>15</v>
      </c>
      <c r="N155" s="5" t="s">
        <v>15</v>
      </c>
      <c r="O155" s="5" t="s">
        <v>15</v>
      </c>
      <c r="P155" s="5" t="s">
        <v>15</v>
      </c>
      <c r="Q155" s="5" t="s">
        <v>15</v>
      </c>
      <c r="R155" s="5">
        <v>800</v>
      </c>
      <c r="S155" s="5" t="s">
        <v>39</v>
      </c>
      <c r="T155" s="5" t="s">
        <v>75</v>
      </c>
      <c r="U155" s="5">
        <v>54</v>
      </c>
      <c r="V155" s="5" t="s">
        <v>15</v>
      </c>
      <c r="W155" s="5">
        <v>0.23</v>
      </c>
      <c r="X155" s="5" t="s">
        <v>146</v>
      </c>
      <c r="Y155" s="5" t="s">
        <v>79</v>
      </c>
      <c r="Z155" s="5" t="s">
        <v>154</v>
      </c>
      <c r="AA155" s="5" t="s">
        <v>49</v>
      </c>
      <c r="AB155" s="5" t="s">
        <v>86</v>
      </c>
      <c r="AC155" s="5">
        <v>0</v>
      </c>
      <c r="AD155" s="5">
        <v>22.53</v>
      </c>
      <c r="AE155" s="5">
        <v>35.71</v>
      </c>
      <c r="AF155" s="5">
        <v>29.26</v>
      </c>
      <c r="AG155" s="5">
        <v>9.93</v>
      </c>
      <c r="AH155" s="5">
        <v>1.97</v>
      </c>
      <c r="AI155" s="5">
        <v>11.68</v>
      </c>
      <c r="AJ155" s="5">
        <v>21.401785714285712</v>
      </c>
      <c r="AK155" s="5">
        <v>1.1200000000000001</v>
      </c>
      <c r="AL155" s="5" t="s">
        <v>15</v>
      </c>
      <c r="AM155" s="5">
        <f t="shared" si="82"/>
        <v>67.78031088082902</v>
      </c>
      <c r="AN155" s="5">
        <v>98</v>
      </c>
      <c r="AO155" s="6" t="s">
        <v>231</v>
      </c>
      <c r="AP155" s="6" t="s">
        <v>321</v>
      </c>
    </row>
    <row r="156" spans="1:42" x14ac:dyDescent="0.3">
      <c r="A156" s="6">
        <v>153</v>
      </c>
      <c r="B156" s="3" t="s">
        <v>147</v>
      </c>
      <c r="C156" s="3" t="s">
        <v>15</v>
      </c>
      <c r="D156" s="3">
        <v>1.25</v>
      </c>
      <c r="E156" s="5">
        <v>19.3</v>
      </c>
      <c r="F156" s="5">
        <f t="shared" si="96"/>
        <v>49.196787148594382</v>
      </c>
      <c r="G156" s="5">
        <f t="shared" si="97"/>
        <v>6.1244979919678713</v>
      </c>
      <c r="H156" s="5">
        <f t="shared" si="98"/>
        <v>0.10040160642570282</v>
      </c>
      <c r="I156" s="5">
        <f t="shared" si="99"/>
        <v>1.0040160642570281E-2</v>
      </c>
      <c r="J156" s="5">
        <f t="shared" si="100"/>
        <v>44.578313253012048</v>
      </c>
      <c r="K156" s="5">
        <v>0.4</v>
      </c>
      <c r="L156" s="5">
        <v>7</v>
      </c>
      <c r="M156" s="5" t="s">
        <v>15</v>
      </c>
      <c r="N156" s="5" t="s">
        <v>15</v>
      </c>
      <c r="O156" s="5" t="s">
        <v>15</v>
      </c>
      <c r="P156" s="5" t="s">
        <v>15</v>
      </c>
      <c r="Q156" s="5" t="s">
        <v>15</v>
      </c>
      <c r="R156" s="5">
        <v>800</v>
      </c>
      <c r="S156" s="5" t="s">
        <v>39</v>
      </c>
      <c r="T156" s="5" t="s">
        <v>75</v>
      </c>
      <c r="U156" s="5">
        <v>45</v>
      </c>
      <c r="V156" s="5" t="s">
        <v>15</v>
      </c>
      <c r="W156" s="5">
        <v>0.23</v>
      </c>
      <c r="X156" s="5" t="s">
        <v>146</v>
      </c>
      <c r="Y156" s="5" t="s">
        <v>79</v>
      </c>
      <c r="Z156" s="5" t="s">
        <v>154</v>
      </c>
      <c r="AA156" s="5" t="s">
        <v>15</v>
      </c>
      <c r="AB156" s="5" t="s">
        <v>86</v>
      </c>
      <c r="AC156" s="5">
        <v>0</v>
      </c>
      <c r="AD156" s="5">
        <v>20.75</v>
      </c>
      <c r="AE156" s="5">
        <v>34.159999999999997</v>
      </c>
      <c r="AF156" s="5">
        <v>31.82</v>
      </c>
      <c r="AG156" s="5">
        <v>9.5</v>
      </c>
      <c r="AH156" s="5">
        <v>3.13</v>
      </c>
      <c r="AI156" s="5">
        <v>11.82</v>
      </c>
      <c r="AJ156" s="5">
        <v>26.970297029702969</v>
      </c>
      <c r="AK156" s="5">
        <v>1.01</v>
      </c>
      <c r="AL156" s="5" t="s">
        <v>15</v>
      </c>
      <c r="AM156" s="5">
        <f t="shared" si="82"/>
        <v>61.855958549222791</v>
      </c>
      <c r="AN156" s="5">
        <v>86</v>
      </c>
      <c r="AO156" s="6" t="s">
        <v>231</v>
      </c>
      <c r="AP156" s="6" t="s">
        <v>321</v>
      </c>
    </row>
    <row r="157" spans="1:42" x14ac:dyDescent="0.3">
      <c r="A157" s="6">
        <v>154</v>
      </c>
      <c r="B157" s="3" t="s">
        <v>147</v>
      </c>
      <c r="C157" s="3" t="s">
        <v>15</v>
      </c>
      <c r="D157" s="3">
        <v>1.25</v>
      </c>
      <c r="E157" s="5">
        <v>19.3</v>
      </c>
      <c r="F157" s="5">
        <f t="shared" si="96"/>
        <v>49.196787148594382</v>
      </c>
      <c r="G157" s="5">
        <f t="shared" si="97"/>
        <v>6.1244979919678713</v>
      </c>
      <c r="H157" s="5">
        <f t="shared" si="98"/>
        <v>0.10040160642570282</v>
      </c>
      <c r="I157" s="5">
        <f t="shared" si="99"/>
        <v>1.0040160642570281E-2</v>
      </c>
      <c r="J157" s="5">
        <f t="shared" si="100"/>
        <v>44.578313253012048</v>
      </c>
      <c r="K157" s="5">
        <v>0.4</v>
      </c>
      <c r="L157" s="5">
        <v>7</v>
      </c>
      <c r="M157" s="5" t="s">
        <v>15</v>
      </c>
      <c r="N157" s="5" t="s">
        <v>15</v>
      </c>
      <c r="O157" s="5" t="s">
        <v>15</v>
      </c>
      <c r="P157" s="5" t="s">
        <v>15</v>
      </c>
      <c r="Q157" s="5" t="s">
        <v>15</v>
      </c>
      <c r="R157" s="5">
        <v>800</v>
      </c>
      <c r="S157" s="5" t="s">
        <v>39</v>
      </c>
      <c r="T157" s="5" t="s">
        <v>75</v>
      </c>
      <c r="U157" s="5">
        <v>45</v>
      </c>
      <c r="V157" s="5" t="s">
        <v>15</v>
      </c>
      <c r="W157" s="5">
        <v>0.23</v>
      </c>
      <c r="X157" s="5" t="s">
        <v>146</v>
      </c>
      <c r="Y157" s="5" t="s">
        <v>79</v>
      </c>
      <c r="Z157" s="5" t="s">
        <v>154</v>
      </c>
      <c r="AA157" s="5" t="s">
        <v>49</v>
      </c>
      <c r="AB157" s="5" t="s">
        <v>86</v>
      </c>
      <c r="AC157" s="5">
        <v>0</v>
      </c>
      <c r="AD157" s="5">
        <v>22.18</v>
      </c>
      <c r="AE157" s="5">
        <v>33.950000000000003</v>
      </c>
      <c r="AF157" s="5">
        <v>31.95</v>
      </c>
      <c r="AG157" s="5">
        <v>9.16</v>
      </c>
      <c r="AH157" s="5">
        <v>2.12</v>
      </c>
      <c r="AI157" s="5">
        <v>11.23</v>
      </c>
      <c r="AJ157" s="5">
        <v>22.323232323232325</v>
      </c>
      <c r="AK157" s="5">
        <v>0.99</v>
      </c>
      <c r="AL157" s="5" t="s">
        <v>15</v>
      </c>
      <c r="AM157" s="5">
        <f t="shared" ref="AM157:AM185" si="101">100*(AI157*AK157)/E157</f>
        <v>57.604663212435241</v>
      </c>
      <c r="AN157" s="5">
        <v>87</v>
      </c>
      <c r="AO157" s="6" t="s">
        <v>231</v>
      </c>
      <c r="AP157" s="6" t="s">
        <v>321</v>
      </c>
    </row>
    <row r="158" spans="1:42" x14ac:dyDescent="0.3">
      <c r="A158" s="6">
        <v>155</v>
      </c>
      <c r="B158" s="3" t="s">
        <v>147</v>
      </c>
      <c r="C158" s="3" t="s">
        <v>15</v>
      </c>
      <c r="D158" s="3">
        <v>1.25</v>
      </c>
      <c r="E158" s="5">
        <v>19.3</v>
      </c>
      <c r="F158" s="5">
        <f t="shared" si="96"/>
        <v>49.196787148594382</v>
      </c>
      <c r="G158" s="5">
        <f t="shared" si="97"/>
        <v>6.1244979919678713</v>
      </c>
      <c r="H158" s="5">
        <f t="shared" si="98"/>
        <v>0.10040160642570282</v>
      </c>
      <c r="I158" s="5">
        <f t="shared" si="99"/>
        <v>1.0040160642570281E-2</v>
      </c>
      <c r="J158" s="5">
        <f t="shared" si="100"/>
        <v>44.578313253012048</v>
      </c>
      <c r="K158" s="5">
        <v>0.4</v>
      </c>
      <c r="L158" s="5">
        <v>7</v>
      </c>
      <c r="M158" s="5" t="s">
        <v>15</v>
      </c>
      <c r="N158" s="5" t="s">
        <v>15</v>
      </c>
      <c r="O158" s="5" t="s">
        <v>15</v>
      </c>
      <c r="P158" s="5" t="s">
        <v>15</v>
      </c>
      <c r="Q158" s="5" t="s">
        <v>15</v>
      </c>
      <c r="R158" s="5">
        <v>800</v>
      </c>
      <c r="S158" s="5" t="s">
        <v>39</v>
      </c>
      <c r="T158" s="5" t="s">
        <v>75</v>
      </c>
      <c r="U158" s="5">
        <v>30</v>
      </c>
      <c r="V158" s="5" t="s">
        <v>15</v>
      </c>
      <c r="W158" s="5">
        <v>0.22</v>
      </c>
      <c r="X158" s="5" t="s">
        <v>146</v>
      </c>
      <c r="Y158" s="5" t="s">
        <v>79</v>
      </c>
      <c r="Z158" s="5" t="s">
        <v>154</v>
      </c>
      <c r="AA158" s="5" t="s">
        <v>15</v>
      </c>
      <c r="AB158" s="5" t="s">
        <v>86</v>
      </c>
      <c r="AC158" s="5">
        <v>0</v>
      </c>
      <c r="AD158" s="5">
        <v>19.87</v>
      </c>
      <c r="AE158" s="5">
        <v>36.630000000000003</v>
      </c>
      <c r="AF158" s="5">
        <v>29.73</v>
      </c>
      <c r="AG158" s="5">
        <v>9.81</v>
      </c>
      <c r="AH158" s="5">
        <v>3.29</v>
      </c>
      <c r="AI158" s="5">
        <v>12.25</v>
      </c>
      <c r="AJ158" s="5">
        <v>33.762376237623762</v>
      </c>
      <c r="AK158" s="5">
        <v>1.01</v>
      </c>
      <c r="AL158" s="5" t="s">
        <v>15</v>
      </c>
      <c r="AM158" s="5">
        <f t="shared" si="101"/>
        <v>64.106217616580309</v>
      </c>
      <c r="AN158" s="5">
        <v>91</v>
      </c>
      <c r="AO158" s="6" t="s">
        <v>231</v>
      </c>
      <c r="AP158" s="6" t="s">
        <v>321</v>
      </c>
    </row>
    <row r="159" spans="1:42" x14ac:dyDescent="0.3">
      <c r="A159" s="6">
        <v>156</v>
      </c>
      <c r="B159" s="3" t="s">
        <v>147</v>
      </c>
      <c r="C159" s="3" t="s">
        <v>15</v>
      </c>
      <c r="D159" s="3">
        <v>1.25</v>
      </c>
      <c r="E159" s="5">
        <v>19.3</v>
      </c>
      <c r="F159" s="5">
        <f t="shared" si="96"/>
        <v>49.196787148594382</v>
      </c>
      <c r="G159" s="5">
        <f t="shared" si="97"/>
        <v>6.1244979919678713</v>
      </c>
      <c r="H159" s="5">
        <f t="shared" si="98"/>
        <v>0.10040160642570282</v>
      </c>
      <c r="I159" s="5">
        <f t="shared" si="99"/>
        <v>1.0040160642570281E-2</v>
      </c>
      <c r="J159" s="5">
        <f t="shared" si="100"/>
        <v>44.578313253012048</v>
      </c>
      <c r="K159" s="5">
        <v>0.4</v>
      </c>
      <c r="L159" s="5">
        <v>7</v>
      </c>
      <c r="M159" s="5" t="s">
        <v>15</v>
      </c>
      <c r="N159" s="5" t="s">
        <v>15</v>
      </c>
      <c r="O159" s="5" t="s">
        <v>15</v>
      </c>
      <c r="P159" s="5" t="s">
        <v>15</v>
      </c>
      <c r="Q159" s="5" t="s">
        <v>15</v>
      </c>
      <c r="R159" s="5">
        <v>800</v>
      </c>
      <c r="S159" s="5" t="s">
        <v>39</v>
      </c>
      <c r="T159" s="5" t="s">
        <v>75</v>
      </c>
      <c r="U159" s="5">
        <v>61</v>
      </c>
      <c r="V159" s="5" t="s">
        <v>15</v>
      </c>
      <c r="W159" s="5">
        <v>0.22</v>
      </c>
      <c r="X159" s="5" t="s">
        <v>146</v>
      </c>
      <c r="Y159" s="5" t="s">
        <v>79</v>
      </c>
      <c r="Z159" s="5" t="s">
        <v>154</v>
      </c>
      <c r="AA159" s="5" t="s">
        <v>49</v>
      </c>
      <c r="AB159" s="5" t="s">
        <v>86</v>
      </c>
      <c r="AC159" s="5">
        <v>0</v>
      </c>
      <c r="AD159" s="5">
        <v>22.49</v>
      </c>
      <c r="AE159" s="5">
        <v>34.94</v>
      </c>
      <c r="AF159" s="5">
        <v>29.62</v>
      </c>
      <c r="AG159" s="5">
        <v>9.7200000000000006</v>
      </c>
      <c r="AH159" s="5">
        <v>2.56</v>
      </c>
      <c r="AI159" s="5">
        <v>11.84</v>
      </c>
      <c r="AJ159" s="5">
        <v>24.292452830188676</v>
      </c>
      <c r="AK159" s="5">
        <v>1.06</v>
      </c>
      <c r="AL159" s="5" t="s">
        <v>15</v>
      </c>
      <c r="AM159" s="5">
        <f t="shared" si="101"/>
        <v>65.027979274611397</v>
      </c>
      <c r="AN159" s="5">
        <v>94</v>
      </c>
      <c r="AO159" s="6" t="s">
        <v>145</v>
      </c>
      <c r="AP159" s="6" t="s">
        <v>321</v>
      </c>
    </row>
    <row r="160" spans="1:42" x14ac:dyDescent="0.3">
      <c r="A160" s="6">
        <v>157</v>
      </c>
      <c r="B160" s="3" t="s">
        <v>157</v>
      </c>
      <c r="C160" s="3" t="s">
        <v>159</v>
      </c>
      <c r="D160" s="3">
        <v>5</v>
      </c>
      <c r="E160" s="5">
        <v>20.286999999999999</v>
      </c>
      <c r="F160" s="5">
        <v>51.81</v>
      </c>
      <c r="G160" s="5">
        <v>5.76</v>
      </c>
      <c r="H160" s="5">
        <v>0.26</v>
      </c>
      <c r="I160" s="5">
        <v>0.36</v>
      </c>
      <c r="J160" s="5">
        <v>41.81</v>
      </c>
      <c r="K160" s="5">
        <v>5.64</v>
      </c>
      <c r="L160" s="5">
        <v>0</v>
      </c>
      <c r="M160" s="5">
        <v>79.900000000000006</v>
      </c>
      <c r="N160" s="5">
        <v>14.46</v>
      </c>
      <c r="O160" s="5" t="s">
        <v>15</v>
      </c>
      <c r="P160" s="5" t="s">
        <v>15</v>
      </c>
      <c r="Q160" s="5" t="s">
        <v>15</v>
      </c>
      <c r="R160" s="5">
        <v>700</v>
      </c>
      <c r="S160" s="5" t="s">
        <v>39</v>
      </c>
      <c r="T160" s="5" t="s">
        <v>75</v>
      </c>
      <c r="U160" s="5" t="s">
        <v>15</v>
      </c>
      <c r="V160" s="5">
        <f>2.41*((100-F160)/100)</f>
        <v>1.1613790000000002</v>
      </c>
      <c r="W160" s="5" t="s">
        <v>15</v>
      </c>
      <c r="X160" s="5" t="s">
        <v>161</v>
      </c>
      <c r="Y160" s="5" t="s">
        <v>158</v>
      </c>
      <c r="Z160" s="5" t="s">
        <v>15</v>
      </c>
      <c r="AA160" s="5" t="s">
        <v>160</v>
      </c>
      <c r="AB160" s="5" t="s">
        <v>86</v>
      </c>
      <c r="AC160" s="5">
        <v>0</v>
      </c>
      <c r="AD160" s="5">
        <v>34.01</v>
      </c>
      <c r="AE160" s="5">
        <v>11.34</v>
      </c>
      <c r="AF160" s="5">
        <v>38.25</v>
      </c>
      <c r="AG160" s="5">
        <v>10.3</v>
      </c>
      <c r="AH160" s="5">
        <v>6.1</v>
      </c>
      <c r="AI160" s="5">
        <f>(AD160*Calculations!$B$23+AE160*Calculations!$B$21+AG160*Calculations!$B$22+AH160*Calculations!$B$24)/100</f>
        <v>12.422706499999999</v>
      </c>
      <c r="AJ160" s="5">
        <v>94.090909090909093</v>
      </c>
      <c r="AK160" s="5">
        <v>0.88</v>
      </c>
      <c r="AL160" s="5">
        <v>175</v>
      </c>
      <c r="AM160" s="5">
        <f t="shared" si="101"/>
        <v>53.886635382264501</v>
      </c>
      <c r="AN160" s="5">
        <v>65.599999999999994</v>
      </c>
      <c r="AO160" s="6" t="s">
        <v>162</v>
      </c>
      <c r="AP160" s="6" t="s">
        <v>163</v>
      </c>
    </row>
    <row r="161" spans="1:42" x14ac:dyDescent="0.3">
      <c r="A161" s="6">
        <v>158</v>
      </c>
      <c r="B161" s="3" t="s">
        <v>157</v>
      </c>
      <c r="C161" s="3" t="s">
        <v>159</v>
      </c>
      <c r="D161" s="3">
        <v>5</v>
      </c>
      <c r="E161" s="5">
        <v>20.286999999999999</v>
      </c>
      <c r="F161" s="5">
        <v>51.81</v>
      </c>
      <c r="G161" s="5">
        <v>5.76</v>
      </c>
      <c r="H161" s="5">
        <v>0.26</v>
      </c>
      <c r="I161" s="5">
        <v>0.36</v>
      </c>
      <c r="J161" s="5">
        <v>41.81</v>
      </c>
      <c r="K161" s="5">
        <v>5.64</v>
      </c>
      <c r="L161" s="5">
        <v>0</v>
      </c>
      <c r="M161" s="5">
        <v>79.900000000000006</v>
      </c>
      <c r="N161" s="5">
        <v>14.46</v>
      </c>
      <c r="O161" s="5" t="s">
        <v>15</v>
      </c>
      <c r="P161" s="5" t="s">
        <v>15</v>
      </c>
      <c r="Q161" s="5" t="s">
        <v>15</v>
      </c>
      <c r="R161" s="5">
        <v>750</v>
      </c>
      <c r="S161" s="5" t="s">
        <v>39</v>
      </c>
      <c r="T161" s="5" t="s">
        <v>75</v>
      </c>
      <c r="U161" s="5" t="s">
        <v>15</v>
      </c>
      <c r="V161" s="5">
        <f>2.41*((100-F161)/100)</f>
        <v>1.1613790000000002</v>
      </c>
      <c r="W161" s="5" t="s">
        <v>15</v>
      </c>
      <c r="X161" s="5" t="s">
        <v>161</v>
      </c>
      <c r="Y161" s="5" t="s">
        <v>158</v>
      </c>
      <c r="Z161" s="5" t="s">
        <v>15</v>
      </c>
      <c r="AA161" s="5" t="s">
        <v>160</v>
      </c>
      <c r="AB161" s="5" t="s">
        <v>86</v>
      </c>
      <c r="AC161" s="5">
        <v>0</v>
      </c>
      <c r="AD161" s="5">
        <v>40.47</v>
      </c>
      <c r="AE161" s="5">
        <v>13.26</v>
      </c>
      <c r="AF161" s="5">
        <v>36.76</v>
      </c>
      <c r="AG161" s="5">
        <v>5.89</v>
      </c>
      <c r="AH161" s="5">
        <v>3.62</v>
      </c>
      <c r="AI161" s="5">
        <f>(AD161*Calculations!$B$23+AE161*Calculations!$B$21+AG161*Calculations!$B$22+AH161*Calculations!$B$24)/100</f>
        <v>10.304867999999999</v>
      </c>
      <c r="AJ161" s="5">
        <v>63.157894736842103</v>
      </c>
      <c r="AK161" s="5">
        <v>0.95</v>
      </c>
      <c r="AL161" s="5">
        <v>170</v>
      </c>
      <c r="AM161" s="5">
        <f t="shared" si="101"/>
        <v>48.25565435993493</v>
      </c>
      <c r="AN161" s="5">
        <v>62.03</v>
      </c>
      <c r="AO161" s="6" t="s">
        <v>162</v>
      </c>
      <c r="AP161" s="6" t="s">
        <v>163</v>
      </c>
    </row>
    <row r="162" spans="1:42" x14ac:dyDescent="0.3">
      <c r="A162" s="6">
        <v>159</v>
      </c>
      <c r="B162" s="3" t="s">
        <v>157</v>
      </c>
      <c r="C162" s="3" t="s">
        <v>159</v>
      </c>
      <c r="D162" s="3">
        <v>5</v>
      </c>
      <c r="E162" s="5">
        <v>20.286999999999999</v>
      </c>
      <c r="F162" s="5">
        <v>51.81</v>
      </c>
      <c r="G162" s="5">
        <v>5.76</v>
      </c>
      <c r="H162" s="5">
        <v>0.26</v>
      </c>
      <c r="I162" s="5">
        <v>0.36</v>
      </c>
      <c r="J162" s="5">
        <v>41.81</v>
      </c>
      <c r="K162" s="5">
        <v>5.64</v>
      </c>
      <c r="L162" s="5">
        <v>0</v>
      </c>
      <c r="M162" s="5">
        <v>79.900000000000006</v>
      </c>
      <c r="N162" s="5">
        <v>14.46</v>
      </c>
      <c r="O162" s="5" t="s">
        <v>15</v>
      </c>
      <c r="P162" s="5" t="s">
        <v>15</v>
      </c>
      <c r="Q162" s="5" t="s">
        <v>15</v>
      </c>
      <c r="R162" s="5">
        <v>800</v>
      </c>
      <c r="S162" s="5" t="s">
        <v>39</v>
      </c>
      <c r="T162" s="5" t="s">
        <v>75</v>
      </c>
      <c r="U162" s="5" t="s">
        <v>15</v>
      </c>
      <c r="V162" s="5">
        <f>2.41*((100-F162)/100)</f>
        <v>1.1613790000000002</v>
      </c>
      <c r="W162" s="5" t="s">
        <v>15</v>
      </c>
      <c r="X162" s="5" t="s">
        <v>161</v>
      </c>
      <c r="Y162" s="5" t="s">
        <v>158</v>
      </c>
      <c r="Z162" s="5" t="s">
        <v>15</v>
      </c>
      <c r="AA162" s="5" t="s">
        <v>160</v>
      </c>
      <c r="AB162" s="5" t="s">
        <v>86</v>
      </c>
      <c r="AC162" s="5">
        <v>0</v>
      </c>
      <c r="AD162" s="5">
        <v>46.54</v>
      </c>
      <c r="AE162" s="5">
        <v>14.65</v>
      </c>
      <c r="AF162" s="5">
        <v>32.61</v>
      </c>
      <c r="AG162" s="5">
        <v>2.87</v>
      </c>
      <c r="AH162" s="5">
        <v>3.33</v>
      </c>
      <c r="AI162" s="5">
        <f>(AD162*Calculations!$B$23+AE162*Calculations!$B$21+AG162*Calculations!$B$22+AH162*Calculations!$B$24)/100</f>
        <v>9.8789028999999999</v>
      </c>
      <c r="AJ162" s="5">
        <v>31.25</v>
      </c>
      <c r="AK162" s="5">
        <v>1.28</v>
      </c>
      <c r="AL162" s="5">
        <v>155</v>
      </c>
      <c r="AM162" s="5">
        <f t="shared" si="101"/>
        <v>62.330535377335245</v>
      </c>
      <c r="AN162" s="5">
        <v>75.16</v>
      </c>
      <c r="AO162" s="6" t="s">
        <v>162</v>
      </c>
      <c r="AP162" s="6" t="s">
        <v>163</v>
      </c>
    </row>
    <row r="163" spans="1:42" x14ac:dyDescent="0.3">
      <c r="A163" s="6">
        <v>160</v>
      </c>
      <c r="B163" s="3" t="s">
        <v>157</v>
      </c>
      <c r="C163" s="3" t="s">
        <v>159</v>
      </c>
      <c r="D163" s="3">
        <v>5</v>
      </c>
      <c r="E163" s="5">
        <v>20.286999999999999</v>
      </c>
      <c r="F163" s="5">
        <v>51.81</v>
      </c>
      <c r="G163" s="5">
        <v>5.76</v>
      </c>
      <c r="H163" s="5">
        <v>0.26</v>
      </c>
      <c r="I163" s="5">
        <v>0.36</v>
      </c>
      <c r="J163" s="5">
        <v>41.81</v>
      </c>
      <c r="K163" s="5">
        <v>5.64</v>
      </c>
      <c r="L163" s="5">
        <v>0</v>
      </c>
      <c r="M163" s="5">
        <v>79.900000000000006</v>
      </c>
      <c r="N163" s="5">
        <v>14.46</v>
      </c>
      <c r="O163" s="5" t="s">
        <v>15</v>
      </c>
      <c r="P163" s="5" t="s">
        <v>15</v>
      </c>
      <c r="Q163" s="5" t="s">
        <v>15</v>
      </c>
      <c r="R163" s="5">
        <v>850</v>
      </c>
      <c r="S163" s="5" t="s">
        <v>39</v>
      </c>
      <c r="T163" s="5" t="s">
        <v>75</v>
      </c>
      <c r="U163" s="5" t="s">
        <v>15</v>
      </c>
      <c r="V163" s="5">
        <f>2.41*((100-F163)/100)</f>
        <v>1.1613790000000002</v>
      </c>
      <c r="W163" s="5" t="s">
        <v>15</v>
      </c>
      <c r="X163" s="5" t="s">
        <v>161</v>
      </c>
      <c r="Y163" s="5" t="s">
        <v>158</v>
      </c>
      <c r="Z163" s="5" t="s">
        <v>15</v>
      </c>
      <c r="AA163" s="5" t="s">
        <v>160</v>
      </c>
      <c r="AB163" s="5" t="s">
        <v>86</v>
      </c>
      <c r="AC163" s="5">
        <v>0</v>
      </c>
      <c r="AD163" s="5">
        <v>51.16</v>
      </c>
      <c r="AE163" s="5">
        <v>15.66</v>
      </c>
      <c r="AF163" s="5">
        <v>28.23</v>
      </c>
      <c r="AG163" s="5">
        <v>2.14</v>
      </c>
      <c r="AH163" s="5">
        <v>2.81</v>
      </c>
      <c r="AI163" s="5">
        <f>(AD163*Calculations!$B$23+AE163*Calculations!$B$21+AG163*Calculations!$B$22+AH163*Calculations!$B$24)/100</f>
        <v>9.9335484999999988</v>
      </c>
      <c r="AJ163" s="5">
        <v>3.1818181818181821</v>
      </c>
      <c r="AK163" s="5">
        <v>1.32</v>
      </c>
      <c r="AL163" s="5">
        <v>100</v>
      </c>
      <c r="AM163" s="5">
        <f t="shared" si="101"/>
        <v>64.633923300635871</v>
      </c>
      <c r="AN163" s="5">
        <v>70.5</v>
      </c>
      <c r="AO163" s="6" t="s">
        <v>162</v>
      </c>
      <c r="AP163" s="6" t="s">
        <v>163</v>
      </c>
    </row>
    <row r="164" spans="1:42" x14ac:dyDescent="0.3">
      <c r="A164" s="6">
        <v>161</v>
      </c>
      <c r="B164" s="3" t="s">
        <v>157</v>
      </c>
      <c r="C164" s="3" t="s">
        <v>159</v>
      </c>
      <c r="D164" s="3">
        <v>5</v>
      </c>
      <c r="E164" s="5">
        <v>20.286999999999999</v>
      </c>
      <c r="F164" s="5">
        <v>51.81</v>
      </c>
      <c r="G164" s="5">
        <v>5.76</v>
      </c>
      <c r="H164" s="5">
        <v>0.26</v>
      </c>
      <c r="I164" s="5">
        <v>0.36</v>
      </c>
      <c r="J164" s="5">
        <v>41.81</v>
      </c>
      <c r="K164" s="5">
        <v>5.64</v>
      </c>
      <c r="L164" s="5">
        <v>0</v>
      </c>
      <c r="M164" s="5">
        <v>79.900000000000006</v>
      </c>
      <c r="N164" s="5">
        <v>14.46</v>
      </c>
      <c r="O164" s="5" t="s">
        <v>15</v>
      </c>
      <c r="P164" s="5" t="s">
        <v>15</v>
      </c>
      <c r="Q164" s="5" t="s">
        <v>15</v>
      </c>
      <c r="R164" s="5">
        <v>900</v>
      </c>
      <c r="S164" s="5" t="s">
        <v>39</v>
      </c>
      <c r="T164" s="5" t="s">
        <v>75</v>
      </c>
      <c r="U164" s="5" t="s">
        <v>15</v>
      </c>
      <c r="V164" s="5">
        <f>2.41*((100-F164)/100)</f>
        <v>1.1613790000000002</v>
      </c>
      <c r="W164" s="5" t="s">
        <v>15</v>
      </c>
      <c r="X164" s="5" t="s">
        <v>161</v>
      </c>
      <c r="Y164" s="5" t="s">
        <v>158</v>
      </c>
      <c r="Z164" s="5" t="s">
        <v>15</v>
      </c>
      <c r="AA164" s="5" t="s">
        <v>160</v>
      </c>
      <c r="AB164" s="5" t="s">
        <v>86</v>
      </c>
      <c r="AC164" s="5">
        <v>0</v>
      </c>
      <c r="AD164" s="5">
        <v>54.22</v>
      </c>
      <c r="AE164" s="5">
        <v>22.72</v>
      </c>
      <c r="AF164" s="5">
        <v>20.61</v>
      </c>
      <c r="AG164" s="5">
        <v>1.33</v>
      </c>
      <c r="AH164" s="5">
        <v>1.1200000000000001</v>
      </c>
      <c r="AI164" s="5">
        <f>(AD164*Calculations!$B$23+AE164*Calculations!$B$21+AG164*Calculations!$B$22+AH164*Calculations!$B$24)/100</f>
        <v>9.8599224999999997</v>
      </c>
      <c r="AJ164" s="5">
        <v>0</v>
      </c>
      <c r="AK164" s="5">
        <v>1.75</v>
      </c>
      <c r="AL164" s="5">
        <v>90</v>
      </c>
      <c r="AM164" s="5">
        <f t="shared" si="101"/>
        <v>85.053799847192792</v>
      </c>
      <c r="AN164" s="5">
        <v>84.87</v>
      </c>
      <c r="AO164" s="6" t="s">
        <v>162</v>
      </c>
      <c r="AP164" s="6" t="s">
        <v>163</v>
      </c>
    </row>
    <row r="165" spans="1:42" ht="14.5" customHeight="1" x14ac:dyDescent="0.3">
      <c r="A165" s="6">
        <v>162</v>
      </c>
      <c r="B165" s="3" t="s">
        <v>157</v>
      </c>
      <c r="C165" s="3" t="s">
        <v>159</v>
      </c>
      <c r="D165" s="3">
        <v>5</v>
      </c>
      <c r="E165" s="5">
        <v>20.286999999999999</v>
      </c>
      <c r="F165" s="5">
        <v>51.81</v>
      </c>
      <c r="G165" s="5">
        <v>5.76</v>
      </c>
      <c r="H165" s="5">
        <v>0.26</v>
      </c>
      <c r="I165" s="5">
        <v>0.36</v>
      </c>
      <c r="J165" s="5">
        <v>41.81</v>
      </c>
      <c r="K165" s="5">
        <v>5.64</v>
      </c>
      <c r="L165" s="5">
        <v>0</v>
      </c>
      <c r="M165" s="5">
        <v>79.900000000000006</v>
      </c>
      <c r="N165" s="5">
        <v>14.46</v>
      </c>
      <c r="O165" s="5" t="s">
        <v>15</v>
      </c>
      <c r="P165" s="5" t="s">
        <v>15</v>
      </c>
      <c r="Q165" s="5" t="s">
        <v>15</v>
      </c>
      <c r="R165" s="5">
        <v>900</v>
      </c>
      <c r="S165" s="5" t="s">
        <v>39</v>
      </c>
      <c r="T165" s="5" t="s">
        <v>75</v>
      </c>
      <c r="U165" s="5" t="s">
        <v>15</v>
      </c>
      <c r="V165" s="5">
        <v>0.25058800000000003</v>
      </c>
      <c r="W165" s="5" t="s">
        <v>15</v>
      </c>
      <c r="X165" s="5" t="s">
        <v>161</v>
      </c>
      <c r="Y165" s="5" t="s">
        <v>158</v>
      </c>
      <c r="Z165" s="5" t="s">
        <v>15</v>
      </c>
      <c r="AA165" s="5" t="s">
        <v>164</v>
      </c>
      <c r="AB165" s="5" t="s">
        <v>86</v>
      </c>
      <c r="AC165" s="5">
        <v>0</v>
      </c>
      <c r="AD165" s="5">
        <v>38.619999999999997</v>
      </c>
      <c r="AE165" s="5">
        <v>47.57</v>
      </c>
      <c r="AF165" s="5">
        <v>12.11</v>
      </c>
      <c r="AG165" s="5">
        <v>0.61</v>
      </c>
      <c r="AH165" s="5">
        <v>1.0899999999999999</v>
      </c>
      <c r="AI165" s="5">
        <f>(AD165*Calculations!$B$23+AE165*Calculations!$B$21+AG165*Calculations!$B$22+AH165*Calculations!$B$24)/100</f>
        <v>11.040880299999996</v>
      </c>
      <c r="AJ165" s="5">
        <v>14.87179487179487</v>
      </c>
      <c r="AK165" s="5">
        <v>0.78</v>
      </c>
      <c r="AL165" s="5">
        <v>145.39999999999998</v>
      </c>
      <c r="AM165" s="5">
        <f t="shared" si="101"/>
        <v>42.450271770099071</v>
      </c>
      <c r="AN165" s="5">
        <v>50.38</v>
      </c>
      <c r="AO165" s="6" t="s">
        <v>162</v>
      </c>
      <c r="AP165" s="6" t="s">
        <v>163</v>
      </c>
    </row>
    <row r="166" spans="1:42" x14ac:dyDescent="0.3">
      <c r="A166" s="6">
        <v>163</v>
      </c>
      <c r="B166" s="3" t="s">
        <v>157</v>
      </c>
      <c r="C166" s="3" t="s">
        <v>159</v>
      </c>
      <c r="D166" s="3">
        <v>5</v>
      </c>
      <c r="E166" s="5">
        <v>20.286999999999999</v>
      </c>
      <c r="F166" s="5">
        <v>51.81</v>
      </c>
      <c r="G166" s="5">
        <v>5.76</v>
      </c>
      <c r="H166" s="5">
        <v>0.26</v>
      </c>
      <c r="I166" s="5">
        <v>0.36</v>
      </c>
      <c r="J166" s="5">
        <v>41.81</v>
      </c>
      <c r="K166" s="5">
        <v>5.64</v>
      </c>
      <c r="L166" s="5">
        <v>0</v>
      </c>
      <c r="M166" s="5">
        <v>79.900000000000006</v>
      </c>
      <c r="N166" s="5">
        <v>14.46</v>
      </c>
      <c r="O166" s="5" t="s">
        <v>15</v>
      </c>
      <c r="P166" s="5" t="s">
        <v>15</v>
      </c>
      <c r="Q166" s="5" t="s">
        <v>15</v>
      </c>
      <c r="R166" s="5">
        <v>900</v>
      </c>
      <c r="S166" s="5" t="s">
        <v>39</v>
      </c>
      <c r="T166" s="5" t="s">
        <v>75</v>
      </c>
      <c r="U166" s="5" t="s">
        <v>15</v>
      </c>
      <c r="V166" s="5">
        <v>0.40479599999999999</v>
      </c>
      <c r="W166" s="5" t="s">
        <v>15</v>
      </c>
      <c r="X166" s="5" t="s">
        <v>161</v>
      </c>
      <c r="Y166" s="5" t="s">
        <v>158</v>
      </c>
      <c r="Z166" s="5" t="s">
        <v>15</v>
      </c>
      <c r="AA166" s="5" t="s">
        <v>165</v>
      </c>
      <c r="AB166" s="5" t="s">
        <v>86</v>
      </c>
      <c r="AC166" s="5">
        <v>0</v>
      </c>
      <c r="AD166" s="5">
        <v>40.92</v>
      </c>
      <c r="AE166" s="5">
        <v>42.33</v>
      </c>
      <c r="AF166" s="5">
        <v>13.28</v>
      </c>
      <c r="AG166" s="5">
        <v>2.44</v>
      </c>
      <c r="AH166" s="5">
        <v>1.03</v>
      </c>
      <c r="AI166" s="5">
        <f>(AD166*Calculations!$B$23+AE166*Calculations!$B$21+AG166*Calculations!$B$22+AH166*Calculations!$B$24)/100</f>
        <v>11.247904799999999</v>
      </c>
      <c r="AJ166" s="5">
        <v>6.7032967032967017</v>
      </c>
      <c r="AK166" s="5">
        <v>0.91</v>
      </c>
      <c r="AL166" s="5">
        <v>131.1</v>
      </c>
      <c r="AM166" s="5">
        <f t="shared" si="101"/>
        <v>50.453952619904371</v>
      </c>
      <c r="AN166" s="5">
        <v>54.68</v>
      </c>
      <c r="AO166" s="6" t="s">
        <v>162</v>
      </c>
      <c r="AP166" s="6" t="s">
        <v>163</v>
      </c>
    </row>
    <row r="167" spans="1:42" x14ac:dyDescent="0.3">
      <c r="A167" s="6">
        <v>164</v>
      </c>
      <c r="B167" s="3" t="s">
        <v>157</v>
      </c>
      <c r="C167" s="3" t="s">
        <v>159</v>
      </c>
      <c r="D167" s="3">
        <v>5</v>
      </c>
      <c r="E167" s="5">
        <v>20.286999999999999</v>
      </c>
      <c r="F167" s="5">
        <v>51.81</v>
      </c>
      <c r="G167" s="5">
        <v>5.76</v>
      </c>
      <c r="H167" s="5">
        <v>0.26</v>
      </c>
      <c r="I167" s="5">
        <v>0.36</v>
      </c>
      <c r="J167" s="5">
        <v>41.81</v>
      </c>
      <c r="K167" s="5">
        <v>5.64</v>
      </c>
      <c r="L167" s="5">
        <v>0</v>
      </c>
      <c r="M167" s="5">
        <v>79.900000000000006</v>
      </c>
      <c r="N167" s="5">
        <v>14.46</v>
      </c>
      <c r="O167" s="5" t="s">
        <v>15</v>
      </c>
      <c r="P167" s="5" t="s">
        <v>15</v>
      </c>
      <c r="Q167" s="5" t="s">
        <v>15</v>
      </c>
      <c r="R167" s="5">
        <v>900</v>
      </c>
      <c r="S167" s="5" t="s">
        <v>39</v>
      </c>
      <c r="T167" s="5" t="s">
        <v>75</v>
      </c>
      <c r="U167" s="5" t="s">
        <v>15</v>
      </c>
      <c r="V167" s="5">
        <v>0.73248800000000003</v>
      </c>
      <c r="W167" s="5" t="s">
        <v>15</v>
      </c>
      <c r="X167" s="5" t="s">
        <v>161</v>
      </c>
      <c r="Y167" s="5" t="s">
        <v>158</v>
      </c>
      <c r="Z167" s="5" t="s">
        <v>15</v>
      </c>
      <c r="AA167" s="5" t="s">
        <v>166</v>
      </c>
      <c r="AB167" s="5" t="s">
        <v>86</v>
      </c>
      <c r="AC167" s="5">
        <v>0</v>
      </c>
      <c r="AD167" s="5">
        <v>52.7</v>
      </c>
      <c r="AE167" s="5">
        <v>25.91</v>
      </c>
      <c r="AF167" s="5">
        <v>17.75</v>
      </c>
      <c r="AG167" s="5">
        <v>2.2599999999999998</v>
      </c>
      <c r="AH167" s="5">
        <v>1.3800000000000001</v>
      </c>
      <c r="AI167" s="5">
        <f>(AD167*Calculations!$B$23+AE167*Calculations!$B$21+AG167*Calculations!$B$22+AH167*Calculations!$B$24)/100</f>
        <v>10.587313699999999</v>
      </c>
      <c r="AJ167" s="5">
        <v>0</v>
      </c>
      <c r="AK167" s="5">
        <v>1.1399999999999999</v>
      </c>
      <c r="AL167" s="5">
        <v>96.7</v>
      </c>
      <c r="AM167" s="5">
        <f t="shared" si="101"/>
        <v>59.493949908808595</v>
      </c>
      <c r="AN167" s="5">
        <v>57.38</v>
      </c>
      <c r="AO167" s="6" t="s">
        <v>162</v>
      </c>
      <c r="AP167" s="6" t="s">
        <v>163</v>
      </c>
    </row>
    <row r="168" spans="1:42" x14ac:dyDescent="0.3">
      <c r="A168" s="6">
        <v>165</v>
      </c>
      <c r="B168" s="3" t="s">
        <v>157</v>
      </c>
      <c r="C168" s="3" t="s">
        <v>159</v>
      </c>
      <c r="D168" s="3">
        <v>5</v>
      </c>
      <c r="E168" s="5">
        <v>20.286999999999999</v>
      </c>
      <c r="F168" s="5">
        <v>51.81</v>
      </c>
      <c r="G168" s="5">
        <v>5.76</v>
      </c>
      <c r="H168" s="5">
        <v>0.26</v>
      </c>
      <c r="I168" s="5">
        <v>0.36</v>
      </c>
      <c r="J168" s="5">
        <v>41.81</v>
      </c>
      <c r="K168" s="5">
        <v>5.64</v>
      </c>
      <c r="L168" s="5">
        <v>0</v>
      </c>
      <c r="M168" s="5">
        <v>79.900000000000006</v>
      </c>
      <c r="N168" s="5">
        <v>14.46</v>
      </c>
      <c r="O168" s="5" t="s">
        <v>15</v>
      </c>
      <c r="P168" s="5" t="s">
        <v>15</v>
      </c>
      <c r="Q168" s="5" t="s">
        <v>15</v>
      </c>
      <c r="R168" s="5">
        <v>900</v>
      </c>
      <c r="S168" s="5" t="s">
        <v>39</v>
      </c>
      <c r="T168" s="5" t="s">
        <v>75</v>
      </c>
      <c r="U168" s="5" t="s">
        <v>15</v>
      </c>
      <c r="V168" s="5">
        <v>0.90597199999999989</v>
      </c>
      <c r="W168" s="5" t="s">
        <v>15</v>
      </c>
      <c r="X168" s="5" t="s">
        <v>161</v>
      </c>
      <c r="Y168" s="5" t="s">
        <v>158</v>
      </c>
      <c r="Z168" s="5" t="s">
        <v>15</v>
      </c>
      <c r="AA168" s="5" t="s">
        <v>167</v>
      </c>
      <c r="AB168" s="5" t="s">
        <v>86</v>
      </c>
      <c r="AC168" s="5">
        <v>0</v>
      </c>
      <c r="AD168" s="5">
        <v>53.94</v>
      </c>
      <c r="AE168" s="5">
        <v>23.57</v>
      </c>
      <c r="AF168" s="5">
        <v>20.8</v>
      </c>
      <c r="AG168" s="5">
        <v>1.34</v>
      </c>
      <c r="AH168" s="5">
        <v>0.35</v>
      </c>
      <c r="AI168" s="5">
        <f>(AD168*Calculations!$B$23+AE168*Calculations!$B$21+AG168*Calculations!$B$22+AH168*Calculations!$B$24)/100</f>
        <v>9.4828799999999998</v>
      </c>
      <c r="AJ168" s="5">
        <v>0</v>
      </c>
      <c r="AK168" s="5">
        <v>1.31</v>
      </c>
      <c r="AL168" s="5">
        <v>96.199999999999989</v>
      </c>
      <c r="AM168" s="5">
        <f t="shared" si="101"/>
        <v>61.234153891654756</v>
      </c>
      <c r="AN168" s="5">
        <v>62.86</v>
      </c>
      <c r="AO168" s="6" t="s">
        <v>162</v>
      </c>
      <c r="AP168" s="6" t="s">
        <v>163</v>
      </c>
    </row>
    <row r="169" spans="1:42" x14ac:dyDescent="0.3">
      <c r="A169" s="6">
        <v>166</v>
      </c>
      <c r="B169" s="3" t="s">
        <v>157</v>
      </c>
      <c r="C169" s="3" t="s">
        <v>159</v>
      </c>
      <c r="D169" s="3">
        <v>5</v>
      </c>
      <c r="E169" s="5">
        <v>20.286999999999999</v>
      </c>
      <c r="F169" s="5">
        <v>51.81</v>
      </c>
      <c r="G169" s="5">
        <v>5.76</v>
      </c>
      <c r="H169" s="5">
        <v>0.26</v>
      </c>
      <c r="I169" s="5">
        <v>0.36</v>
      </c>
      <c r="J169" s="5">
        <v>41.81</v>
      </c>
      <c r="K169" s="5">
        <v>5.64</v>
      </c>
      <c r="L169" s="5">
        <v>0</v>
      </c>
      <c r="M169" s="5">
        <v>79.900000000000006</v>
      </c>
      <c r="N169" s="5">
        <v>14.46</v>
      </c>
      <c r="O169" s="5" t="s">
        <v>15</v>
      </c>
      <c r="P169" s="5" t="s">
        <v>15</v>
      </c>
      <c r="Q169" s="5" t="s">
        <v>15</v>
      </c>
      <c r="R169" s="5">
        <v>900</v>
      </c>
      <c r="S169" s="5" t="s">
        <v>39</v>
      </c>
      <c r="T169" s="5" t="s">
        <v>75</v>
      </c>
      <c r="U169" s="5" t="s">
        <v>15</v>
      </c>
      <c r="V169" s="5">
        <v>1.1613790000000002</v>
      </c>
      <c r="W169" s="5" t="s">
        <v>15</v>
      </c>
      <c r="X169" s="5" t="s">
        <v>161</v>
      </c>
      <c r="Y169" s="5" t="s">
        <v>158</v>
      </c>
      <c r="Z169" s="5" t="s">
        <v>15</v>
      </c>
      <c r="AA169" s="5" t="s">
        <v>168</v>
      </c>
      <c r="AB169" s="5" t="s">
        <v>86</v>
      </c>
      <c r="AC169" s="5">
        <v>0</v>
      </c>
      <c r="AD169" s="5">
        <v>54.22</v>
      </c>
      <c r="AE169" s="5">
        <v>22.72</v>
      </c>
      <c r="AF169" s="5">
        <v>20.61</v>
      </c>
      <c r="AG169" s="5">
        <v>1.33</v>
      </c>
      <c r="AH169" s="5">
        <v>1.1200000000000001</v>
      </c>
      <c r="AI169" s="5">
        <f>(AD169*Calculations!$B$23+AE169*Calculations!$B$21+AG169*Calculations!$B$22+AH169*Calculations!$B$24)/100</f>
        <v>9.8599224999999997</v>
      </c>
      <c r="AJ169" s="5">
        <v>0</v>
      </c>
      <c r="AK169" s="5">
        <v>1.75</v>
      </c>
      <c r="AL169" s="5">
        <v>94.5</v>
      </c>
      <c r="AM169" s="5">
        <f t="shared" si="101"/>
        <v>85.053799847192792</v>
      </c>
      <c r="AN169" s="5">
        <v>84.87</v>
      </c>
      <c r="AO169" s="6" t="s">
        <v>162</v>
      </c>
      <c r="AP169" s="6" t="s">
        <v>163</v>
      </c>
    </row>
    <row r="170" spans="1:42" x14ac:dyDescent="0.3">
      <c r="A170" s="6">
        <v>167</v>
      </c>
      <c r="B170" s="3" t="s">
        <v>169</v>
      </c>
      <c r="C170" s="3" t="s">
        <v>15</v>
      </c>
      <c r="D170" s="3">
        <v>1.5</v>
      </c>
      <c r="E170" s="5">
        <f>18.46-(9*((G170/100*((100+L170)/100)))*Calculations!$B$16)</f>
        <v>17.19534349576</v>
      </c>
      <c r="F170" s="5">
        <v>49.74</v>
      </c>
      <c r="G170" s="5">
        <v>5.68</v>
      </c>
      <c r="H170" s="5">
        <v>1.02</v>
      </c>
      <c r="I170" s="5">
        <v>0.27</v>
      </c>
      <c r="J170" s="5">
        <v>43.36</v>
      </c>
      <c r="K170" s="5">
        <v>4.3099999999999996</v>
      </c>
      <c r="L170" s="5">
        <v>9.61</v>
      </c>
      <c r="M170" s="5">
        <v>80.92</v>
      </c>
      <c r="N170" s="5">
        <v>14.67</v>
      </c>
      <c r="O170" s="5" t="s">
        <v>15</v>
      </c>
      <c r="P170" s="5" t="s">
        <v>15</v>
      </c>
      <c r="Q170" s="5" t="s">
        <v>15</v>
      </c>
      <c r="R170" s="5">
        <v>675</v>
      </c>
      <c r="S170" s="5" t="s">
        <v>39</v>
      </c>
      <c r="T170" s="5" t="s">
        <v>75</v>
      </c>
      <c r="U170" s="5" t="s">
        <v>15</v>
      </c>
      <c r="V170" s="5">
        <v>2</v>
      </c>
      <c r="W170" s="5" t="s">
        <v>15</v>
      </c>
      <c r="X170" s="5" t="s">
        <v>161</v>
      </c>
      <c r="Y170" s="5" t="s">
        <v>79</v>
      </c>
      <c r="Z170" s="5" t="s">
        <v>170</v>
      </c>
      <c r="AA170" s="5" t="s">
        <v>172</v>
      </c>
      <c r="AB170" s="5" t="s">
        <v>65</v>
      </c>
      <c r="AC170" s="5">
        <v>11.688997524871013</v>
      </c>
      <c r="AD170" s="5">
        <v>55.200998547741086</v>
      </c>
      <c r="AE170" s="5">
        <v>12.687753504975037</v>
      </c>
      <c r="AF170" s="5">
        <v>10.171393206493558</v>
      </c>
      <c r="AG170" s="5">
        <v>10.250857215919289</v>
      </c>
      <c r="AH170" s="5" t="s">
        <v>15</v>
      </c>
      <c r="AI170" s="5">
        <v>12.72</v>
      </c>
      <c r="AJ170" s="5" t="s">
        <v>15</v>
      </c>
      <c r="AK170" s="5">
        <v>0.63</v>
      </c>
      <c r="AL170" s="5">
        <v>62.98</v>
      </c>
      <c r="AM170" s="5">
        <f t="shared" si="101"/>
        <v>46.603314449496054</v>
      </c>
      <c r="AN170" s="5">
        <v>23.12</v>
      </c>
      <c r="AO170" s="6" t="s">
        <v>211</v>
      </c>
      <c r="AP170" s="6" t="s">
        <v>175</v>
      </c>
    </row>
    <row r="171" spans="1:42" x14ac:dyDescent="0.3">
      <c r="A171" s="6">
        <v>168</v>
      </c>
      <c r="B171" s="3" t="s">
        <v>169</v>
      </c>
      <c r="C171" s="3" t="s">
        <v>15</v>
      </c>
      <c r="D171" s="3">
        <v>1.5</v>
      </c>
      <c r="E171" s="5">
        <f>18.46-(9*((G171/100*((100+L171)/100)))*Calculations!$B$16)</f>
        <v>17.19534349576</v>
      </c>
      <c r="F171" s="5">
        <v>49.74</v>
      </c>
      <c r="G171" s="5">
        <v>5.68</v>
      </c>
      <c r="H171" s="5">
        <v>1.02</v>
      </c>
      <c r="I171" s="5">
        <v>0.27</v>
      </c>
      <c r="J171" s="5">
        <v>43.36</v>
      </c>
      <c r="K171" s="5">
        <v>4.3099999999999996</v>
      </c>
      <c r="L171" s="5">
        <v>9.61</v>
      </c>
      <c r="M171" s="5">
        <v>80.92</v>
      </c>
      <c r="N171" s="5">
        <v>14.67</v>
      </c>
      <c r="O171" s="5" t="s">
        <v>15</v>
      </c>
      <c r="P171" s="5" t="s">
        <v>15</v>
      </c>
      <c r="Q171" s="5" t="s">
        <v>15</v>
      </c>
      <c r="R171" s="5">
        <v>675</v>
      </c>
      <c r="S171" s="5" t="s">
        <v>39</v>
      </c>
      <c r="T171" s="5" t="s">
        <v>75</v>
      </c>
      <c r="U171" s="5" t="s">
        <v>15</v>
      </c>
      <c r="V171" s="5">
        <v>2</v>
      </c>
      <c r="W171" s="5" t="s">
        <v>15</v>
      </c>
      <c r="X171" s="5" t="s">
        <v>161</v>
      </c>
      <c r="Y171" s="5" t="s">
        <v>79</v>
      </c>
      <c r="Z171" s="5" t="s">
        <v>170</v>
      </c>
      <c r="AA171" s="5" t="s">
        <v>173</v>
      </c>
      <c r="AB171" s="5" t="s">
        <v>65</v>
      </c>
      <c r="AC171" s="5">
        <v>12.964626114068679</v>
      </c>
      <c r="AD171" s="5">
        <v>71.471892687006914</v>
      </c>
      <c r="AE171" s="5">
        <v>5.6143430499475659</v>
      </c>
      <c r="AF171" s="5">
        <v>0</v>
      </c>
      <c r="AG171" s="5">
        <v>9.9491381489768482</v>
      </c>
      <c r="AH171" s="5" t="s">
        <v>15</v>
      </c>
      <c r="AI171" s="5">
        <v>13.78</v>
      </c>
      <c r="AJ171" s="5" t="s">
        <v>15</v>
      </c>
      <c r="AK171" s="5">
        <v>1.19</v>
      </c>
      <c r="AL171" s="5">
        <v>27.33</v>
      </c>
      <c r="AM171" s="5">
        <f t="shared" si="101"/>
        <v>95.364189753135449</v>
      </c>
      <c r="AN171" s="5">
        <v>20.96</v>
      </c>
      <c r="AO171" s="6" t="s">
        <v>211</v>
      </c>
      <c r="AP171" s="6" t="s">
        <v>175</v>
      </c>
    </row>
    <row r="172" spans="1:42" x14ac:dyDescent="0.3">
      <c r="A172" s="6">
        <v>169</v>
      </c>
      <c r="B172" s="3" t="s">
        <v>169</v>
      </c>
      <c r="C172" s="3" t="s">
        <v>15</v>
      </c>
      <c r="D172" s="3">
        <v>1.5</v>
      </c>
      <c r="E172" s="5">
        <f>18.46-(9*((G172/100*((100+L172)/100)))*Calculations!$B$16)</f>
        <v>17.19534349576</v>
      </c>
      <c r="F172" s="5">
        <v>49.74</v>
      </c>
      <c r="G172" s="5">
        <v>5.68</v>
      </c>
      <c r="H172" s="5">
        <v>1.02</v>
      </c>
      <c r="I172" s="5">
        <v>0.27</v>
      </c>
      <c r="J172" s="5">
        <v>43.36</v>
      </c>
      <c r="K172" s="5">
        <v>4.3099999999999996</v>
      </c>
      <c r="L172" s="5">
        <v>9.61</v>
      </c>
      <c r="M172" s="5">
        <v>80.92</v>
      </c>
      <c r="N172" s="5">
        <v>14.67</v>
      </c>
      <c r="O172" s="5" t="s">
        <v>15</v>
      </c>
      <c r="P172" s="5" t="s">
        <v>15</v>
      </c>
      <c r="Q172" s="5" t="s">
        <v>15</v>
      </c>
      <c r="R172" s="5">
        <v>675</v>
      </c>
      <c r="S172" s="5" t="s">
        <v>39</v>
      </c>
      <c r="T172" s="5" t="s">
        <v>75</v>
      </c>
      <c r="U172" s="5" t="s">
        <v>15</v>
      </c>
      <c r="V172" s="5">
        <v>2</v>
      </c>
      <c r="W172" s="5" t="s">
        <v>15</v>
      </c>
      <c r="X172" s="5" t="s">
        <v>161</v>
      </c>
      <c r="Y172" s="5" t="s">
        <v>79</v>
      </c>
      <c r="Z172" s="5" t="s">
        <v>170</v>
      </c>
      <c r="AA172" s="5" t="s">
        <v>174</v>
      </c>
      <c r="AB172" s="5" t="s">
        <v>65</v>
      </c>
      <c r="AC172" s="5">
        <v>12.740692141230866</v>
      </c>
      <c r="AD172" s="5">
        <v>73.846210931183563</v>
      </c>
      <c r="AE172" s="5">
        <v>3.7263450800774494</v>
      </c>
      <c r="AF172" s="5">
        <v>1.0035823986157066</v>
      </c>
      <c r="AG172" s="5">
        <v>8.6831694488924178</v>
      </c>
      <c r="AH172" s="5" t="s">
        <v>15</v>
      </c>
      <c r="AI172" s="5">
        <v>13.34</v>
      </c>
      <c r="AJ172" s="5" t="s">
        <v>15</v>
      </c>
      <c r="AK172" s="5">
        <v>1.3</v>
      </c>
      <c r="AL172" s="5">
        <v>23.62</v>
      </c>
      <c r="AM172" s="5">
        <f t="shared" si="101"/>
        <v>100.85288499340628</v>
      </c>
      <c r="AN172" s="5">
        <v>20.61</v>
      </c>
      <c r="AO172" s="6" t="s">
        <v>211</v>
      </c>
      <c r="AP172" s="6" t="s">
        <v>175</v>
      </c>
    </row>
    <row r="173" spans="1:42" x14ac:dyDescent="0.3">
      <c r="A173" s="6">
        <v>170</v>
      </c>
      <c r="B173" s="3" t="s">
        <v>169</v>
      </c>
      <c r="C173" s="3" t="s">
        <v>15</v>
      </c>
      <c r="D173" s="3">
        <f>(0.5+0.355)/2</f>
        <v>0.42749999999999999</v>
      </c>
      <c r="E173" s="5">
        <f>18.46-(9*((G173/100*((100+L173)/100)))*Calculations!$B$16)</f>
        <v>17.19534349576</v>
      </c>
      <c r="F173" s="5">
        <v>49.74</v>
      </c>
      <c r="G173" s="5">
        <v>5.68</v>
      </c>
      <c r="H173" s="5">
        <v>1.02</v>
      </c>
      <c r="I173" s="5">
        <v>0.27</v>
      </c>
      <c r="J173" s="5">
        <v>43.36</v>
      </c>
      <c r="K173" s="5">
        <v>4.3099999999999996</v>
      </c>
      <c r="L173" s="5">
        <v>9.61</v>
      </c>
      <c r="M173" s="5">
        <v>80.92</v>
      </c>
      <c r="N173" s="5">
        <v>14.67</v>
      </c>
      <c r="O173" s="5" t="s">
        <v>15</v>
      </c>
      <c r="P173" s="5" t="s">
        <v>15</v>
      </c>
      <c r="Q173" s="5" t="s">
        <v>15</v>
      </c>
      <c r="R173" s="5">
        <v>676</v>
      </c>
      <c r="S173" s="5" t="s">
        <v>39</v>
      </c>
      <c r="T173" s="5" t="s">
        <v>75</v>
      </c>
      <c r="U173" s="5" t="s">
        <v>15</v>
      </c>
      <c r="V173" s="5">
        <v>2</v>
      </c>
      <c r="W173" s="5" t="s">
        <v>15</v>
      </c>
      <c r="X173" s="5" t="s">
        <v>161</v>
      </c>
      <c r="Y173" s="5" t="s">
        <v>79</v>
      </c>
      <c r="Z173" s="5" t="s">
        <v>170</v>
      </c>
      <c r="AA173" s="5" t="s">
        <v>173</v>
      </c>
      <c r="AB173" s="5" t="s">
        <v>65</v>
      </c>
      <c r="AC173" s="5">
        <v>13.284786001261679</v>
      </c>
      <c r="AD173" s="5">
        <v>71.449244604378805</v>
      </c>
      <c r="AE173" s="5">
        <v>10.72345493516338</v>
      </c>
      <c r="AF173" s="5">
        <v>3.3895480029497831</v>
      </c>
      <c r="AG173" s="5">
        <v>1.1529664562463458</v>
      </c>
      <c r="AH173" s="5" t="s">
        <v>15</v>
      </c>
      <c r="AI173" s="5">
        <v>10.92</v>
      </c>
      <c r="AJ173" s="5" t="s">
        <v>15</v>
      </c>
      <c r="AK173" s="5">
        <v>1.2</v>
      </c>
      <c r="AL173" s="5">
        <v>25.91</v>
      </c>
      <c r="AM173" s="5">
        <f t="shared" si="101"/>
        <v>76.20667771615706</v>
      </c>
      <c r="AN173" s="5">
        <v>20.76</v>
      </c>
      <c r="AO173" s="6" t="s">
        <v>211</v>
      </c>
      <c r="AP173" s="6" t="s">
        <v>175</v>
      </c>
    </row>
    <row r="174" spans="1:42" x14ac:dyDescent="0.3">
      <c r="A174" s="6">
        <v>171</v>
      </c>
      <c r="B174" s="3" t="s">
        <v>157</v>
      </c>
      <c r="C174" s="3" t="s">
        <v>159</v>
      </c>
      <c r="D174" s="3">
        <v>5</v>
      </c>
      <c r="E174" s="5">
        <v>19.989999999999998</v>
      </c>
      <c r="F174" s="5">
        <f>(100/(100-K174))*49.51</f>
        <v>53.305340223944874</v>
      </c>
      <c r="G174" s="5">
        <f>(100/(100-K174))*6.42</f>
        <v>6.9121447028423768</v>
      </c>
      <c r="H174" s="5">
        <f>(100/(100-K174))*0.78</f>
        <v>0.83979328165374678</v>
      </c>
      <c r="I174" s="5">
        <f>(100/(100-K174))*0.48</f>
        <v>0.51679586563307489</v>
      </c>
      <c r="J174" s="5">
        <f>(100/(100-K174))*31.86</f>
        <v>34.302325581395344</v>
      </c>
      <c r="K174" s="5">
        <v>7.12</v>
      </c>
      <c r="L174" s="5">
        <v>9.34</v>
      </c>
      <c r="M174" s="5">
        <v>77.52</v>
      </c>
      <c r="N174" s="5">
        <v>15.36</v>
      </c>
      <c r="O174" s="5" t="s">
        <v>15</v>
      </c>
      <c r="P174" s="5" t="s">
        <v>15</v>
      </c>
      <c r="Q174" s="5" t="s">
        <v>15</v>
      </c>
      <c r="R174" s="5">
        <v>700</v>
      </c>
      <c r="S174" s="5" t="s">
        <v>39</v>
      </c>
      <c r="T174" s="5" t="s">
        <v>75</v>
      </c>
      <c r="U174" s="5" t="s">
        <v>15</v>
      </c>
      <c r="V174" s="5">
        <v>1.23</v>
      </c>
      <c r="W174" s="5" t="s">
        <v>15</v>
      </c>
      <c r="X174" s="5" t="s">
        <v>161</v>
      </c>
      <c r="Y174" s="5" t="s">
        <v>158</v>
      </c>
      <c r="Z174" s="5" t="s">
        <v>15</v>
      </c>
      <c r="AA174" s="5" t="s">
        <v>179</v>
      </c>
      <c r="AB174" s="5" t="s">
        <v>86</v>
      </c>
      <c r="AC174" s="5">
        <v>0</v>
      </c>
      <c r="AD174" s="5">
        <v>33</v>
      </c>
      <c r="AE174" s="5">
        <v>30</v>
      </c>
      <c r="AF174" s="5">
        <v>19</v>
      </c>
      <c r="AG174" s="5">
        <v>15.5</v>
      </c>
      <c r="AH174" s="5">
        <v>3</v>
      </c>
      <c r="AI174" s="5">
        <v>13.15</v>
      </c>
      <c r="AJ174" s="5">
        <v>1.85</v>
      </c>
      <c r="AK174" s="5">
        <v>1.03</v>
      </c>
      <c r="AL174" s="5" t="s">
        <v>15</v>
      </c>
      <c r="AM174" s="5">
        <f t="shared" si="101"/>
        <v>67.756378189094548</v>
      </c>
      <c r="AN174" s="5">
        <v>75.2</v>
      </c>
      <c r="AO174" s="6" t="s">
        <v>178</v>
      </c>
      <c r="AP174" s="6" t="s">
        <v>186</v>
      </c>
    </row>
    <row r="175" spans="1:42" x14ac:dyDescent="0.3">
      <c r="A175" s="6">
        <v>172</v>
      </c>
      <c r="B175" s="3" t="s">
        <v>157</v>
      </c>
      <c r="C175" s="3" t="s">
        <v>159</v>
      </c>
      <c r="D175" s="3">
        <v>5</v>
      </c>
      <c r="E175" s="5">
        <v>19.989999999999998</v>
      </c>
      <c r="F175" s="5">
        <f t="shared" ref="F175:F185" si="102">(100/(100-K175))*49.51</f>
        <v>53.305340223944874</v>
      </c>
      <c r="G175" s="5">
        <f t="shared" ref="G175:G185" si="103">(100/(100-K175))*6.42</f>
        <v>6.9121447028423768</v>
      </c>
      <c r="H175" s="5">
        <f t="shared" ref="H175:H185" si="104">(100/(100-K175))*0.78</f>
        <v>0.83979328165374678</v>
      </c>
      <c r="I175" s="5">
        <f t="shared" ref="I175:I185" si="105">(100/(100-K175))*0.48</f>
        <v>0.51679586563307489</v>
      </c>
      <c r="J175" s="5">
        <f t="shared" ref="J175:J185" si="106">(100/(100-K175))*31.86</f>
        <v>34.302325581395344</v>
      </c>
      <c r="K175" s="5">
        <v>7.12</v>
      </c>
      <c r="L175" s="5">
        <v>9.34</v>
      </c>
      <c r="M175" s="5">
        <v>77.52</v>
      </c>
      <c r="N175" s="5">
        <v>15.36</v>
      </c>
      <c r="O175" s="5" t="s">
        <v>15</v>
      </c>
      <c r="P175" s="5" t="s">
        <v>15</v>
      </c>
      <c r="Q175" s="5" t="s">
        <v>15</v>
      </c>
      <c r="R175" s="5">
        <v>750</v>
      </c>
      <c r="S175" s="5" t="s">
        <v>39</v>
      </c>
      <c r="T175" s="5" t="s">
        <v>75</v>
      </c>
      <c r="U175" s="5" t="s">
        <v>15</v>
      </c>
      <c r="V175" s="5">
        <v>1.23</v>
      </c>
      <c r="W175" s="5" t="s">
        <v>15</v>
      </c>
      <c r="X175" s="5" t="s">
        <v>161</v>
      </c>
      <c r="Y175" s="5" t="s">
        <v>158</v>
      </c>
      <c r="Z175" s="5" t="s">
        <v>15</v>
      </c>
      <c r="AA175" s="5" t="s">
        <v>179</v>
      </c>
      <c r="AB175" s="5" t="s">
        <v>86</v>
      </c>
      <c r="AC175" s="5">
        <v>0</v>
      </c>
      <c r="AD175" s="5">
        <v>47</v>
      </c>
      <c r="AE175" s="5">
        <v>24</v>
      </c>
      <c r="AF175" s="5">
        <v>19.5</v>
      </c>
      <c r="AG175" s="5">
        <v>7.5</v>
      </c>
      <c r="AH175" s="5">
        <v>3</v>
      </c>
      <c r="AI175" s="5">
        <v>10.85</v>
      </c>
      <c r="AJ175" s="5">
        <v>0.78</v>
      </c>
      <c r="AK175" s="5">
        <v>1.31</v>
      </c>
      <c r="AL175" s="5" t="s">
        <v>15</v>
      </c>
      <c r="AM175" s="5">
        <f t="shared" si="101"/>
        <v>71.103051525762879</v>
      </c>
      <c r="AN175" s="5">
        <v>75.8</v>
      </c>
      <c r="AO175" s="6" t="s">
        <v>178</v>
      </c>
      <c r="AP175" s="6" t="s">
        <v>186</v>
      </c>
    </row>
    <row r="176" spans="1:42" x14ac:dyDescent="0.3">
      <c r="A176" s="6">
        <v>173</v>
      </c>
      <c r="B176" s="3" t="s">
        <v>157</v>
      </c>
      <c r="C176" s="3" t="s">
        <v>159</v>
      </c>
      <c r="D176" s="3">
        <v>5</v>
      </c>
      <c r="E176" s="5">
        <v>19.989999999999998</v>
      </c>
      <c r="F176" s="5">
        <f t="shared" si="102"/>
        <v>53.305340223944874</v>
      </c>
      <c r="G176" s="5">
        <f t="shared" si="103"/>
        <v>6.9121447028423768</v>
      </c>
      <c r="H176" s="5">
        <f t="shared" si="104"/>
        <v>0.83979328165374678</v>
      </c>
      <c r="I176" s="5">
        <f t="shared" si="105"/>
        <v>0.51679586563307489</v>
      </c>
      <c r="J176" s="5">
        <f t="shared" si="106"/>
        <v>34.302325581395344</v>
      </c>
      <c r="K176" s="5">
        <v>7.12</v>
      </c>
      <c r="L176" s="5">
        <v>9.34</v>
      </c>
      <c r="M176" s="5">
        <v>77.52</v>
      </c>
      <c r="N176" s="5">
        <v>15.36</v>
      </c>
      <c r="O176" s="5" t="s">
        <v>15</v>
      </c>
      <c r="P176" s="5" t="s">
        <v>15</v>
      </c>
      <c r="Q176" s="5" t="s">
        <v>15</v>
      </c>
      <c r="R176" s="5">
        <v>800</v>
      </c>
      <c r="S176" s="5" t="s">
        <v>39</v>
      </c>
      <c r="T176" s="5" t="s">
        <v>75</v>
      </c>
      <c r="U176" s="5" t="s">
        <v>15</v>
      </c>
      <c r="V176" s="5">
        <v>1.23</v>
      </c>
      <c r="W176" s="5" t="s">
        <v>15</v>
      </c>
      <c r="X176" s="5" t="s">
        <v>161</v>
      </c>
      <c r="Y176" s="5" t="s">
        <v>158</v>
      </c>
      <c r="Z176" s="5" t="s">
        <v>15</v>
      </c>
      <c r="AA176" s="5" t="s">
        <v>179</v>
      </c>
      <c r="AB176" s="5" t="s">
        <v>86</v>
      </c>
      <c r="AC176" s="5">
        <v>0</v>
      </c>
      <c r="AD176" s="5">
        <v>57</v>
      </c>
      <c r="AE176" s="5">
        <v>15</v>
      </c>
      <c r="AF176" s="5">
        <v>21.5</v>
      </c>
      <c r="AG176" s="5">
        <v>4.5</v>
      </c>
      <c r="AH176" s="5">
        <v>2</v>
      </c>
      <c r="AI176" s="5">
        <v>9.76</v>
      </c>
      <c r="AJ176" s="5">
        <v>0.22</v>
      </c>
      <c r="AK176" s="5">
        <v>1.66</v>
      </c>
      <c r="AL176" s="5" t="s">
        <v>15</v>
      </c>
      <c r="AM176" s="5">
        <f t="shared" si="101"/>
        <v>81.048524262131068</v>
      </c>
      <c r="AN176" s="5">
        <v>78.5</v>
      </c>
      <c r="AO176" s="6" t="s">
        <v>178</v>
      </c>
      <c r="AP176" s="6" t="s">
        <v>186</v>
      </c>
    </row>
    <row r="177" spans="1:42" x14ac:dyDescent="0.3">
      <c r="A177" s="6">
        <v>174</v>
      </c>
      <c r="B177" s="3" t="s">
        <v>157</v>
      </c>
      <c r="C177" s="3" t="s">
        <v>159</v>
      </c>
      <c r="D177" s="3">
        <v>5</v>
      </c>
      <c r="E177" s="5">
        <v>19.989999999999998</v>
      </c>
      <c r="F177" s="5">
        <f t="shared" si="102"/>
        <v>53.305340223944874</v>
      </c>
      <c r="G177" s="5">
        <f t="shared" si="103"/>
        <v>6.9121447028423768</v>
      </c>
      <c r="H177" s="5">
        <f t="shared" si="104"/>
        <v>0.83979328165374678</v>
      </c>
      <c r="I177" s="5">
        <f t="shared" si="105"/>
        <v>0.51679586563307489</v>
      </c>
      <c r="J177" s="5">
        <f t="shared" si="106"/>
        <v>34.302325581395344</v>
      </c>
      <c r="K177" s="5">
        <v>7.12</v>
      </c>
      <c r="L177" s="5">
        <v>9.34</v>
      </c>
      <c r="M177" s="5">
        <v>77.52</v>
      </c>
      <c r="N177" s="5">
        <v>15.36</v>
      </c>
      <c r="O177" s="5" t="s">
        <v>15</v>
      </c>
      <c r="P177" s="5" t="s">
        <v>15</v>
      </c>
      <c r="Q177" s="5" t="s">
        <v>15</v>
      </c>
      <c r="R177" s="5">
        <v>850</v>
      </c>
      <c r="S177" s="5" t="s">
        <v>39</v>
      </c>
      <c r="T177" s="5" t="s">
        <v>75</v>
      </c>
      <c r="U177" s="5" t="s">
        <v>15</v>
      </c>
      <c r="V177" s="5">
        <v>1.23</v>
      </c>
      <c r="W177" s="5" t="s">
        <v>15</v>
      </c>
      <c r="X177" s="5" t="s">
        <v>161</v>
      </c>
      <c r="Y177" s="5" t="s">
        <v>158</v>
      </c>
      <c r="Z177" s="5" t="s">
        <v>15</v>
      </c>
      <c r="AA177" s="5" t="s">
        <v>179</v>
      </c>
      <c r="AB177" s="5" t="s">
        <v>86</v>
      </c>
      <c r="AC177" s="5">
        <v>0</v>
      </c>
      <c r="AD177" s="5">
        <v>59</v>
      </c>
      <c r="AE177" s="5">
        <v>16.5</v>
      </c>
      <c r="AF177" s="5">
        <v>22</v>
      </c>
      <c r="AG177" s="5">
        <v>2.5</v>
      </c>
      <c r="AH177" s="5">
        <v>1.5</v>
      </c>
      <c r="AI177" s="5">
        <v>9.34</v>
      </c>
      <c r="AJ177" s="5">
        <v>0.18</v>
      </c>
      <c r="AK177" s="5">
        <v>1.85</v>
      </c>
      <c r="AL177" s="5" t="s">
        <v>15</v>
      </c>
      <c r="AM177" s="5">
        <f t="shared" si="101"/>
        <v>86.438219109554794</v>
      </c>
      <c r="AN177" s="5">
        <v>80.86</v>
      </c>
      <c r="AO177" s="6" t="s">
        <v>178</v>
      </c>
      <c r="AP177" s="6" t="s">
        <v>186</v>
      </c>
    </row>
    <row r="178" spans="1:42" x14ac:dyDescent="0.3">
      <c r="A178" s="6">
        <v>175</v>
      </c>
      <c r="B178" s="3" t="s">
        <v>157</v>
      </c>
      <c r="C178" s="3" t="s">
        <v>159</v>
      </c>
      <c r="D178" s="3">
        <v>5</v>
      </c>
      <c r="E178" s="5">
        <v>19.989999999999998</v>
      </c>
      <c r="F178" s="5">
        <f t="shared" si="102"/>
        <v>53.305340223944874</v>
      </c>
      <c r="G178" s="5">
        <f t="shared" si="103"/>
        <v>6.9121447028423768</v>
      </c>
      <c r="H178" s="5">
        <f t="shared" si="104"/>
        <v>0.83979328165374678</v>
      </c>
      <c r="I178" s="5">
        <f t="shared" si="105"/>
        <v>0.51679586563307489</v>
      </c>
      <c r="J178" s="5">
        <f t="shared" si="106"/>
        <v>34.302325581395344</v>
      </c>
      <c r="K178" s="5">
        <v>7.12</v>
      </c>
      <c r="L178" s="5">
        <v>9.34</v>
      </c>
      <c r="M178" s="5">
        <v>77.52</v>
      </c>
      <c r="N178" s="5">
        <v>15.36</v>
      </c>
      <c r="O178" s="5" t="s">
        <v>15</v>
      </c>
      <c r="P178" s="5" t="s">
        <v>15</v>
      </c>
      <c r="Q178" s="5" t="s">
        <v>15</v>
      </c>
      <c r="R178" s="5">
        <v>800</v>
      </c>
      <c r="S178" s="5" t="s">
        <v>39</v>
      </c>
      <c r="T178" s="5" t="s">
        <v>75</v>
      </c>
      <c r="U178" s="5" t="s">
        <v>15</v>
      </c>
      <c r="V178" s="5">
        <v>0</v>
      </c>
      <c r="W178" s="5" t="s">
        <v>15</v>
      </c>
      <c r="X178" s="5" t="s">
        <v>15</v>
      </c>
      <c r="Y178" s="5" t="s">
        <v>158</v>
      </c>
      <c r="Z178" s="5" t="s">
        <v>15</v>
      </c>
      <c r="AA178" s="5" t="s">
        <v>179</v>
      </c>
      <c r="AB178" s="5" t="s">
        <v>86</v>
      </c>
      <c r="AC178" s="5">
        <v>0</v>
      </c>
      <c r="AD178" s="5">
        <v>28</v>
      </c>
      <c r="AE178" s="5">
        <v>35.5</v>
      </c>
      <c r="AF178" s="5">
        <v>13.5</v>
      </c>
      <c r="AG178" s="5">
        <v>16</v>
      </c>
      <c r="AH178" s="5">
        <v>7</v>
      </c>
      <c r="AI178" s="5">
        <v>13.62</v>
      </c>
      <c r="AJ178" s="5">
        <v>40.15</v>
      </c>
      <c r="AK178" s="5">
        <v>0.72</v>
      </c>
      <c r="AL178" s="5" t="s">
        <v>15</v>
      </c>
      <c r="AM178" s="5">
        <f t="shared" si="101"/>
        <v>49.056528264132062</v>
      </c>
      <c r="AN178" s="5">
        <v>59.19</v>
      </c>
      <c r="AO178" s="6" t="s">
        <v>178</v>
      </c>
      <c r="AP178" s="6" t="s">
        <v>186</v>
      </c>
    </row>
    <row r="179" spans="1:42" x14ac:dyDescent="0.3">
      <c r="A179" s="6">
        <v>176</v>
      </c>
      <c r="B179" s="3" t="s">
        <v>157</v>
      </c>
      <c r="C179" s="3" t="s">
        <v>159</v>
      </c>
      <c r="D179" s="3">
        <v>5</v>
      </c>
      <c r="E179" s="5">
        <v>19.989999999999998</v>
      </c>
      <c r="F179" s="5">
        <f t="shared" si="102"/>
        <v>53.305340223944874</v>
      </c>
      <c r="G179" s="5">
        <f t="shared" si="103"/>
        <v>6.9121447028423768</v>
      </c>
      <c r="H179" s="5">
        <f t="shared" si="104"/>
        <v>0.83979328165374678</v>
      </c>
      <c r="I179" s="5">
        <f t="shared" si="105"/>
        <v>0.51679586563307489</v>
      </c>
      <c r="J179" s="5">
        <f t="shared" si="106"/>
        <v>34.302325581395344</v>
      </c>
      <c r="K179" s="5">
        <v>7.12</v>
      </c>
      <c r="L179" s="5">
        <v>9.34</v>
      </c>
      <c r="M179" s="5">
        <v>77.52</v>
      </c>
      <c r="N179" s="5">
        <v>15.36</v>
      </c>
      <c r="O179" s="5" t="s">
        <v>15</v>
      </c>
      <c r="P179" s="5" t="s">
        <v>15</v>
      </c>
      <c r="Q179" s="5" t="s">
        <v>15</v>
      </c>
      <c r="R179" s="5">
        <v>800</v>
      </c>
      <c r="S179" s="5" t="s">
        <v>39</v>
      </c>
      <c r="T179" s="5" t="s">
        <v>75</v>
      </c>
      <c r="U179" s="5" t="s">
        <v>15</v>
      </c>
      <c r="V179" s="5">
        <v>0.73</v>
      </c>
      <c r="W179" s="5" t="s">
        <v>15</v>
      </c>
      <c r="X179" s="5" t="s">
        <v>161</v>
      </c>
      <c r="Y179" s="5" t="s">
        <v>158</v>
      </c>
      <c r="Z179" s="5" t="s">
        <v>15</v>
      </c>
      <c r="AA179" s="5" t="s">
        <v>179</v>
      </c>
      <c r="AB179" s="5" t="s">
        <v>86</v>
      </c>
      <c r="AC179" s="5">
        <v>0</v>
      </c>
      <c r="AD179" s="5">
        <v>48.5</v>
      </c>
      <c r="AE179" s="5">
        <v>22.5</v>
      </c>
      <c r="AF179" s="5">
        <v>15.5</v>
      </c>
      <c r="AG179" s="5">
        <v>11.5</v>
      </c>
      <c r="AH179" s="5">
        <v>3</v>
      </c>
      <c r="AI179" s="5">
        <v>12.11</v>
      </c>
      <c r="AJ179" s="5">
        <v>8.02</v>
      </c>
      <c r="AK179" s="5">
        <v>1.26</v>
      </c>
      <c r="AL179" s="5" t="s">
        <v>15</v>
      </c>
      <c r="AM179" s="5">
        <f t="shared" si="101"/>
        <v>76.3311655827914</v>
      </c>
      <c r="AN179" s="5">
        <v>71</v>
      </c>
      <c r="AO179" s="6" t="s">
        <v>178</v>
      </c>
      <c r="AP179" s="6" t="s">
        <v>186</v>
      </c>
    </row>
    <row r="180" spans="1:42" x14ac:dyDescent="0.3">
      <c r="A180" s="6">
        <v>177</v>
      </c>
      <c r="B180" s="3" t="s">
        <v>157</v>
      </c>
      <c r="C180" s="3" t="s">
        <v>159</v>
      </c>
      <c r="D180" s="3">
        <v>5</v>
      </c>
      <c r="E180" s="5">
        <v>19.989999999999998</v>
      </c>
      <c r="F180" s="5">
        <f t="shared" si="102"/>
        <v>53.305340223944874</v>
      </c>
      <c r="G180" s="5">
        <f t="shared" si="103"/>
        <v>6.9121447028423768</v>
      </c>
      <c r="H180" s="5">
        <f t="shared" si="104"/>
        <v>0.83979328165374678</v>
      </c>
      <c r="I180" s="5">
        <f t="shared" si="105"/>
        <v>0.51679586563307489</v>
      </c>
      <c r="J180" s="5">
        <f t="shared" si="106"/>
        <v>34.302325581395344</v>
      </c>
      <c r="K180" s="5">
        <v>7.12</v>
      </c>
      <c r="L180" s="5">
        <v>9.34</v>
      </c>
      <c r="M180" s="5">
        <v>77.52</v>
      </c>
      <c r="N180" s="5">
        <v>15.36</v>
      </c>
      <c r="O180" s="5" t="s">
        <v>15</v>
      </c>
      <c r="P180" s="5" t="s">
        <v>15</v>
      </c>
      <c r="Q180" s="5" t="s">
        <v>15</v>
      </c>
      <c r="R180" s="5">
        <v>800</v>
      </c>
      <c r="S180" s="5" t="s">
        <v>39</v>
      </c>
      <c r="T180" s="5" t="s">
        <v>75</v>
      </c>
      <c r="U180" s="5" t="s">
        <v>15</v>
      </c>
      <c r="V180" s="5">
        <v>1.23</v>
      </c>
      <c r="W180" s="5" t="s">
        <v>15</v>
      </c>
      <c r="X180" s="5" t="s">
        <v>161</v>
      </c>
      <c r="Y180" s="5" t="s">
        <v>158</v>
      </c>
      <c r="Z180" s="5" t="s">
        <v>15</v>
      </c>
      <c r="AA180" s="5" t="s">
        <v>179</v>
      </c>
      <c r="AB180" s="5" t="s">
        <v>86</v>
      </c>
      <c r="AC180" s="5">
        <v>0</v>
      </c>
      <c r="AD180" s="5">
        <v>56</v>
      </c>
      <c r="AE180" s="5">
        <v>17.5</v>
      </c>
      <c r="AF180" s="5">
        <v>21</v>
      </c>
      <c r="AG180" s="5">
        <v>5</v>
      </c>
      <c r="AH180" s="5">
        <v>1</v>
      </c>
      <c r="AI180" s="5">
        <v>10.09</v>
      </c>
      <c r="AJ180" s="5">
        <v>0.23</v>
      </c>
      <c r="AK180" s="5">
        <v>1.62</v>
      </c>
      <c r="AL180" s="5" t="s">
        <v>15</v>
      </c>
      <c r="AM180" s="5">
        <f t="shared" si="101"/>
        <v>81.769884942471251</v>
      </c>
      <c r="AN180" s="5">
        <v>76.790000000000006</v>
      </c>
      <c r="AO180" s="6" t="s">
        <v>178</v>
      </c>
      <c r="AP180" s="6" t="s">
        <v>186</v>
      </c>
    </row>
    <row r="181" spans="1:42" x14ac:dyDescent="0.3">
      <c r="A181" s="6">
        <v>178</v>
      </c>
      <c r="B181" s="3" t="s">
        <v>157</v>
      </c>
      <c r="C181" s="3" t="s">
        <v>159</v>
      </c>
      <c r="D181" s="3">
        <v>5</v>
      </c>
      <c r="E181" s="5">
        <v>19.989999999999998</v>
      </c>
      <c r="F181" s="5">
        <f t="shared" si="102"/>
        <v>53.305340223944874</v>
      </c>
      <c r="G181" s="5">
        <f t="shared" si="103"/>
        <v>6.9121447028423768</v>
      </c>
      <c r="H181" s="5">
        <f t="shared" si="104"/>
        <v>0.83979328165374678</v>
      </c>
      <c r="I181" s="5">
        <f t="shared" si="105"/>
        <v>0.51679586563307489</v>
      </c>
      <c r="J181" s="5">
        <f t="shared" si="106"/>
        <v>34.302325581395344</v>
      </c>
      <c r="K181" s="5">
        <v>7.12</v>
      </c>
      <c r="L181" s="5">
        <v>9.34</v>
      </c>
      <c r="M181" s="5">
        <v>77.52</v>
      </c>
      <c r="N181" s="5">
        <v>15.36</v>
      </c>
      <c r="O181" s="5" t="s">
        <v>15</v>
      </c>
      <c r="P181" s="5" t="s">
        <v>15</v>
      </c>
      <c r="Q181" s="5" t="s">
        <v>15</v>
      </c>
      <c r="R181" s="5">
        <v>800</v>
      </c>
      <c r="S181" s="5" t="s">
        <v>39</v>
      </c>
      <c r="T181" s="5" t="s">
        <v>75</v>
      </c>
      <c r="U181" s="5" t="s">
        <v>15</v>
      </c>
      <c r="V181" s="5">
        <v>2.08</v>
      </c>
      <c r="W181" s="5" t="s">
        <v>15</v>
      </c>
      <c r="X181" s="5" t="s">
        <v>161</v>
      </c>
      <c r="Y181" s="5" t="s">
        <v>158</v>
      </c>
      <c r="Z181" s="5" t="s">
        <v>15</v>
      </c>
      <c r="AA181" s="5" t="s">
        <v>179</v>
      </c>
      <c r="AB181" s="5" t="s">
        <v>86</v>
      </c>
      <c r="AC181" s="5">
        <v>0</v>
      </c>
      <c r="AD181" s="5">
        <v>53.5</v>
      </c>
      <c r="AE181" s="5">
        <v>17</v>
      </c>
      <c r="AF181" s="5">
        <v>24</v>
      </c>
      <c r="AG181" s="5">
        <v>4</v>
      </c>
      <c r="AH181" s="5">
        <v>2</v>
      </c>
      <c r="AI181" s="5">
        <v>9.3800000000000008</v>
      </c>
      <c r="AJ181" s="5">
        <v>0.85</v>
      </c>
      <c r="AK181" s="5">
        <v>1.5</v>
      </c>
      <c r="AL181" s="5" t="s">
        <v>15</v>
      </c>
      <c r="AM181" s="5">
        <f t="shared" si="101"/>
        <v>70.385192596298154</v>
      </c>
      <c r="AN181" s="5">
        <v>75.73</v>
      </c>
      <c r="AO181" s="6" t="s">
        <v>178</v>
      </c>
      <c r="AP181" s="6" t="s">
        <v>186</v>
      </c>
    </row>
    <row r="182" spans="1:42" x14ac:dyDescent="0.3">
      <c r="A182" s="6">
        <v>179</v>
      </c>
      <c r="B182" s="3" t="s">
        <v>157</v>
      </c>
      <c r="C182" s="3" t="s">
        <v>159</v>
      </c>
      <c r="D182" s="3">
        <v>5</v>
      </c>
      <c r="E182" s="5">
        <v>19.989999999999998</v>
      </c>
      <c r="F182" s="5">
        <f t="shared" si="102"/>
        <v>53.305340223944874</v>
      </c>
      <c r="G182" s="5">
        <f t="shared" si="103"/>
        <v>6.9121447028423768</v>
      </c>
      <c r="H182" s="5">
        <f t="shared" si="104"/>
        <v>0.83979328165374678</v>
      </c>
      <c r="I182" s="5">
        <f t="shared" si="105"/>
        <v>0.51679586563307489</v>
      </c>
      <c r="J182" s="5">
        <f t="shared" si="106"/>
        <v>34.302325581395344</v>
      </c>
      <c r="K182" s="5">
        <v>7.12</v>
      </c>
      <c r="L182" s="5">
        <v>9.34</v>
      </c>
      <c r="M182" s="5">
        <v>77.52</v>
      </c>
      <c r="N182" s="5">
        <v>15.36</v>
      </c>
      <c r="O182" s="5" t="s">
        <v>15</v>
      </c>
      <c r="P182" s="5" t="s">
        <v>15</v>
      </c>
      <c r="Q182" s="5" t="s">
        <v>15</v>
      </c>
      <c r="R182" s="5">
        <v>800</v>
      </c>
      <c r="S182" s="5" t="s">
        <v>39</v>
      </c>
      <c r="T182" s="5" t="s">
        <v>75</v>
      </c>
      <c r="U182" s="5" t="s">
        <v>15</v>
      </c>
      <c r="V182" s="5">
        <v>2.77</v>
      </c>
      <c r="W182" s="5" t="s">
        <v>15</v>
      </c>
      <c r="X182" s="5" t="s">
        <v>161</v>
      </c>
      <c r="Y182" s="5" t="s">
        <v>158</v>
      </c>
      <c r="Z182" s="5" t="s">
        <v>15</v>
      </c>
      <c r="AA182" s="5" t="s">
        <v>179</v>
      </c>
      <c r="AB182" s="5" t="s">
        <v>86</v>
      </c>
      <c r="AC182" s="5">
        <v>0</v>
      </c>
      <c r="AD182" s="5">
        <v>53</v>
      </c>
      <c r="AE182" s="5">
        <v>16</v>
      </c>
      <c r="AF182" s="5">
        <v>25</v>
      </c>
      <c r="AG182" s="5">
        <v>5.5</v>
      </c>
      <c r="AH182" s="5">
        <v>1</v>
      </c>
      <c r="AI182" s="5">
        <v>9.73</v>
      </c>
      <c r="AJ182" s="5">
        <v>1.78</v>
      </c>
      <c r="AK182" s="5">
        <v>1.43</v>
      </c>
      <c r="AL182" s="5" t="s">
        <v>15</v>
      </c>
      <c r="AM182" s="5">
        <f t="shared" si="101"/>
        <v>69.604302151075544</v>
      </c>
      <c r="AN182" s="5">
        <v>71.78</v>
      </c>
      <c r="AO182" s="6" t="s">
        <v>178</v>
      </c>
      <c r="AP182" s="6" t="s">
        <v>186</v>
      </c>
    </row>
    <row r="183" spans="1:42" ht="15" customHeight="1" x14ac:dyDescent="0.3">
      <c r="A183" s="6">
        <v>180</v>
      </c>
      <c r="B183" s="3" t="s">
        <v>157</v>
      </c>
      <c r="C183" s="3" t="s">
        <v>159</v>
      </c>
      <c r="D183" s="3">
        <v>5</v>
      </c>
      <c r="E183" s="5">
        <v>19.989999999999998</v>
      </c>
      <c r="F183" s="5">
        <f t="shared" si="102"/>
        <v>53.305340223944874</v>
      </c>
      <c r="G183" s="5">
        <f t="shared" si="103"/>
        <v>6.9121447028423768</v>
      </c>
      <c r="H183" s="5">
        <f t="shared" si="104"/>
        <v>0.83979328165374678</v>
      </c>
      <c r="I183" s="5">
        <f t="shared" si="105"/>
        <v>0.51679586563307489</v>
      </c>
      <c r="J183" s="5">
        <f t="shared" si="106"/>
        <v>34.302325581395344</v>
      </c>
      <c r="K183" s="5">
        <v>7.12</v>
      </c>
      <c r="L183" s="5">
        <v>9.34</v>
      </c>
      <c r="M183" s="5">
        <v>77.52</v>
      </c>
      <c r="N183" s="5">
        <v>15.36</v>
      </c>
      <c r="O183" s="5" t="s">
        <v>15</v>
      </c>
      <c r="P183" s="5" t="s">
        <v>15</v>
      </c>
      <c r="Q183" s="5" t="s">
        <v>15</v>
      </c>
      <c r="R183" s="5">
        <v>800</v>
      </c>
      <c r="S183" s="5" t="s">
        <v>39</v>
      </c>
      <c r="T183" s="5" t="s">
        <v>75</v>
      </c>
      <c r="U183" s="5" t="s">
        <v>15</v>
      </c>
      <c r="V183" s="5">
        <v>3.08</v>
      </c>
      <c r="W183" s="5" t="s">
        <v>15</v>
      </c>
      <c r="X183" s="5" t="s">
        <v>161</v>
      </c>
      <c r="Y183" s="5" t="s">
        <v>158</v>
      </c>
      <c r="Z183" s="5" t="s">
        <v>15</v>
      </c>
      <c r="AA183" s="5" t="s">
        <v>179</v>
      </c>
      <c r="AB183" s="5" t="s">
        <v>86</v>
      </c>
      <c r="AC183" s="5">
        <v>0</v>
      </c>
      <c r="AD183" s="5">
        <v>52</v>
      </c>
      <c r="AE183" s="5">
        <v>15</v>
      </c>
      <c r="AF183" s="5">
        <v>26.5</v>
      </c>
      <c r="AG183" s="5">
        <v>5</v>
      </c>
      <c r="AH183" s="5">
        <v>2</v>
      </c>
      <c r="AI183" s="5">
        <v>9.4</v>
      </c>
      <c r="AJ183" s="5">
        <v>2.86</v>
      </c>
      <c r="AK183" s="5">
        <v>1.38</v>
      </c>
      <c r="AL183" s="5" t="s">
        <v>15</v>
      </c>
      <c r="AM183" s="5">
        <f t="shared" si="101"/>
        <v>64.892446223111563</v>
      </c>
      <c r="AN183" s="5">
        <v>71.16</v>
      </c>
      <c r="AO183" s="6" t="s">
        <v>178</v>
      </c>
      <c r="AP183" s="6" t="s">
        <v>186</v>
      </c>
    </row>
    <row r="184" spans="1:42" x14ac:dyDescent="0.3">
      <c r="A184" s="6">
        <v>181</v>
      </c>
      <c r="B184" s="3" t="s">
        <v>157</v>
      </c>
      <c r="C184" s="3" t="s">
        <v>159</v>
      </c>
      <c r="D184" s="3">
        <v>5</v>
      </c>
      <c r="E184" s="5">
        <v>19.989999999999998</v>
      </c>
      <c r="F184" s="5">
        <f t="shared" si="102"/>
        <v>53.305340223944874</v>
      </c>
      <c r="G184" s="5">
        <f t="shared" si="103"/>
        <v>6.9121447028423768</v>
      </c>
      <c r="H184" s="5">
        <f t="shared" si="104"/>
        <v>0.83979328165374678</v>
      </c>
      <c r="I184" s="5">
        <f t="shared" si="105"/>
        <v>0.51679586563307489</v>
      </c>
      <c r="J184" s="5">
        <f t="shared" si="106"/>
        <v>34.302325581395344</v>
      </c>
      <c r="K184" s="5">
        <v>7.12</v>
      </c>
      <c r="L184" s="5">
        <v>9.34</v>
      </c>
      <c r="M184" s="5">
        <v>77.52</v>
      </c>
      <c r="N184" s="5">
        <v>15.36</v>
      </c>
      <c r="O184" s="5" t="s">
        <v>15</v>
      </c>
      <c r="P184" s="5" t="s">
        <v>15</v>
      </c>
      <c r="Q184" s="5" t="s">
        <v>15</v>
      </c>
      <c r="R184" s="5">
        <v>800</v>
      </c>
      <c r="S184" s="5" t="s">
        <v>39</v>
      </c>
      <c r="T184" s="5" t="s">
        <v>75</v>
      </c>
      <c r="U184" s="5" t="s">
        <v>15</v>
      </c>
      <c r="V184" s="5">
        <v>1.23</v>
      </c>
      <c r="W184" s="5" t="s">
        <v>15</v>
      </c>
      <c r="X184" s="5" t="s">
        <v>161</v>
      </c>
      <c r="Y184" s="5" t="s">
        <v>158</v>
      </c>
      <c r="Z184" s="5" t="s">
        <v>15</v>
      </c>
      <c r="AA184" s="5" t="s">
        <v>15</v>
      </c>
      <c r="AB184" s="5" t="s">
        <v>86</v>
      </c>
      <c r="AC184" s="5">
        <v>0</v>
      </c>
      <c r="AD184" s="5">
        <v>31.5</v>
      </c>
      <c r="AE184" s="5">
        <v>22</v>
      </c>
      <c r="AF184" s="5">
        <v>23.5</v>
      </c>
      <c r="AG184" s="5">
        <v>13.5</v>
      </c>
      <c r="AH184" s="5">
        <v>9.5</v>
      </c>
      <c r="AI184" s="5">
        <f>(107.98*AD184+126.36*AE184+358.18*AG184+59.036*5+63.772*4.5)/1000</f>
        <v>11.598874000000002</v>
      </c>
      <c r="AJ184" s="5">
        <v>38.67</v>
      </c>
      <c r="AK184" s="5">
        <v>0.78</v>
      </c>
      <c r="AL184" s="5" t="s">
        <v>15</v>
      </c>
      <c r="AM184" s="5">
        <f t="shared" si="101"/>
        <v>45.258237718859441</v>
      </c>
      <c r="AN184" s="5">
        <f>100*(AK184/F184)*(AE184*Calculations!$B$5*Calculations!$B$9+AF184*Calculations!$B$6*Calculations!$B$10+AG184*Calculations!$B$7*Calculations!$B$11+AH184*Calculations!$B$8*Calculations!$B$12)</f>
        <v>58.09066933721904</v>
      </c>
      <c r="AO184" s="6" t="s">
        <v>178</v>
      </c>
      <c r="AP184" s="6" t="s">
        <v>186</v>
      </c>
    </row>
    <row r="185" spans="1:42" x14ac:dyDescent="0.3">
      <c r="A185" s="6">
        <v>182</v>
      </c>
      <c r="B185" s="3" t="s">
        <v>157</v>
      </c>
      <c r="C185" s="3" t="s">
        <v>159</v>
      </c>
      <c r="D185" s="3">
        <v>5</v>
      </c>
      <c r="E185" s="5">
        <v>19.989999999999998</v>
      </c>
      <c r="F185" s="5">
        <f t="shared" si="102"/>
        <v>53.305340223944874</v>
      </c>
      <c r="G185" s="5">
        <f t="shared" si="103"/>
        <v>6.9121447028423768</v>
      </c>
      <c r="H185" s="5">
        <f t="shared" si="104"/>
        <v>0.83979328165374678</v>
      </c>
      <c r="I185" s="5">
        <f t="shared" si="105"/>
        <v>0.51679586563307489</v>
      </c>
      <c r="J185" s="5">
        <f t="shared" si="106"/>
        <v>34.302325581395344</v>
      </c>
      <c r="K185" s="5">
        <v>7.12</v>
      </c>
      <c r="L185" s="5">
        <v>9.34</v>
      </c>
      <c r="M185" s="5">
        <v>77.52</v>
      </c>
      <c r="N185" s="5">
        <v>15.36</v>
      </c>
      <c r="O185" s="5" t="s">
        <v>15</v>
      </c>
      <c r="P185" s="5" t="s">
        <v>15</v>
      </c>
      <c r="Q185" s="5" t="s">
        <v>15</v>
      </c>
      <c r="R185" s="5">
        <v>800</v>
      </c>
      <c r="S185" s="5" t="s">
        <v>39</v>
      </c>
      <c r="T185" s="5" t="s">
        <v>75</v>
      </c>
      <c r="U185" s="5" t="s">
        <v>15</v>
      </c>
      <c r="V185" s="5">
        <v>1.23</v>
      </c>
      <c r="W185" s="5" t="s">
        <v>15</v>
      </c>
      <c r="X185" s="5" t="s">
        <v>161</v>
      </c>
      <c r="Y185" s="5" t="s">
        <v>158</v>
      </c>
      <c r="Z185" s="5" t="s">
        <v>15</v>
      </c>
      <c r="AA185" s="5" t="s">
        <v>181</v>
      </c>
      <c r="AB185" s="5" t="s">
        <v>86</v>
      </c>
      <c r="AC185" s="5">
        <v>0</v>
      </c>
      <c r="AD185" s="5">
        <v>51</v>
      </c>
      <c r="AE185" s="5">
        <v>19</v>
      </c>
      <c r="AF185" s="5">
        <v>21.5</v>
      </c>
      <c r="AG185" s="5">
        <v>7.5</v>
      </c>
      <c r="AH185" s="5">
        <v>2</v>
      </c>
      <c r="AI185" s="5">
        <f>(107.98*AD185+126.36*AE185+358.18*AG185+59.036*AH185)/1000</f>
        <v>10.712242</v>
      </c>
      <c r="AJ185" s="5">
        <v>0.76</v>
      </c>
      <c r="AK185" s="5">
        <v>1.4</v>
      </c>
      <c r="AL185" s="5" t="s">
        <v>15</v>
      </c>
      <c r="AM185" s="5">
        <f t="shared" si="101"/>
        <v>75.023205602801397</v>
      </c>
      <c r="AN185" s="5">
        <f>100*(AK185/F185)*(AE185*Calculations!$B$5*Calculations!$B$9+AF185*Calculations!$B$6*Calculations!$B$10+AG185*Calculations!$B$7*Calculations!$B$11+AH185*Calculations!$B$8*Calculations!$B$12)</f>
        <v>69.891449606140156</v>
      </c>
      <c r="AO185" s="6" t="s">
        <v>178</v>
      </c>
      <c r="AP185" s="6" t="s">
        <v>186</v>
      </c>
    </row>
    <row r="186" spans="1:42" x14ac:dyDescent="0.3">
      <c r="A186" s="6">
        <v>183</v>
      </c>
      <c r="B186" s="3" t="s">
        <v>183</v>
      </c>
      <c r="C186" s="3" t="s">
        <v>159</v>
      </c>
      <c r="D186" s="3">
        <f>(0.5+2)/2</f>
        <v>1.25</v>
      </c>
      <c r="E186" s="5">
        <v>18.196000000000002</v>
      </c>
      <c r="F186" s="5">
        <f>(100/(100-K186))*53.77</f>
        <v>54.839367669556353</v>
      </c>
      <c r="G186" s="5">
        <f>(100/(100-K186))*5.39</f>
        <v>5.497195308516063</v>
      </c>
      <c r="H186" s="5">
        <f>(100/(100-K186))*0.43</f>
        <v>0.43855175930647627</v>
      </c>
      <c r="I186" s="5">
        <f>(100/(100-K186))*0.12</f>
        <v>0.12238653748087709</v>
      </c>
      <c r="J186" s="5">
        <f>(100/(100-K186))*38.34</f>
        <v>39.102498725140237</v>
      </c>
      <c r="K186" s="5">
        <v>1.95</v>
      </c>
      <c r="L186" s="5">
        <v>0</v>
      </c>
      <c r="M186" s="5">
        <v>74.23</v>
      </c>
      <c r="N186" s="5">
        <v>23.82</v>
      </c>
      <c r="O186" s="5" t="s">
        <v>15</v>
      </c>
      <c r="P186" s="5" t="s">
        <v>15</v>
      </c>
      <c r="Q186" s="5" t="s">
        <v>15</v>
      </c>
      <c r="R186" s="5">
        <v>770</v>
      </c>
      <c r="S186" s="5" t="s">
        <v>39</v>
      </c>
      <c r="T186" s="5" t="s">
        <v>75</v>
      </c>
      <c r="U186" s="5">
        <v>40</v>
      </c>
      <c r="V186" s="5" t="s">
        <v>15</v>
      </c>
      <c r="W186" s="5">
        <v>0.19</v>
      </c>
      <c r="X186" s="5" t="s">
        <v>33</v>
      </c>
      <c r="Y186" s="5" t="s">
        <v>34</v>
      </c>
      <c r="Z186" s="5" t="s">
        <v>73</v>
      </c>
      <c r="AA186" s="5" t="s">
        <v>15</v>
      </c>
      <c r="AB186" s="5" t="s">
        <v>185</v>
      </c>
      <c r="AC186" s="5">
        <f>100-AD186-AE186-AF186-AG186</f>
        <v>55.5</v>
      </c>
      <c r="AD186" s="5">
        <v>8.4</v>
      </c>
      <c r="AE186" s="5">
        <v>17.100000000000001</v>
      </c>
      <c r="AF186" s="5">
        <v>13.8</v>
      </c>
      <c r="AG186" s="5">
        <v>5.2</v>
      </c>
      <c r="AH186" s="5" t="s">
        <v>15</v>
      </c>
      <c r="AI186" s="5">
        <v>5</v>
      </c>
      <c r="AJ186" s="5" t="s">
        <v>15</v>
      </c>
      <c r="AK186" s="5" t="s">
        <v>15</v>
      </c>
      <c r="AL186" s="5" t="s">
        <v>15</v>
      </c>
      <c r="AM186" s="5" t="s">
        <v>15</v>
      </c>
      <c r="AN186" s="5" t="s">
        <v>15</v>
      </c>
      <c r="AO186" s="6" t="s">
        <v>184</v>
      </c>
      <c r="AP186" s="6" t="s">
        <v>187</v>
      </c>
    </row>
    <row r="187" spans="1:42" x14ac:dyDescent="0.3">
      <c r="A187" s="6">
        <v>184</v>
      </c>
      <c r="B187" s="3" t="s">
        <v>183</v>
      </c>
      <c r="C187" s="3" t="s">
        <v>159</v>
      </c>
      <c r="D187" s="3">
        <f>(0.5+2)/2</f>
        <v>1.25</v>
      </c>
      <c r="E187" s="5">
        <v>18.196000000000002</v>
      </c>
      <c r="F187" s="5">
        <f t="shared" ref="F187:F189" si="107">(100/(100-K187))*53.77</f>
        <v>54.839367669556353</v>
      </c>
      <c r="G187" s="5">
        <f t="shared" ref="G187:G189" si="108">(100/(100-K187))*5.39</f>
        <v>5.497195308516063</v>
      </c>
      <c r="H187" s="5">
        <f t="shared" ref="H187:H189" si="109">(100/(100-K187))*0.43</f>
        <v>0.43855175930647627</v>
      </c>
      <c r="I187" s="5">
        <f t="shared" ref="I187:I189" si="110">(100/(100-K187))*0.12</f>
        <v>0.12238653748087709</v>
      </c>
      <c r="J187" s="5">
        <f t="shared" ref="J187:J189" si="111">(100/(100-K187))*38.34</f>
        <v>39.102498725140237</v>
      </c>
      <c r="K187" s="5">
        <v>1.95</v>
      </c>
      <c r="L187" s="5">
        <v>0</v>
      </c>
      <c r="M187" s="5">
        <v>74.23</v>
      </c>
      <c r="N187" s="5">
        <v>23.82</v>
      </c>
      <c r="O187" s="5" t="s">
        <v>15</v>
      </c>
      <c r="P187" s="5" t="s">
        <v>15</v>
      </c>
      <c r="Q187" s="5" t="s">
        <v>15</v>
      </c>
      <c r="R187" s="5">
        <v>770</v>
      </c>
      <c r="S187" s="5" t="s">
        <v>39</v>
      </c>
      <c r="T187" s="5" t="s">
        <v>75</v>
      </c>
      <c r="U187" s="5">
        <v>40</v>
      </c>
      <c r="V187" s="5" t="s">
        <v>15</v>
      </c>
      <c r="W187" s="5">
        <v>0.24</v>
      </c>
      <c r="X187" s="5" t="s">
        <v>33</v>
      </c>
      <c r="Y187" s="5" t="s">
        <v>34</v>
      </c>
      <c r="Z187" s="5" t="s">
        <v>73</v>
      </c>
      <c r="AA187" s="5" t="s">
        <v>15</v>
      </c>
      <c r="AB187" s="5" t="s">
        <v>185</v>
      </c>
      <c r="AC187" s="5">
        <f t="shared" ref="AC187:AC197" si="112">100-AD187-AE187-AF187-AG187</f>
        <v>58.2</v>
      </c>
      <c r="AD187" s="5">
        <v>6.7</v>
      </c>
      <c r="AE187" s="5">
        <v>15.6</v>
      </c>
      <c r="AF187" s="5">
        <v>14.9</v>
      </c>
      <c r="AG187" s="5">
        <v>4.5999999999999996</v>
      </c>
      <c r="AH187" s="5" t="s">
        <v>15</v>
      </c>
      <c r="AI187" s="5">
        <v>4.4000000000000004</v>
      </c>
      <c r="AJ187" s="5" t="s">
        <v>15</v>
      </c>
      <c r="AK187" s="5" t="s">
        <v>15</v>
      </c>
      <c r="AL187" s="5" t="s">
        <v>15</v>
      </c>
      <c r="AM187" s="5" t="s">
        <v>15</v>
      </c>
      <c r="AN187" s="5" t="s">
        <v>15</v>
      </c>
      <c r="AO187" s="6" t="s">
        <v>184</v>
      </c>
      <c r="AP187" s="6" t="s">
        <v>187</v>
      </c>
    </row>
    <row r="188" spans="1:42" x14ac:dyDescent="0.3">
      <c r="A188" s="6">
        <v>185</v>
      </c>
      <c r="B188" s="3" t="s">
        <v>183</v>
      </c>
      <c r="C188" s="3" t="s">
        <v>159</v>
      </c>
      <c r="D188" s="3">
        <f>(0.5+2)/2</f>
        <v>1.25</v>
      </c>
      <c r="E188" s="5">
        <v>18.196000000000002</v>
      </c>
      <c r="F188" s="5">
        <f t="shared" si="107"/>
        <v>54.839367669556353</v>
      </c>
      <c r="G188" s="5">
        <f t="shared" si="108"/>
        <v>5.497195308516063</v>
      </c>
      <c r="H188" s="5">
        <f t="shared" si="109"/>
        <v>0.43855175930647627</v>
      </c>
      <c r="I188" s="5">
        <f t="shared" si="110"/>
        <v>0.12238653748087709</v>
      </c>
      <c r="J188" s="5">
        <f t="shared" si="111"/>
        <v>39.102498725140237</v>
      </c>
      <c r="K188" s="5">
        <v>1.95</v>
      </c>
      <c r="L188" s="5">
        <v>0</v>
      </c>
      <c r="M188" s="5">
        <v>74.23</v>
      </c>
      <c r="N188" s="5">
        <v>23.82</v>
      </c>
      <c r="O188" s="5" t="s">
        <v>15</v>
      </c>
      <c r="P188" s="5" t="s">
        <v>15</v>
      </c>
      <c r="Q188" s="5" t="s">
        <v>15</v>
      </c>
      <c r="R188" s="5">
        <v>770</v>
      </c>
      <c r="S188" s="5" t="s">
        <v>39</v>
      </c>
      <c r="T188" s="5" t="s">
        <v>75</v>
      </c>
      <c r="U188" s="5">
        <v>40</v>
      </c>
      <c r="V188" s="5" t="s">
        <v>15</v>
      </c>
      <c r="W188" s="5">
        <v>0.31</v>
      </c>
      <c r="X188" s="5" t="s">
        <v>33</v>
      </c>
      <c r="Y188" s="5" t="s">
        <v>34</v>
      </c>
      <c r="Z188" s="5" t="s">
        <v>73</v>
      </c>
      <c r="AA188" s="5" t="s">
        <v>15</v>
      </c>
      <c r="AB188" s="5" t="s">
        <v>185</v>
      </c>
      <c r="AC188" s="5">
        <f t="shared" si="112"/>
        <v>63.8</v>
      </c>
      <c r="AD188" s="5">
        <v>4.2</v>
      </c>
      <c r="AE188" s="5">
        <v>12.2</v>
      </c>
      <c r="AF188" s="5">
        <v>15.8</v>
      </c>
      <c r="AG188" s="5">
        <v>4</v>
      </c>
      <c r="AH188" s="5" t="s">
        <v>15</v>
      </c>
      <c r="AI188" s="5">
        <v>3.4</v>
      </c>
      <c r="AJ188" s="5" t="s">
        <v>15</v>
      </c>
      <c r="AK188" s="5" t="s">
        <v>15</v>
      </c>
      <c r="AL188" s="5" t="s">
        <v>15</v>
      </c>
      <c r="AM188" s="5" t="s">
        <v>15</v>
      </c>
      <c r="AN188" s="5" t="s">
        <v>15</v>
      </c>
      <c r="AO188" s="6" t="s">
        <v>184</v>
      </c>
      <c r="AP188" s="6" t="s">
        <v>187</v>
      </c>
    </row>
    <row r="189" spans="1:42" x14ac:dyDescent="0.3">
      <c r="A189" s="6">
        <v>186</v>
      </c>
      <c r="B189" s="3" t="s">
        <v>183</v>
      </c>
      <c r="C189" s="3" t="s">
        <v>159</v>
      </c>
      <c r="D189" s="3">
        <f>(0.5+2)/2</f>
        <v>1.25</v>
      </c>
      <c r="E189" s="5">
        <v>18.196000000000002</v>
      </c>
      <c r="F189" s="5">
        <f t="shared" si="107"/>
        <v>54.839367669556353</v>
      </c>
      <c r="G189" s="5">
        <f t="shared" si="108"/>
        <v>5.497195308516063</v>
      </c>
      <c r="H189" s="5">
        <f t="shared" si="109"/>
        <v>0.43855175930647627</v>
      </c>
      <c r="I189" s="5">
        <f t="shared" si="110"/>
        <v>0.12238653748087709</v>
      </c>
      <c r="J189" s="5">
        <f t="shared" si="111"/>
        <v>39.102498725140237</v>
      </c>
      <c r="K189" s="5">
        <v>1.95</v>
      </c>
      <c r="L189" s="5">
        <v>0</v>
      </c>
      <c r="M189" s="5">
        <v>74.23</v>
      </c>
      <c r="N189" s="5">
        <v>23.82</v>
      </c>
      <c r="O189" s="5" t="s">
        <v>15</v>
      </c>
      <c r="P189" s="5" t="s">
        <v>15</v>
      </c>
      <c r="Q189" s="5" t="s">
        <v>15</v>
      </c>
      <c r="R189" s="5">
        <v>770</v>
      </c>
      <c r="S189" s="5" t="s">
        <v>39</v>
      </c>
      <c r="T189" s="5" t="s">
        <v>75</v>
      </c>
      <c r="U189" s="5">
        <v>40</v>
      </c>
      <c r="V189" s="5" t="s">
        <v>15</v>
      </c>
      <c r="W189" s="5">
        <v>0.37</v>
      </c>
      <c r="X189" s="5" t="s">
        <v>33</v>
      </c>
      <c r="Y189" s="5" t="s">
        <v>34</v>
      </c>
      <c r="Z189" s="5" t="s">
        <v>73</v>
      </c>
      <c r="AA189" s="5" t="s">
        <v>15</v>
      </c>
      <c r="AB189" s="5" t="s">
        <v>185</v>
      </c>
      <c r="AC189" s="5">
        <f t="shared" si="112"/>
        <v>66.5</v>
      </c>
      <c r="AD189" s="5">
        <v>3.2</v>
      </c>
      <c r="AE189" s="5">
        <v>10.7</v>
      </c>
      <c r="AF189" s="5">
        <v>16.3</v>
      </c>
      <c r="AG189" s="5">
        <v>3.3</v>
      </c>
      <c r="AH189" s="5" t="s">
        <v>15</v>
      </c>
      <c r="AI189" s="5">
        <v>2.8</v>
      </c>
      <c r="AJ189" s="5" t="s">
        <v>15</v>
      </c>
      <c r="AK189" s="5" t="s">
        <v>15</v>
      </c>
      <c r="AL189" s="5" t="s">
        <v>15</v>
      </c>
      <c r="AM189" s="5" t="s">
        <v>15</v>
      </c>
      <c r="AN189" s="5" t="s">
        <v>15</v>
      </c>
      <c r="AO189" s="6" t="s">
        <v>184</v>
      </c>
      <c r="AP189" s="6" t="s">
        <v>187</v>
      </c>
    </row>
    <row r="190" spans="1:42" x14ac:dyDescent="0.3">
      <c r="A190" s="6">
        <v>187</v>
      </c>
      <c r="B190" s="3" t="s">
        <v>182</v>
      </c>
      <c r="C190" s="3" t="s">
        <v>159</v>
      </c>
      <c r="D190" s="3">
        <f>(0.5+2)/2</f>
        <v>1.25</v>
      </c>
      <c r="E190" s="5">
        <v>17.82</v>
      </c>
      <c r="F190" s="5">
        <f>(100/(100-K190))*49.89</f>
        <v>50.025067682743405</v>
      </c>
      <c r="G190" s="5">
        <f>(100/(100-K190))*5.91</f>
        <v>5.9260002005414618</v>
      </c>
      <c r="H190" s="5">
        <f>(100/(100-K190))*0.4</f>
        <v>0.40108292389451522</v>
      </c>
      <c r="I190" s="5">
        <f>(100/(100-K190))*0.1</f>
        <v>0.1002707309736288</v>
      </c>
      <c r="J190" s="5">
        <f>(100/(100-K190))*43.43</f>
        <v>43.547578461846989</v>
      </c>
      <c r="K190" s="5">
        <v>0.27</v>
      </c>
      <c r="L190" s="5">
        <v>0</v>
      </c>
      <c r="M190" s="5">
        <v>83.17</v>
      </c>
      <c r="N190" s="5">
        <v>16.559999999999999</v>
      </c>
      <c r="O190" s="5" t="s">
        <v>15</v>
      </c>
      <c r="P190" s="5" t="s">
        <v>15</v>
      </c>
      <c r="Q190" s="5" t="s">
        <v>15</v>
      </c>
      <c r="R190" s="5">
        <v>770</v>
      </c>
      <c r="S190" s="5" t="s">
        <v>39</v>
      </c>
      <c r="T190" s="5" t="s">
        <v>75</v>
      </c>
      <c r="U190" s="5">
        <v>40</v>
      </c>
      <c r="V190" s="5" t="s">
        <v>15</v>
      </c>
      <c r="W190" s="5">
        <v>0.19</v>
      </c>
      <c r="X190" s="5" t="s">
        <v>33</v>
      </c>
      <c r="Y190" s="5" t="s">
        <v>34</v>
      </c>
      <c r="Z190" s="5" t="s">
        <v>73</v>
      </c>
      <c r="AA190" s="5" t="s">
        <v>15</v>
      </c>
      <c r="AB190" s="5" t="s">
        <v>185</v>
      </c>
      <c r="AC190" s="5">
        <f t="shared" si="112"/>
        <v>54.800000000000011</v>
      </c>
      <c r="AD190" s="5">
        <v>5.6</v>
      </c>
      <c r="AE190" s="5">
        <v>19.100000000000001</v>
      </c>
      <c r="AF190" s="5">
        <v>13.8</v>
      </c>
      <c r="AG190" s="5">
        <v>6.7</v>
      </c>
      <c r="AH190" s="5" t="s">
        <v>15</v>
      </c>
      <c r="AI190" s="5">
        <v>5.4</v>
      </c>
      <c r="AJ190" s="5" t="s">
        <v>15</v>
      </c>
      <c r="AK190" s="5" t="s">
        <v>15</v>
      </c>
      <c r="AL190" s="5" t="s">
        <v>15</v>
      </c>
      <c r="AM190" s="5" t="s">
        <v>15</v>
      </c>
      <c r="AN190" s="5" t="s">
        <v>15</v>
      </c>
      <c r="AO190" s="6" t="s">
        <v>184</v>
      </c>
      <c r="AP190" s="6" t="s">
        <v>187</v>
      </c>
    </row>
    <row r="191" spans="1:42" x14ac:dyDescent="0.3">
      <c r="A191" s="6">
        <v>188</v>
      </c>
      <c r="B191" s="3" t="s">
        <v>182</v>
      </c>
      <c r="C191" s="3" t="s">
        <v>159</v>
      </c>
      <c r="D191" s="3">
        <f t="shared" ref="D191:D193" si="113">(0.5+2)/2</f>
        <v>1.25</v>
      </c>
      <c r="E191" s="5">
        <v>17.82</v>
      </c>
      <c r="F191" s="5">
        <f t="shared" ref="F191:F193" si="114">(100/(100-K191))*49.89</f>
        <v>50.025067682743405</v>
      </c>
      <c r="G191" s="5">
        <f t="shared" ref="G191:G193" si="115">(100/(100-K191))*5.91</f>
        <v>5.9260002005414618</v>
      </c>
      <c r="H191" s="5">
        <f t="shared" ref="H191:H193" si="116">(100/(100-K191))*0.4</f>
        <v>0.40108292389451522</v>
      </c>
      <c r="I191" s="5">
        <f t="shared" ref="I191:I193" si="117">(100/(100-K191))*0.1</f>
        <v>0.1002707309736288</v>
      </c>
      <c r="J191" s="5">
        <f t="shared" ref="J191:J193" si="118">(100/(100-K191))*43.43</f>
        <v>43.547578461846989</v>
      </c>
      <c r="K191" s="5">
        <v>0.27</v>
      </c>
      <c r="L191" s="5">
        <v>0</v>
      </c>
      <c r="M191" s="5">
        <v>83.17</v>
      </c>
      <c r="N191" s="5">
        <v>16.559999999999999</v>
      </c>
      <c r="O191" s="5" t="s">
        <v>15</v>
      </c>
      <c r="P191" s="5" t="s">
        <v>15</v>
      </c>
      <c r="Q191" s="5" t="s">
        <v>15</v>
      </c>
      <c r="R191" s="5">
        <v>770</v>
      </c>
      <c r="S191" s="5" t="s">
        <v>39</v>
      </c>
      <c r="T191" s="5" t="s">
        <v>75</v>
      </c>
      <c r="U191" s="5">
        <v>40</v>
      </c>
      <c r="V191" s="5" t="s">
        <v>15</v>
      </c>
      <c r="W191" s="5">
        <v>0.24</v>
      </c>
      <c r="X191" s="5" t="s">
        <v>33</v>
      </c>
      <c r="Y191" s="5" t="s">
        <v>34</v>
      </c>
      <c r="Z191" s="5" t="s">
        <v>73</v>
      </c>
      <c r="AA191" s="5" t="s">
        <v>15</v>
      </c>
      <c r="AB191" s="5" t="s">
        <v>185</v>
      </c>
      <c r="AC191" s="5">
        <f t="shared" si="112"/>
        <v>57.199999999999989</v>
      </c>
      <c r="AD191" s="5">
        <v>4.4000000000000004</v>
      </c>
      <c r="AE191" s="5">
        <v>17.399999999999999</v>
      </c>
      <c r="AF191" s="5">
        <v>15.2</v>
      </c>
      <c r="AG191" s="5">
        <v>5.8</v>
      </c>
      <c r="AH191" s="5" t="s">
        <v>15</v>
      </c>
      <c r="AI191" s="5">
        <v>4.7</v>
      </c>
      <c r="AJ191" s="5" t="s">
        <v>15</v>
      </c>
      <c r="AK191" s="5" t="s">
        <v>15</v>
      </c>
      <c r="AL191" s="5" t="s">
        <v>15</v>
      </c>
      <c r="AM191" s="5" t="s">
        <v>15</v>
      </c>
      <c r="AN191" s="5" t="s">
        <v>15</v>
      </c>
      <c r="AO191" s="6" t="s">
        <v>184</v>
      </c>
      <c r="AP191" s="6" t="s">
        <v>187</v>
      </c>
    </row>
    <row r="192" spans="1:42" x14ac:dyDescent="0.3">
      <c r="A192" s="6">
        <v>189</v>
      </c>
      <c r="B192" s="3" t="s">
        <v>182</v>
      </c>
      <c r="C192" s="3" t="s">
        <v>159</v>
      </c>
      <c r="D192" s="3">
        <f t="shared" si="113"/>
        <v>1.25</v>
      </c>
      <c r="E192" s="5">
        <v>17.82</v>
      </c>
      <c r="F192" s="5">
        <f t="shared" si="114"/>
        <v>50.025067682743405</v>
      </c>
      <c r="G192" s="5">
        <f t="shared" si="115"/>
        <v>5.9260002005414618</v>
      </c>
      <c r="H192" s="5">
        <f t="shared" si="116"/>
        <v>0.40108292389451522</v>
      </c>
      <c r="I192" s="5">
        <f t="shared" si="117"/>
        <v>0.1002707309736288</v>
      </c>
      <c r="J192" s="5">
        <f t="shared" si="118"/>
        <v>43.547578461846989</v>
      </c>
      <c r="K192" s="5">
        <v>0.27</v>
      </c>
      <c r="L192" s="5">
        <v>0</v>
      </c>
      <c r="M192" s="5">
        <v>83.17</v>
      </c>
      <c r="N192" s="5">
        <v>16.559999999999999</v>
      </c>
      <c r="O192" s="5" t="s">
        <v>15</v>
      </c>
      <c r="P192" s="5" t="s">
        <v>15</v>
      </c>
      <c r="Q192" s="5" t="s">
        <v>15</v>
      </c>
      <c r="R192" s="5">
        <v>770</v>
      </c>
      <c r="S192" s="5" t="s">
        <v>39</v>
      </c>
      <c r="T192" s="5" t="s">
        <v>75</v>
      </c>
      <c r="U192" s="5">
        <v>40</v>
      </c>
      <c r="V192" s="5" t="s">
        <v>15</v>
      </c>
      <c r="W192" s="5">
        <v>0.31</v>
      </c>
      <c r="X192" s="5" t="s">
        <v>33</v>
      </c>
      <c r="Y192" s="5" t="s">
        <v>34</v>
      </c>
      <c r="Z192" s="5" t="s">
        <v>73</v>
      </c>
      <c r="AA192" s="5" t="s">
        <v>15</v>
      </c>
      <c r="AB192" s="5" t="s">
        <v>185</v>
      </c>
      <c r="AC192" s="5">
        <f t="shared" si="112"/>
        <v>61.400000000000006</v>
      </c>
      <c r="AD192" s="5">
        <v>3.6</v>
      </c>
      <c r="AE192" s="5">
        <v>14.5</v>
      </c>
      <c r="AF192" s="5">
        <v>16</v>
      </c>
      <c r="AG192" s="5">
        <v>4.5</v>
      </c>
      <c r="AH192" s="5" t="s">
        <v>15</v>
      </c>
      <c r="AI192" s="5">
        <v>3.8</v>
      </c>
      <c r="AJ192" s="5" t="s">
        <v>15</v>
      </c>
      <c r="AK192" s="5" t="s">
        <v>15</v>
      </c>
      <c r="AL192" s="5" t="s">
        <v>15</v>
      </c>
      <c r="AM192" s="5" t="s">
        <v>15</v>
      </c>
      <c r="AN192" s="5" t="s">
        <v>15</v>
      </c>
      <c r="AO192" s="6" t="s">
        <v>184</v>
      </c>
      <c r="AP192" s="6" t="s">
        <v>187</v>
      </c>
    </row>
    <row r="193" spans="1:42" x14ac:dyDescent="0.3">
      <c r="A193" s="6">
        <v>190</v>
      </c>
      <c r="B193" s="3" t="s">
        <v>182</v>
      </c>
      <c r="C193" s="3" t="s">
        <v>159</v>
      </c>
      <c r="D193" s="3">
        <f t="shared" si="113"/>
        <v>1.25</v>
      </c>
      <c r="E193" s="5">
        <v>17.82</v>
      </c>
      <c r="F193" s="5">
        <f t="shared" si="114"/>
        <v>50.025067682743405</v>
      </c>
      <c r="G193" s="5">
        <f t="shared" si="115"/>
        <v>5.9260002005414618</v>
      </c>
      <c r="H193" s="5">
        <f t="shared" si="116"/>
        <v>0.40108292389451522</v>
      </c>
      <c r="I193" s="5">
        <f t="shared" si="117"/>
        <v>0.1002707309736288</v>
      </c>
      <c r="J193" s="5">
        <f t="shared" si="118"/>
        <v>43.547578461846989</v>
      </c>
      <c r="K193" s="5">
        <v>0.27</v>
      </c>
      <c r="L193" s="5">
        <v>0</v>
      </c>
      <c r="M193" s="5">
        <v>83.17</v>
      </c>
      <c r="N193" s="5">
        <v>16.559999999999999</v>
      </c>
      <c r="O193" s="5" t="s">
        <v>15</v>
      </c>
      <c r="P193" s="5" t="s">
        <v>15</v>
      </c>
      <c r="Q193" s="5" t="s">
        <v>15</v>
      </c>
      <c r="R193" s="5">
        <v>770</v>
      </c>
      <c r="S193" s="5" t="s">
        <v>39</v>
      </c>
      <c r="T193" s="5" t="s">
        <v>75</v>
      </c>
      <c r="U193" s="5">
        <v>40</v>
      </c>
      <c r="V193" s="5" t="s">
        <v>15</v>
      </c>
      <c r="W193" s="5">
        <v>0.37</v>
      </c>
      <c r="X193" s="5" t="s">
        <v>33</v>
      </c>
      <c r="Y193" s="5" t="s">
        <v>34</v>
      </c>
      <c r="Z193" s="5" t="s">
        <v>73</v>
      </c>
      <c r="AA193" s="5" t="s">
        <v>15</v>
      </c>
      <c r="AB193" s="5" t="s">
        <v>185</v>
      </c>
      <c r="AC193" s="5">
        <f t="shared" si="112"/>
        <v>64.600000000000009</v>
      </c>
      <c r="AD193" s="5">
        <v>3.1</v>
      </c>
      <c r="AE193" s="5">
        <v>12.4</v>
      </c>
      <c r="AF193" s="5">
        <v>16.3</v>
      </c>
      <c r="AG193" s="5">
        <v>3.6</v>
      </c>
      <c r="AH193" s="5" t="s">
        <v>15</v>
      </c>
      <c r="AI193" s="5">
        <v>3.2</v>
      </c>
      <c r="AJ193" s="5" t="s">
        <v>15</v>
      </c>
      <c r="AK193" s="5" t="s">
        <v>15</v>
      </c>
      <c r="AL193" s="5" t="s">
        <v>15</v>
      </c>
      <c r="AM193" s="5" t="s">
        <v>15</v>
      </c>
      <c r="AN193" s="5" t="s">
        <v>15</v>
      </c>
      <c r="AO193" s="6" t="s">
        <v>184</v>
      </c>
      <c r="AP193" s="6" t="s">
        <v>187</v>
      </c>
    </row>
    <row r="194" spans="1:42" x14ac:dyDescent="0.3">
      <c r="A194" s="6">
        <v>191</v>
      </c>
      <c r="B194" s="3" t="s">
        <v>183</v>
      </c>
      <c r="C194" s="3" t="s">
        <v>159</v>
      </c>
      <c r="D194" s="3">
        <f>(0.5+2)/2</f>
        <v>1.25</v>
      </c>
      <c r="E194" s="5">
        <v>18.196000000000002</v>
      </c>
      <c r="F194" s="5">
        <f>(100/(100-K194))*53.77</f>
        <v>54.839367669556353</v>
      </c>
      <c r="G194" s="5">
        <f>(100/(100-K194))*5.39</f>
        <v>5.497195308516063</v>
      </c>
      <c r="H194" s="5">
        <f>(100/(100-K194))*0.43</f>
        <v>0.43855175930647627</v>
      </c>
      <c r="I194" s="5">
        <f>(100/(100-K194))*0.12</f>
        <v>0.12238653748087709</v>
      </c>
      <c r="J194" s="5">
        <f>(100/(100-K194))*38.34</f>
        <v>39.102498725140237</v>
      </c>
      <c r="K194" s="5">
        <v>1.95</v>
      </c>
      <c r="L194" s="5">
        <v>0</v>
      </c>
      <c r="M194" s="5">
        <v>74.23</v>
      </c>
      <c r="N194" s="5">
        <v>23.82</v>
      </c>
      <c r="O194" s="5" t="s">
        <v>15</v>
      </c>
      <c r="P194" s="5" t="s">
        <v>15</v>
      </c>
      <c r="Q194" s="5" t="s">
        <v>15</v>
      </c>
      <c r="R194" s="5">
        <v>770</v>
      </c>
      <c r="S194" s="5" t="s">
        <v>39</v>
      </c>
      <c r="T194" s="5" t="s">
        <v>75</v>
      </c>
      <c r="U194" s="5">
        <v>40</v>
      </c>
      <c r="V194" s="5">
        <v>0.41</v>
      </c>
      <c r="W194" s="5" t="s">
        <v>15</v>
      </c>
      <c r="X194" s="5" t="s">
        <v>161</v>
      </c>
      <c r="Y194" s="5" t="s">
        <v>34</v>
      </c>
      <c r="Z194" s="5" t="s">
        <v>73</v>
      </c>
      <c r="AA194" s="5" t="s">
        <v>15</v>
      </c>
      <c r="AB194" s="5" t="s">
        <v>185</v>
      </c>
      <c r="AC194" s="5">
        <f t="shared" si="112"/>
        <v>23.299999999999997</v>
      </c>
      <c r="AD194" s="5">
        <v>32</v>
      </c>
      <c r="AE194" s="5">
        <v>23.2</v>
      </c>
      <c r="AF194" s="5">
        <v>13.1</v>
      </c>
      <c r="AG194" s="5">
        <v>8.4</v>
      </c>
      <c r="AH194" s="5" t="s">
        <v>15</v>
      </c>
      <c r="AI194" s="5">
        <v>9.4</v>
      </c>
      <c r="AJ194" s="5" t="s">
        <v>15</v>
      </c>
      <c r="AK194" s="5" t="s">
        <v>15</v>
      </c>
      <c r="AL194" s="5" t="s">
        <v>15</v>
      </c>
      <c r="AM194" s="5" t="s">
        <v>15</v>
      </c>
      <c r="AN194" s="5" t="s">
        <v>15</v>
      </c>
      <c r="AO194" s="6" t="s">
        <v>184</v>
      </c>
      <c r="AP194" s="6" t="s">
        <v>187</v>
      </c>
    </row>
    <row r="195" spans="1:42" x14ac:dyDescent="0.3">
      <c r="A195" s="6">
        <v>192</v>
      </c>
      <c r="B195" s="3" t="s">
        <v>183</v>
      </c>
      <c r="C195" s="3" t="s">
        <v>159</v>
      </c>
      <c r="D195" s="3">
        <f>(0.5+2)/2</f>
        <v>1.25</v>
      </c>
      <c r="E195" s="5">
        <v>18.196000000000002</v>
      </c>
      <c r="F195" s="5">
        <f t="shared" ref="F195:F197" si="119">(100/(100-K195))*53.77</f>
        <v>54.839367669556353</v>
      </c>
      <c r="G195" s="5">
        <f t="shared" ref="G195:G197" si="120">(100/(100-K195))*5.39</f>
        <v>5.497195308516063</v>
      </c>
      <c r="H195" s="5">
        <f t="shared" ref="H195:H197" si="121">(100/(100-K195))*0.43</f>
        <v>0.43855175930647627</v>
      </c>
      <c r="I195" s="5">
        <f t="shared" ref="I195:I197" si="122">(100/(100-K195))*0.12</f>
        <v>0.12238653748087709</v>
      </c>
      <c r="J195" s="5">
        <f t="shared" ref="J195:J197" si="123">(100/(100-K195))*38.34</f>
        <v>39.102498725140237</v>
      </c>
      <c r="K195" s="5">
        <v>1.95</v>
      </c>
      <c r="L195" s="5">
        <v>0</v>
      </c>
      <c r="M195" s="5">
        <v>74.23</v>
      </c>
      <c r="N195" s="5">
        <v>23.82</v>
      </c>
      <c r="O195" s="5" t="s">
        <v>15</v>
      </c>
      <c r="P195" s="5" t="s">
        <v>15</v>
      </c>
      <c r="Q195" s="5" t="s">
        <v>15</v>
      </c>
      <c r="R195" s="5">
        <v>770</v>
      </c>
      <c r="S195" s="5" t="s">
        <v>39</v>
      </c>
      <c r="T195" s="5" t="s">
        <v>75</v>
      </c>
      <c r="U195" s="5">
        <v>40</v>
      </c>
      <c r="V195" s="5">
        <v>0.63</v>
      </c>
      <c r="W195" s="5" t="s">
        <v>15</v>
      </c>
      <c r="X195" s="5" t="s">
        <v>161</v>
      </c>
      <c r="Y195" s="5" t="s">
        <v>34</v>
      </c>
      <c r="Z195" s="5" t="s">
        <v>73</v>
      </c>
      <c r="AA195" s="5" t="s">
        <v>15</v>
      </c>
      <c r="AB195" s="5" t="s">
        <v>185</v>
      </c>
      <c r="AC195" s="5">
        <f t="shared" si="112"/>
        <v>8.9999999999999964</v>
      </c>
      <c r="AD195" s="5">
        <v>42.4</v>
      </c>
      <c r="AE195" s="5">
        <v>21.8</v>
      </c>
      <c r="AF195" s="5">
        <v>19</v>
      </c>
      <c r="AG195" s="5">
        <v>7.8</v>
      </c>
      <c r="AH195" s="5" t="s">
        <v>15</v>
      </c>
      <c r="AI195" s="5">
        <v>10.1</v>
      </c>
      <c r="AJ195" s="5" t="s">
        <v>15</v>
      </c>
      <c r="AK195" s="5" t="s">
        <v>15</v>
      </c>
      <c r="AL195" s="5" t="s">
        <v>15</v>
      </c>
      <c r="AM195" s="5" t="s">
        <v>15</v>
      </c>
      <c r="AN195" s="5" t="s">
        <v>15</v>
      </c>
      <c r="AO195" s="6" t="s">
        <v>184</v>
      </c>
      <c r="AP195" s="6" t="s">
        <v>187</v>
      </c>
    </row>
    <row r="196" spans="1:42" x14ac:dyDescent="0.3">
      <c r="A196" s="6">
        <v>193</v>
      </c>
      <c r="B196" s="3" t="s">
        <v>183</v>
      </c>
      <c r="C196" s="3" t="s">
        <v>159</v>
      </c>
      <c r="D196" s="3">
        <f>(0.5+2)/2</f>
        <v>1.25</v>
      </c>
      <c r="E196" s="5">
        <v>18.196000000000002</v>
      </c>
      <c r="F196" s="5">
        <f t="shared" si="119"/>
        <v>54.839367669556353</v>
      </c>
      <c r="G196" s="5">
        <f t="shared" si="120"/>
        <v>5.497195308516063</v>
      </c>
      <c r="H196" s="5">
        <f t="shared" si="121"/>
        <v>0.43855175930647627</v>
      </c>
      <c r="I196" s="5">
        <f t="shared" si="122"/>
        <v>0.12238653748087709</v>
      </c>
      <c r="J196" s="5">
        <f t="shared" si="123"/>
        <v>39.102498725140237</v>
      </c>
      <c r="K196" s="5">
        <v>1.95</v>
      </c>
      <c r="L196" s="5">
        <v>0</v>
      </c>
      <c r="M196" s="5">
        <v>74.23</v>
      </c>
      <c r="N196" s="5">
        <v>23.82</v>
      </c>
      <c r="O196" s="5" t="s">
        <v>15</v>
      </c>
      <c r="P196" s="5" t="s">
        <v>15</v>
      </c>
      <c r="Q196" s="5" t="s">
        <v>15</v>
      </c>
      <c r="R196" s="5">
        <v>770</v>
      </c>
      <c r="S196" s="5" t="s">
        <v>39</v>
      </c>
      <c r="T196" s="5" t="s">
        <v>75</v>
      </c>
      <c r="U196" s="5">
        <v>40</v>
      </c>
      <c r="V196" s="5">
        <v>0.97</v>
      </c>
      <c r="W196" s="5" t="s">
        <v>15</v>
      </c>
      <c r="X196" s="5" t="s">
        <v>161</v>
      </c>
      <c r="Y196" s="5" t="s">
        <v>34</v>
      </c>
      <c r="Z196" s="5" t="s">
        <v>73</v>
      </c>
      <c r="AA196" s="5" t="s">
        <v>15</v>
      </c>
      <c r="AB196" s="5" t="s">
        <v>185</v>
      </c>
      <c r="AC196" s="5">
        <f t="shared" si="112"/>
        <v>6.700000000000002</v>
      </c>
      <c r="AD196" s="5">
        <v>48</v>
      </c>
      <c r="AE196" s="5">
        <v>17.8</v>
      </c>
      <c r="AF196" s="5">
        <v>21.8</v>
      </c>
      <c r="AG196" s="5">
        <v>5.7</v>
      </c>
      <c r="AH196" s="5" t="s">
        <v>15</v>
      </c>
      <c r="AI196" s="5">
        <v>9.3000000000000007</v>
      </c>
      <c r="AJ196" s="5" t="s">
        <v>15</v>
      </c>
      <c r="AK196" s="5" t="s">
        <v>15</v>
      </c>
      <c r="AL196" s="5" t="s">
        <v>15</v>
      </c>
      <c r="AM196" s="5" t="s">
        <v>15</v>
      </c>
      <c r="AN196" s="5" t="s">
        <v>15</v>
      </c>
      <c r="AO196" s="6" t="s">
        <v>184</v>
      </c>
      <c r="AP196" s="6" t="s">
        <v>187</v>
      </c>
    </row>
    <row r="197" spans="1:42" x14ac:dyDescent="0.3">
      <c r="A197" s="6">
        <v>194</v>
      </c>
      <c r="B197" s="3" t="s">
        <v>183</v>
      </c>
      <c r="C197" s="3" t="s">
        <v>159</v>
      </c>
      <c r="D197" s="3">
        <f>(0.5+2)/2</f>
        <v>1.25</v>
      </c>
      <c r="E197" s="5">
        <v>18.196000000000002</v>
      </c>
      <c r="F197" s="5">
        <f t="shared" si="119"/>
        <v>54.839367669556353</v>
      </c>
      <c r="G197" s="5">
        <f t="shared" si="120"/>
        <v>5.497195308516063</v>
      </c>
      <c r="H197" s="5">
        <f t="shared" si="121"/>
        <v>0.43855175930647627</v>
      </c>
      <c r="I197" s="5">
        <f t="shared" si="122"/>
        <v>0.12238653748087709</v>
      </c>
      <c r="J197" s="5">
        <f t="shared" si="123"/>
        <v>39.102498725140237</v>
      </c>
      <c r="K197" s="5">
        <v>1.95</v>
      </c>
      <c r="L197" s="5">
        <v>0</v>
      </c>
      <c r="M197" s="5">
        <v>74.23</v>
      </c>
      <c r="N197" s="5">
        <v>23.82</v>
      </c>
      <c r="O197" s="5" t="s">
        <v>15</v>
      </c>
      <c r="P197" s="5" t="s">
        <v>15</v>
      </c>
      <c r="Q197" s="5" t="s">
        <v>15</v>
      </c>
      <c r="R197" s="5">
        <v>770</v>
      </c>
      <c r="S197" s="5" t="s">
        <v>39</v>
      </c>
      <c r="T197" s="5" t="s">
        <v>75</v>
      </c>
      <c r="U197" s="5">
        <v>40</v>
      </c>
      <c r="V197" s="5">
        <v>1.0900000000000001</v>
      </c>
      <c r="W197" s="5" t="s">
        <v>15</v>
      </c>
      <c r="X197" s="5" t="s">
        <v>161</v>
      </c>
      <c r="Y197" s="5" t="s">
        <v>34</v>
      </c>
      <c r="Z197" s="5" t="s">
        <v>73</v>
      </c>
      <c r="AA197" s="5" t="s">
        <v>15</v>
      </c>
      <c r="AB197" s="5" t="s">
        <v>185</v>
      </c>
      <c r="AC197" s="5">
        <f t="shared" si="112"/>
        <v>3.2</v>
      </c>
      <c r="AD197" s="5">
        <v>52</v>
      </c>
      <c r="AE197" s="5">
        <v>17</v>
      </c>
      <c r="AF197" s="5">
        <v>22</v>
      </c>
      <c r="AG197" s="5">
        <v>5.8</v>
      </c>
      <c r="AH197" s="5" t="s">
        <v>15</v>
      </c>
      <c r="AI197" s="5">
        <v>9.9</v>
      </c>
      <c r="AJ197" s="5" t="s">
        <v>15</v>
      </c>
      <c r="AK197" s="5" t="s">
        <v>15</v>
      </c>
      <c r="AL197" s="5" t="s">
        <v>15</v>
      </c>
      <c r="AM197" s="5" t="s">
        <v>15</v>
      </c>
      <c r="AN197" s="5" t="s">
        <v>15</v>
      </c>
      <c r="AO197" s="6" t="s">
        <v>184</v>
      </c>
      <c r="AP197" s="6" t="s">
        <v>187</v>
      </c>
    </row>
    <row r="198" spans="1:42" x14ac:dyDescent="0.3">
      <c r="A198" s="6">
        <v>195</v>
      </c>
      <c r="B198" s="3" t="s">
        <v>182</v>
      </c>
      <c r="C198" s="3" t="s">
        <v>159</v>
      </c>
      <c r="D198" s="3">
        <f t="shared" ref="D198:D200" si="124">(0.5+2)/2</f>
        <v>1.25</v>
      </c>
      <c r="E198" s="5">
        <v>17.82</v>
      </c>
      <c r="F198" s="5">
        <f>(100/(100-K198))*49.89</f>
        <v>50.025067682743405</v>
      </c>
      <c r="G198" s="5">
        <f>(100/(100-K198))*5.91</f>
        <v>5.9260002005414618</v>
      </c>
      <c r="H198" s="5">
        <f>(100/(100-K198))*0.4</f>
        <v>0.40108292389451522</v>
      </c>
      <c r="I198" s="5">
        <f>(100/(100-K198))*0.1</f>
        <v>0.1002707309736288</v>
      </c>
      <c r="J198" s="5">
        <f>(100/(100-K198))*43.43</f>
        <v>43.547578461846989</v>
      </c>
      <c r="K198" s="5">
        <v>0.27</v>
      </c>
      <c r="L198" s="5">
        <v>0</v>
      </c>
      <c r="M198" s="5">
        <v>83.17</v>
      </c>
      <c r="N198" s="5">
        <v>16.559999999999999</v>
      </c>
      <c r="O198" s="5" t="s">
        <v>15</v>
      </c>
      <c r="P198" s="5" t="s">
        <v>15</v>
      </c>
      <c r="Q198" s="5" t="s">
        <v>15</v>
      </c>
      <c r="R198" s="5">
        <v>770</v>
      </c>
      <c r="S198" s="5" t="s">
        <v>39</v>
      </c>
      <c r="T198" s="5" t="s">
        <v>75</v>
      </c>
      <c r="U198" s="5">
        <v>40</v>
      </c>
      <c r="V198" s="5">
        <v>0.41</v>
      </c>
      <c r="W198" s="5" t="s">
        <v>15</v>
      </c>
      <c r="X198" s="5" t="s">
        <v>161</v>
      </c>
      <c r="Y198" s="5" t="s">
        <v>34</v>
      </c>
      <c r="Z198" s="5" t="s">
        <v>73</v>
      </c>
      <c r="AA198" s="5" t="s">
        <v>15</v>
      </c>
      <c r="AB198" s="5" t="s">
        <v>185</v>
      </c>
      <c r="AC198" s="5">
        <f>100-AD198-AE198-AF198-AG198</f>
        <v>30.6</v>
      </c>
      <c r="AD198" s="5">
        <v>19.5</v>
      </c>
      <c r="AE198" s="5">
        <v>28.8</v>
      </c>
      <c r="AF198" s="5">
        <v>9.5</v>
      </c>
      <c r="AG198" s="5">
        <v>11.6</v>
      </c>
      <c r="AH198" s="5" t="s">
        <v>15</v>
      </c>
      <c r="AI198" s="5">
        <v>10</v>
      </c>
      <c r="AJ198" s="5" t="s">
        <v>15</v>
      </c>
      <c r="AK198" s="5" t="s">
        <v>15</v>
      </c>
      <c r="AL198" s="5" t="s">
        <v>15</v>
      </c>
      <c r="AM198" s="5" t="s">
        <v>15</v>
      </c>
      <c r="AN198" s="5" t="s">
        <v>15</v>
      </c>
      <c r="AO198" s="6" t="s">
        <v>184</v>
      </c>
      <c r="AP198" s="6" t="s">
        <v>187</v>
      </c>
    </row>
    <row r="199" spans="1:42" x14ac:dyDescent="0.3">
      <c r="A199" s="6">
        <v>196</v>
      </c>
      <c r="B199" s="3" t="s">
        <v>182</v>
      </c>
      <c r="C199" s="3" t="s">
        <v>159</v>
      </c>
      <c r="D199" s="3">
        <f t="shared" si="124"/>
        <v>1.25</v>
      </c>
      <c r="E199" s="5">
        <v>17.82</v>
      </c>
      <c r="F199" s="5">
        <f t="shared" ref="F199:F200" si="125">(100/(100-K199))*49.89</f>
        <v>50.025067682743405</v>
      </c>
      <c r="G199" s="5">
        <f t="shared" ref="G199:G200" si="126">(100/(100-K199))*5.91</f>
        <v>5.9260002005414618</v>
      </c>
      <c r="H199" s="5">
        <f t="shared" ref="H199:H200" si="127">(100/(100-K199))*0.4</f>
        <v>0.40108292389451522</v>
      </c>
      <c r="I199" s="5">
        <f t="shared" ref="I199:I200" si="128">(100/(100-K199))*0.1</f>
        <v>0.1002707309736288</v>
      </c>
      <c r="J199" s="5">
        <f t="shared" ref="J199:J200" si="129">(100/(100-K199))*43.43</f>
        <v>43.547578461846989</v>
      </c>
      <c r="K199" s="5">
        <v>0.27</v>
      </c>
      <c r="L199" s="5">
        <v>0</v>
      </c>
      <c r="M199" s="5">
        <v>83.17</v>
      </c>
      <c r="N199" s="5">
        <v>16.559999999999999</v>
      </c>
      <c r="O199" s="5" t="s">
        <v>15</v>
      </c>
      <c r="P199" s="5" t="s">
        <v>15</v>
      </c>
      <c r="Q199" s="5" t="s">
        <v>15</v>
      </c>
      <c r="R199" s="5">
        <v>770</v>
      </c>
      <c r="S199" s="5" t="s">
        <v>39</v>
      </c>
      <c r="T199" s="5" t="s">
        <v>75</v>
      </c>
      <c r="U199" s="5">
        <v>40</v>
      </c>
      <c r="V199" s="5">
        <v>0.65</v>
      </c>
      <c r="W199" s="5" t="s">
        <v>15</v>
      </c>
      <c r="X199" s="5" t="s">
        <v>161</v>
      </c>
      <c r="Y199" s="5" t="s">
        <v>34</v>
      </c>
      <c r="Z199" s="5" t="s">
        <v>73</v>
      </c>
      <c r="AA199" s="5" t="s">
        <v>15</v>
      </c>
      <c r="AB199" s="5" t="s">
        <v>185</v>
      </c>
      <c r="AC199" s="5">
        <f>100-AD199-AE199-AF199-AG199</f>
        <v>10.599999999999998</v>
      </c>
      <c r="AD199" s="5">
        <v>35.5</v>
      </c>
      <c r="AE199" s="5">
        <v>27.1</v>
      </c>
      <c r="AF199" s="5">
        <v>15.8</v>
      </c>
      <c r="AG199" s="5">
        <v>11</v>
      </c>
      <c r="AH199" s="5" t="s">
        <v>15</v>
      </c>
      <c r="AI199" s="5">
        <v>11.2</v>
      </c>
      <c r="AJ199" s="5" t="s">
        <v>15</v>
      </c>
      <c r="AK199" s="5" t="s">
        <v>15</v>
      </c>
      <c r="AL199" s="5" t="s">
        <v>15</v>
      </c>
      <c r="AM199" s="5" t="s">
        <v>15</v>
      </c>
      <c r="AN199" s="5" t="s">
        <v>15</v>
      </c>
      <c r="AO199" s="6" t="s">
        <v>184</v>
      </c>
      <c r="AP199" s="6" t="s">
        <v>187</v>
      </c>
    </row>
    <row r="200" spans="1:42" x14ac:dyDescent="0.3">
      <c r="A200" s="6">
        <v>197</v>
      </c>
      <c r="B200" s="3" t="s">
        <v>182</v>
      </c>
      <c r="C200" s="3" t="s">
        <v>159</v>
      </c>
      <c r="D200" s="3">
        <f t="shared" si="124"/>
        <v>1.25</v>
      </c>
      <c r="E200" s="5">
        <v>17.82</v>
      </c>
      <c r="F200" s="5">
        <f t="shared" si="125"/>
        <v>50.025067682743405</v>
      </c>
      <c r="G200" s="5">
        <f t="shared" si="126"/>
        <v>5.9260002005414618</v>
      </c>
      <c r="H200" s="5">
        <f t="shared" si="127"/>
        <v>0.40108292389451522</v>
      </c>
      <c r="I200" s="5">
        <f t="shared" si="128"/>
        <v>0.1002707309736288</v>
      </c>
      <c r="J200" s="5">
        <f t="shared" si="129"/>
        <v>43.547578461846989</v>
      </c>
      <c r="K200" s="5">
        <v>0.27</v>
      </c>
      <c r="L200" s="5">
        <v>0</v>
      </c>
      <c r="M200" s="5">
        <v>83.17</v>
      </c>
      <c r="N200" s="5">
        <v>16.559999999999999</v>
      </c>
      <c r="O200" s="5" t="s">
        <v>15</v>
      </c>
      <c r="P200" s="5" t="s">
        <v>15</v>
      </c>
      <c r="Q200" s="5" t="s">
        <v>15</v>
      </c>
      <c r="R200" s="5">
        <v>770</v>
      </c>
      <c r="S200" s="5" t="s">
        <v>39</v>
      </c>
      <c r="T200" s="5" t="s">
        <v>75</v>
      </c>
      <c r="U200" s="5">
        <v>40</v>
      </c>
      <c r="V200" s="5">
        <v>0.96</v>
      </c>
      <c r="W200" s="5" t="s">
        <v>15</v>
      </c>
      <c r="X200" s="5" t="s">
        <v>161</v>
      </c>
      <c r="Y200" s="5" t="s">
        <v>34</v>
      </c>
      <c r="Z200" s="5" t="s">
        <v>73</v>
      </c>
      <c r="AA200" s="5" t="s">
        <v>15</v>
      </c>
      <c r="AB200" s="5" t="s">
        <v>185</v>
      </c>
      <c r="AC200" s="5">
        <f>100-AD200-AE200-AF200-AG200</f>
        <v>5.2999999999999989</v>
      </c>
      <c r="AD200" s="5">
        <v>54</v>
      </c>
      <c r="AE200" s="5">
        <v>13.5</v>
      </c>
      <c r="AF200" s="5">
        <v>21.6</v>
      </c>
      <c r="AG200" s="5">
        <v>5.6</v>
      </c>
      <c r="AH200" s="5" t="s">
        <v>15</v>
      </c>
      <c r="AI200" s="5">
        <v>9.6</v>
      </c>
      <c r="AJ200" s="5" t="s">
        <v>15</v>
      </c>
      <c r="AK200" s="5" t="s">
        <v>15</v>
      </c>
      <c r="AL200" s="5" t="s">
        <v>15</v>
      </c>
      <c r="AM200" s="5" t="s">
        <v>15</v>
      </c>
      <c r="AN200" s="5" t="s">
        <v>15</v>
      </c>
      <c r="AO200" s="6" t="s">
        <v>184</v>
      </c>
      <c r="AP200" s="6" t="s">
        <v>187</v>
      </c>
    </row>
    <row r="201" spans="1:42" x14ac:dyDescent="0.3">
      <c r="A201" s="6">
        <v>198</v>
      </c>
      <c r="B201" s="3" t="s">
        <v>188</v>
      </c>
      <c r="C201" s="3" t="s">
        <v>42</v>
      </c>
      <c r="D201" s="3" t="s">
        <v>190</v>
      </c>
      <c r="E201" s="5">
        <f>(0.3491*F201+1.1738*G201+0.1005*I201-0.1034*J201-0.0151*H201-0.0211*K201)-(9*(G201/100)*Calculations!$B$16)</f>
        <v>18.095253614709112</v>
      </c>
      <c r="F201" s="5">
        <v>47.52</v>
      </c>
      <c r="G201" s="5">
        <v>6.5</v>
      </c>
      <c r="H201" s="5">
        <v>0.05</v>
      </c>
      <c r="I201" s="5">
        <v>0.01</v>
      </c>
      <c r="J201" s="5">
        <v>46.36</v>
      </c>
      <c r="K201" s="5">
        <f>0.43*(100/(100-L201))</f>
        <v>0.47200878155872672</v>
      </c>
      <c r="L201" s="5">
        <v>8.9</v>
      </c>
      <c r="M201" s="5">
        <f>74*(100/(100-L201))</f>
        <v>81.229418221734363</v>
      </c>
      <c r="N201" s="5">
        <f>16.66*(100/(100-L201))</f>
        <v>18.287596048298575</v>
      </c>
      <c r="O201" s="5" t="s">
        <v>15</v>
      </c>
      <c r="P201" s="5" t="s">
        <v>15</v>
      </c>
      <c r="Q201" s="5" t="s">
        <v>15</v>
      </c>
      <c r="R201" s="5">
        <v>800</v>
      </c>
      <c r="S201" s="5" t="s">
        <v>39</v>
      </c>
      <c r="T201" s="5">
        <v>205</v>
      </c>
      <c r="U201" s="5" t="s">
        <v>15</v>
      </c>
      <c r="V201" s="13" t="s">
        <v>15</v>
      </c>
      <c r="W201" s="13">
        <v>0.19</v>
      </c>
      <c r="X201" s="5" t="s">
        <v>33</v>
      </c>
      <c r="Y201" s="5" t="s">
        <v>79</v>
      </c>
      <c r="Z201" s="5" t="s">
        <v>73</v>
      </c>
      <c r="AA201" s="5" t="s">
        <v>195</v>
      </c>
      <c r="AB201" s="5" t="s">
        <v>193</v>
      </c>
      <c r="AC201" s="5">
        <v>43.737780333525016</v>
      </c>
      <c r="AD201" s="5">
        <v>10.891316848763658</v>
      </c>
      <c r="AE201" s="5">
        <v>18.504887866589993</v>
      </c>
      <c r="AF201" s="5">
        <v>15.054629097182287</v>
      </c>
      <c r="AG201" s="5">
        <v>6.3254744105807932</v>
      </c>
      <c r="AH201" s="5">
        <v>2.3461759631972399</v>
      </c>
      <c r="AI201" s="5">
        <v>5.77</v>
      </c>
      <c r="AJ201" s="5">
        <v>13.78</v>
      </c>
      <c r="AK201" s="5" t="s">
        <v>15</v>
      </c>
      <c r="AL201" s="5" t="s">
        <v>15</v>
      </c>
      <c r="AM201" s="5" t="s">
        <v>15</v>
      </c>
      <c r="AN201" s="5" t="s">
        <v>15</v>
      </c>
      <c r="AO201" s="6" t="s">
        <v>191</v>
      </c>
      <c r="AP201" s="6" t="s">
        <v>199</v>
      </c>
    </row>
    <row r="202" spans="1:42" x14ac:dyDescent="0.3">
      <c r="A202" s="6">
        <v>199</v>
      </c>
      <c r="B202" s="3" t="s">
        <v>188</v>
      </c>
      <c r="C202" s="3" t="s">
        <v>42</v>
      </c>
      <c r="D202" s="3" t="s">
        <v>190</v>
      </c>
      <c r="E202" s="5">
        <f>(0.3491*F202+1.1738*G202+0.1005*I202-0.1034*J202-0.0151*H202-0.0211*K202)-(9*(G202/100)*Calculations!$B$16)</f>
        <v>18.095253614709112</v>
      </c>
      <c r="F202" s="5">
        <v>47.52</v>
      </c>
      <c r="G202" s="5">
        <v>6.5</v>
      </c>
      <c r="H202" s="5">
        <v>0.05</v>
      </c>
      <c r="I202" s="5">
        <v>0.01</v>
      </c>
      <c r="J202" s="5">
        <v>46.36</v>
      </c>
      <c r="K202" s="5">
        <f>0.43*(100/(100-L202))</f>
        <v>0.47200878155872672</v>
      </c>
      <c r="L202" s="5">
        <v>8.9</v>
      </c>
      <c r="M202" s="5">
        <f>74*(100/(100-L202))</f>
        <v>81.229418221734363</v>
      </c>
      <c r="N202" s="5">
        <f>16.66*(100/(100-L202))</f>
        <v>18.287596048298575</v>
      </c>
      <c r="O202" s="5" t="s">
        <v>15</v>
      </c>
      <c r="P202" s="5" t="s">
        <v>15</v>
      </c>
      <c r="Q202" s="5" t="s">
        <v>15</v>
      </c>
      <c r="R202" s="5">
        <v>800</v>
      </c>
      <c r="S202" s="5" t="s">
        <v>39</v>
      </c>
      <c r="T202" s="5">
        <v>205</v>
      </c>
      <c r="U202" s="5" t="s">
        <v>15</v>
      </c>
      <c r="V202" s="13">
        <v>0.17</v>
      </c>
      <c r="W202" s="13">
        <v>0.28999999999999998</v>
      </c>
      <c r="X202" s="5" t="s">
        <v>197</v>
      </c>
      <c r="Y202" s="5" t="s">
        <v>79</v>
      </c>
      <c r="Z202" s="5" t="s">
        <v>73</v>
      </c>
      <c r="AA202" s="5" t="s">
        <v>195</v>
      </c>
      <c r="AB202" s="5" t="s">
        <v>193</v>
      </c>
      <c r="AC202" s="5">
        <v>19.907468605419695</v>
      </c>
      <c r="AD202" s="5">
        <v>19.722405816259087</v>
      </c>
      <c r="AE202" s="5">
        <v>25.419695968274947</v>
      </c>
      <c r="AF202" s="5">
        <v>23.833443489755453</v>
      </c>
      <c r="AG202" s="5">
        <v>8.3146067415730336</v>
      </c>
      <c r="AH202" s="5">
        <v>2.8420356906807664</v>
      </c>
      <c r="AI202" s="5">
        <v>7.27</v>
      </c>
      <c r="AJ202" s="5">
        <v>18.670000000000002</v>
      </c>
      <c r="AK202" s="5" t="s">
        <v>15</v>
      </c>
      <c r="AL202" s="5" t="s">
        <v>15</v>
      </c>
      <c r="AM202" s="5" t="s">
        <v>15</v>
      </c>
      <c r="AN202" s="5" t="s">
        <v>15</v>
      </c>
      <c r="AO202" s="6" t="s">
        <v>191</v>
      </c>
      <c r="AP202" s="6" t="s">
        <v>199</v>
      </c>
    </row>
    <row r="203" spans="1:42" x14ac:dyDescent="0.3">
      <c r="A203" s="6">
        <v>200</v>
      </c>
      <c r="B203" s="3" t="s">
        <v>188</v>
      </c>
      <c r="C203" s="3" t="s">
        <v>42</v>
      </c>
      <c r="D203" s="3" t="s">
        <v>190</v>
      </c>
      <c r="E203" s="5">
        <f>(0.3491*F203+1.1738*G203+0.1005*I203-0.1034*J203-0.0151*H203-0.0211*K203)-(9*(G203/100)*Calculations!$B$16)</f>
        <v>18.095253614709112</v>
      </c>
      <c r="F203" s="5">
        <v>47.52</v>
      </c>
      <c r="G203" s="5">
        <v>6.5</v>
      </c>
      <c r="H203" s="5">
        <v>0.05</v>
      </c>
      <c r="I203" s="5">
        <v>0.01</v>
      </c>
      <c r="J203" s="5">
        <v>46.36</v>
      </c>
      <c r="K203" s="5">
        <f>0.43*(100/(100-L203))</f>
        <v>0.47200878155872672</v>
      </c>
      <c r="L203" s="5">
        <v>8.9</v>
      </c>
      <c r="M203" s="5">
        <f>74*(100/(100-L203))</f>
        <v>81.229418221734363</v>
      </c>
      <c r="N203" s="5">
        <f>16.66*(100/(100-L203))</f>
        <v>18.287596048298575</v>
      </c>
      <c r="O203" s="5" t="s">
        <v>15</v>
      </c>
      <c r="P203" s="5" t="s">
        <v>15</v>
      </c>
      <c r="Q203" s="5" t="s">
        <v>15</v>
      </c>
      <c r="R203" s="5">
        <v>800</v>
      </c>
      <c r="S203" s="5" t="s">
        <v>39</v>
      </c>
      <c r="T203" s="5">
        <v>205</v>
      </c>
      <c r="U203" s="5" t="s">
        <v>15</v>
      </c>
      <c r="V203" s="13">
        <v>0.17</v>
      </c>
      <c r="W203" s="13">
        <v>0.28999999999999998</v>
      </c>
      <c r="X203" s="5" t="s">
        <v>197</v>
      </c>
      <c r="Y203" s="5" t="s">
        <v>79</v>
      </c>
      <c r="Z203" s="5" t="s">
        <v>73</v>
      </c>
      <c r="AA203" s="5" t="s">
        <v>195</v>
      </c>
      <c r="AB203" s="5" t="s">
        <v>193</v>
      </c>
      <c r="AC203" s="5">
        <v>8.1992882562277583</v>
      </c>
      <c r="AD203" s="5">
        <v>22.90391459074733</v>
      </c>
      <c r="AE203" s="5">
        <v>30.604982206405694</v>
      </c>
      <c r="AF203" s="5">
        <v>27.772241992882567</v>
      </c>
      <c r="AG203" s="5">
        <v>10.106761565836299</v>
      </c>
      <c r="AH203" s="5">
        <v>3.6583629893238436</v>
      </c>
      <c r="AI203" s="5">
        <v>8.26</v>
      </c>
      <c r="AJ203" s="5">
        <v>19.55</v>
      </c>
      <c r="AK203" s="5" t="s">
        <v>15</v>
      </c>
      <c r="AL203" s="5" t="s">
        <v>15</v>
      </c>
      <c r="AM203" s="5" t="s">
        <v>15</v>
      </c>
      <c r="AN203" s="5" t="s">
        <v>15</v>
      </c>
      <c r="AO203" s="6" t="s">
        <v>191</v>
      </c>
      <c r="AP203" s="6" t="s">
        <v>199</v>
      </c>
    </row>
    <row r="204" spans="1:42" x14ac:dyDescent="0.3">
      <c r="A204" s="6">
        <v>201</v>
      </c>
      <c r="B204" s="3" t="s">
        <v>192</v>
      </c>
      <c r="C204" s="3" t="s">
        <v>42</v>
      </c>
      <c r="D204" s="3" t="s">
        <v>190</v>
      </c>
      <c r="E204" s="5">
        <f>(0.3491*F204+1.1738*G204+0.1005*I204-0.1034*J204-0.0151*H204-0.0211*K204)-(9*(G204/100)*Calculations!$B$16)</f>
        <v>17.499943600000002</v>
      </c>
      <c r="F204" s="5">
        <v>46.56</v>
      </c>
      <c r="G204" s="5">
        <v>6.24</v>
      </c>
      <c r="H204" s="5">
        <v>0.14000000000000001</v>
      </c>
      <c r="I204" s="5">
        <v>0.02</v>
      </c>
      <c r="J204" s="5">
        <v>46.13</v>
      </c>
      <c r="K204" s="5">
        <f>1.83*(100/(100-L204))</f>
        <v>1.952</v>
      </c>
      <c r="L204" s="5">
        <v>6.25</v>
      </c>
      <c r="M204" s="5">
        <f>75.11*(100/(100-L204))</f>
        <v>80.117333333333335</v>
      </c>
      <c r="N204" s="5">
        <f>16.81*(100/(100-L204))</f>
        <v>17.930666666666664</v>
      </c>
      <c r="O204" s="5" t="s">
        <v>15</v>
      </c>
      <c r="P204" s="5" t="s">
        <v>15</v>
      </c>
      <c r="Q204" s="5" t="s">
        <v>15</v>
      </c>
      <c r="R204" s="5">
        <v>800</v>
      </c>
      <c r="S204" s="5" t="s">
        <v>39</v>
      </c>
      <c r="T204" s="5">
        <v>205</v>
      </c>
      <c r="U204" s="5" t="s">
        <v>15</v>
      </c>
      <c r="V204" s="13" t="s">
        <v>15</v>
      </c>
      <c r="W204" s="13">
        <v>0.2</v>
      </c>
      <c r="X204" s="5" t="s">
        <v>33</v>
      </c>
      <c r="Y204" s="5" t="s">
        <v>79</v>
      </c>
      <c r="Z204" s="5" t="s">
        <v>73</v>
      </c>
      <c r="AA204" s="5" t="s">
        <v>195</v>
      </c>
      <c r="AB204" s="5" t="s">
        <v>193</v>
      </c>
      <c r="AC204" s="5">
        <v>43.341108519382431</v>
      </c>
      <c r="AD204" s="5">
        <v>12.584693990891925</v>
      </c>
      <c r="AE204" s="5">
        <v>18.782628012884594</v>
      </c>
      <c r="AF204" s="5">
        <v>15.061646117960679</v>
      </c>
      <c r="AG204" s="5">
        <v>5.8536043541041867</v>
      </c>
      <c r="AH204" s="5">
        <v>1.6772187048761524</v>
      </c>
      <c r="AI204" s="5">
        <v>5.58</v>
      </c>
      <c r="AJ204" s="5" t="s">
        <v>15</v>
      </c>
      <c r="AK204" s="5" t="s">
        <v>15</v>
      </c>
      <c r="AL204" s="5" t="s">
        <v>15</v>
      </c>
      <c r="AM204" s="5" t="s">
        <v>15</v>
      </c>
      <c r="AN204" s="5" t="s">
        <v>15</v>
      </c>
      <c r="AO204" s="6" t="s">
        <v>198</v>
      </c>
      <c r="AP204" s="6" t="s">
        <v>227</v>
      </c>
    </row>
    <row r="205" spans="1:42" x14ac:dyDescent="0.3">
      <c r="A205" s="6">
        <v>202</v>
      </c>
      <c r="B205" s="3" t="s">
        <v>192</v>
      </c>
      <c r="C205" s="3" t="s">
        <v>42</v>
      </c>
      <c r="D205" s="3" t="s">
        <v>190</v>
      </c>
      <c r="E205" s="5">
        <f>(0.3491*F205+1.1738*G205+0.1005*I205-0.1034*J205-0.0151*H205-0.0211*K205)-(9*(G205/100)*Calculations!$B$16)</f>
        <v>17.499943600000002</v>
      </c>
      <c r="F205" s="5">
        <v>46.56</v>
      </c>
      <c r="G205" s="5">
        <v>6.24</v>
      </c>
      <c r="H205" s="5">
        <v>0.14000000000000001</v>
      </c>
      <c r="I205" s="5">
        <v>0.02</v>
      </c>
      <c r="J205" s="5">
        <v>46.13</v>
      </c>
      <c r="K205" s="5">
        <f>1.83*(100/(100-L205))</f>
        <v>1.952</v>
      </c>
      <c r="L205" s="5">
        <v>6.25</v>
      </c>
      <c r="M205" s="5">
        <f>75.11*(100/(100-L205))</f>
        <v>80.117333333333335</v>
      </c>
      <c r="N205" s="5">
        <f>16.81*(100/(100-L205))</f>
        <v>17.930666666666664</v>
      </c>
      <c r="O205" s="5" t="s">
        <v>15</v>
      </c>
      <c r="P205" s="5" t="s">
        <v>15</v>
      </c>
      <c r="Q205" s="5" t="s">
        <v>15</v>
      </c>
      <c r="R205" s="5">
        <v>800</v>
      </c>
      <c r="S205" s="5" t="s">
        <v>39</v>
      </c>
      <c r="T205" s="5">
        <v>205</v>
      </c>
      <c r="U205" s="5" t="s">
        <v>15</v>
      </c>
      <c r="V205" s="13">
        <v>0.15</v>
      </c>
      <c r="W205" s="13">
        <v>0.28000000000000003</v>
      </c>
      <c r="X205" s="5" t="s">
        <v>197</v>
      </c>
      <c r="Y205" s="5" t="s">
        <v>79</v>
      </c>
      <c r="Z205" s="5" t="s">
        <v>73</v>
      </c>
      <c r="AA205" s="5" t="s">
        <v>195</v>
      </c>
      <c r="AB205" s="5" t="s">
        <v>193</v>
      </c>
      <c r="AC205" s="5">
        <v>22.80297207276454</v>
      </c>
      <c r="AD205" s="5">
        <v>19.267230335639248</v>
      </c>
      <c r="AE205" s="5">
        <v>23.571611580835253</v>
      </c>
      <c r="AF205" s="5">
        <v>22.956699974378683</v>
      </c>
      <c r="AG205" s="5">
        <v>8.1732001024852661</v>
      </c>
      <c r="AH205" s="5">
        <v>2.5493210351012037</v>
      </c>
      <c r="AI205" s="5">
        <v>7.11</v>
      </c>
      <c r="AJ205" s="5">
        <v>8.18</v>
      </c>
      <c r="AK205" s="5" t="s">
        <v>15</v>
      </c>
      <c r="AL205" s="5" t="s">
        <v>15</v>
      </c>
      <c r="AM205" s="5" t="s">
        <v>15</v>
      </c>
      <c r="AN205" s="5" t="s">
        <v>15</v>
      </c>
      <c r="AO205" s="6" t="s">
        <v>198</v>
      </c>
      <c r="AP205" s="6" t="s">
        <v>227</v>
      </c>
    </row>
    <row r="206" spans="1:42" x14ac:dyDescent="0.3">
      <c r="A206" s="6">
        <v>203</v>
      </c>
      <c r="B206" s="3" t="s">
        <v>192</v>
      </c>
      <c r="C206" s="3" t="s">
        <v>42</v>
      </c>
      <c r="D206" s="3" t="s">
        <v>190</v>
      </c>
      <c r="E206" s="5">
        <f>(0.3491*F206+1.1738*G206+0.1005*I206-0.1034*J206-0.0151*H206-0.0211*K206)-(9*(G206/100)*Calculations!$B$16)</f>
        <v>17.499943600000002</v>
      </c>
      <c r="F206" s="5">
        <v>46.56</v>
      </c>
      <c r="G206" s="5">
        <v>6.24</v>
      </c>
      <c r="H206" s="5">
        <v>0.14000000000000001</v>
      </c>
      <c r="I206" s="5">
        <v>0.02</v>
      </c>
      <c r="J206" s="5">
        <v>46.13</v>
      </c>
      <c r="K206" s="5">
        <f>1.83*(100/(100-L206))</f>
        <v>1.952</v>
      </c>
      <c r="L206" s="5">
        <v>6.25</v>
      </c>
      <c r="M206" s="5">
        <f>75.11*(100/(100-L206))</f>
        <v>80.117333333333335</v>
      </c>
      <c r="N206" s="5">
        <f>16.81*(100/(100-L206))</f>
        <v>17.930666666666664</v>
      </c>
      <c r="O206" s="5" t="s">
        <v>15</v>
      </c>
      <c r="P206" s="5" t="s">
        <v>15</v>
      </c>
      <c r="Q206" s="5" t="s">
        <v>15</v>
      </c>
      <c r="R206" s="5">
        <v>800</v>
      </c>
      <c r="S206" s="5" t="s">
        <v>39</v>
      </c>
      <c r="T206" s="5">
        <v>205</v>
      </c>
      <c r="U206" s="5" t="s">
        <v>15</v>
      </c>
      <c r="V206" s="13">
        <v>0.18</v>
      </c>
      <c r="W206" s="13">
        <v>0.31</v>
      </c>
      <c r="X206" s="5" t="s">
        <v>197</v>
      </c>
      <c r="Y206" s="5" t="s">
        <v>79</v>
      </c>
      <c r="Z206" s="5" t="s">
        <v>73</v>
      </c>
      <c r="AA206" s="5" t="s">
        <v>195</v>
      </c>
      <c r="AB206" s="5" t="s">
        <v>193</v>
      </c>
      <c r="AC206" s="5">
        <v>7.1566198733828799</v>
      </c>
      <c r="AD206" s="5">
        <v>22.914946325350947</v>
      </c>
      <c r="AE206" s="5">
        <v>27.429121937792459</v>
      </c>
      <c r="AF206" s="5">
        <v>27.08505367464905</v>
      </c>
      <c r="AG206" s="5">
        <v>9.3861822185521611</v>
      </c>
      <c r="AH206" s="5">
        <v>3.0553261767134599</v>
      </c>
      <c r="AI206" s="5">
        <v>8.09</v>
      </c>
      <c r="AJ206" s="5">
        <v>6.62</v>
      </c>
      <c r="AK206" s="5" t="s">
        <v>15</v>
      </c>
      <c r="AL206" s="5" t="s">
        <v>15</v>
      </c>
      <c r="AM206" s="5" t="s">
        <v>15</v>
      </c>
      <c r="AN206" s="5" t="s">
        <v>15</v>
      </c>
      <c r="AO206" s="6" t="s">
        <v>198</v>
      </c>
      <c r="AP206" s="6" t="s">
        <v>227</v>
      </c>
    </row>
    <row r="207" spans="1:42" x14ac:dyDescent="0.3">
      <c r="A207" s="6">
        <v>204</v>
      </c>
      <c r="B207" s="3" t="s">
        <v>189</v>
      </c>
      <c r="C207" s="3" t="s">
        <v>143</v>
      </c>
      <c r="D207" s="3" t="s">
        <v>15</v>
      </c>
      <c r="E207" s="5">
        <f>(0.3491*F207+1.1738*G207+0.1005*I207-0.1034*J207-0.0151*H207-0.0211*K207)-(9*(G207/100)*Calculations!$B$16)</f>
        <v>15.619681969761155</v>
      </c>
      <c r="F207" s="5">
        <v>40.07</v>
      </c>
      <c r="G207" s="5">
        <v>7.1</v>
      </c>
      <c r="H207" s="5">
        <v>1.4</v>
      </c>
      <c r="I207" s="5">
        <v>0.17</v>
      </c>
      <c r="J207" s="5">
        <v>50.5</v>
      </c>
      <c r="K207" s="5">
        <f>1.4*(100/(100-L207))</f>
        <v>1.6472526179550537</v>
      </c>
      <c r="L207" s="5">
        <v>15.01</v>
      </c>
      <c r="M207" s="5">
        <f>66.43*(100/(100-L207))</f>
        <v>78.162136721967315</v>
      </c>
      <c r="N207" s="5">
        <f>17.15*(100/(100-L207))</f>
        <v>20.178844569949405</v>
      </c>
      <c r="O207" s="5" t="s">
        <v>15</v>
      </c>
      <c r="P207" s="5" t="s">
        <v>15</v>
      </c>
      <c r="Q207" s="5" t="s">
        <v>15</v>
      </c>
      <c r="R207" s="5">
        <v>800</v>
      </c>
      <c r="S207" s="5" t="s">
        <v>39</v>
      </c>
      <c r="T207" s="5">
        <v>205</v>
      </c>
      <c r="U207" s="5" t="s">
        <v>15</v>
      </c>
      <c r="V207" s="13" t="s">
        <v>15</v>
      </c>
      <c r="W207" s="13">
        <v>0.22</v>
      </c>
      <c r="X207" s="5" t="s">
        <v>33</v>
      </c>
      <c r="Y207" s="5" t="s">
        <v>79</v>
      </c>
      <c r="Z207" s="5" t="s">
        <v>73</v>
      </c>
      <c r="AA207" s="5" t="s">
        <v>195</v>
      </c>
      <c r="AB207" s="5" t="s">
        <v>193</v>
      </c>
      <c r="AC207" s="5">
        <v>53.095086151882583</v>
      </c>
      <c r="AD207" s="5">
        <v>5.6541161455009572</v>
      </c>
      <c r="AE207" s="5">
        <v>15.851946394384173</v>
      </c>
      <c r="AF207" s="5">
        <v>13.924696873005743</v>
      </c>
      <c r="AG207" s="5">
        <v>4.5820038289725593</v>
      </c>
      <c r="AH207" s="5">
        <v>2.7951499680918954</v>
      </c>
      <c r="AI207" s="5">
        <v>4.28</v>
      </c>
      <c r="AJ207" s="5">
        <v>13.47</v>
      </c>
      <c r="AK207" s="5" t="s">
        <v>15</v>
      </c>
      <c r="AL207" s="5" t="s">
        <v>15</v>
      </c>
      <c r="AM207" s="5" t="s">
        <v>15</v>
      </c>
      <c r="AN207" s="5" t="s">
        <v>15</v>
      </c>
      <c r="AO207" s="6" t="s">
        <v>198</v>
      </c>
      <c r="AP207" s="6" t="s">
        <v>227</v>
      </c>
    </row>
    <row r="208" spans="1:42" x14ac:dyDescent="0.3">
      <c r="A208" s="6">
        <v>205</v>
      </c>
      <c r="B208" s="3" t="s">
        <v>189</v>
      </c>
      <c r="C208" s="3" t="s">
        <v>143</v>
      </c>
      <c r="D208" s="3" t="s">
        <v>15</v>
      </c>
      <c r="E208" s="5">
        <f>(0.3491*F208+1.1738*G208+0.1005*I208-0.1034*J208-0.0151*H208-0.0211*K208)-(9*(G208/100)*Calculations!$B$16)</f>
        <v>15.619681969761155</v>
      </c>
      <c r="F208" s="5">
        <v>40.07</v>
      </c>
      <c r="G208" s="5">
        <v>7.1</v>
      </c>
      <c r="H208" s="5">
        <v>1.4</v>
      </c>
      <c r="I208" s="5">
        <v>0.17</v>
      </c>
      <c r="J208" s="5">
        <v>50.5</v>
      </c>
      <c r="K208" s="5">
        <f>1.4*(100/(100-L208))</f>
        <v>1.6472526179550537</v>
      </c>
      <c r="L208" s="5">
        <v>15.01</v>
      </c>
      <c r="M208" s="5">
        <f>66.43*(100/(100-L208))</f>
        <v>78.162136721967315</v>
      </c>
      <c r="N208" s="5">
        <f>17.15*(100/(100-L208))</f>
        <v>20.178844569949405</v>
      </c>
      <c r="O208" s="5" t="s">
        <v>15</v>
      </c>
      <c r="P208" s="5" t="s">
        <v>15</v>
      </c>
      <c r="Q208" s="5" t="s">
        <v>15</v>
      </c>
      <c r="R208" s="5">
        <v>800</v>
      </c>
      <c r="S208" s="5" t="s">
        <v>39</v>
      </c>
      <c r="T208" s="5">
        <v>205</v>
      </c>
      <c r="U208" s="5" t="s">
        <v>15</v>
      </c>
      <c r="V208" s="13">
        <v>0.17</v>
      </c>
      <c r="W208" s="13">
        <v>0.34</v>
      </c>
      <c r="X208" s="5" t="s">
        <v>197</v>
      </c>
      <c r="Y208" s="5" t="s">
        <v>79</v>
      </c>
      <c r="Z208" s="5" t="s">
        <v>73</v>
      </c>
      <c r="AA208" s="5" t="s">
        <v>195</v>
      </c>
      <c r="AB208" s="5" t="s">
        <v>193</v>
      </c>
      <c r="AC208" s="5">
        <v>27.705627705627705</v>
      </c>
      <c r="AD208" s="5">
        <v>9.8484848484848495</v>
      </c>
      <c r="AE208" s="5">
        <v>23.611111111111114</v>
      </c>
      <c r="AF208" s="5">
        <v>21.951659451659452</v>
      </c>
      <c r="AG208" s="5">
        <v>7.4675324675324672</v>
      </c>
      <c r="AH208" s="5">
        <v>4.220779220779221</v>
      </c>
      <c r="AI208" s="5">
        <v>5.22</v>
      </c>
      <c r="AJ208" s="5" t="s">
        <v>15</v>
      </c>
      <c r="AK208" s="5" t="s">
        <v>15</v>
      </c>
      <c r="AL208" s="5" t="s">
        <v>15</v>
      </c>
      <c r="AM208" s="5" t="s">
        <v>15</v>
      </c>
      <c r="AN208" s="5" t="s">
        <v>15</v>
      </c>
      <c r="AO208" s="6" t="s">
        <v>198</v>
      </c>
      <c r="AP208" s="6" t="s">
        <v>227</v>
      </c>
    </row>
    <row r="209" spans="1:42" x14ac:dyDescent="0.3">
      <c r="A209" s="6">
        <v>206</v>
      </c>
      <c r="B209" s="3" t="s">
        <v>189</v>
      </c>
      <c r="C209" s="3" t="s">
        <v>143</v>
      </c>
      <c r="D209" s="3" t="s">
        <v>15</v>
      </c>
      <c r="E209" s="5">
        <f>(0.3491*F209+1.1738*G209+0.1005*I209-0.1034*J209-0.0151*H209-0.0211*K209)-(9*(G209/100)*Calculations!$B$16)</f>
        <v>15.619681969761155</v>
      </c>
      <c r="F209" s="5">
        <v>40.07</v>
      </c>
      <c r="G209" s="5">
        <v>7.1</v>
      </c>
      <c r="H209" s="5">
        <v>1.4</v>
      </c>
      <c r="I209" s="5">
        <v>0.17</v>
      </c>
      <c r="J209" s="5">
        <v>50.5</v>
      </c>
      <c r="K209" s="5">
        <f>1.4*(100/(100-L209))</f>
        <v>1.6472526179550537</v>
      </c>
      <c r="L209" s="5">
        <v>15.01</v>
      </c>
      <c r="M209" s="5">
        <f>66.43*(100/(100-L209))</f>
        <v>78.162136721967315</v>
      </c>
      <c r="N209" s="5">
        <f>17.15*(100/(100-L209))</f>
        <v>20.178844569949405</v>
      </c>
      <c r="O209" s="5" t="s">
        <v>15</v>
      </c>
      <c r="P209" s="5" t="s">
        <v>15</v>
      </c>
      <c r="Q209" s="5" t="s">
        <v>15</v>
      </c>
      <c r="R209" s="5">
        <v>800</v>
      </c>
      <c r="S209" s="5" t="s">
        <v>39</v>
      </c>
      <c r="T209" s="5">
        <v>205</v>
      </c>
      <c r="U209" s="5" t="s">
        <v>15</v>
      </c>
      <c r="V209" s="13">
        <v>0.17</v>
      </c>
      <c r="W209" s="13">
        <v>0.34</v>
      </c>
      <c r="X209" s="5" t="s">
        <v>197</v>
      </c>
      <c r="Y209" s="5" t="s">
        <v>79</v>
      </c>
      <c r="Z209" s="5" t="s">
        <v>73</v>
      </c>
      <c r="AA209" s="5" t="s">
        <v>195</v>
      </c>
      <c r="AB209" s="5" t="s">
        <v>193</v>
      </c>
      <c r="AC209" s="5">
        <v>11.370328425821064</v>
      </c>
      <c r="AD209" s="5">
        <v>13.272933182332958</v>
      </c>
      <c r="AE209" s="5">
        <v>30.55492638731597</v>
      </c>
      <c r="AF209" s="5">
        <v>28.856172140430353</v>
      </c>
      <c r="AG209" s="5">
        <v>9.6036240090600238</v>
      </c>
      <c r="AH209" s="5">
        <v>5.5039637599094</v>
      </c>
      <c r="AI209" s="5">
        <v>5.49</v>
      </c>
      <c r="AJ209" s="5">
        <v>11.39</v>
      </c>
      <c r="AK209" s="5" t="s">
        <v>15</v>
      </c>
      <c r="AL209" s="5" t="s">
        <v>15</v>
      </c>
      <c r="AM209" s="5" t="s">
        <v>15</v>
      </c>
      <c r="AN209" s="5" t="s">
        <v>15</v>
      </c>
      <c r="AO209" s="6" t="s">
        <v>198</v>
      </c>
      <c r="AP209" s="6" t="s">
        <v>227</v>
      </c>
    </row>
    <row r="210" spans="1:42" ht="14.5" customHeight="1" x14ac:dyDescent="0.3">
      <c r="A210" s="6">
        <v>207</v>
      </c>
      <c r="B210" s="3" t="s">
        <v>200</v>
      </c>
      <c r="C210" s="3" t="s">
        <v>159</v>
      </c>
      <c r="D210" s="3">
        <v>1.5</v>
      </c>
      <c r="E210" s="5">
        <f>19.8-(9*((G210/100*((100+L210)/100)))*Calculations!$B$16)</f>
        <v>18.4533212268</v>
      </c>
      <c r="F210" s="5">
        <v>49.33</v>
      </c>
      <c r="G210" s="5">
        <v>6.06</v>
      </c>
      <c r="H210" s="5">
        <v>0.04</v>
      </c>
      <c r="I210" s="5">
        <v>0</v>
      </c>
      <c r="J210" s="5">
        <v>44.57</v>
      </c>
      <c r="K210" s="5">
        <f>0.5*(100/(100-L210))</f>
        <v>0.55187637969094927</v>
      </c>
      <c r="L210" s="5">
        <v>9.4</v>
      </c>
      <c r="M210" s="5">
        <f t="shared" ref="M210:M216" si="130">73.4*(100/(100-L210))</f>
        <v>81.015452538631365</v>
      </c>
      <c r="N210" s="5">
        <f t="shared" ref="N210:N216" si="131">16.7*(100/(100-L210))</f>
        <v>18.432671081677704</v>
      </c>
      <c r="O210" s="5" t="s">
        <v>15</v>
      </c>
      <c r="P210" s="5" t="s">
        <v>15</v>
      </c>
      <c r="Q210" s="5" t="s">
        <v>15</v>
      </c>
      <c r="R210" s="5">
        <v>800</v>
      </c>
      <c r="S210" s="5" t="s">
        <v>39</v>
      </c>
      <c r="T210" s="5" t="s">
        <v>15</v>
      </c>
      <c r="U210" s="5">
        <v>20</v>
      </c>
      <c r="V210" s="5">
        <v>1.22</v>
      </c>
      <c r="W210" s="5" t="s">
        <v>15</v>
      </c>
      <c r="X210" s="5" t="s">
        <v>161</v>
      </c>
      <c r="Y210" s="5" t="s">
        <v>201</v>
      </c>
      <c r="Z210" s="5" t="s">
        <v>73</v>
      </c>
      <c r="AA210" s="5" t="s">
        <v>15</v>
      </c>
      <c r="AB210" s="5" t="s">
        <v>86</v>
      </c>
      <c r="AC210" s="5">
        <v>0</v>
      </c>
      <c r="AD210" s="5">
        <v>28</v>
      </c>
      <c r="AE210" s="5">
        <v>41</v>
      </c>
      <c r="AF210" s="5">
        <v>12.5</v>
      </c>
      <c r="AG210" s="5">
        <v>11.5</v>
      </c>
      <c r="AH210" s="5">
        <v>5.5</v>
      </c>
      <c r="AI210" s="5">
        <f>(AD210*Calculations!$B$23+AE210*Calculations!$B$21+AG210*Calculations!$B$22+AH210*Calculations!$B$24)/100</f>
        <v>15.595450000000001</v>
      </c>
      <c r="AJ210" s="5">
        <v>364</v>
      </c>
      <c r="AK210" s="5">
        <v>0.73</v>
      </c>
      <c r="AL210" s="5">
        <v>8.9</v>
      </c>
      <c r="AM210" s="5">
        <f t="shared" ref="AM210:AM216" si="132">100*(AI210*AK210)/E210</f>
        <v>61.694468762977394</v>
      </c>
      <c r="AN210" s="5">
        <v>50</v>
      </c>
      <c r="AO210" s="6" t="s">
        <v>202</v>
      </c>
      <c r="AP210" s="6" t="s">
        <v>228</v>
      </c>
    </row>
    <row r="211" spans="1:42" x14ac:dyDescent="0.3">
      <c r="A211" s="6">
        <v>208</v>
      </c>
      <c r="B211" s="3" t="s">
        <v>200</v>
      </c>
      <c r="C211" s="3" t="s">
        <v>159</v>
      </c>
      <c r="D211" s="3">
        <v>1.5</v>
      </c>
      <c r="E211" s="5">
        <f>19.8-(9*((G211/100*((100+L211)/100)))*Calculations!$B$16)</f>
        <v>18.4533212268</v>
      </c>
      <c r="F211" s="5">
        <v>49.33</v>
      </c>
      <c r="G211" s="5">
        <v>6.06</v>
      </c>
      <c r="H211" s="5">
        <v>0.04</v>
      </c>
      <c r="I211" s="5">
        <v>0</v>
      </c>
      <c r="J211" s="5">
        <v>44.57</v>
      </c>
      <c r="K211" s="5">
        <f>0.5*(100/(100-L211))</f>
        <v>0.55187637969094927</v>
      </c>
      <c r="L211" s="5">
        <v>9.4</v>
      </c>
      <c r="M211" s="5">
        <f t="shared" si="130"/>
        <v>81.015452538631365</v>
      </c>
      <c r="N211" s="5">
        <f t="shared" si="131"/>
        <v>18.432671081677704</v>
      </c>
      <c r="O211" s="5" t="s">
        <v>15</v>
      </c>
      <c r="P211" s="5" t="s">
        <v>15</v>
      </c>
      <c r="Q211" s="5" t="s">
        <v>15</v>
      </c>
      <c r="R211" s="5">
        <v>850</v>
      </c>
      <c r="S211" s="5" t="s">
        <v>39</v>
      </c>
      <c r="T211" s="5" t="s">
        <v>15</v>
      </c>
      <c r="U211" s="5">
        <v>20</v>
      </c>
      <c r="V211" s="5">
        <v>1.22</v>
      </c>
      <c r="W211" s="5" t="s">
        <v>15</v>
      </c>
      <c r="X211" s="5" t="s">
        <v>161</v>
      </c>
      <c r="Y211" s="5" t="s">
        <v>201</v>
      </c>
      <c r="Z211" s="5" t="s">
        <v>73</v>
      </c>
      <c r="AA211" s="5" t="s">
        <v>15</v>
      </c>
      <c r="AB211" s="5" t="s">
        <v>86</v>
      </c>
      <c r="AC211" s="5">
        <v>0</v>
      </c>
      <c r="AD211" s="5">
        <v>33</v>
      </c>
      <c r="AE211" s="5">
        <v>37.5</v>
      </c>
      <c r="AF211" s="5">
        <v>14</v>
      </c>
      <c r="AG211" s="5">
        <v>10</v>
      </c>
      <c r="AH211" s="5">
        <v>4</v>
      </c>
      <c r="AI211" s="5">
        <f>(AD211*Calculations!$B$23+AE211*Calculations!$B$21+AG211*Calculations!$B$22+AH211*Calculations!$B$24)/100</f>
        <v>14.262345</v>
      </c>
      <c r="AJ211" s="5">
        <v>245</v>
      </c>
      <c r="AK211" s="5">
        <f>(AK210+AK212)/2</f>
        <v>0.84499999999999997</v>
      </c>
      <c r="AL211" s="5">
        <v>6.3</v>
      </c>
      <c r="AM211" s="5">
        <f t="shared" si="132"/>
        <v>65.309010648431055</v>
      </c>
      <c r="AN211" s="5">
        <v>59</v>
      </c>
      <c r="AO211" s="6" t="s">
        <v>202</v>
      </c>
      <c r="AP211" s="6" t="s">
        <v>228</v>
      </c>
    </row>
    <row r="212" spans="1:42" x14ac:dyDescent="0.3">
      <c r="A212" s="6">
        <v>209</v>
      </c>
      <c r="B212" s="3" t="s">
        <v>200</v>
      </c>
      <c r="C212" s="3" t="s">
        <v>159</v>
      </c>
      <c r="D212" s="3">
        <v>1.5</v>
      </c>
      <c r="E212" s="5">
        <f>19.8-(9*((G212/100*((100+L212)/100)))*Calculations!$B$16)</f>
        <v>18.4533212268</v>
      </c>
      <c r="F212" s="5">
        <v>49.33</v>
      </c>
      <c r="G212" s="5">
        <v>6.06</v>
      </c>
      <c r="H212" s="5">
        <v>0.04</v>
      </c>
      <c r="I212" s="5">
        <v>0</v>
      </c>
      <c r="J212" s="5">
        <v>44.57</v>
      </c>
      <c r="K212" s="5">
        <f>0.5*(100/(100-L212))</f>
        <v>0.55187637969094927</v>
      </c>
      <c r="L212" s="5">
        <v>9.4</v>
      </c>
      <c r="M212" s="5">
        <f t="shared" si="130"/>
        <v>81.015452538631365</v>
      </c>
      <c r="N212" s="5">
        <f t="shared" si="131"/>
        <v>18.432671081677704</v>
      </c>
      <c r="O212" s="5" t="s">
        <v>15</v>
      </c>
      <c r="P212" s="5" t="s">
        <v>15</v>
      </c>
      <c r="Q212" s="5" t="s">
        <v>15</v>
      </c>
      <c r="R212" s="5">
        <v>900</v>
      </c>
      <c r="S212" s="5" t="s">
        <v>39</v>
      </c>
      <c r="T212" s="5" t="s">
        <v>15</v>
      </c>
      <c r="U212" s="5">
        <v>20</v>
      </c>
      <c r="V212" s="5">
        <v>1.22</v>
      </c>
      <c r="W212" s="5" t="s">
        <v>15</v>
      </c>
      <c r="X212" s="5" t="s">
        <v>161</v>
      </c>
      <c r="Y212" s="5" t="s">
        <v>201</v>
      </c>
      <c r="Z212" s="5" t="s">
        <v>73</v>
      </c>
      <c r="AA212" s="5" t="s">
        <v>15</v>
      </c>
      <c r="AB212" s="5" t="s">
        <v>86</v>
      </c>
      <c r="AC212" s="5">
        <v>0</v>
      </c>
      <c r="AD212" s="5">
        <v>38</v>
      </c>
      <c r="AE212" s="5">
        <v>32.5</v>
      </c>
      <c r="AF212" s="5">
        <v>16.5</v>
      </c>
      <c r="AG212" s="5">
        <v>8.5</v>
      </c>
      <c r="AH212" s="5">
        <v>4</v>
      </c>
      <c r="AI212" s="5">
        <f>(AD212*Calculations!$B$23+AE212*Calculations!$B$21+AG212*Calculations!$B$22+AH212*Calculations!$B$24)/100</f>
        <v>13.631599999999999</v>
      </c>
      <c r="AJ212" s="5">
        <v>142</v>
      </c>
      <c r="AK212" s="5">
        <v>0.96</v>
      </c>
      <c r="AL212" s="5">
        <v>4.5</v>
      </c>
      <c r="AM212" s="5">
        <f t="shared" si="132"/>
        <v>70.915884675515969</v>
      </c>
      <c r="AN212" s="5">
        <v>70</v>
      </c>
      <c r="AO212" s="6" t="s">
        <v>202</v>
      </c>
      <c r="AP212" s="6" t="s">
        <v>228</v>
      </c>
    </row>
    <row r="213" spans="1:42" x14ac:dyDescent="0.3">
      <c r="A213" s="6">
        <v>210</v>
      </c>
      <c r="B213" s="3" t="s">
        <v>200</v>
      </c>
      <c r="C213" s="3" t="s">
        <v>159</v>
      </c>
      <c r="D213" s="3">
        <v>1.5</v>
      </c>
      <c r="E213" s="5">
        <f>19.8-(9*((G213/100*((100+L213)/100)))*Calculations!$B$16)</f>
        <v>18.4533212268</v>
      </c>
      <c r="F213" s="5">
        <v>49.33</v>
      </c>
      <c r="G213" s="5">
        <v>6.06</v>
      </c>
      <c r="H213" s="5">
        <v>0.04</v>
      </c>
      <c r="I213" s="5">
        <v>0</v>
      </c>
      <c r="J213" s="5">
        <v>44.57</v>
      </c>
      <c r="K213" s="5">
        <f t="shared" ref="K213:K215" si="133">0.5*(100/(100-L213))</f>
        <v>0.55187637969094927</v>
      </c>
      <c r="L213" s="5">
        <v>9.4</v>
      </c>
      <c r="M213" s="5">
        <f t="shared" si="130"/>
        <v>81.015452538631365</v>
      </c>
      <c r="N213" s="5">
        <f t="shared" si="131"/>
        <v>18.432671081677704</v>
      </c>
      <c r="O213" s="5" t="s">
        <v>15</v>
      </c>
      <c r="P213" s="5" t="s">
        <v>15</v>
      </c>
      <c r="Q213" s="5" t="s">
        <v>15</v>
      </c>
      <c r="R213" s="5">
        <v>900</v>
      </c>
      <c r="S213" s="5" t="s">
        <v>39</v>
      </c>
      <c r="T213" s="5" t="s">
        <v>15</v>
      </c>
      <c r="U213" s="5">
        <v>20</v>
      </c>
      <c r="V213" s="5">
        <v>0.11</v>
      </c>
      <c r="W213" s="5" t="s">
        <v>15</v>
      </c>
      <c r="X213" s="5" t="s">
        <v>161</v>
      </c>
      <c r="Y213" s="5" t="s">
        <v>201</v>
      </c>
      <c r="Z213" s="5" t="s">
        <v>73</v>
      </c>
      <c r="AA213" s="5" t="s">
        <v>15</v>
      </c>
      <c r="AB213" s="5" t="s">
        <v>86</v>
      </c>
      <c r="AC213" s="5">
        <v>0</v>
      </c>
      <c r="AD213" s="5">
        <v>28.5</v>
      </c>
      <c r="AE213" s="5">
        <v>50</v>
      </c>
      <c r="AF213" s="5">
        <v>7</v>
      </c>
      <c r="AG213" s="5">
        <v>10</v>
      </c>
      <c r="AH213" s="5">
        <v>4</v>
      </c>
      <c r="AI213" s="5">
        <f>(AD213*Calculations!$B$23+AE213*Calculations!$B$21+AG213*Calculations!$B$22+AH213*Calculations!$B$24)/100</f>
        <v>15.356235000000002</v>
      </c>
      <c r="AJ213" s="5">
        <v>154</v>
      </c>
      <c r="AK213" s="5">
        <v>0.78501664117231684</v>
      </c>
      <c r="AL213" s="5">
        <v>10.7</v>
      </c>
      <c r="AM213" s="5">
        <f t="shared" si="132"/>
        <v>65.326451930210183</v>
      </c>
      <c r="AN213" s="5">
        <v>62.5</v>
      </c>
      <c r="AO213" s="6" t="s">
        <v>202</v>
      </c>
      <c r="AP213" s="6" t="s">
        <v>228</v>
      </c>
    </row>
    <row r="214" spans="1:42" x14ac:dyDescent="0.3">
      <c r="A214" s="6">
        <v>211</v>
      </c>
      <c r="B214" s="3" t="s">
        <v>200</v>
      </c>
      <c r="C214" s="3" t="s">
        <v>159</v>
      </c>
      <c r="D214" s="3">
        <v>1.5</v>
      </c>
      <c r="E214" s="5">
        <f>19.8-(9*((G214/100*((100+L214)/100)))*Calculations!$B$16)</f>
        <v>18.4533212268</v>
      </c>
      <c r="F214" s="5">
        <v>49.33</v>
      </c>
      <c r="G214" s="5">
        <v>6.06</v>
      </c>
      <c r="H214" s="5">
        <v>0.04</v>
      </c>
      <c r="I214" s="5">
        <v>0</v>
      </c>
      <c r="J214" s="5">
        <v>44.57</v>
      </c>
      <c r="K214" s="5">
        <f t="shared" si="133"/>
        <v>0.55187637969094927</v>
      </c>
      <c r="L214" s="5">
        <v>9.4</v>
      </c>
      <c r="M214" s="5">
        <f t="shared" si="130"/>
        <v>81.015452538631365</v>
      </c>
      <c r="N214" s="5">
        <f t="shared" si="131"/>
        <v>18.432671081677704</v>
      </c>
      <c r="O214" s="5" t="s">
        <v>15</v>
      </c>
      <c r="P214" s="5" t="s">
        <v>15</v>
      </c>
      <c r="Q214" s="5" t="s">
        <v>15</v>
      </c>
      <c r="R214" s="5">
        <v>900</v>
      </c>
      <c r="S214" s="5" t="s">
        <v>39</v>
      </c>
      <c r="T214" s="5" t="s">
        <v>15</v>
      </c>
      <c r="U214" s="5">
        <v>20</v>
      </c>
      <c r="V214" s="5">
        <v>2.33</v>
      </c>
      <c r="W214" s="5" t="s">
        <v>15</v>
      </c>
      <c r="X214" s="5" t="s">
        <v>161</v>
      </c>
      <c r="Y214" s="5" t="s">
        <v>201</v>
      </c>
      <c r="Z214" s="5" t="s">
        <v>73</v>
      </c>
      <c r="AA214" s="5" t="s">
        <v>15</v>
      </c>
      <c r="AB214" s="5" t="s">
        <v>86</v>
      </c>
      <c r="AC214" s="5">
        <v>0</v>
      </c>
      <c r="AD214" s="5">
        <v>41</v>
      </c>
      <c r="AE214" s="5">
        <v>30</v>
      </c>
      <c r="AF214" s="5">
        <v>18</v>
      </c>
      <c r="AG214" s="5">
        <v>7.5</v>
      </c>
      <c r="AH214" s="5">
        <v>3.5</v>
      </c>
      <c r="AI214" s="5">
        <f>(AD214*Calculations!$B$23+AE214*Calculations!$B$21+AG214*Calculations!$B$22+AH214*Calculations!$B$24)/100</f>
        <v>12.983149999999998</v>
      </c>
      <c r="AJ214" s="5">
        <v>142</v>
      </c>
      <c r="AK214" s="5">
        <v>1.0111091225292308</v>
      </c>
      <c r="AL214" s="5">
        <v>3.6</v>
      </c>
      <c r="AM214" s="5">
        <f t="shared" si="132"/>
        <v>71.1383129509517</v>
      </c>
      <c r="AN214" s="5">
        <v>70</v>
      </c>
      <c r="AO214" s="6" t="s">
        <v>202</v>
      </c>
      <c r="AP214" s="6" t="s">
        <v>228</v>
      </c>
    </row>
    <row r="215" spans="1:42" x14ac:dyDescent="0.3">
      <c r="A215" s="6">
        <v>212</v>
      </c>
      <c r="B215" s="3" t="s">
        <v>200</v>
      </c>
      <c r="C215" s="3" t="s">
        <v>159</v>
      </c>
      <c r="D215" s="3">
        <f>(1+0.3)/2</f>
        <v>0.65</v>
      </c>
      <c r="E215" s="5">
        <f>19.8-(9*((G215/100*((100+L215)/100)))*Calculations!$B$16)</f>
        <v>18.4533212268</v>
      </c>
      <c r="F215" s="5">
        <v>49.33</v>
      </c>
      <c r="G215" s="5">
        <v>6.06</v>
      </c>
      <c r="H215" s="5">
        <v>0.04</v>
      </c>
      <c r="I215" s="5">
        <v>0</v>
      </c>
      <c r="J215" s="5">
        <v>44.57</v>
      </c>
      <c r="K215" s="5">
        <f t="shared" si="133"/>
        <v>0.55187637969094927</v>
      </c>
      <c r="L215" s="5">
        <v>9.4</v>
      </c>
      <c r="M215" s="5">
        <f t="shared" si="130"/>
        <v>81.015452538631365</v>
      </c>
      <c r="N215" s="5">
        <f t="shared" si="131"/>
        <v>18.432671081677704</v>
      </c>
      <c r="O215" s="5" t="s">
        <v>15</v>
      </c>
      <c r="P215" s="5" t="s">
        <v>15</v>
      </c>
      <c r="Q215" s="5" t="s">
        <v>15</v>
      </c>
      <c r="R215" s="5">
        <v>850</v>
      </c>
      <c r="S215" s="5" t="s">
        <v>39</v>
      </c>
      <c r="T215" s="5" t="s">
        <v>15</v>
      </c>
      <c r="U215" s="5">
        <v>20</v>
      </c>
      <c r="V215" s="5">
        <v>1.22</v>
      </c>
      <c r="W215" s="5" t="s">
        <v>15</v>
      </c>
      <c r="X215" s="5" t="s">
        <v>161</v>
      </c>
      <c r="Y215" s="5" t="s">
        <v>201</v>
      </c>
      <c r="Z215" s="5" t="s">
        <v>73</v>
      </c>
      <c r="AA215" s="5" t="s">
        <v>15</v>
      </c>
      <c r="AB215" s="5" t="s">
        <v>86</v>
      </c>
      <c r="AC215" s="5">
        <v>0</v>
      </c>
      <c r="AD215" s="5">
        <v>31.5</v>
      </c>
      <c r="AE215" s="5">
        <v>40</v>
      </c>
      <c r="AF215" s="5">
        <v>13.5</v>
      </c>
      <c r="AG215" s="5">
        <v>10</v>
      </c>
      <c r="AH215" s="5">
        <v>5</v>
      </c>
      <c r="AI215" s="5">
        <f>(AD215*Calculations!$B$23+AE215*Calculations!$B$21+AG215*Calculations!$B$22+AH215*Calculations!$B$24)/100</f>
        <v>15.010995000000001</v>
      </c>
      <c r="AJ215" s="5">
        <v>243</v>
      </c>
      <c r="AK215" s="5">
        <v>0.74402707163040749</v>
      </c>
      <c r="AL215" s="5">
        <v>6.2</v>
      </c>
      <c r="AM215" s="5">
        <f t="shared" si="132"/>
        <v>60.523450032877584</v>
      </c>
      <c r="AN215" s="5">
        <v>59</v>
      </c>
      <c r="AO215" s="6" t="s">
        <v>202</v>
      </c>
      <c r="AP215" s="6" t="s">
        <v>228</v>
      </c>
    </row>
    <row r="216" spans="1:42" x14ac:dyDescent="0.3">
      <c r="A216" s="6">
        <v>213</v>
      </c>
      <c r="B216" s="3" t="s">
        <v>200</v>
      </c>
      <c r="C216" s="3" t="s">
        <v>159</v>
      </c>
      <c r="D216" s="3">
        <v>3</v>
      </c>
      <c r="E216" s="5">
        <f>19.8-(9*((G216/100*((100+L216)/100)))*Calculations!$B$16)</f>
        <v>18.4533212268</v>
      </c>
      <c r="F216" s="5">
        <v>49.33</v>
      </c>
      <c r="G216" s="5">
        <v>6.06</v>
      </c>
      <c r="H216" s="5">
        <v>0.04</v>
      </c>
      <c r="I216" s="5">
        <v>0</v>
      </c>
      <c r="J216" s="5">
        <v>44.57</v>
      </c>
      <c r="K216" s="5">
        <f>0.5*(100/(100-L216))</f>
        <v>0.55187637969094927</v>
      </c>
      <c r="L216" s="5">
        <v>9.4</v>
      </c>
      <c r="M216" s="5">
        <f t="shared" si="130"/>
        <v>81.015452538631365</v>
      </c>
      <c r="N216" s="5">
        <f t="shared" si="131"/>
        <v>18.432671081677704</v>
      </c>
      <c r="O216" s="5" t="s">
        <v>15</v>
      </c>
      <c r="P216" s="5" t="s">
        <v>15</v>
      </c>
      <c r="Q216" s="5" t="s">
        <v>15</v>
      </c>
      <c r="R216" s="5">
        <v>850</v>
      </c>
      <c r="S216" s="5" t="s">
        <v>39</v>
      </c>
      <c r="T216" s="5" t="s">
        <v>15</v>
      </c>
      <c r="U216" s="5">
        <v>20</v>
      </c>
      <c r="V216" s="5">
        <v>1.22</v>
      </c>
      <c r="W216" s="5" t="s">
        <v>15</v>
      </c>
      <c r="X216" s="5" t="s">
        <v>161</v>
      </c>
      <c r="Y216" s="5" t="s">
        <v>201</v>
      </c>
      <c r="Z216" s="5" t="s">
        <v>73</v>
      </c>
      <c r="AA216" s="5" t="s">
        <v>15</v>
      </c>
      <c r="AB216" s="5" t="s">
        <v>86</v>
      </c>
      <c r="AC216" s="5">
        <v>0</v>
      </c>
      <c r="AD216" s="5">
        <v>28.5</v>
      </c>
      <c r="AE216" s="5">
        <v>37.5</v>
      </c>
      <c r="AF216" s="5">
        <v>17</v>
      </c>
      <c r="AG216" s="5">
        <v>11.5</v>
      </c>
      <c r="AH216" s="5">
        <v>5</v>
      </c>
      <c r="AI216" s="5">
        <f>(AD216*Calculations!$B$23+AE216*Calculations!$B$21+AG216*Calculations!$B$22+AH216*Calculations!$B$24)/100</f>
        <v>14.909925000000001</v>
      </c>
      <c r="AJ216" s="5">
        <v>263</v>
      </c>
      <c r="AK216" s="5">
        <v>0.71624030533042926</v>
      </c>
      <c r="AL216" s="5">
        <v>6.4</v>
      </c>
      <c r="AM216" s="5">
        <f t="shared" si="132"/>
        <v>57.870825003275947</v>
      </c>
      <c r="AN216" s="5">
        <v>59</v>
      </c>
      <c r="AO216" s="6" t="s">
        <v>202</v>
      </c>
      <c r="AP216" s="6" t="s">
        <v>228</v>
      </c>
    </row>
    <row r="217" spans="1:42" x14ac:dyDescent="0.3">
      <c r="A217" s="6">
        <v>214</v>
      </c>
      <c r="B217" s="3" t="s">
        <v>188</v>
      </c>
      <c r="C217" s="3" t="s">
        <v>42</v>
      </c>
      <c r="D217" s="3" t="s">
        <v>204</v>
      </c>
      <c r="E217" s="5">
        <v>18.5</v>
      </c>
      <c r="F217" s="5">
        <v>49.4</v>
      </c>
      <c r="G217" s="5">
        <v>5.9</v>
      </c>
      <c r="H217" s="5">
        <v>0.1</v>
      </c>
      <c r="I217" s="5">
        <v>0</v>
      </c>
      <c r="J217" s="5">
        <v>44.5</v>
      </c>
      <c r="K217" s="5">
        <f>0.3*(100/(100-L217))</f>
        <v>0.32786885245901642</v>
      </c>
      <c r="L217" s="5">
        <v>8.5</v>
      </c>
      <c r="M217" s="5">
        <f>74.1*(100/(100-L217))</f>
        <v>80.983606557377044</v>
      </c>
      <c r="N217" s="5">
        <f>17.1*(100/(100-L217))</f>
        <v>18.688524590163937</v>
      </c>
      <c r="O217" s="5" t="s">
        <v>15</v>
      </c>
      <c r="P217" s="5" t="s">
        <v>15</v>
      </c>
      <c r="Q217" s="5" t="s">
        <v>15</v>
      </c>
      <c r="R217" s="5">
        <v>780</v>
      </c>
      <c r="S217" s="5" t="s">
        <v>39</v>
      </c>
      <c r="T217" s="5" t="s">
        <v>75</v>
      </c>
      <c r="U217" s="5" t="s">
        <v>208</v>
      </c>
      <c r="V217" s="5">
        <v>0</v>
      </c>
      <c r="W217" s="5">
        <v>0.3</v>
      </c>
      <c r="X217" s="5" t="s">
        <v>33</v>
      </c>
      <c r="Y217" s="5" t="s">
        <v>79</v>
      </c>
      <c r="Z217" s="5" t="s">
        <v>209</v>
      </c>
      <c r="AA217" s="5" t="s">
        <v>210</v>
      </c>
      <c r="AB217" s="5" t="s">
        <v>65</v>
      </c>
      <c r="AC217" s="5">
        <f>100-AD217-AE217-AF217-AG217-AH217</f>
        <v>52.85</v>
      </c>
      <c r="AD217" s="5">
        <v>14</v>
      </c>
      <c r="AE217" s="5">
        <v>16.5</v>
      </c>
      <c r="AF217" s="5">
        <v>13</v>
      </c>
      <c r="AG217" s="5">
        <v>3.5</v>
      </c>
      <c r="AH217" s="5">
        <v>0.15</v>
      </c>
      <c r="AI217" s="5">
        <v>4.5751612000000002</v>
      </c>
      <c r="AJ217" s="5" t="s">
        <v>15</v>
      </c>
      <c r="AK217" s="5">
        <f t="shared" ref="AK217:AK234" si="134">(AM217/100)*(E217/AI217)</f>
        <v>2.1835296207705204</v>
      </c>
      <c r="AL217" s="5" t="s">
        <v>15</v>
      </c>
      <c r="AM217" s="5">
        <v>54</v>
      </c>
      <c r="AN217" s="5">
        <f>100*(AK217/F217)*(AE217*Calculations!$B$5*Calculations!$B$9+AF217*Calculations!$B$6*Calculations!$B$10+AG217*Calculations!$B$7*Calculations!$B$11+AH217*Calculations!$B$8*Calculations!$B$12)</f>
        <v>74.955037283849492</v>
      </c>
      <c r="AO217" s="11" t="s">
        <v>203</v>
      </c>
      <c r="AP217" s="6" t="s">
        <v>229</v>
      </c>
    </row>
    <row r="218" spans="1:42" x14ac:dyDescent="0.3">
      <c r="A218" s="6">
        <v>215</v>
      </c>
      <c r="B218" s="3" t="s">
        <v>188</v>
      </c>
      <c r="C218" s="3" t="s">
        <v>42</v>
      </c>
      <c r="D218" s="3" t="s">
        <v>204</v>
      </c>
      <c r="E218" s="5">
        <v>18.5</v>
      </c>
      <c r="F218" s="5">
        <v>49.4</v>
      </c>
      <c r="G218" s="5">
        <v>5.9</v>
      </c>
      <c r="H218" s="5">
        <v>0.1</v>
      </c>
      <c r="I218" s="5">
        <v>0</v>
      </c>
      <c r="J218" s="5">
        <v>44.5</v>
      </c>
      <c r="K218" s="5">
        <f>0.3*(100/(100-L218))</f>
        <v>0.32786885245901642</v>
      </c>
      <c r="L218" s="5">
        <v>8.5</v>
      </c>
      <c r="M218" s="5">
        <f>74.1*(100/(100-L218))</f>
        <v>80.983606557377044</v>
      </c>
      <c r="N218" s="5">
        <f>17.1*(100/(100-L218))</f>
        <v>18.688524590163937</v>
      </c>
      <c r="O218" s="5" t="s">
        <v>15</v>
      </c>
      <c r="P218" s="5" t="s">
        <v>15</v>
      </c>
      <c r="Q218" s="5" t="s">
        <v>15</v>
      </c>
      <c r="R218" s="5">
        <v>780</v>
      </c>
      <c r="S218" s="5" t="s">
        <v>39</v>
      </c>
      <c r="T218" s="5" t="s">
        <v>75</v>
      </c>
      <c r="U218" s="5" t="s">
        <v>208</v>
      </c>
      <c r="V218" s="5">
        <v>0.65</v>
      </c>
      <c r="W218" s="5">
        <v>0.28999999999999998</v>
      </c>
      <c r="X218" s="5" t="s">
        <v>81</v>
      </c>
      <c r="Y218" s="5" t="s">
        <v>79</v>
      </c>
      <c r="Z218" s="5" t="s">
        <v>209</v>
      </c>
      <c r="AA218" s="5" t="s">
        <v>210</v>
      </c>
      <c r="AB218" s="5" t="s">
        <v>65</v>
      </c>
      <c r="AC218" s="5">
        <f t="shared" ref="AC218:AC234" si="135">100-AD218-AE218-AF218-AG218-AH218</f>
        <v>42.44</v>
      </c>
      <c r="AD218" s="5">
        <v>25</v>
      </c>
      <c r="AE218" s="5">
        <v>14</v>
      </c>
      <c r="AF218" s="5">
        <v>16.5</v>
      </c>
      <c r="AG218" s="5">
        <v>2</v>
      </c>
      <c r="AH218" s="5">
        <v>0.06</v>
      </c>
      <c r="AI218" s="5">
        <v>5.0561886719999993</v>
      </c>
      <c r="AJ218" s="5" t="s">
        <v>15</v>
      </c>
      <c r="AK218" s="5">
        <f t="shared" si="134"/>
        <v>2.5978065400799983</v>
      </c>
      <c r="AL218" s="5" t="s">
        <v>15</v>
      </c>
      <c r="AM218" s="5">
        <v>71</v>
      </c>
      <c r="AN218" s="5">
        <f>100*(AK218/F218)*(AE218*Calculations!$B$5*Calculations!$B$9+AF218*Calculations!$B$6*Calculations!$B$10+AG218*Calculations!$B$7*Calculations!$B$11+AH218*Calculations!$B$8*Calculations!$B$12)</f>
        <v>88.32639898171999</v>
      </c>
      <c r="AO218" s="11" t="s">
        <v>203</v>
      </c>
      <c r="AP218" s="6" t="s">
        <v>229</v>
      </c>
    </row>
    <row r="219" spans="1:42" x14ac:dyDescent="0.3">
      <c r="A219" s="6">
        <v>216</v>
      </c>
      <c r="B219" s="3" t="s">
        <v>188</v>
      </c>
      <c r="C219" s="3" t="s">
        <v>42</v>
      </c>
      <c r="D219" s="3" t="s">
        <v>204</v>
      </c>
      <c r="E219" s="5">
        <v>18.5</v>
      </c>
      <c r="F219" s="5">
        <v>49.4</v>
      </c>
      <c r="G219" s="5">
        <v>5.9</v>
      </c>
      <c r="H219" s="5">
        <v>0.1</v>
      </c>
      <c r="I219" s="5">
        <v>0</v>
      </c>
      <c r="J219" s="5">
        <v>44.5</v>
      </c>
      <c r="K219" s="5">
        <f t="shared" ref="K219:K225" si="136">0.3*(100/(100-L219))</f>
        <v>0.32786885245901642</v>
      </c>
      <c r="L219" s="5">
        <v>8.5</v>
      </c>
      <c r="M219" s="5">
        <f t="shared" ref="M219:M225" si="137">74.1*(100/(100-L219))</f>
        <v>80.983606557377044</v>
      </c>
      <c r="N219" s="5">
        <f t="shared" ref="N219:N225" si="138">17.1*(100/(100-L219))</f>
        <v>18.688524590163937</v>
      </c>
      <c r="O219" s="5" t="s">
        <v>15</v>
      </c>
      <c r="P219" s="5" t="s">
        <v>15</v>
      </c>
      <c r="Q219" s="5" t="s">
        <v>15</v>
      </c>
      <c r="R219" s="5">
        <v>780</v>
      </c>
      <c r="S219" s="5" t="s">
        <v>39</v>
      </c>
      <c r="T219" s="5" t="s">
        <v>75</v>
      </c>
      <c r="U219" s="5" t="s">
        <v>208</v>
      </c>
      <c r="V219" s="5">
        <v>0.91</v>
      </c>
      <c r="W219" s="5">
        <v>0.28999999999999998</v>
      </c>
      <c r="X219" s="5" t="s">
        <v>81</v>
      </c>
      <c r="Y219" s="5" t="s">
        <v>79</v>
      </c>
      <c r="Z219" s="5" t="s">
        <v>209</v>
      </c>
      <c r="AA219" s="5" t="s">
        <v>210</v>
      </c>
      <c r="AB219" s="5" t="s">
        <v>65</v>
      </c>
      <c r="AC219" s="5">
        <f t="shared" si="135"/>
        <v>47.96</v>
      </c>
      <c r="AD219" s="5">
        <v>23.5</v>
      </c>
      <c r="AE219" s="5">
        <v>11.5</v>
      </c>
      <c r="AF219" s="5">
        <v>15</v>
      </c>
      <c r="AG219" s="5">
        <v>2</v>
      </c>
      <c r="AH219" s="5">
        <v>0.04</v>
      </c>
      <c r="AI219" s="5">
        <v>4.4630105520000001</v>
      </c>
      <c r="AJ219" s="5" t="s">
        <v>15</v>
      </c>
      <c r="AK219" s="5">
        <f t="shared" si="134"/>
        <v>2.5700140894490988</v>
      </c>
      <c r="AL219" s="5" t="s">
        <v>15</v>
      </c>
      <c r="AM219" s="5">
        <v>62</v>
      </c>
      <c r="AN219" s="5">
        <f>100*(AK219/F219)*(AE219*Calculations!$B$5*Calculations!$B$9+AF219*Calculations!$B$6*Calculations!$B$10+AG219*Calculations!$B$7*Calculations!$B$11+AH219*Calculations!$B$8*Calculations!$B$12)</f>
        <v>76.707785770963994</v>
      </c>
      <c r="AO219" s="11" t="s">
        <v>203</v>
      </c>
      <c r="AP219" s="6" t="s">
        <v>229</v>
      </c>
    </row>
    <row r="220" spans="1:42" x14ac:dyDescent="0.3">
      <c r="A220" s="6">
        <v>217</v>
      </c>
      <c r="B220" s="3" t="s">
        <v>188</v>
      </c>
      <c r="C220" s="3" t="s">
        <v>42</v>
      </c>
      <c r="D220" s="3" t="s">
        <v>204</v>
      </c>
      <c r="E220" s="5">
        <v>18.5</v>
      </c>
      <c r="F220" s="5">
        <v>49.4</v>
      </c>
      <c r="G220" s="5">
        <v>5.9</v>
      </c>
      <c r="H220" s="5">
        <v>0.1</v>
      </c>
      <c r="I220" s="5">
        <v>0</v>
      </c>
      <c r="J220" s="5">
        <v>44.5</v>
      </c>
      <c r="K220" s="5">
        <f t="shared" si="136"/>
        <v>0.32786885245901642</v>
      </c>
      <c r="L220" s="5">
        <v>8.5</v>
      </c>
      <c r="M220" s="5">
        <f t="shared" si="137"/>
        <v>80.983606557377044</v>
      </c>
      <c r="N220" s="5">
        <f t="shared" si="138"/>
        <v>18.688524590163937</v>
      </c>
      <c r="O220" s="5" t="s">
        <v>15</v>
      </c>
      <c r="P220" s="5" t="s">
        <v>15</v>
      </c>
      <c r="Q220" s="5" t="s">
        <v>15</v>
      </c>
      <c r="R220" s="5">
        <v>780</v>
      </c>
      <c r="S220" s="5" t="s">
        <v>39</v>
      </c>
      <c r="T220" s="5" t="s">
        <v>75</v>
      </c>
      <c r="U220" s="5" t="s">
        <v>208</v>
      </c>
      <c r="V220" s="5">
        <v>0.65</v>
      </c>
      <c r="W220" s="5">
        <v>0.17</v>
      </c>
      <c r="X220" s="5" t="s">
        <v>81</v>
      </c>
      <c r="Y220" s="5" t="s">
        <v>79</v>
      </c>
      <c r="Z220" s="5" t="s">
        <v>209</v>
      </c>
      <c r="AA220" s="5" t="s">
        <v>210</v>
      </c>
      <c r="AB220" s="5" t="s">
        <v>65</v>
      </c>
      <c r="AC220" s="5">
        <f t="shared" si="135"/>
        <v>50.5</v>
      </c>
      <c r="AD220" s="5">
        <v>17.5</v>
      </c>
      <c r="AE220" s="5">
        <v>12</v>
      </c>
      <c r="AF220" s="5">
        <v>16</v>
      </c>
      <c r="AG220" s="5">
        <v>4</v>
      </c>
      <c r="AH220" s="5">
        <v>0</v>
      </c>
      <c r="AI220" s="5">
        <v>6.8756881999999999</v>
      </c>
      <c r="AJ220" s="5" t="s">
        <v>15</v>
      </c>
      <c r="AK220" s="5">
        <f t="shared" si="134"/>
        <v>1.8565414295546443</v>
      </c>
      <c r="AL220" s="5" t="s">
        <v>15</v>
      </c>
      <c r="AM220" s="5">
        <v>69</v>
      </c>
      <c r="AN220" s="5">
        <f>100*(AK220/F220)*(AE220*Calculations!$B$5*Calculations!$B$9+AF220*Calculations!$B$6*Calculations!$B$10+AG220*Calculations!$B$7*Calculations!$B$11+AH220*Calculations!$B$8*Calculations!$B$12)</f>
        <v>61.911737429714549</v>
      </c>
      <c r="AO220" s="11" t="s">
        <v>203</v>
      </c>
      <c r="AP220" s="6" t="s">
        <v>229</v>
      </c>
    </row>
    <row r="221" spans="1:42" x14ac:dyDescent="0.3">
      <c r="A221" s="6">
        <v>218</v>
      </c>
      <c r="B221" s="3" t="s">
        <v>188</v>
      </c>
      <c r="C221" s="3" t="s">
        <v>42</v>
      </c>
      <c r="D221" s="3" t="s">
        <v>204</v>
      </c>
      <c r="E221" s="5">
        <v>18.5</v>
      </c>
      <c r="F221" s="5">
        <v>49.4</v>
      </c>
      <c r="G221" s="5">
        <v>5.9</v>
      </c>
      <c r="H221" s="5">
        <v>0.1</v>
      </c>
      <c r="I221" s="5">
        <v>0</v>
      </c>
      <c r="J221" s="5">
        <v>44.5</v>
      </c>
      <c r="K221" s="5">
        <f t="shared" si="136"/>
        <v>0.32786885245901642</v>
      </c>
      <c r="L221" s="5">
        <v>8.5</v>
      </c>
      <c r="M221" s="5">
        <f t="shared" si="137"/>
        <v>80.983606557377044</v>
      </c>
      <c r="N221" s="5">
        <f t="shared" si="138"/>
        <v>18.688524590163937</v>
      </c>
      <c r="O221" s="5" t="s">
        <v>15</v>
      </c>
      <c r="P221" s="5" t="s">
        <v>15</v>
      </c>
      <c r="Q221" s="5" t="s">
        <v>15</v>
      </c>
      <c r="R221" s="5">
        <v>780</v>
      </c>
      <c r="S221" s="5" t="s">
        <v>39</v>
      </c>
      <c r="T221" s="5" t="s">
        <v>75</v>
      </c>
      <c r="U221" s="5" t="s">
        <v>208</v>
      </c>
      <c r="V221" s="5">
        <v>0</v>
      </c>
      <c r="W221" s="5">
        <v>0.3</v>
      </c>
      <c r="X221" s="5" t="s">
        <v>33</v>
      </c>
      <c r="Y221" s="5" t="s">
        <v>79</v>
      </c>
      <c r="Z221" s="5" t="s">
        <v>207</v>
      </c>
      <c r="AA221" s="5" t="s">
        <v>15</v>
      </c>
      <c r="AB221" s="5" t="s">
        <v>65</v>
      </c>
      <c r="AC221" s="5">
        <f t="shared" si="135"/>
        <v>53.03</v>
      </c>
      <c r="AD221" s="5">
        <v>11</v>
      </c>
      <c r="AE221" s="5">
        <v>17.5</v>
      </c>
      <c r="AF221" s="5">
        <v>12.5</v>
      </c>
      <c r="AG221" s="5">
        <v>4.5</v>
      </c>
      <c r="AH221" s="5">
        <v>1.4700000000000002</v>
      </c>
      <c r="AI221" s="5">
        <v>5.8349548999999996</v>
      </c>
      <c r="AJ221" s="5" t="s">
        <v>15</v>
      </c>
      <c r="AK221" s="5">
        <f t="shared" si="134"/>
        <v>1.4584517182814902</v>
      </c>
      <c r="AL221" s="5" t="s">
        <v>15</v>
      </c>
      <c r="AM221" s="5">
        <v>46</v>
      </c>
      <c r="AN221" s="5">
        <f>100*(AK221/F221)*(AE221*Calculations!$B$5*Calculations!$B$9+AF221*Calculations!$B$6*Calculations!$B$10+AG221*Calculations!$B$7*Calculations!$B$11+AH221*Calculations!$B$8*Calculations!$B$12)</f>
        <v>56.10662284063185</v>
      </c>
      <c r="AO221" s="11" t="s">
        <v>203</v>
      </c>
      <c r="AP221" s="6" t="s">
        <v>229</v>
      </c>
    </row>
    <row r="222" spans="1:42" x14ac:dyDescent="0.3">
      <c r="A222" s="6">
        <v>219</v>
      </c>
      <c r="B222" s="3" t="s">
        <v>188</v>
      </c>
      <c r="C222" s="3" t="s">
        <v>42</v>
      </c>
      <c r="D222" s="3" t="s">
        <v>204</v>
      </c>
      <c r="E222" s="5">
        <v>18.5</v>
      </c>
      <c r="F222" s="5">
        <v>49.4</v>
      </c>
      <c r="G222" s="5">
        <v>5.9</v>
      </c>
      <c r="H222" s="5">
        <v>0.1</v>
      </c>
      <c r="I222" s="5">
        <v>0</v>
      </c>
      <c r="J222" s="5">
        <v>44.5</v>
      </c>
      <c r="K222" s="5">
        <f t="shared" si="136"/>
        <v>0.32786885245901642</v>
      </c>
      <c r="L222" s="5">
        <v>8.5</v>
      </c>
      <c r="M222" s="5">
        <f t="shared" si="137"/>
        <v>80.983606557377044</v>
      </c>
      <c r="N222" s="5">
        <f t="shared" si="138"/>
        <v>18.688524590163937</v>
      </c>
      <c r="O222" s="5" t="s">
        <v>15</v>
      </c>
      <c r="P222" s="5" t="s">
        <v>15</v>
      </c>
      <c r="Q222" s="5" t="s">
        <v>15</v>
      </c>
      <c r="R222" s="5">
        <v>780</v>
      </c>
      <c r="S222" s="5" t="s">
        <v>39</v>
      </c>
      <c r="T222" s="5" t="s">
        <v>75</v>
      </c>
      <c r="U222" s="5" t="s">
        <v>208</v>
      </c>
      <c r="V222" s="5">
        <v>0.65</v>
      </c>
      <c r="W222" s="5">
        <v>0.28999999999999998</v>
      </c>
      <c r="X222" s="5" t="s">
        <v>81</v>
      </c>
      <c r="Y222" s="5" t="s">
        <v>79</v>
      </c>
      <c r="Z222" s="5" t="s">
        <v>207</v>
      </c>
      <c r="AA222" s="5" t="s">
        <v>15</v>
      </c>
      <c r="AB222" s="5" t="s">
        <v>65</v>
      </c>
      <c r="AC222" s="5">
        <f t="shared" si="135"/>
        <v>51.44</v>
      </c>
      <c r="AD222" s="5">
        <v>17</v>
      </c>
      <c r="AE222" s="5">
        <v>12</v>
      </c>
      <c r="AF222" s="5">
        <v>15</v>
      </c>
      <c r="AG222" s="5">
        <v>3.5</v>
      </c>
      <c r="AH222" s="5">
        <v>1.06</v>
      </c>
      <c r="AI222" s="5">
        <v>4.5115649599999985</v>
      </c>
      <c r="AJ222" s="5" t="s">
        <v>15</v>
      </c>
      <c r="AK222" s="5">
        <f t="shared" si="134"/>
        <v>2.2143092449232968</v>
      </c>
      <c r="AL222" s="5" t="s">
        <v>15</v>
      </c>
      <c r="AM222" s="5">
        <v>54</v>
      </c>
      <c r="AN222" s="5">
        <f>100*(AK222/F222)*(AE222*Calculations!$B$5*Calculations!$B$9+AF222*Calculations!$B$6*Calculations!$B$10+AG222*Calculations!$B$7*Calculations!$B$11+AH222*Calculations!$B$8*Calculations!$B$12)</f>
        <v>75.123338690221004</v>
      </c>
      <c r="AO222" s="11" t="s">
        <v>203</v>
      </c>
      <c r="AP222" s="6" t="s">
        <v>229</v>
      </c>
    </row>
    <row r="223" spans="1:42" x14ac:dyDescent="0.3">
      <c r="A223" s="6">
        <v>220</v>
      </c>
      <c r="B223" s="3" t="s">
        <v>188</v>
      </c>
      <c r="C223" s="3" t="s">
        <v>42</v>
      </c>
      <c r="D223" s="3" t="s">
        <v>204</v>
      </c>
      <c r="E223" s="5">
        <v>18.5</v>
      </c>
      <c r="F223" s="5">
        <v>49.4</v>
      </c>
      <c r="G223" s="5">
        <v>5.9</v>
      </c>
      <c r="H223" s="5">
        <v>0.1</v>
      </c>
      <c r="I223" s="5">
        <v>0</v>
      </c>
      <c r="J223" s="5">
        <v>44.5</v>
      </c>
      <c r="K223" s="5">
        <f t="shared" si="136"/>
        <v>0.32786885245901642</v>
      </c>
      <c r="L223" s="5">
        <v>8.5</v>
      </c>
      <c r="M223" s="5">
        <f t="shared" si="137"/>
        <v>80.983606557377044</v>
      </c>
      <c r="N223" s="5">
        <f t="shared" si="138"/>
        <v>18.688524590163937</v>
      </c>
      <c r="O223" s="5" t="s">
        <v>15</v>
      </c>
      <c r="P223" s="5" t="s">
        <v>15</v>
      </c>
      <c r="Q223" s="5" t="s">
        <v>15</v>
      </c>
      <c r="R223" s="5">
        <v>780</v>
      </c>
      <c r="S223" s="5" t="s">
        <v>39</v>
      </c>
      <c r="T223" s="5" t="s">
        <v>75</v>
      </c>
      <c r="U223" s="5" t="s">
        <v>208</v>
      </c>
      <c r="V223" s="5">
        <v>0.91</v>
      </c>
      <c r="W223" s="5">
        <v>0.28999999999999998</v>
      </c>
      <c r="X223" s="5" t="s">
        <v>81</v>
      </c>
      <c r="Y223" s="5" t="s">
        <v>79</v>
      </c>
      <c r="Z223" s="5" t="s">
        <v>207</v>
      </c>
      <c r="AA223" s="5" t="s">
        <v>15</v>
      </c>
      <c r="AB223" s="5" t="s">
        <v>65</v>
      </c>
      <c r="AC223" s="5">
        <f t="shared" si="135"/>
        <v>50.04</v>
      </c>
      <c r="AD223" s="5">
        <v>17.5</v>
      </c>
      <c r="AE223" s="5">
        <v>11.5</v>
      </c>
      <c r="AF223" s="5">
        <v>16</v>
      </c>
      <c r="AG223" s="5">
        <v>4</v>
      </c>
      <c r="AH223" s="5">
        <v>0.96</v>
      </c>
      <c r="AI223" s="5">
        <v>4.733556408000001</v>
      </c>
      <c r="AJ223" s="5" t="s">
        <v>15</v>
      </c>
      <c r="AK223" s="5">
        <f t="shared" si="134"/>
        <v>2.1886292476605886</v>
      </c>
      <c r="AL223" s="5" t="s">
        <v>15</v>
      </c>
      <c r="AM223" s="5">
        <v>56.000000000000007</v>
      </c>
      <c r="AN223" s="5">
        <f>100*(AK223/F223)*(AE223*Calculations!$B$5*Calculations!$B$9+AF223*Calculations!$B$6*Calculations!$B$10+AG223*Calculations!$B$7*Calculations!$B$11+AH223*Calculations!$B$8*Calculations!$B$12)</f>
        <v>76.205690633162504</v>
      </c>
      <c r="AO223" s="11" t="s">
        <v>203</v>
      </c>
      <c r="AP223" s="6" t="s">
        <v>229</v>
      </c>
    </row>
    <row r="224" spans="1:42" x14ac:dyDescent="0.3">
      <c r="A224" s="6">
        <v>221</v>
      </c>
      <c r="B224" s="3" t="s">
        <v>188</v>
      </c>
      <c r="C224" s="3" t="s">
        <v>42</v>
      </c>
      <c r="D224" s="3" t="s">
        <v>204</v>
      </c>
      <c r="E224" s="5">
        <v>18.5</v>
      </c>
      <c r="F224" s="5">
        <v>49.4</v>
      </c>
      <c r="G224" s="5">
        <v>5.9</v>
      </c>
      <c r="H224" s="5">
        <v>0.1</v>
      </c>
      <c r="I224" s="5">
        <v>0</v>
      </c>
      <c r="J224" s="5">
        <v>44.5</v>
      </c>
      <c r="K224" s="5">
        <f t="shared" si="136"/>
        <v>0.32786885245901642</v>
      </c>
      <c r="L224" s="5">
        <v>8.5</v>
      </c>
      <c r="M224" s="5">
        <f t="shared" si="137"/>
        <v>80.983606557377044</v>
      </c>
      <c r="N224" s="5">
        <f t="shared" si="138"/>
        <v>18.688524590163937</v>
      </c>
      <c r="O224" s="5" t="s">
        <v>15</v>
      </c>
      <c r="P224" s="5" t="s">
        <v>15</v>
      </c>
      <c r="Q224" s="5" t="s">
        <v>15</v>
      </c>
      <c r="R224" s="5">
        <v>780</v>
      </c>
      <c r="S224" s="5" t="s">
        <v>39</v>
      </c>
      <c r="T224" s="5" t="s">
        <v>75</v>
      </c>
      <c r="U224" s="5" t="s">
        <v>208</v>
      </c>
      <c r="V224" s="5">
        <v>0</v>
      </c>
      <c r="W224" s="5">
        <v>0.17</v>
      </c>
      <c r="X224" s="5" t="s">
        <v>33</v>
      </c>
      <c r="Y224" s="5" t="s">
        <v>79</v>
      </c>
      <c r="Z224" s="5" t="s">
        <v>207</v>
      </c>
      <c r="AA224" s="5" t="s">
        <v>15</v>
      </c>
      <c r="AB224" s="5" t="s">
        <v>65</v>
      </c>
      <c r="AC224" s="5">
        <f t="shared" si="135"/>
        <v>38.508000000000003</v>
      </c>
      <c r="AD224" s="5">
        <v>16</v>
      </c>
      <c r="AE224" s="5">
        <v>23.5</v>
      </c>
      <c r="AF224" s="5">
        <v>14.5</v>
      </c>
      <c r="AG224" s="5">
        <v>7</v>
      </c>
      <c r="AH224" s="5">
        <v>0.49199999999999999</v>
      </c>
      <c r="AI224" s="5">
        <v>7.4987506464000013</v>
      </c>
      <c r="AJ224" s="5" t="s">
        <v>15</v>
      </c>
      <c r="AK224" s="5">
        <f t="shared" si="134"/>
        <v>1.6282712382044302</v>
      </c>
      <c r="AL224" s="5" t="s">
        <v>15</v>
      </c>
      <c r="AM224" s="5">
        <v>66</v>
      </c>
      <c r="AN224" s="5">
        <f>100*(AK224/F224)*(AE224*Calculations!$B$5*Calculations!$B$9+AF224*Calculations!$B$6*Calculations!$B$10+AG224*Calculations!$B$7*Calculations!$B$11+AH224*Calculations!$B$8*Calculations!$B$12)</f>
        <v>76.661585557959242</v>
      </c>
      <c r="AO224" s="11" t="s">
        <v>203</v>
      </c>
      <c r="AP224" s="6" t="s">
        <v>229</v>
      </c>
    </row>
    <row r="225" spans="1:42" x14ac:dyDescent="0.3">
      <c r="A225" s="6">
        <v>222</v>
      </c>
      <c r="B225" s="3" t="s">
        <v>188</v>
      </c>
      <c r="C225" s="3" t="s">
        <v>42</v>
      </c>
      <c r="D225" s="3" t="s">
        <v>204</v>
      </c>
      <c r="E225" s="5">
        <v>18.5</v>
      </c>
      <c r="F225" s="5">
        <v>49.4</v>
      </c>
      <c r="G225" s="5">
        <v>5.9</v>
      </c>
      <c r="H225" s="5">
        <v>0.1</v>
      </c>
      <c r="I225" s="5">
        <v>0</v>
      </c>
      <c r="J225" s="5">
        <v>44.5</v>
      </c>
      <c r="K225" s="5">
        <f t="shared" si="136"/>
        <v>0.32786885245901642</v>
      </c>
      <c r="L225" s="5">
        <v>8.5</v>
      </c>
      <c r="M225" s="5">
        <f t="shared" si="137"/>
        <v>80.983606557377044</v>
      </c>
      <c r="N225" s="5">
        <f t="shared" si="138"/>
        <v>18.688524590163937</v>
      </c>
      <c r="O225" s="5" t="s">
        <v>15</v>
      </c>
      <c r="P225" s="5" t="s">
        <v>15</v>
      </c>
      <c r="Q225" s="5" t="s">
        <v>15</v>
      </c>
      <c r="R225" s="5">
        <v>780</v>
      </c>
      <c r="S225" s="5" t="s">
        <v>39</v>
      </c>
      <c r="T225" s="5" t="s">
        <v>75</v>
      </c>
      <c r="U225" s="5" t="s">
        <v>208</v>
      </c>
      <c r="V225" s="5">
        <v>0.65</v>
      </c>
      <c r="W225" s="5">
        <v>0.17</v>
      </c>
      <c r="X225" s="5" t="s">
        <v>81</v>
      </c>
      <c r="Y225" s="5" t="s">
        <v>79</v>
      </c>
      <c r="Z225" s="5" t="s">
        <v>207</v>
      </c>
      <c r="AA225" s="5" t="s">
        <v>15</v>
      </c>
      <c r="AB225" s="5" t="s">
        <v>65</v>
      </c>
      <c r="AC225" s="5">
        <f t="shared" si="135"/>
        <v>42.04</v>
      </c>
      <c r="AD225" s="5">
        <v>20</v>
      </c>
      <c r="AE225" s="5">
        <v>15.5</v>
      </c>
      <c r="AF225" s="5">
        <v>16.5</v>
      </c>
      <c r="AG225" s="5">
        <v>5</v>
      </c>
      <c r="AH225" s="5">
        <v>0.96</v>
      </c>
      <c r="AI225" s="5">
        <v>6.5478374400000003</v>
      </c>
      <c r="AJ225" s="5" t="s">
        <v>15</v>
      </c>
      <c r="AK225" s="5">
        <f t="shared" si="134"/>
        <v>1.8364841995833054</v>
      </c>
      <c r="AL225" s="5" t="s">
        <v>15</v>
      </c>
      <c r="AM225" s="5">
        <v>65</v>
      </c>
      <c r="AN225" s="5">
        <f>100*(AK225/F225)*(AE225*Calculations!$B$5*Calculations!$B$9+AF225*Calculations!$B$6*Calculations!$B$10+AG225*Calculations!$B$7*Calculations!$B$11+AH225*Calculations!$B$8*Calculations!$B$12)</f>
        <v>74.045178826695533</v>
      </c>
      <c r="AO225" s="11" t="s">
        <v>203</v>
      </c>
      <c r="AP225" s="6" t="s">
        <v>229</v>
      </c>
    </row>
    <row r="226" spans="1:42" x14ac:dyDescent="0.3">
      <c r="A226" s="6">
        <v>223</v>
      </c>
      <c r="B226" s="3" t="s">
        <v>206</v>
      </c>
      <c r="C226" s="3" t="s">
        <v>42</v>
      </c>
      <c r="D226" s="3" t="s">
        <v>204</v>
      </c>
      <c r="E226" s="5">
        <v>21.9</v>
      </c>
      <c r="F226" s="5">
        <v>54.9</v>
      </c>
      <c r="G226" s="5">
        <v>6.8</v>
      </c>
      <c r="H226" s="5">
        <v>0.5</v>
      </c>
      <c r="I226" s="5">
        <v>0</v>
      </c>
      <c r="J226" s="5">
        <v>37.799999999999997</v>
      </c>
      <c r="K226" s="5">
        <f>1.4*(100/(100-L226))</f>
        <v>1.4846235418875928</v>
      </c>
      <c r="L226" s="5">
        <v>5.7</v>
      </c>
      <c r="M226" s="5">
        <f>77.9*(100/(100-L226))</f>
        <v>82.608695652173921</v>
      </c>
      <c r="N226" s="5">
        <f>15*(100/(100-L226))</f>
        <v>15.906680805938494</v>
      </c>
      <c r="O226" s="5" t="s">
        <v>15</v>
      </c>
      <c r="P226" s="5" t="s">
        <v>15</v>
      </c>
      <c r="Q226" s="5" t="s">
        <v>15</v>
      </c>
      <c r="R226" s="5">
        <v>780</v>
      </c>
      <c r="S226" s="5" t="s">
        <v>39</v>
      </c>
      <c r="T226" s="5" t="s">
        <v>75</v>
      </c>
      <c r="U226" s="5" t="s">
        <v>208</v>
      </c>
      <c r="V226" s="5">
        <v>0</v>
      </c>
      <c r="W226" s="5">
        <v>0.23</v>
      </c>
      <c r="X226" s="5" t="s">
        <v>33</v>
      </c>
      <c r="Y226" s="5" t="s">
        <v>79</v>
      </c>
      <c r="Z226" s="5" t="s">
        <v>209</v>
      </c>
      <c r="AA226" s="5" t="s">
        <v>210</v>
      </c>
      <c r="AB226" s="5" t="s">
        <v>65</v>
      </c>
      <c r="AC226" s="5">
        <f t="shared" si="135"/>
        <v>36.270000000000003</v>
      </c>
      <c r="AD226" s="5">
        <v>30</v>
      </c>
      <c r="AE226" s="5">
        <v>13.5</v>
      </c>
      <c r="AF226" s="5">
        <v>16</v>
      </c>
      <c r="AG226" s="5">
        <v>3.5</v>
      </c>
      <c r="AH226" s="5">
        <v>0.73</v>
      </c>
      <c r="AI226" s="5">
        <v>6.5851996540000002</v>
      </c>
      <c r="AJ226" s="5" t="s">
        <v>15</v>
      </c>
      <c r="AK226" s="5">
        <f t="shared" si="134"/>
        <v>2.6272551948354335</v>
      </c>
      <c r="AL226" s="5" t="s">
        <v>15</v>
      </c>
      <c r="AM226" s="5">
        <v>79</v>
      </c>
      <c r="AN226" s="5">
        <f>100*(AK226/F226)*(AE226*Calculations!$B$5*Calculations!$B$9+AF226*Calculations!$B$6*Calculations!$B$10+AG226*Calculations!$B$7*Calculations!$B$11+AH226*Calculations!$B$8*Calculations!$B$12)</f>
        <v>84.697549365323397</v>
      </c>
      <c r="AO226" s="11" t="s">
        <v>203</v>
      </c>
      <c r="AP226" s="6" t="s">
        <v>229</v>
      </c>
    </row>
    <row r="227" spans="1:42" x14ac:dyDescent="0.3">
      <c r="A227" s="6">
        <v>224</v>
      </c>
      <c r="B227" s="3" t="s">
        <v>206</v>
      </c>
      <c r="C227" s="3" t="s">
        <v>42</v>
      </c>
      <c r="D227" s="3" t="s">
        <v>204</v>
      </c>
      <c r="E227" s="5">
        <v>21.9</v>
      </c>
      <c r="F227" s="5">
        <v>54.9</v>
      </c>
      <c r="G227" s="5">
        <v>6.8</v>
      </c>
      <c r="H227" s="5">
        <v>0.5</v>
      </c>
      <c r="I227" s="5">
        <v>0</v>
      </c>
      <c r="J227" s="5">
        <v>37.799999999999997</v>
      </c>
      <c r="K227" s="5">
        <f>1.4*(100/(100-L227))</f>
        <v>1.4846235418875928</v>
      </c>
      <c r="L227" s="5">
        <v>5.7</v>
      </c>
      <c r="M227" s="5">
        <f>77.9*(100/(100-L227))</f>
        <v>82.608695652173921</v>
      </c>
      <c r="N227" s="5">
        <f>15*(100/(100-L227))</f>
        <v>15.906680805938494</v>
      </c>
      <c r="O227" s="5" t="s">
        <v>15</v>
      </c>
      <c r="P227" s="5" t="s">
        <v>15</v>
      </c>
      <c r="Q227" s="5" t="s">
        <v>15</v>
      </c>
      <c r="R227" s="5">
        <v>780</v>
      </c>
      <c r="S227" s="5" t="s">
        <v>39</v>
      </c>
      <c r="T227" s="5" t="s">
        <v>75</v>
      </c>
      <c r="U227" s="5" t="s">
        <v>208</v>
      </c>
      <c r="V227" s="5">
        <v>0</v>
      </c>
      <c r="W227" s="5">
        <v>0.19</v>
      </c>
      <c r="X227" s="5" t="s">
        <v>33</v>
      </c>
      <c r="Y227" s="5" t="s">
        <v>79</v>
      </c>
      <c r="Z227" s="5" t="s">
        <v>209</v>
      </c>
      <c r="AA227" s="5" t="s">
        <v>210</v>
      </c>
      <c r="AB227" s="5" t="s">
        <v>65</v>
      </c>
      <c r="AC227" s="5">
        <f t="shared" si="135"/>
        <v>46.31</v>
      </c>
      <c r="AD227" s="5">
        <v>22</v>
      </c>
      <c r="AE227" s="5">
        <v>10</v>
      </c>
      <c r="AF227" s="5">
        <v>19.5</v>
      </c>
      <c r="AG227" s="5">
        <v>2</v>
      </c>
      <c r="AH227" s="5">
        <v>0.19</v>
      </c>
      <c r="AI227" s="5">
        <v>4.3461929939999999</v>
      </c>
      <c r="AJ227" s="5" t="s">
        <v>15</v>
      </c>
      <c r="AK227" s="5">
        <f t="shared" si="134"/>
        <v>2.6202241860224214</v>
      </c>
      <c r="AL227" s="5" t="s">
        <v>15</v>
      </c>
      <c r="AM227" s="5">
        <v>52</v>
      </c>
      <c r="AN227" s="5">
        <f>100*(AK227/F227)*(AE227*Calculations!$B$5*Calculations!$B$9+AF227*Calculations!$B$6*Calculations!$B$10+AG227*Calculations!$B$7*Calculations!$B$11+AH227*Calculations!$B$8*Calculations!$B$12)</f>
        <v>79.195611250583511</v>
      </c>
      <c r="AO227" s="11" t="s">
        <v>203</v>
      </c>
      <c r="AP227" s="6" t="s">
        <v>229</v>
      </c>
    </row>
    <row r="228" spans="1:42" x14ac:dyDescent="0.3">
      <c r="A228" s="6">
        <v>225</v>
      </c>
      <c r="B228" s="3" t="s">
        <v>206</v>
      </c>
      <c r="C228" s="3" t="s">
        <v>42</v>
      </c>
      <c r="D228" s="3" t="s">
        <v>204</v>
      </c>
      <c r="E228" s="5">
        <v>21.9</v>
      </c>
      <c r="F228" s="5">
        <v>54.9</v>
      </c>
      <c r="G228" s="5">
        <v>6.8</v>
      </c>
      <c r="H228" s="5">
        <v>0.5</v>
      </c>
      <c r="I228" s="5">
        <v>0</v>
      </c>
      <c r="J228" s="5">
        <v>37.799999999999997</v>
      </c>
      <c r="K228" s="5">
        <f>1.4*(100/(100-L228))</f>
        <v>1.4846235418875928</v>
      </c>
      <c r="L228" s="5">
        <v>5.7</v>
      </c>
      <c r="M228" s="5">
        <f>77.9*(100/(100-L228))</f>
        <v>82.608695652173921</v>
      </c>
      <c r="N228" s="5">
        <f>15*(100/(100-L228))</f>
        <v>15.906680805938494</v>
      </c>
      <c r="O228" s="5" t="s">
        <v>15</v>
      </c>
      <c r="P228" s="5" t="s">
        <v>15</v>
      </c>
      <c r="Q228" s="5" t="s">
        <v>15</v>
      </c>
      <c r="R228" s="5">
        <v>780</v>
      </c>
      <c r="S228" s="5" t="s">
        <v>39</v>
      </c>
      <c r="T228" s="5" t="s">
        <v>75</v>
      </c>
      <c r="U228" s="5" t="s">
        <v>208</v>
      </c>
      <c r="V228" s="5">
        <v>0.6</v>
      </c>
      <c r="W228" s="5">
        <v>0.12</v>
      </c>
      <c r="X228" s="5" t="s">
        <v>81</v>
      </c>
      <c r="Y228" s="5" t="s">
        <v>79</v>
      </c>
      <c r="Z228" s="5" t="s">
        <v>209</v>
      </c>
      <c r="AA228" s="5" t="s">
        <v>210</v>
      </c>
      <c r="AB228" s="5" t="s">
        <v>65</v>
      </c>
      <c r="AC228" s="5">
        <f t="shared" si="135"/>
        <v>32.08</v>
      </c>
      <c r="AD228" s="5">
        <v>32</v>
      </c>
      <c r="AE228" s="5">
        <v>14</v>
      </c>
      <c r="AF228" s="5">
        <v>16.5</v>
      </c>
      <c r="AG228" s="5">
        <v>4</v>
      </c>
      <c r="AH228" s="5">
        <v>1.42</v>
      </c>
      <c r="AI228" s="5">
        <v>7.4824626239999992</v>
      </c>
      <c r="AJ228" s="5" t="s">
        <v>15</v>
      </c>
      <c r="AK228" s="5">
        <f t="shared" si="134"/>
        <v>2.1365960384114309</v>
      </c>
      <c r="AL228" s="5" t="s">
        <v>15</v>
      </c>
      <c r="AM228" s="5">
        <v>73</v>
      </c>
      <c r="AN228" s="5">
        <f>100*(AK228/F228)*(AE228*Calculations!$B$5*Calculations!$B$9+AF228*Calculations!$B$6*Calculations!$B$10+AG228*Calculations!$B$7*Calculations!$B$11+AH228*Calculations!$B$8*Calculations!$B$12)</f>
        <v>74.556026726150392</v>
      </c>
      <c r="AO228" s="11" t="s">
        <v>203</v>
      </c>
      <c r="AP228" s="6" t="s">
        <v>229</v>
      </c>
    </row>
    <row r="229" spans="1:42" x14ac:dyDescent="0.3">
      <c r="A229" s="6">
        <v>226</v>
      </c>
      <c r="B229" s="3" t="s">
        <v>206</v>
      </c>
      <c r="C229" s="3" t="s">
        <v>42</v>
      </c>
      <c r="D229" s="3" t="s">
        <v>204</v>
      </c>
      <c r="E229" s="5">
        <v>21.9</v>
      </c>
      <c r="F229" s="5">
        <v>54.9</v>
      </c>
      <c r="G229" s="5">
        <v>6.8</v>
      </c>
      <c r="H229" s="5">
        <v>0.5</v>
      </c>
      <c r="I229" s="5">
        <v>0</v>
      </c>
      <c r="J229" s="5">
        <v>37.799999999999997</v>
      </c>
      <c r="K229" s="5">
        <f>1.4*(100/(100-L229))</f>
        <v>1.4846235418875928</v>
      </c>
      <c r="L229" s="5">
        <v>5.7</v>
      </c>
      <c r="M229" s="5">
        <f>77.9*(100/(100-L229))</f>
        <v>82.608695652173921</v>
      </c>
      <c r="N229" s="5">
        <f>15*(100/(100-L229))</f>
        <v>15.906680805938494</v>
      </c>
      <c r="O229" s="5" t="s">
        <v>15</v>
      </c>
      <c r="P229" s="5" t="s">
        <v>15</v>
      </c>
      <c r="Q229" s="5" t="s">
        <v>15</v>
      </c>
      <c r="R229" s="5">
        <v>780</v>
      </c>
      <c r="S229" s="5" t="s">
        <v>39</v>
      </c>
      <c r="T229" s="5" t="s">
        <v>75</v>
      </c>
      <c r="U229" s="5" t="s">
        <v>208</v>
      </c>
      <c r="V229" s="5">
        <v>0</v>
      </c>
      <c r="W229" s="5">
        <v>0.23</v>
      </c>
      <c r="X229" s="5" t="s">
        <v>33</v>
      </c>
      <c r="Y229" s="5" t="s">
        <v>79</v>
      </c>
      <c r="Z229" s="5" t="s">
        <v>207</v>
      </c>
      <c r="AA229" s="5" t="s">
        <v>15</v>
      </c>
      <c r="AB229" s="5" t="s">
        <v>65</v>
      </c>
      <c r="AC229" s="5">
        <f t="shared" si="135"/>
        <v>44.5</v>
      </c>
      <c r="AD229" s="5">
        <v>17</v>
      </c>
      <c r="AE229" s="5">
        <v>16</v>
      </c>
      <c r="AF229" s="5">
        <v>10.5</v>
      </c>
      <c r="AG229" s="5">
        <v>12</v>
      </c>
      <c r="AH229" s="5">
        <v>0</v>
      </c>
      <c r="AI229" s="5">
        <v>7.807024499999998</v>
      </c>
      <c r="AJ229" s="5" t="s">
        <v>15</v>
      </c>
      <c r="AK229" s="5">
        <f t="shared" si="134"/>
        <v>2.6368560774979</v>
      </c>
      <c r="AL229" s="5" t="s">
        <v>15</v>
      </c>
      <c r="AM229" s="5">
        <v>94</v>
      </c>
      <c r="AN229" s="5">
        <f>100*(AK229/F229)*(AE229*Calculations!$B$5*Calculations!$B$9+AF229*Calculations!$B$6*Calculations!$B$10+AG229*Calculations!$B$7*Calculations!$B$11+AH229*Calculations!$B$8*Calculations!$B$12)</f>
        <v>93.179206916547557</v>
      </c>
      <c r="AO229" s="11" t="s">
        <v>203</v>
      </c>
      <c r="AP229" s="6" t="s">
        <v>229</v>
      </c>
    </row>
    <row r="230" spans="1:42" x14ac:dyDescent="0.3">
      <c r="A230" s="6">
        <v>227</v>
      </c>
      <c r="B230" s="3" t="s">
        <v>206</v>
      </c>
      <c r="C230" s="3" t="s">
        <v>42</v>
      </c>
      <c r="D230" s="3" t="s">
        <v>204</v>
      </c>
      <c r="E230" s="5">
        <v>21.9</v>
      </c>
      <c r="F230" s="5">
        <v>54.9</v>
      </c>
      <c r="G230" s="5">
        <v>6.8</v>
      </c>
      <c r="H230" s="5">
        <v>0.5</v>
      </c>
      <c r="I230" s="5">
        <v>0</v>
      </c>
      <c r="J230" s="5">
        <v>37.799999999999997</v>
      </c>
      <c r="K230" s="5">
        <f>1.4*(100/(100-L230))</f>
        <v>1.4846235418875928</v>
      </c>
      <c r="L230" s="5">
        <v>5.7</v>
      </c>
      <c r="M230" s="5">
        <f>77.9*(100/(100-L230))</f>
        <v>82.608695652173921</v>
      </c>
      <c r="N230" s="5">
        <f>15*(100/(100-L230))</f>
        <v>15.906680805938494</v>
      </c>
      <c r="O230" s="5" t="s">
        <v>15</v>
      </c>
      <c r="P230" s="5" t="s">
        <v>15</v>
      </c>
      <c r="Q230" s="5" t="s">
        <v>15</v>
      </c>
      <c r="R230" s="5">
        <v>780</v>
      </c>
      <c r="S230" s="5" t="s">
        <v>39</v>
      </c>
      <c r="T230" s="5" t="s">
        <v>75</v>
      </c>
      <c r="U230" s="5" t="s">
        <v>208</v>
      </c>
      <c r="V230" s="5">
        <v>0</v>
      </c>
      <c r="W230" s="5">
        <v>0.19</v>
      </c>
      <c r="X230" s="5" t="s">
        <v>33</v>
      </c>
      <c r="Y230" s="5" t="s">
        <v>79</v>
      </c>
      <c r="Z230" s="5" t="s">
        <v>207</v>
      </c>
      <c r="AA230" s="5" t="s">
        <v>15</v>
      </c>
      <c r="AB230" s="5" t="s">
        <v>65</v>
      </c>
      <c r="AC230" s="5">
        <f t="shared" si="135"/>
        <v>48.5</v>
      </c>
      <c r="AD230" s="5">
        <v>16</v>
      </c>
      <c r="AE230" s="5">
        <v>15</v>
      </c>
      <c r="AF230" s="5">
        <v>11.5</v>
      </c>
      <c r="AG230" s="5">
        <v>9</v>
      </c>
      <c r="AH230" s="5">
        <v>0</v>
      </c>
      <c r="AI230" s="5">
        <v>6.6882611599999988</v>
      </c>
      <c r="AJ230" s="5" t="s">
        <v>15</v>
      </c>
      <c r="AK230" s="5">
        <f t="shared" si="134"/>
        <v>1.9318922648050425</v>
      </c>
      <c r="AL230" s="5" t="s">
        <v>15</v>
      </c>
      <c r="AM230" s="5">
        <v>59</v>
      </c>
      <c r="AN230" s="5">
        <f>100*(AK230/F230)*(AE230*Calculations!$B$5*Calculations!$B$9+AF230*Calculations!$B$6*Calculations!$B$10+AG230*Calculations!$B$7*Calculations!$B$11+AH230*Calculations!$B$8*Calculations!$B$12)</f>
        <v>63.246849983081709</v>
      </c>
      <c r="AO230" s="11" t="s">
        <v>203</v>
      </c>
      <c r="AP230" s="6" t="s">
        <v>229</v>
      </c>
    </row>
    <row r="231" spans="1:42" x14ac:dyDescent="0.3">
      <c r="A231" s="6">
        <v>228</v>
      </c>
      <c r="B231" s="3" t="s">
        <v>205</v>
      </c>
      <c r="C231" s="3" t="s">
        <v>42</v>
      </c>
      <c r="D231" s="3" t="s">
        <v>204</v>
      </c>
      <c r="E231" s="5">
        <v>19.3</v>
      </c>
      <c r="F231" s="5">
        <v>53.5</v>
      </c>
      <c r="G231" s="5">
        <v>5.7</v>
      </c>
      <c r="H231" s="5">
        <v>1</v>
      </c>
      <c r="I231" s="5">
        <v>0</v>
      </c>
      <c r="J231" s="5">
        <v>39.799999999999997</v>
      </c>
      <c r="K231" s="5">
        <f>3.2*(100/(100-L231))</f>
        <v>3.5126234906695943</v>
      </c>
      <c r="L231" s="5">
        <v>8.9</v>
      </c>
      <c r="M231" s="5">
        <f>68.2*(100/(100-L231))</f>
        <v>74.862788144895731</v>
      </c>
      <c r="N231" s="5">
        <f>19.7*(100/(100-L231))</f>
        <v>21.62458836443469</v>
      </c>
      <c r="O231" s="5" t="s">
        <v>15</v>
      </c>
      <c r="P231" s="5" t="s">
        <v>15</v>
      </c>
      <c r="Q231" s="5" t="s">
        <v>15</v>
      </c>
      <c r="R231" s="5">
        <v>780</v>
      </c>
      <c r="S231" s="5" t="s">
        <v>39</v>
      </c>
      <c r="T231" s="5" t="s">
        <v>75</v>
      </c>
      <c r="U231" s="5" t="s">
        <v>208</v>
      </c>
      <c r="V231" s="5">
        <v>0</v>
      </c>
      <c r="W231" s="5">
        <v>0.17</v>
      </c>
      <c r="X231" s="5" t="s">
        <v>33</v>
      </c>
      <c r="Y231" s="5" t="s">
        <v>79</v>
      </c>
      <c r="Z231" s="5" t="s">
        <v>209</v>
      </c>
      <c r="AA231" s="5" t="s">
        <v>210</v>
      </c>
      <c r="AB231" s="5" t="s">
        <v>65</v>
      </c>
      <c r="AC231" s="5">
        <f t="shared" si="135"/>
        <v>43.17</v>
      </c>
      <c r="AD231" s="5">
        <v>17.5</v>
      </c>
      <c r="AE231" s="5">
        <v>19</v>
      </c>
      <c r="AF231" s="5">
        <v>13</v>
      </c>
      <c r="AG231" s="5">
        <v>6.5</v>
      </c>
      <c r="AH231" s="5">
        <v>0.83</v>
      </c>
      <c r="AI231" s="5">
        <v>5.9516161099999989</v>
      </c>
      <c r="AJ231" s="5" t="s">
        <v>15</v>
      </c>
      <c r="AK231" s="5">
        <f t="shared" si="134"/>
        <v>1.9781181753673294</v>
      </c>
      <c r="AL231" s="5" t="s">
        <v>15</v>
      </c>
      <c r="AM231" s="5">
        <v>61</v>
      </c>
      <c r="AN231" s="5">
        <f>100*(AK231/F231)*(AE231*Calculations!$B$5*Calculations!$B$9+AF231*Calculations!$B$6*Calculations!$B$10+AG231*Calculations!$B$7*Calculations!$B$11+AH231*Calculations!$B$8*Calculations!$B$12)</f>
        <v>75.224757429948085</v>
      </c>
      <c r="AO231" s="11" t="s">
        <v>203</v>
      </c>
      <c r="AP231" s="6" t="s">
        <v>229</v>
      </c>
    </row>
    <row r="232" spans="1:42" x14ac:dyDescent="0.3">
      <c r="A232" s="6">
        <v>229</v>
      </c>
      <c r="B232" s="3" t="s">
        <v>205</v>
      </c>
      <c r="C232" s="3" t="s">
        <v>42</v>
      </c>
      <c r="D232" s="3" t="s">
        <v>204</v>
      </c>
      <c r="E232" s="5">
        <v>19.3</v>
      </c>
      <c r="F232" s="5">
        <v>53.5</v>
      </c>
      <c r="G232" s="5">
        <v>5.7</v>
      </c>
      <c r="H232" s="5">
        <v>1</v>
      </c>
      <c r="I232" s="5">
        <v>0</v>
      </c>
      <c r="J232" s="5">
        <v>39.799999999999997</v>
      </c>
      <c r="K232" s="5">
        <f>3.2*(100/(100-L232))</f>
        <v>3.5126234906695943</v>
      </c>
      <c r="L232" s="5">
        <v>8.9</v>
      </c>
      <c r="M232" s="5">
        <f>68.2*(100/(100-L232))</f>
        <v>74.862788144895731</v>
      </c>
      <c r="N232" s="5">
        <f>19.7*(100/(100-L232))</f>
        <v>21.62458836443469</v>
      </c>
      <c r="O232" s="5" t="s">
        <v>15</v>
      </c>
      <c r="P232" s="5" t="s">
        <v>15</v>
      </c>
      <c r="Q232" s="5" t="s">
        <v>15</v>
      </c>
      <c r="R232" s="5">
        <v>780</v>
      </c>
      <c r="S232" s="5" t="s">
        <v>39</v>
      </c>
      <c r="T232" s="5" t="s">
        <v>75</v>
      </c>
      <c r="U232" s="5" t="s">
        <v>208</v>
      </c>
      <c r="V232" s="5">
        <v>0.44</v>
      </c>
      <c r="W232" s="5">
        <v>0.09</v>
      </c>
      <c r="X232" s="5" t="s">
        <v>81</v>
      </c>
      <c r="Y232" s="5" t="s">
        <v>79</v>
      </c>
      <c r="Z232" s="5" t="s">
        <v>209</v>
      </c>
      <c r="AA232" s="5" t="s">
        <v>210</v>
      </c>
      <c r="AB232" s="5" t="s">
        <v>65</v>
      </c>
      <c r="AC232" s="5">
        <f t="shared" si="135"/>
        <v>42.11</v>
      </c>
      <c r="AD232" s="5">
        <v>21</v>
      </c>
      <c r="AE232" s="5">
        <v>18</v>
      </c>
      <c r="AF232" s="5">
        <v>12.5</v>
      </c>
      <c r="AG232" s="5">
        <v>5</v>
      </c>
      <c r="AH232" s="5">
        <v>1.3900000000000001</v>
      </c>
      <c r="AI232" s="5">
        <v>8.6414992949999991</v>
      </c>
      <c r="AJ232" s="5" t="s">
        <v>15</v>
      </c>
      <c r="AK232" s="5">
        <f t="shared" si="134"/>
        <v>1.4740497644164887</v>
      </c>
      <c r="AL232" s="5" t="s">
        <v>15</v>
      </c>
      <c r="AM232" s="5">
        <v>66</v>
      </c>
      <c r="AN232" s="5">
        <f>100*(AK232/F232)*(AE232*Calculations!$B$5*Calculations!$B$9+AF232*Calculations!$B$6*Calculations!$B$10+AG232*Calculations!$B$7*Calculations!$B$11+AH232*Calculations!$B$8*Calculations!$B$12)</f>
        <v>53.489880949880245</v>
      </c>
      <c r="AO232" s="11" t="s">
        <v>203</v>
      </c>
      <c r="AP232" s="6" t="s">
        <v>229</v>
      </c>
    </row>
    <row r="233" spans="1:42" x14ac:dyDescent="0.3">
      <c r="A233" s="6">
        <v>230</v>
      </c>
      <c r="B233" s="3" t="s">
        <v>205</v>
      </c>
      <c r="C233" s="3" t="s">
        <v>42</v>
      </c>
      <c r="D233" s="3" t="s">
        <v>204</v>
      </c>
      <c r="E233" s="5">
        <v>19.3</v>
      </c>
      <c r="F233" s="5">
        <v>53.5</v>
      </c>
      <c r="G233" s="5">
        <v>5.7</v>
      </c>
      <c r="H233" s="5">
        <v>1</v>
      </c>
      <c r="I233" s="5">
        <v>0</v>
      </c>
      <c r="J233" s="5">
        <v>39.799999999999997</v>
      </c>
      <c r="K233" s="5">
        <f>3.2*(100/(100-L233))</f>
        <v>3.5126234906695943</v>
      </c>
      <c r="L233" s="5">
        <v>8.9</v>
      </c>
      <c r="M233" s="5">
        <f>68.2*(100/(100-L233))</f>
        <v>74.862788144895731</v>
      </c>
      <c r="N233" s="5">
        <f>19.7*(100/(100-L233))</f>
        <v>21.62458836443469</v>
      </c>
      <c r="O233" s="5" t="s">
        <v>15</v>
      </c>
      <c r="P233" s="5" t="s">
        <v>15</v>
      </c>
      <c r="Q233" s="5" t="s">
        <v>15</v>
      </c>
      <c r="R233" s="5">
        <v>780</v>
      </c>
      <c r="S233" s="5" t="s">
        <v>39</v>
      </c>
      <c r="T233" s="5" t="s">
        <v>75</v>
      </c>
      <c r="U233" s="5" t="s">
        <v>208</v>
      </c>
      <c r="V233" s="5">
        <v>0</v>
      </c>
      <c r="W233" s="5">
        <v>0.17</v>
      </c>
      <c r="X233" s="5" t="s">
        <v>33</v>
      </c>
      <c r="Y233" s="5" t="s">
        <v>79</v>
      </c>
      <c r="Z233" s="5" t="s">
        <v>207</v>
      </c>
      <c r="AA233" s="5" t="s">
        <v>15</v>
      </c>
      <c r="AB233" s="5" t="s">
        <v>65</v>
      </c>
      <c r="AC233" s="5">
        <f t="shared" si="135"/>
        <v>48.5</v>
      </c>
      <c r="AD233" s="5">
        <v>16</v>
      </c>
      <c r="AE233" s="5">
        <v>17.5</v>
      </c>
      <c r="AF233" s="5">
        <v>12</v>
      </c>
      <c r="AG233" s="5">
        <v>6</v>
      </c>
      <c r="AH233" s="5">
        <v>0</v>
      </c>
      <c r="AI233" s="5">
        <v>6.5846507999999995</v>
      </c>
      <c r="AJ233" s="5" t="s">
        <v>15</v>
      </c>
      <c r="AK233" s="5">
        <f t="shared" si="134"/>
        <v>1.7586354009843621</v>
      </c>
      <c r="AL233" s="5" t="s">
        <v>15</v>
      </c>
      <c r="AM233" s="5">
        <v>60</v>
      </c>
      <c r="AN233" s="5">
        <f>100*(AK233/F233)*(AE233*Calculations!$B$5*Calculations!$B$9+AF233*Calculations!$B$6*Calculations!$B$10+AG233*Calculations!$B$7*Calculations!$B$11+AH233*Calculations!$B$8*Calculations!$B$12)</f>
        <v>59.124664747299498</v>
      </c>
      <c r="AO233" s="11" t="s">
        <v>203</v>
      </c>
      <c r="AP233" s="6" t="s">
        <v>229</v>
      </c>
    </row>
    <row r="234" spans="1:42" x14ac:dyDescent="0.3">
      <c r="A234" s="6">
        <v>231</v>
      </c>
      <c r="B234" s="3" t="s">
        <v>205</v>
      </c>
      <c r="C234" s="3" t="s">
        <v>42</v>
      </c>
      <c r="D234" s="3" t="s">
        <v>204</v>
      </c>
      <c r="E234" s="5">
        <v>19.3</v>
      </c>
      <c r="F234" s="5">
        <v>53.5</v>
      </c>
      <c r="G234" s="5">
        <v>5.7</v>
      </c>
      <c r="H234" s="5">
        <v>1</v>
      </c>
      <c r="I234" s="5">
        <v>0</v>
      </c>
      <c r="J234" s="5">
        <v>39.799999999999997</v>
      </c>
      <c r="K234" s="5">
        <f>3.2*(100/(100-L234))</f>
        <v>3.5126234906695943</v>
      </c>
      <c r="L234" s="5">
        <v>8.9</v>
      </c>
      <c r="M234" s="5">
        <f>68.2*(100/(100-L234))</f>
        <v>74.862788144895731</v>
      </c>
      <c r="N234" s="5">
        <f>19.7*(100/(100-L234))</f>
        <v>21.62458836443469</v>
      </c>
      <c r="O234" s="5" t="s">
        <v>15</v>
      </c>
      <c r="P234" s="5" t="s">
        <v>15</v>
      </c>
      <c r="Q234" s="5" t="s">
        <v>15</v>
      </c>
      <c r="R234" s="5">
        <v>780</v>
      </c>
      <c r="S234" s="5" t="s">
        <v>39</v>
      </c>
      <c r="T234" s="5" t="s">
        <v>75</v>
      </c>
      <c r="U234" s="5" t="s">
        <v>208</v>
      </c>
      <c r="V234" s="5">
        <v>0.44</v>
      </c>
      <c r="W234" s="5">
        <v>0.09</v>
      </c>
      <c r="X234" s="5" t="s">
        <v>81</v>
      </c>
      <c r="Y234" s="5" t="s">
        <v>79</v>
      </c>
      <c r="Z234" s="5" t="s">
        <v>207</v>
      </c>
      <c r="AA234" s="5" t="s">
        <v>15</v>
      </c>
      <c r="AB234" s="5" t="s">
        <v>65</v>
      </c>
      <c r="AC234" s="5">
        <f t="shared" si="135"/>
        <v>54</v>
      </c>
      <c r="AD234" s="5">
        <v>17</v>
      </c>
      <c r="AE234" s="5">
        <v>15</v>
      </c>
      <c r="AF234" s="5">
        <v>10</v>
      </c>
      <c r="AG234" s="5">
        <v>4</v>
      </c>
      <c r="AH234" s="5">
        <v>0</v>
      </c>
      <c r="AI234" s="5">
        <v>6.515301599999999</v>
      </c>
      <c r="AJ234" s="5" t="s">
        <v>15</v>
      </c>
      <c r="AK234" s="5">
        <f t="shared" si="134"/>
        <v>0.94792234944273357</v>
      </c>
      <c r="AL234" s="5" t="s">
        <v>15</v>
      </c>
      <c r="AM234" s="5">
        <v>32</v>
      </c>
      <c r="AN234" s="5">
        <f>100*(AK234/F234)*(AE234*Calculations!$B$5*Calculations!$B$9+AF234*Calculations!$B$6*Calculations!$B$10+AG234*Calculations!$B$7*Calculations!$B$11+AH234*Calculations!$B$8*Calculations!$B$12)</f>
        <v>26.044957540883569</v>
      </c>
      <c r="AO234" s="11" t="s">
        <v>203</v>
      </c>
      <c r="AP234" s="6" t="s">
        <v>229</v>
      </c>
    </row>
    <row r="235" spans="1:42" x14ac:dyDescent="0.3">
      <c r="A235" s="6">
        <v>232</v>
      </c>
      <c r="B235" s="3" t="s">
        <v>213</v>
      </c>
      <c r="C235" s="3" t="s">
        <v>82</v>
      </c>
      <c r="D235" s="3">
        <v>2.5</v>
      </c>
      <c r="E235" s="5">
        <f>17.891-(9*((G235/100*((100+L235)/100)))*Calculations!$B$16)</f>
        <v>16.236912768253966</v>
      </c>
      <c r="F235" s="5">
        <f t="shared" ref="F235:F243" si="139">(100/(100-L235))*43.84</f>
        <v>48.324514991181665</v>
      </c>
      <c r="G235" s="5">
        <f t="shared" ref="G235:G243" si="140">(100/(100-L235))*6.76</f>
        <v>7.4514991181657857</v>
      </c>
      <c r="H235" s="5">
        <f t="shared" ref="H235:H243" si="141">(100/(100-L235))*1.16</f>
        <v>1.2786596119929454</v>
      </c>
      <c r="I235" s="5">
        <f t="shared" ref="I235:I243" si="142">(100/(100-L235))*0.05</f>
        <v>5.5114638447971792E-2</v>
      </c>
      <c r="J235" s="5">
        <f t="shared" ref="J235:J243" si="143">(100/(100-L235))*39.07</f>
        <v>43.066578483245152</v>
      </c>
      <c r="K235" s="5">
        <f t="shared" ref="K235:K243" si="144">(100/(100-L235))*0.83</f>
        <v>0.91490299823633159</v>
      </c>
      <c r="L235" s="5">
        <v>9.2799999999999994</v>
      </c>
      <c r="M235" s="5">
        <f t="shared" ref="M235:M243" si="145">(100/(100-L235))*76.98</f>
        <v>84.854497354497369</v>
      </c>
      <c r="N235" s="5">
        <f t="shared" ref="N235:N243" si="146">(100/(100-L235))*12.9</f>
        <v>14.219576719576722</v>
      </c>
      <c r="O235" s="5" t="s">
        <v>15</v>
      </c>
      <c r="P235" s="5" t="s">
        <v>15</v>
      </c>
      <c r="Q235" s="5" t="s">
        <v>15</v>
      </c>
      <c r="R235" s="5">
        <v>750</v>
      </c>
      <c r="S235" s="5" t="s">
        <v>39</v>
      </c>
      <c r="T235" s="5" t="s">
        <v>75</v>
      </c>
      <c r="U235" s="5" t="s">
        <v>15</v>
      </c>
      <c r="V235" s="5" t="s">
        <v>15</v>
      </c>
      <c r="W235" s="5">
        <v>0.2</v>
      </c>
      <c r="X235" s="5" t="s">
        <v>33</v>
      </c>
      <c r="Y235" s="5" t="s">
        <v>214</v>
      </c>
      <c r="Z235" s="5" t="s">
        <v>15</v>
      </c>
      <c r="AA235" s="5" t="s">
        <v>15</v>
      </c>
      <c r="AB235" s="5" t="s">
        <v>15</v>
      </c>
      <c r="AC235" s="5">
        <f t="shared" ref="AC235:AC243" si="147">100-AD235-AE235-AF235-AG235-AH235</f>
        <v>55</v>
      </c>
      <c r="AD235" s="5">
        <v>6.8</v>
      </c>
      <c r="AE235" s="5">
        <v>18.7</v>
      </c>
      <c r="AF235" s="5">
        <v>11.4</v>
      </c>
      <c r="AG235" s="5">
        <v>6</v>
      </c>
      <c r="AH235" s="5">
        <v>2.1</v>
      </c>
      <c r="AI235" s="5">
        <v>6.6</v>
      </c>
      <c r="AJ235" s="5">
        <v>87.1</v>
      </c>
      <c r="AK235" s="5">
        <v>1.44</v>
      </c>
      <c r="AL235" s="5" t="s">
        <v>15</v>
      </c>
      <c r="AM235" s="5">
        <f t="shared" ref="AM235:AM243" si="148">100*(AI235*AK235)/E235</f>
        <v>58.533294694925011</v>
      </c>
      <c r="AN235" s="5">
        <f>100*(AK235/F235)*(AE235*Calculations!$B$5*Calculations!$B$9+AF235*Calculations!$B$6*Calculations!$B$10+AG235*Calculations!$B$7*Calculations!$B$11+AH235*Calculations!$B$8*Calculations!$B$12)</f>
        <v>60.707927299270068</v>
      </c>
      <c r="AO235" s="6" t="s">
        <v>212</v>
      </c>
      <c r="AP235" s="6" t="s">
        <v>230</v>
      </c>
    </row>
    <row r="236" spans="1:42" x14ac:dyDescent="0.3">
      <c r="A236" s="6">
        <v>233</v>
      </c>
      <c r="B236" s="3" t="s">
        <v>213</v>
      </c>
      <c r="C236" s="3" t="s">
        <v>82</v>
      </c>
      <c r="D236" s="3">
        <v>2.5</v>
      </c>
      <c r="E236" s="5">
        <f>17.891-(9*((G236/100*((100+L236)/100)))*Calculations!$B$16)</f>
        <v>16.236912768253966</v>
      </c>
      <c r="F236" s="5">
        <f t="shared" si="139"/>
        <v>48.324514991181665</v>
      </c>
      <c r="G236" s="5">
        <f t="shared" si="140"/>
        <v>7.4514991181657857</v>
      </c>
      <c r="H236" s="5">
        <f t="shared" si="141"/>
        <v>1.2786596119929454</v>
      </c>
      <c r="I236" s="5">
        <f t="shared" si="142"/>
        <v>5.5114638447971792E-2</v>
      </c>
      <c r="J236" s="5">
        <f t="shared" si="143"/>
        <v>43.066578483245152</v>
      </c>
      <c r="K236" s="5">
        <f t="shared" si="144"/>
        <v>0.91490299823633159</v>
      </c>
      <c r="L236" s="5">
        <v>9.2799999999999994</v>
      </c>
      <c r="M236" s="5">
        <f t="shared" si="145"/>
        <v>84.854497354497369</v>
      </c>
      <c r="N236" s="5">
        <f t="shared" si="146"/>
        <v>14.219576719576722</v>
      </c>
      <c r="O236" s="5" t="s">
        <v>15</v>
      </c>
      <c r="P236" s="5" t="s">
        <v>15</v>
      </c>
      <c r="Q236" s="5" t="s">
        <v>15</v>
      </c>
      <c r="R236" s="5">
        <v>800</v>
      </c>
      <c r="S236" s="5" t="s">
        <v>39</v>
      </c>
      <c r="T236" s="5" t="s">
        <v>75</v>
      </c>
      <c r="U236" s="5" t="s">
        <v>15</v>
      </c>
      <c r="V236" s="5" t="s">
        <v>15</v>
      </c>
      <c r="W236" s="5">
        <v>0.2</v>
      </c>
      <c r="X236" s="5" t="s">
        <v>33</v>
      </c>
      <c r="Y236" s="5" t="s">
        <v>214</v>
      </c>
      <c r="Z236" s="5" t="s">
        <v>15</v>
      </c>
      <c r="AA236" s="5" t="s">
        <v>15</v>
      </c>
      <c r="AB236" s="5" t="s">
        <v>15</v>
      </c>
      <c r="AC236" s="5">
        <f t="shared" si="147"/>
        <v>49.900000000000006</v>
      </c>
      <c r="AD236" s="5">
        <v>9.3000000000000007</v>
      </c>
      <c r="AE236" s="5">
        <v>21.8</v>
      </c>
      <c r="AF236" s="5">
        <v>11</v>
      </c>
      <c r="AG236" s="5">
        <v>6</v>
      </c>
      <c r="AH236" s="5">
        <v>2</v>
      </c>
      <c r="AI236" s="5">
        <v>7.06</v>
      </c>
      <c r="AJ236" s="5">
        <v>55.2</v>
      </c>
      <c r="AK236" s="5">
        <v>1.59</v>
      </c>
      <c r="AL236" s="5" t="s">
        <v>15</v>
      </c>
      <c r="AM236" s="5">
        <f t="shared" si="148"/>
        <v>69.135063790868173</v>
      </c>
      <c r="AN236" s="5">
        <f>100*(AK236/F236)*(AE236*Calculations!$B$5*Calculations!$B$9+AF236*Calculations!$B$6*Calculations!$B$10+AG236*Calculations!$B$7*Calculations!$B$11+AH236*Calculations!$B$8*Calculations!$B$12)</f>
        <v>70.971515638686128</v>
      </c>
      <c r="AO236" s="6" t="s">
        <v>212</v>
      </c>
      <c r="AP236" s="6" t="s">
        <v>230</v>
      </c>
    </row>
    <row r="237" spans="1:42" x14ac:dyDescent="0.3">
      <c r="A237" s="6">
        <v>234</v>
      </c>
      <c r="B237" s="3" t="s">
        <v>213</v>
      </c>
      <c r="C237" s="3" t="s">
        <v>82</v>
      </c>
      <c r="D237" s="3">
        <v>2.5</v>
      </c>
      <c r="E237" s="5">
        <f>17.891-(9*((G237/100*((100+L237)/100)))*Calculations!$B$16)</f>
        <v>16.236912768253966</v>
      </c>
      <c r="F237" s="5">
        <f t="shared" si="139"/>
        <v>48.324514991181665</v>
      </c>
      <c r="G237" s="5">
        <f t="shared" si="140"/>
        <v>7.4514991181657857</v>
      </c>
      <c r="H237" s="5">
        <f t="shared" si="141"/>
        <v>1.2786596119929454</v>
      </c>
      <c r="I237" s="5">
        <f t="shared" si="142"/>
        <v>5.5114638447971792E-2</v>
      </c>
      <c r="J237" s="5">
        <f t="shared" si="143"/>
        <v>43.066578483245152</v>
      </c>
      <c r="K237" s="5">
        <f t="shared" si="144"/>
        <v>0.91490299823633159</v>
      </c>
      <c r="L237" s="5">
        <v>9.2799999999999994</v>
      </c>
      <c r="M237" s="5">
        <f t="shared" si="145"/>
        <v>84.854497354497369</v>
      </c>
      <c r="N237" s="5">
        <f t="shared" si="146"/>
        <v>14.219576719576722</v>
      </c>
      <c r="O237" s="5" t="s">
        <v>15</v>
      </c>
      <c r="P237" s="5" t="s">
        <v>15</v>
      </c>
      <c r="Q237" s="5" t="s">
        <v>15</v>
      </c>
      <c r="R237" s="5">
        <v>850</v>
      </c>
      <c r="S237" s="5" t="s">
        <v>39</v>
      </c>
      <c r="T237" s="5" t="s">
        <v>75</v>
      </c>
      <c r="U237" s="5" t="s">
        <v>15</v>
      </c>
      <c r="V237" s="5" t="s">
        <v>15</v>
      </c>
      <c r="W237" s="5">
        <v>0.2</v>
      </c>
      <c r="X237" s="5" t="s">
        <v>33</v>
      </c>
      <c r="Y237" s="5" t="s">
        <v>214</v>
      </c>
      <c r="Z237" s="5" t="s">
        <v>15</v>
      </c>
      <c r="AA237" s="5" t="s">
        <v>15</v>
      </c>
      <c r="AB237" s="5" t="s">
        <v>15</v>
      </c>
      <c r="AC237" s="5">
        <f t="shared" si="147"/>
        <v>44.2</v>
      </c>
      <c r="AD237" s="5">
        <v>13</v>
      </c>
      <c r="AE237" s="5">
        <v>24.7</v>
      </c>
      <c r="AF237" s="5">
        <v>10.8</v>
      </c>
      <c r="AG237" s="5">
        <v>5.5</v>
      </c>
      <c r="AH237" s="5">
        <v>1.8</v>
      </c>
      <c r="AI237" s="5">
        <v>7.45</v>
      </c>
      <c r="AJ237" s="5">
        <v>48.9</v>
      </c>
      <c r="AK237" s="5">
        <v>1.8</v>
      </c>
      <c r="AL237" s="5" t="s">
        <v>15</v>
      </c>
      <c r="AM237" s="5">
        <f t="shared" si="148"/>
        <v>82.58959194643775</v>
      </c>
      <c r="AN237" s="5">
        <f>100*(AK237/F237)*(AE237*Calculations!$B$5*Calculations!$B$9+AF237*Calculations!$B$6*Calculations!$B$10+AG237*Calculations!$B$7*Calculations!$B$11+AH237*Calculations!$B$8*Calculations!$B$12)</f>
        <v>83.549186770072978</v>
      </c>
      <c r="AO237" s="6" t="s">
        <v>212</v>
      </c>
      <c r="AP237" s="6" t="s">
        <v>230</v>
      </c>
    </row>
    <row r="238" spans="1:42" x14ac:dyDescent="0.3">
      <c r="A238" s="6">
        <v>235</v>
      </c>
      <c r="B238" s="3" t="s">
        <v>213</v>
      </c>
      <c r="C238" s="3" t="s">
        <v>82</v>
      </c>
      <c r="D238" s="3">
        <v>2.5</v>
      </c>
      <c r="E238" s="5">
        <f>17.891-(9*((G238/100*((100+L238)/100)))*Calculations!$B$16)</f>
        <v>16.236912768253966</v>
      </c>
      <c r="F238" s="5">
        <f t="shared" si="139"/>
        <v>48.324514991181665</v>
      </c>
      <c r="G238" s="5">
        <f t="shared" si="140"/>
        <v>7.4514991181657857</v>
      </c>
      <c r="H238" s="5">
        <f t="shared" si="141"/>
        <v>1.2786596119929454</v>
      </c>
      <c r="I238" s="5">
        <f t="shared" si="142"/>
        <v>5.5114638447971792E-2</v>
      </c>
      <c r="J238" s="5">
        <f t="shared" si="143"/>
        <v>43.066578483245152</v>
      </c>
      <c r="K238" s="5">
        <f t="shared" si="144"/>
        <v>0.91490299823633159</v>
      </c>
      <c r="L238" s="5">
        <v>9.2799999999999994</v>
      </c>
      <c r="M238" s="5">
        <f t="shared" si="145"/>
        <v>84.854497354497369</v>
      </c>
      <c r="N238" s="5">
        <f t="shared" si="146"/>
        <v>14.219576719576722</v>
      </c>
      <c r="O238" s="5" t="s">
        <v>15</v>
      </c>
      <c r="P238" s="5" t="s">
        <v>15</v>
      </c>
      <c r="Q238" s="5" t="s">
        <v>15</v>
      </c>
      <c r="R238" s="5">
        <v>900</v>
      </c>
      <c r="S238" s="5" t="s">
        <v>39</v>
      </c>
      <c r="T238" s="5" t="s">
        <v>75</v>
      </c>
      <c r="U238" s="5" t="s">
        <v>15</v>
      </c>
      <c r="V238" s="5" t="s">
        <v>15</v>
      </c>
      <c r="W238" s="5">
        <v>0.2</v>
      </c>
      <c r="X238" s="5" t="s">
        <v>33</v>
      </c>
      <c r="Y238" s="5" t="s">
        <v>214</v>
      </c>
      <c r="Z238" s="5" t="s">
        <v>15</v>
      </c>
      <c r="AA238" s="5" t="s">
        <v>15</v>
      </c>
      <c r="AB238" s="5" t="s">
        <v>15</v>
      </c>
      <c r="AC238" s="5">
        <f t="shared" si="147"/>
        <v>39</v>
      </c>
      <c r="AD238" s="5">
        <v>16</v>
      </c>
      <c r="AE238" s="5">
        <v>27.9</v>
      </c>
      <c r="AF238" s="5">
        <v>11</v>
      </c>
      <c r="AG238" s="5">
        <v>5.0999999999999996</v>
      </c>
      <c r="AH238" s="5">
        <v>1</v>
      </c>
      <c r="AI238" s="5">
        <v>7.72</v>
      </c>
      <c r="AJ238" s="5">
        <v>41.7</v>
      </c>
      <c r="AK238" s="5">
        <v>2.0099999999999998</v>
      </c>
      <c r="AL238" s="5" t="s">
        <v>15</v>
      </c>
      <c r="AM238" s="5">
        <f t="shared" si="148"/>
        <v>95.567428497484244</v>
      </c>
      <c r="AN238" s="5">
        <f>100*(AK238/F238)*(AE238*Calculations!$B$5*Calculations!$B$9+AF238*Calculations!$B$6*Calculations!$B$10+AG238*Calculations!$B$7*Calculations!$B$11+AH238*Calculations!$B$8*Calculations!$B$12)</f>
        <v>96.063351758211638</v>
      </c>
      <c r="AO238" s="6" t="s">
        <v>212</v>
      </c>
      <c r="AP238" s="6" t="s">
        <v>230</v>
      </c>
    </row>
    <row r="239" spans="1:42" x14ac:dyDescent="0.3">
      <c r="A239" s="6">
        <v>236</v>
      </c>
      <c r="B239" s="3" t="s">
        <v>213</v>
      </c>
      <c r="C239" s="3" t="s">
        <v>82</v>
      </c>
      <c r="D239" s="3">
        <v>2.5</v>
      </c>
      <c r="E239" s="5">
        <f>17.891-(9*((G239/100*((100+L239)/100)))*Calculations!$B$16)</f>
        <v>16.236912768253966</v>
      </c>
      <c r="F239" s="5">
        <f t="shared" si="139"/>
        <v>48.324514991181665</v>
      </c>
      <c r="G239" s="5">
        <f t="shared" si="140"/>
        <v>7.4514991181657857</v>
      </c>
      <c r="H239" s="5">
        <f t="shared" si="141"/>
        <v>1.2786596119929454</v>
      </c>
      <c r="I239" s="5">
        <f t="shared" si="142"/>
        <v>5.5114638447971792E-2</v>
      </c>
      <c r="J239" s="5">
        <f t="shared" si="143"/>
        <v>43.066578483245152</v>
      </c>
      <c r="K239" s="5">
        <f t="shared" si="144"/>
        <v>0.91490299823633159</v>
      </c>
      <c r="L239" s="5">
        <v>9.2799999999999994</v>
      </c>
      <c r="M239" s="5">
        <f t="shared" si="145"/>
        <v>84.854497354497369</v>
      </c>
      <c r="N239" s="5">
        <f t="shared" si="146"/>
        <v>14.219576719576722</v>
      </c>
      <c r="O239" s="5" t="s">
        <v>15</v>
      </c>
      <c r="P239" s="5" t="s">
        <v>15</v>
      </c>
      <c r="Q239" s="5" t="s">
        <v>15</v>
      </c>
      <c r="R239" s="5">
        <v>950</v>
      </c>
      <c r="S239" s="5" t="s">
        <v>39</v>
      </c>
      <c r="T239" s="5" t="s">
        <v>75</v>
      </c>
      <c r="U239" s="5" t="s">
        <v>15</v>
      </c>
      <c r="V239" s="5" t="s">
        <v>15</v>
      </c>
      <c r="W239" s="5">
        <v>0.2</v>
      </c>
      <c r="X239" s="5" t="s">
        <v>33</v>
      </c>
      <c r="Y239" s="5" t="s">
        <v>214</v>
      </c>
      <c r="Z239" s="5" t="s">
        <v>15</v>
      </c>
      <c r="AA239" s="5" t="s">
        <v>15</v>
      </c>
      <c r="AB239" s="5" t="s">
        <v>15</v>
      </c>
      <c r="AC239" s="5">
        <f t="shared" si="147"/>
        <v>35.100000000000009</v>
      </c>
      <c r="AD239" s="5">
        <v>18.600000000000001</v>
      </c>
      <c r="AE239" s="5">
        <v>31.3</v>
      </c>
      <c r="AF239" s="5">
        <v>10.4</v>
      </c>
      <c r="AG239" s="5">
        <v>4.0999999999999996</v>
      </c>
      <c r="AH239" s="5">
        <v>0.5</v>
      </c>
      <c r="AI239" s="5">
        <v>7.7</v>
      </c>
      <c r="AJ239" s="5">
        <v>38.1</v>
      </c>
      <c r="AK239" s="5">
        <v>2.0699999999999998</v>
      </c>
      <c r="AL239" s="5" t="s">
        <v>15</v>
      </c>
      <c r="AM239" s="5">
        <f t="shared" si="148"/>
        <v>98.165212977947149</v>
      </c>
      <c r="AN239" s="5">
        <f>100*(AK239/F239)*(AE239*Calculations!$B$5*Calculations!$B$9+AF239*Calculations!$B$6*Calculations!$B$10+AG239*Calculations!$B$7*Calculations!$B$11+AH239*Calculations!$B$8*Calculations!$B$12)</f>
        <v>100.381657754562</v>
      </c>
      <c r="AO239" s="6" t="s">
        <v>212</v>
      </c>
      <c r="AP239" s="6" t="s">
        <v>230</v>
      </c>
    </row>
    <row r="240" spans="1:42" x14ac:dyDescent="0.3">
      <c r="A240" s="6">
        <v>237</v>
      </c>
      <c r="B240" s="3" t="s">
        <v>213</v>
      </c>
      <c r="C240" s="3" t="s">
        <v>82</v>
      </c>
      <c r="D240" s="3">
        <v>2.5</v>
      </c>
      <c r="E240" s="5">
        <f>17.891-(9*((G240/100*((100+L240)/100)))*Calculations!$B$16)</f>
        <v>16.236912768253966</v>
      </c>
      <c r="F240" s="5">
        <f t="shared" si="139"/>
        <v>48.324514991181665</v>
      </c>
      <c r="G240" s="5">
        <f t="shared" si="140"/>
        <v>7.4514991181657857</v>
      </c>
      <c r="H240" s="5">
        <f t="shared" si="141"/>
        <v>1.2786596119929454</v>
      </c>
      <c r="I240" s="5">
        <f t="shared" si="142"/>
        <v>5.5114638447971792E-2</v>
      </c>
      <c r="J240" s="5">
        <f t="shared" si="143"/>
        <v>43.066578483245152</v>
      </c>
      <c r="K240" s="5">
        <f t="shared" si="144"/>
        <v>0.91490299823633159</v>
      </c>
      <c r="L240" s="5">
        <v>9.2799999999999994</v>
      </c>
      <c r="M240" s="5">
        <f t="shared" si="145"/>
        <v>84.854497354497369</v>
      </c>
      <c r="N240" s="5">
        <f t="shared" si="146"/>
        <v>14.219576719576722</v>
      </c>
      <c r="O240" s="5" t="s">
        <v>15</v>
      </c>
      <c r="P240" s="5" t="s">
        <v>15</v>
      </c>
      <c r="Q240" s="5" t="s">
        <v>15</v>
      </c>
      <c r="R240" s="5">
        <v>800</v>
      </c>
      <c r="S240" s="5" t="s">
        <v>39</v>
      </c>
      <c r="T240" s="5" t="s">
        <v>75</v>
      </c>
      <c r="U240" s="5" t="s">
        <v>15</v>
      </c>
      <c r="V240" s="5" t="s">
        <v>15</v>
      </c>
      <c r="W240" s="5">
        <v>0.1</v>
      </c>
      <c r="X240" s="5" t="s">
        <v>33</v>
      </c>
      <c r="Y240" s="5" t="s">
        <v>214</v>
      </c>
      <c r="Z240" s="5" t="s">
        <v>15</v>
      </c>
      <c r="AA240" s="5" t="s">
        <v>15</v>
      </c>
      <c r="AB240" s="5" t="s">
        <v>15</v>
      </c>
      <c r="AC240" s="5">
        <f t="shared" si="147"/>
        <v>52.500000000000007</v>
      </c>
      <c r="AD240" s="5">
        <v>9.8000000000000007</v>
      </c>
      <c r="AE240" s="5">
        <v>21.4</v>
      </c>
      <c r="AF240" s="5">
        <v>8.1</v>
      </c>
      <c r="AG240" s="5">
        <v>6</v>
      </c>
      <c r="AH240" s="5">
        <v>2.2000000000000002</v>
      </c>
      <c r="AI240" s="5">
        <v>7.26</v>
      </c>
      <c r="AJ240" s="5">
        <v>80.400000000000006</v>
      </c>
      <c r="AK240" s="5">
        <v>1.3</v>
      </c>
      <c r="AL240" s="5" t="s">
        <v>15</v>
      </c>
      <c r="AM240" s="5">
        <f t="shared" si="148"/>
        <v>58.126813481765815</v>
      </c>
      <c r="AN240" s="5">
        <f>100*(AK240/F240)*(AE240*Calculations!$B$5*Calculations!$B$9+AF240*Calculations!$B$6*Calculations!$B$10+AG240*Calculations!$B$7*Calculations!$B$11+AH240*Calculations!$B$8*Calculations!$B$12)</f>
        <v>53.832703467153266</v>
      </c>
      <c r="AO240" s="6" t="s">
        <v>212</v>
      </c>
      <c r="AP240" s="6" t="s">
        <v>230</v>
      </c>
    </row>
    <row r="241" spans="1:42" x14ac:dyDescent="0.3">
      <c r="A241" s="6">
        <v>238</v>
      </c>
      <c r="B241" s="3" t="s">
        <v>213</v>
      </c>
      <c r="C241" s="3" t="s">
        <v>82</v>
      </c>
      <c r="D241" s="3">
        <v>2.5</v>
      </c>
      <c r="E241" s="5">
        <f>17.891-(9*((G241/100*((100+L241)/100)))*Calculations!$B$16)</f>
        <v>16.236912768253966</v>
      </c>
      <c r="F241" s="5">
        <f t="shared" si="139"/>
        <v>48.324514991181665</v>
      </c>
      <c r="G241" s="5">
        <f t="shared" si="140"/>
        <v>7.4514991181657857</v>
      </c>
      <c r="H241" s="5">
        <f t="shared" si="141"/>
        <v>1.2786596119929454</v>
      </c>
      <c r="I241" s="5">
        <f t="shared" si="142"/>
        <v>5.5114638447971792E-2</v>
      </c>
      <c r="J241" s="5">
        <f t="shared" si="143"/>
        <v>43.066578483245152</v>
      </c>
      <c r="K241" s="5">
        <f t="shared" si="144"/>
        <v>0.91490299823633159</v>
      </c>
      <c r="L241" s="5">
        <v>9.2799999999999994</v>
      </c>
      <c r="M241" s="5">
        <f t="shared" si="145"/>
        <v>84.854497354497369</v>
      </c>
      <c r="N241" s="5">
        <f t="shared" si="146"/>
        <v>14.219576719576722</v>
      </c>
      <c r="O241" s="5" t="s">
        <v>15</v>
      </c>
      <c r="P241" s="5" t="s">
        <v>15</v>
      </c>
      <c r="Q241" s="5" t="s">
        <v>15</v>
      </c>
      <c r="R241" s="5">
        <v>800</v>
      </c>
      <c r="S241" s="5" t="s">
        <v>39</v>
      </c>
      <c r="T241" s="5" t="s">
        <v>75</v>
      </c>
      <c r="U241" s="5" t="s">
        <v>15</v>
      </c>
      <c r="V241" s="5" t="s">
        <v>15</v>
      </c>
      <c r="W241" s="5">
        <v>0.3</v>
      </c>
      <c r="X241" s="5" t="s">
        <v>33</v>
      </c>
      <c r="Y241" s="5" t="s">
        <v>214</v>
      </c>
      <c r="Z241" s="5" t="s">
        <v>15</v>
      </c>
      <c r="AA241" s="5" t="s">
        <v>15</v>
      </c>
      <c r="AB241" s="5" t="s">
        <v>15</v>
      </c>
      <c r="AC241" s="5">
        <f t="shared" si="147"/>
        <v>50.800000000000004</v>
      </c>
      <c r="AD241" s="5">
        <v>9</v>
      </c>
      <c r="AE241" s="5">
        <v>20.100000000000001</v>
      </c>
      <c r="AF241" s="5">
        <v>13.5</v>
      </c>
      <c r="AG241" s="5">
        <v>5.0999999999999996</v>
      </c>
      <c r="AH241" s="5">
        <v>1.5</v>
      </c>
      <c r="AI241" s="5">
        <v>6.32</v>
      </c>
      <c r="AJ241" s="5">
        <v>43.5</v>
      </c>
      <c r="AK241" s="5">
        <v>1.89</v>
      </c>
      <c r="AL241" s="5" t="s">
        <v>15</v>
      </c>
      <c r="AM241" s="5">
        <f t="shared" si="148"/>
        <v>73.565709014303479</v>
      </c>
      <c r="AN241" s="5">
        <f>100*(AK241/F241)*(AE241*Calculations!$B$5*Calculations!$B$9+AF241*Calculations!$B$6*Calculations!$B$10+AG241*Calculations!$B$7*Calculations!$B$11+AH241*Calculations!$B$8*Calculations!$B$12)</f>
        <v>82.681548396897796</v>
      </c>
      <c r="AO241" s="6" t="s">
        <v>212</v>
      </c>
      <c r="AP241" s="6" t="s">
        <v>230</v>
      </c>
    </row>
    <row r="242" spans="1:42" x14ac:dyDescent="0.3">
      <c r="A242" s="6">
        <v>239</v>
      </c>
      <c r="B242" s="3" t="s">
        <v>213</v>
      </c>
      <c r="C242" s="3" t="s">
        <v>82</v>
      </c>
      <c r="D242" s="3">
        <v>2.5</v>
      </c>
      <c r="E242" s="5">
        <f>17.891-(9*((G242/100*((100+L242)/100)))*Calculations!$B$16)</f>
        <v>16.236912768253966</v>
      </c>
      <c r="F242" s="5">
        <f t="shared" si="139"/>
        <v>48.324514991181665</v>
      </c>
      <c r="G242" s="5">
        <f t="shared" si="140"/>
        <v>7.4514991181657857</v>
      </c>
      <c r="H242" s="5">
        <f t="shared" si="141"/>
        <v>1.2786596119929454</v>
      </c>
      <c r="I242" s="5">
        <f t="shared" si="142"/>
        <v>5.5114638447971792E-2</v>
      </c>
      <c r="J242" s="5">
        <f t="shared" si="143"/>
        <v>43.066578483245152</v>
      </c>
      <c r="K242" s="5">
        <f t="shared" si="144"/>
        <v>0.91490299823633159</v>
      </c>
      <c r="L242" s="5">
        <v>9.2799999999999994</v>
      </c>
      <c r="M242" s="5">
        <f t="shared" si="145"/>
        <v>84.854497354497369</v>
      </c>
      <c r="N242" s="5">
        <f t="shared" si="146"/>
        <v>14.219576719576722</v>
      </c>
      <c r="O242" s="5" t="s">
        <v>15</v>
      </c>
      <c r="P242" s="5" t="s">
        <v>15</v>
      </c>
      <c r="Q242" s="5" t="s">
        <v>15</v>
      </c>
      <c r="R242" s="5">
        <v>800</v>
      </c>
      <c r="S242" s="5" t="s">
        <v>39</v>
      </c>
      <c r="T242" s="5" t="s">
        <v>75</v>
      </c>
      <c r="U242" s="5" t="s">
        <v>15</v>
      </c>
      <c r="V242" s="5" t="s">
        <v>15</v>
      </c>
      <c r="W242" s="5">
        <v>0.4</v>
      </c>
      <c r="X242" s="5" t="s">
        <v>33</v>
      </c>
      <c r="Y242" s="5" t="s">
        <v>214</v>
      </c>
      <c r="Z242" s="5" t="s">
        <v>15</v>
      </c>
      <c r="AA242" s="5" t="s">
        <v>15</v>
      </c>
      <c r="AB242" s="5" t="s">
        <v>15</v>
      </c>
      <c r="AC242" s="5">
        <f t="shared" si="147"/>
        <v>51.999999999999993</v>
      </c>
      <c r="AD242" s="5">
        <v>7.9</v>
      </c>
      <c r="AE242" s="5">
        <v>18.899999999999999</v>
      </c>
      <c r="AF242" s="5">
        <v>16.100000000000001</v>
      </c>
      <c r="AG242" s="5">
        <v>4.3</v>
      </c>
      <c r="AH242" s="5">
        <v>0.8</v>
      </c>
      <c r="AI242" s="5">
        <v>5.37</v>
      </c>
      <c r="AJ242" s="5">
        <v>36.4</v>
      </c>
      <c r="AK242" s="5">
        <v>2.31</v>
      </c>
      <c r="AL242" s="5" t="s">
        <v>15</v>
      </c>
      <c r="AM242" s="5">
        <f t="shared" si="148"/>
        <v>76.398144013271917</v>
      </c>
      <c r="AN242" s="5">
        <f>100*(AK242/F242)*(AE242*Calculations!$B$5*Calculations!$B$9+AF242*Calculations!$B$6*Calculations!$B$10+AG242*Calculations!$B$7*Calculations!$B$11+AH242*Calculations!$B$8*Calculations!$B$12)</f>
        <v>99.695332190693406</v>
      </c>
      <c r="AO242" s="6" t="s">
        <v>212</v>
      </c>
      <c r="AP242" s="6" t="s">
        <v>230</v>
      </c>
    </row>
    <row r="243" spans="1:42" x14ac:dyDescent="0.3">
      <c r="A243" s="6">
        <v>240</v>
      </c>
      <c r="B243" s="3" t="s">
        <v>213</v>
      </c>
      <c r="C243" s="3" t="s">
        <v>82</v>
      </c>
      <c r="D243" s="3">
        <v>2.5</v>
      </c>
      <c r="E243" s="5">
        <f>17.891-(9*((G243/100*((100+L243)/100)))*Calculations!$B$16)</f>
        <v>16.236912768253966</v>
      </c>
      <c r="F243" s="5">
        <f t="shared" si="139"/>
        <v>48.324514991181665</v>
      </c>
      <c r="G243" s="5">
        <f t="shared" si="140"/>
        <v>7.4514991181657857</v>
      </c>
      <c r="H243" s="5">
        <f t="shared" si="141"/>
        <v>1.2786596119929454</v>
      </c>
      <c r="I243" s="5">
        <f t="shared" si="142"/>
        <v>5.5114638447971792E-2</v>
      </c>
      <c r="J243" s="5">
        <f t="shared" si="143"/>
        <v>43.066578483245152</v>
      </c>
      <c r="K243" s="5">
        <f t="shared" si="144"/>
        <v>0.91490299823633159</v>
      </c>
      <c r="L243" s="5">
        <v>9.2799999999999994</v>
      </c>
      <c r="M243" s="5">
        <f t="shared" si="145"/>
        <v>84.854497354497369</v>
      </c>
      <c r="N243" s="5">
        <f t="shared" si="146"/>
        <v>14.219576719576722</v>
      </c>
      <c r="O243" s="5" t="s">
        <v>15</v>
      </c>
      <c r="P243" s="5" t="s">
        <v>15</v>
      </c>
      <c r="Q243" s="5" t="s">
        <v>15</v>
      </c>
      <c r="R243" s="5">
        <v>800</v>
      </c>
      <c r="S243" s="5" t="s">
        <v>39</v>
      </c>
      <c r="T243" s="5" t="s">
        <v>75</v>
      </c>
      <c r="U243" s="5" t="s">
        <v>15</v>
      </c>
      <c r="V243" s="5" t="s">
        <v>15</v>
      </c>
      <c r="W243" s="5">
        <v>0.5</v>
      </c>
      <c r="X243" s="5" t="s">
        <v>33</v>
      </c>
      <c r="Y243" s="5" t="s">
        <v>214</v>
      </c>
      <c r="Z243" s="5" t="s">
        <v>15</v>
      </c>
      <c r="AA243" s="5" t="s">
        <v>15</v>
      </c>
      <c r="AB243" s="5" t="s">
        <v>15</v>
      </c>
      <c r="AC243" s="5">
        <f t="shared" si="147"/>
        <v>55.4</v>
      </c>
      <c r="AD243" s="5">
        <v>6.5</v>
      </c>
      <c r="AE243" s="5">
        <v>15.8</v>
      </c>
      <c r="AF243" s="5">
        <v>18.7</v>
      </c>
      <c r="AG243" s="5">
        <v>3.1</v>
      </c>
      <c r="AH243" s="5">
        <v>0.5</v>
      </c>
      <c r="AI243" s="5">
        <v>4.1500000000000004</v>
      </c>
      <c r="AJ243" s="5">
        <v>31.9</v>
      </c>
      <c r="AK243" s="5">
        <v>2.84</v>
      </c>
      <c r="AL243" s="5" t="s">
        <v>15</v>
      </c>
      <c r="AM243" s="5">
        <f t="shared" si="148"/>
        <v>72.587690580217398</v>
      </c>
      <c r="AN243" s="5">
        <f>100*(AK243/F243)*(AE243*Calculations!$B$5*Calculations!$B$9+AF243*Calculations!$B$6*Calculations!$B$10+AG243*Calculations!$B$7*Calculations!$B$11+AH243*Calculations!$B$8*Calculations!$B$12)</f>
        <v>116.6610709379562</v>
      </c>
      <c r="AO243" s="6" t="s">
        <v>212</v>
      </c>
      <c r="AP243" s="6" t="s">
        <v>230</v>
      </c>
    </row>
    <row r="244" spans="1:42" x14ac:dyDescent="0.3">
      <c r="A244" s="6">
        <v>241</v>
      </c>
      <c r="B244" s="3" t="s">
        <v>216</v>
      </c>
      <c r="C244" s="3" t="s">
        <v>159</v>
      </c>
      <c r="D244" s="3">
        <v>3.75</v>
      </c>
      <c r="E244" s="5">
        <f>(100/(100+K244+L244))*17.75</f>
        <v>15.834076717216769</v>
      </c>
      <c r="F244" s="5">
        <v>43.83</v>
      </c>
      <c r="G244" s="5">
        <v>5.95</v>
      </c>
      <c r="H244" s="5">
        <v>0.97</v>
      </c>
      <c r="I244" s="5">
        <v>0.13</v>
      </c>
      <c r="J244" s="5">
        <v>45.01</v>
      </c>
      <c r="K244" s="5">
        <v>5.93</v>
      </c>
      <c r="L244" s="5">
        <v>6.17</v>
      </c>
      <c r="M244" s="5">
        <v>75.95</v>
      </c>
      <c r="N244" s="5">
        <v>13.75</v>
      </c>
      <c r="O244" s="5" t="s">
        <v>15</v>
      </c>
      <c r="P244" s="5" t="s">
        <v>15</v>
      </c>
      <c r="Q244" s="5" t="s">
        <v>15</v>
      </c>
      <c r="R244" s="5">
        <v>900</v>
      </c>
      <c r="S244" s="5" t="s">
        <v>39</v>
      </c>
      <c r="T244" s="5" t="s">
        <v>75</v>
      </c>
      <c r="U244" s="5" t="s">
        <v>15</v>
      </c>
      <c r="V244" s="5" t="s">
        <v>15</v>
      </c>
      <c r="W244" s="5">
        <v>0.18</v>
      </c>
      <c r="X244" s="5" t="s">
        <v>33</v>
      </c>
      <c r="Y244" s="5" t="s">
        <v>114</v>
      </c>
      <c r="Z244" s="5" t="s">
        <v>15</v>
      </c>
      <c r="AA244" s="5" t="s">
        <v>15</v>
      </c>
      <c r="AB244" s="5" t="s">
        <v>217</v>
      </c>
      <c r="AC244" s="5">
        <v>48.58</v>
      </c>
      <c r="AD244" s="5">
        <v>6.91</v>
      </c>
      <c r="AE244" s="5">
        <v>11.35</v>
      </c>
      <c r="AF244" s="5">
        <v>23.93</v>
      </c>
      <c r="AG244" s="5">
        <v>1.27</v>
      </c>
      <c r="AH244" s="5">
        <v>0.98</v>
      </c>
      <c r="AI244" s="5">
        <v>2.69</v>
      </c>
      <c r="AJ244" s="5">
        <v>7.2149999999999999</v>
      </c>
      <c r="AK244" s="5">
        <v>1.35</v>
      </c>
      <c r="AL244" s="5" t="s">
        <v>15</v>
      </c>
      <c r="AM244" s="5">
        <v>21.17</v>
      </c>
      <c r="AN244" s="5">
        <f>100*(AK244/F244)*(AE244*Calculations!$B$5*Calculations!$B$9+AF244*Calculations!$B$6*Calculations!$B$10+AG244*Calculations!$B$7*Calculations!$B$11+AH244*Calculations!$B$8*Calculations!$B$12)</f>
        <v>61.861842549134636</v>
      </c>
      <c r="AO244" s="6" t="s">
        <v>215</v>
      </c>
      <c r="AP244" s="6" t="s">
        <v>218</v>
      </c>
    </row>
    <row r="245" spans="1:42" x14ac:dyDescent="0.3">
      <c r="A245" s="6">
        <v>242</v>
      </c>
      <c r="B245" s="3" t="s">
        <v>216</v>
      </c>
      <c r="C245" s="3" t="s">
        <v>159</v>
      </c>
      <c r="D245" s="3">
        <v>3.75</v>
      </c>
      <c r="E245" s="5">
        <f>(100/(100+K245+L245))*17.75</f>
        <v>15.834076717216769</v>
      </c>
      <c r="F245" s="5">
        <v>43.83</v>
      </c>
      <c r="G245" s="5">
        <v>5.95</v>
      </c>
      <c r="H245" s="5">
        <v>0.97</v>
      </c>
      <c r="I245" s="5">
        <v>0.13</v>
      </c>
      <c r="J245" s="5">
        <v>45.01</v>
      </c>
      <c r="K245" s="5">
        <v>5.93</v>
      </c>
      <c r="L245" s="5">
        <v>6.17</v>
      </c>
      <c r="M245" s="5">
        <v>75.95</v>
      </c>
      <c r="N245" s="5">
        <v>13.75</v>
      </c>
      <c r="O245" s="5" t="s">
        <v>15</v>
      </c>
      <c r="P245" s="5" t="s">
        <v>15</v>
      </c>
      <c r="Q245" s="5" t="s">
        <v>15</v>
      </c>
      <c r="R245" s="5">
        <v>950</v>
      </c>
      <c r="S245" s="5" t="s">
        <v>39</v>
      </c>
      <c r="T245" s="5" t="s">
        <v>75</v>
      </c>
      <c r="U245" s="5" t="s">
        <v>15</v>
      </c>
      <c r="V245" s="5" t="s">
        <v>15</v>
      </c>
      <c r="W245" s="5">
        <v>0.21</v>
      </c>
      <c r="X245" s="5" t="s">
        <v>33</v>
      </c>
      <c r="Y245" s="5" t="s">
        <v>114</v>
      </c>
      <c r="Z245" s="5" t="s">
        <v>15</v>
      </c>
      <c r="AA245" s="5" t="s">
        <v>15</v>
      </c>
      <c r="AB245" s="5" t="s">
        <v>217</v>
      </c>
      <c r="AC245" s="5">
        <v>51.15</v>
      </c>
      <c r="AD245" s="5">
        <v>8.23</v>
      </c>
      <c r="AE245" s="5">
        <v>13.55</v>
      </c>
      <c r="AF245" s="5">
        <v>20.37</v>
      </c>
      <c r="AG245" s="5">
        <v>1.84</v>
      </c>
      <c r="AH245" s="5">
        <v>1.1200000000000001</v>
      </c>
      <c r="AI245" s="5">
        <v>3.32</v>
      </c>
      <c r="AJ245" s="5">
        <v>6.8520000000000003</v>
      </c>
      <c r="AK245" s="5">
        <v>1.47</v>
      </c>
      <c r="AL245" s="5" t="s">
        <v>15</v>
      </c>
      <c r="AM245" s="5">
        <v>28.46</v>
      </c>
      <c r="AN245" s="5">
        <f>100*(AK245/F245)*(AE245*Calculations!$B$5*Calculations!$B$9+AF245*Calculations!$B$6*Calculations!$B$10+AG245*Calculations!$B$7*Calculations!$B$11+AH245*Calculations!$B$8*Calculations!$B$12)</f>
        <v>65.935026694045163</v>
      </c>
      <c r="AO245" s="6" t="s">
        <v>215</v>
      </c>
      <c r="AP245" s="6" t="s">
        <v>218</v>
      </c>
    </row>
    <row r="246" spans="1:42" x14ac:dyDescent="0.3">
      <c r="A246" s="6">
        <v>243</v>
      </c>
      <c r="B246" s="3" t="s">
        <v>216</v>
      </c>
      <c r="C246" s="3" t="s">
        <v>159</v>
      </c>
      <c r="D246" s="3">
        <v>3.75</v>
      </c>
      <c r="E246" s="5">
        <f t="shared" ref="E246:E250" si="149">(100/(100+K246+L246))*17.75</f>
        <v>15.834076717216769</v>
      </c>
      <c r="F246" s="5">
        <v>43.83</v>
      </c>
      <c r="G246" s="5">
        <v>5.95</v>
      </c>
      <c r="H246" s="5">
        <v>0.97</v>
      </c>
      <c r="I246" s="5">
        <v>0.13</v>
      </c>
      <c r="J246" s="5">
        <v>45.01</v>
      </c>
      <c r="K246" s="5">
        <v>5.93</v>
      </c>
      <c r="L246" s="5">
        <v>6.17</v>
      </c>
      <c r="M246" s="5">
        <v>75.95</v>
      </c>
      <c r="N246" s="5">
        <v>13.75</v>
      </c>
      <c r="O246" s="5" t="s">
        <v>15</v>
      </c>
      <c r="P246" s="5" t="s">
        <v>15</v>
      </c>
      <c r="Q246" s="5" t="s">
        <v>15</v>
      </c>
      <c r="R246" s="5">
        <v>965</v>
      </c>
      <c r="S246" s="5" t="s">
        <v>39</v>
      </c>
      <c r="T246" s="5" t="s">
        <v>75</v>
      </c>
      <c r="U246" s="5" t="s">
        <v>15</v>
      </c>
      <c r="V246" s="5" t="s">
        <v>15</v>
      </c>
      <c r="W246" s="5">
        <v>0.24</v>
      </c>
      <c r="X246" s="5" t="s">
        <v>33</v>
      </c>
      <c r="Y246" s="5" t="s">
        <v>114</v>
      </c>
      <c r="Z246" s="5" t="s">
        <v>15</v>
      </c>
      <c r="AA246" s="5" t="s">
        <v>15</v>
      </c>
      <c r="AB246" s="5" t="s">
        <v>217</v>
      </c>
      <c r="AC246" s="5">
        <v>52.73</v>
      </c>
      <c r="AD246" s="5">
        <v>10.92</v>
      </c>
      <c r="AE246" s="5">
        <v>16.72</v>
      </c>
      <c r="AF246" s="5">
        <v>16.48</v>
      </c>
      <c r="AG246" s="5">
        <v>2.98</v>
      </c>
      <c r="AH246" s="5">
        <v>1.27</v>
      </c>
      <c r="AI246" s="5">
        <v>4.43</v>
      </c>
      <c r="AJ246" s="5">
        <v>6.3209999999999997</v>
      </c>
      <c r="AK246" s="5">
        <v>1.62</v>
      </c>
      <c r="AL246" s="5" t="s">
        <v>15</v>
      </c>
      <c r="AM246" s="5">
        <v>41.85</v>
      </c>
      <c r="AN246" s="5">
        <f>100*(AK246/F246)*(AE246*Calculations!$B$5*Calculations!$B$9+AF246*Calculations!$B$6*Calculations!$B$10+AG246*Calculations!$B$7*Calculations!$B$11+AH246*Calculations!$B$8*Calculations!$B$12)</f>
        <v>73.26045673217952</v>
      </c>
      <c r="AO246" s="6" t="s">
        <v>215</v>
      </c>
      <c r="AP246" s="6" t="s">
        <v>218</v>
      </c>
    </row>
    <row r="247" spans="1:42" x14ac:dyDescent="0.3">
      <c r="A247" s="6">
        <v>244</v>
      </c>
      <c r="B247" s="3" t="s">
        <v>216</v>
      </c>
      <c r="C247" s="3" t="s">
        <v>159</v>
      </c>
      <c r="D247" s="3">
        <v>3.75</v>
      </c>
      <c r="E247" s="5">
        <f t="shared" si="149"/>
        <v>15.834076717216769</v>
      </c>
      <c r="F247" s="5">
        <v>43.83</v>
      </c>
      <c r="G247" s="5">
        <v>5.95</v>
      </c>
      <c r="H247" s="5">
        <v>0.97</v>
      </c>
      <c r="I247" s="5">
        <v>0.13</v>
      </c>
      <c r="J247" s="5">
        <v>45.01</v>
      </c>
      <c r="K247" s="5">
        <v>5.93</v>
      </c>
      <c r="L247" s="5">
        <v>6.17</v>
      </c>
      <c r="M247" s="5">
        <v>75.95</v>
      </c>
      <c r="N247" s="5">
        <v>13.75</v>
      </c>
      <c r="O247" s="5" t="s">
        <v>15</v>
      </c>
      <c r="P247" s="5" t="s">
        <v>15</v>
      </c>
      <c r="Q247" s="5" t="s">
        <v>15</v>
      </c>
      <c r="R247" s="5">
        <v>975</v>
      </c>
      <c r="S247" s="5" t="s">
        <v>39</v>
      </c>
      <c r="T247" s="5" t="s">
        <v>75</v>
      </c>
      <c r="U247" s="5" t="s">
        <v>15</v>
      </c>
      <c r="V247" s="5" t="s">
        <v>15</v>
      </c>
      <c r="W247" s="5">
        <v>0.28000000000000003</v>
      </c>
      <c r="X247" s="5" t="s">
        <v>33</v>
      </c>
      <c r="Y247" s="5" t="s">
        <v>114</v>
      </c>
      <c r="Z247" s="5" t="s">
        <v>15</v>
      </c>
      <c r="AA247" s="5" t="s">
        <v>15</v>
      </c>
      <c r="AB247" s="5" t="s">
        <v>217</v>
      </c>
      <c r="AC247" s="5">
        <v>53.49</v>
      </c>
      <c r="AD247" s="5">
        <v>12.78</v>
      </c>
      <c r="AE247" s="5">
        <v>18.989999999999998</v>
      </c>
      <c r="AF247" s="5">
        <v>13.11</v>
      </c>
      <c r="AG247" s="5">
        <v>3.96</v>
      </c>
      <c r="AH247" s="5">
        <v>1.75</v>
      </c>
      <c r="AI247" s="5">
        <v>5.3</v>
      </c>
      <c r="AJ247" s="5">
        <v>5.6859999999999999</v>
      </c>
      <c r="AK247" s="5">
        <v>1.81</v>
      </c>
      <c r="AL247" s="5" t="s">
        <v>15</v>
      </c>
      <c r="AM247" s="5">
        <v>55.94</v>
      </c>
      <c r="AN247" s="5">
        <f>100*(AK247/F247)*(AE247*Calculations!$B$5*Calculations!$B$9+AF247*Calculations!$B$6*Calculations!$B$10+AG247*Calculations!$B$7*Calculations!$B$11+AH247*Calculations!$B$8*Calculations!$B$12)</f>
        <v>82.916671653466295</v>
      </c>
      <c r="AO247" s="6" t="s">
        <v>215</v>
      </c>
      <c r="AP247" s="6" t="s">
        <v>218</v>
      </c>
    </row>
    <row r="248" spans="1:42" x14ac:dyDescent="0.3">
      <c r="A248" s="6">
        <v>245</v>
      </c>
      <c r="B248" s="3" t="s">
        <v>216</v>
      </c>
      <c r="C248" s="3" t="s">
        <v>159</v>
      </c>
      <c r="D248" s="3">
        <v>3.75</v>
      </c>
      <c r="E248" s="5">
        <f t="shared" si="149"/>
        <v>15.834076717216769</v>
      </c>
      <c r="F248" s="5">
        <v>43.83</v>
      </c>
      <c r="G248" s="5">
        <v>5.95</v>
      </c>
      <c r="H248" s="5">
        <v>0.97</v>
      </c>
      <c r="I248" s="5">
        <v>0.13</v>
      </c>
      <c r="J248" s="5">
        <v>45.01</v>
      </c>
      <c r="K248" s="5">
        <v>5.93</v>
      </c>
      <c r="L248" s="5">
        <v>6.17</v>
      </c>
      <c r="M248" s="5">
        <v>75.95</v>
      </c>
      <c r="N248" s="5">
        <v>13.75</v>
      </c>
      <c r="O248" s="5" t="s">
        <v>15</v>
      </c>
      <c r="P248" s="5" t="s">
        <v>15</v>
      </c>
      <c r="Q248" s="5" t="s">
        <v>15</v>
      </c>
      <c r="R248" s="5">
        <v>985</v>
      </c>
      <c r="S248" s="5" t="s">
        <v>39</v>
      </c>
      <c r="T248" s="5" t="s">
        <v>75</v>
      </c>
      <c r="U248" s="5" t="s">
        <v>15</v>
      </c>
      <c r="V248" s="5" t="s">
        <v>15</v>
      </c>
      <c r="W248" s="5">
        <v>0.32</v>
      </c>
      <c r="X248" s="5" t="s">
        <v>33</v>
      </c>
      <c r="Y248" s="5" t="s">
        <v>114</v>
      </c>
      <c r="Z248" s="5" t="s">
        <v>15</v>
      </c>
      <c r="AA248" s="5" t="s">
        <v>15</v>
      </c>
      <c r="AB248" s="5" t="s">
        <v>217</v>
      </c>
      <c r="AC248" s="5">
        <v>55.67</v>
      </c>
      <c r="AD248" s="5">
        <v>13.51</v>
      </c>
      <c r="AE248" s="5">
        <v>19.809999999999999</v>
      </c>
      <c r="AF248" s="5">
        <v>11.58</v>
      </c>
      <c r="AG248" s="5">
        <v>3.72</v>
      </c>
      <c r="AH248" s="5">
        <v>1.62</v>
      </c>
      <c r="AI248" s="5">
        <v>5.39</v>
      </c>
      <c r="AJ248" s="5">
        <v>5.125</v>
      </c>
      <c r="AK248" s="5">
        <v>2.14</v>
      </c>
      <c r="AL248" s="5" t="s">
        <v>15</v>
      </c>
      <c r="AM248" s="5">
        <v>67.260000000000005</v>
      </c>
      <c r="AN248" s="5">
        <f>100*(AK248/F248)*(AE248*Calculations!$B$5*Calculations!$B$9+AF248*Calculations!$B$6*Calculations!$B$10+AG248*Calculations!$B$7*Calculations!$B$11+AH248*Calculations!$B$8*Calculations!$B$12)</f>
        <v>94.736839542387784</v>
      </c>
      <c r="AO248" s="6" t="s">
        <v>215</v>
      </c>
      <c r="AP248" s="6" t="s">
        <v>218</v>
      </c>
    </row>
    <row r="249" spans="1:42" x14ac:dyDescent="0.3">
      <c r="A249" s="6">
        <v>246</v>
      </c>
      <c r="B249" s="3" t="s">
        <v>216</v>
      </c>
      <c r="C249" s="3" t="s">
        <v>159</v>
      </c>
      <c r="D249" s="3">
        <v>3.75</v>
      </c>
      <c r="E249" s="5">
        <f t="shared" si="149"/>
        <v>15.834076717216769</v>
      </c>
      <c r="F249" s="5">
        <v>43.83</v>
      </c>
      <c r="G249" s="5">
        <v>5.95</v>
      </c>
      <c r="H249" s="5">
        <v>0.97</v>
      </c>
      <c r="I249" s="5">
        <v>0.13</v>
      </c>
      <c r="J249" s="5">
        <v>45.01</v>
      </c>
      <c r="K249" s="5">
        <v>5.93</v>
      </c>
      <c r="L249" s="5">
        <v>6.17</v>
      </c>
      <c r="M249" s="5">
        <v>75.95</v>
      </c>
      <c r="N249" s="5">
        <v>13.75</v>
      </c>
      <c r="O249" s="5" t="s">
        <v>15</v>
      </c>
      <c r="P249" s="5" t="s">
        <v>15</v>
      </c>
      <c r="Q249" s="5" t="s">
        <v>15</v>
      </c>
      <c r="R249" s="5">
        <v>995</v>
      </c>
      <c r="S249" s="5" t="s">
        <v>39</v>
      </c>
      <c r="T249" s="5" t="s">
        <v>75</v>
      </c>
      <c r="U249" s="5" t="s">
        <v>15</v>
      </c>
      <c r="V249" s="5" t="s">
        <v>15</v>
      </c>
      <c r="W249" s="5">
        <v>0.36</v>
      </c>
      <c r="X249" s="5" t="s">
        <v>33</v>
      </c>
      <c r="Y249" s="5" t="s">
        <v>114</v>
      </c>
      <c r="Z249" s="5" t="s">
        <v>15</v>
      </c>
      <c r="AA249" s="5" t="s">
        <v>15</v>
      </c>
      <c r="AB249" s="5" t="s">
        <v>217</v>
      </c>
      <c r="AC249" s="5">
        <v>56.88</v>
      </c>
      <c r="AD249" s="5">
        <v>12.26</v>
      </c>
      <c r="AE249" s="5">
        <v>17.97</v>
      </c>
      <c r="AF249" s="5">
        <v>13.82</v>
      </c>
      <c r="AG249" s="5">
        <v>3.65</v>
      </c>
      <c r="AH249" s="5">
        <v>1.54</v>
      </c>
      <c r="AI249" s="5">
        <v>4.99</v>
      </c>
      <c r="AJ249" s="5">
        <v>4.8730000000000002</v>
      </c>
      <c r="AK249" s="5">
        <v>2.5299999999999998</v>
      </c>
      <c r="AL249" s="5" t="s">
        <v>15</v>
      </c>
      <c r="AM249" s="5">
        <v>73.61</v>
      </c>
      <c r="AN249" s="5">
        <f>100*(AK249/F249)*(AE249*Calculations!$B$5*Calculations!$B$9+AF249*Calculations!$B$6*Calculations!$B$10+AG249*Calculations!$B$7*Calculations!$B$11+AH249*Calculations!$B$8*Calculations!$B$12)</f>
        <v>113.12884362471885</v>
      </c>
      <c r="AO249" s="6" t="s">
        <v>215</v>
      </c>
      <c r="AP249" s="6" t="s">
        <v>218</v>
      </c>
    </row>
    <row r="250" spans="1:42" ht="15" customHeight="1" x14ac:dyDescent="0.3">
      <c r="A250" s="6">
        <v>247</v>
      </c>
      <c r="B250" s="3" t="s">
        <v>216</v>
      </c>
      <c r="C250" s="3" t="s">
        <v>159</v>
      </c>
      <c r="D250" s="3">
        <v>3.75</v>
      </c>
      <c r="E250" s="5">
        <f t="shared" si="149"/>
        <v>15.834076717216769</v>
      </c>
      <c r="F250" s="5">
        <v>43.83</v>
      </c>
      <c r="G250" s="5">
        <v>5.95</v>
      </c>
      <c r="H250" s="5">
        <v>0.97</v>
      </c>
      <c r="I250" s="5">
        <v>0.13</v>
      </c>
      <c r="J250" s="5">
        <v>45.01</v>
      </c>
      <c r="K250" s="5">
        <v>5.93</v>
      </c>
      <c r="L250" s="5">
        <v>6.17</v>
      </c>
      <c r="M250" s="5">
        <v>75.95</v>
      </c>
      <c r="N250" s="5">
        <v>13.75</v>
      </c>
      <c r="O250" s="5" t="s">
        <v>15</v>
      </c>
      <c r="P250" s="5" t="s">
        <v>15</v>
      </c>
      <c r="Q250" s="5" t="s">
        <v>15</v>
      </c>
      <c r="R250" s="5">
        <v>1025</v>
      </c>
      <c r="S250" s="5" t="s">
        <v>39</v>
      </c>
      <c r="T250" s="5" t="s">
        <v>75</v>
      </c>
      <c r="U250" s="5" t="s">
        <v>15</v>
      </c>
      <c r="V250" s="5" t="s">
        <v>15</v>
      </c>
      <c r="W250" s="5">
        <v>0.41</v>
      </c>
      <c r="X250" s="5" t="s">
        <v>33</v>
      </c>
      <c r="Y250" s="5" t="s">
        <v>114</v>
      </c>
      <c r="Z250" s="5" t="s">
        <v>15</v>
      </c>
      <c r="AA250" s="5" t="s">
        <v>15</v>
      </c>
      <c r="AB250" s="5" t="s">
        <v>217</v>
      </c>
      <c r="AC250" s="5">
        <v>59.71</v>
      </c>
      <c r="AD250" s="5">
        <v>10.58</v>
      </c>
      <c r="AE250" s="5">
        <v>15.16</v>
      </c>
      <c r="AF250" s="5">
        <v>18.41</v>
      </c>
      <c r="AG250" s="5">
        <v>1.57</v>
      </c>
      <c r="AH250" s="5">
        <v>1.31</v>
      </c>
      <c r="AI250" s="5">
        <v>3.69</v>
      </c>
      <c r="AJ250" s="5">
        <v>4.617</v>
      </c>
      <c r="AK250" s="5">
        <v>2.86</v>
      </c>
      <c r="AL250" s="5" t="s">
        <v>15</v>
      </c>
      <c r="AM250" s="5">
        <v>61.54</v>
      </c>
      <c r="AN250" s="5">
        <f>100*(AK250/F250)*(AE250*Calculations!$B$5*Calculations!$B$9+AF250*Calculations!$B$6*Calculations!$B$10+AG250*Calculations!$B$7*Calculations!$B$11+AH250*Calculations!$B$8*Calculations!$B$12)</f>
        <v>126.89402899188418</v>
      </c>
      <c r="AO250" s="6" t="s">
        <v>215</v>
      </c>
      <c r="AP250" s="6" t="s">
        <v>218</v>
      </c>
    </row>
    <row r="251" spans="1:42" x14ac:dyDescent="0.3">
      <c r="A251" s="6">
        <v>248</v>
      </c>
      <c r="B251" s="3" t="s">
        <v>213</v>
      </c>
      <c r="C251" s="3" t="s">
        <v>82</v>
      </c>
      <c r="D251" s="3">
        <f>(4+0.8)/2</f>
        <v>2.4</v>
      </c>
      <c r="E251" s="5">
        <f>100/(100+K251+L251)*18.2</f>
        <v>14.636107760353841</v>
      </c>
      <c r="F251" s="5">
        <v>50</v>
      </c>
      <c r="G251" s="5">
        <v>5.7</v>
      </c>
      <c r="H251" s="5">
        <v>0.2</v>
      </c>
      <c r="I251" s="5">
        <v>0.03</v>
      </c>
      <c r="J251" s="5">
        <v>44.1</v>
      </c>
      <c r="K251" s="5">
        <f>(0.5+1.2)/2</f>
        <v>0.85</v>
      </c>
      <c r="L251" s="5">
        <v>23.5</v>
      </c>
      <c r="M251" s="5">
        <v>82</v>
      </c>
      <c r="N251" s="5">
        <v>16.5</v>
      </c>
      <c r="O251" s="5" t="s">
        <v>15</v>
      </c>
      <c r="P251" s="5" t="s">
        <v>15</v>
      </c>
      <c r="Q251" s="5" t="s">
        <v>15</v>
      </c>
      <c r="R251" s="5">
        <v>800</v>
      </c>
      <c r="S251" s="5" t="s">
        <v>39</v>
      </c>
      <c r="T251" s="5" t="s">
        <v>75</v>
      </c>
      <c r="U251" s="5">
        <v>300</v>
      </c>
      <c r="V251" s="5" t="s">
        <v>15</v>
      </c>
      <c r="W251" s="5">
        <v>0.32</v>
      </c>
      <c r="X251" s="5" t="s">
        <v>33</v>
      </c>
      <c r="Y251" s="5" t="s">
        <v>34</v>
      </c>
      <c r="Z251" s="5" t="s">
        <v>73</v>
      </c>
      <c r="AA251" s="5" t="s">
        <v>15</v>
      </c>
      <c r="AB251" s="5" t="s">
        <v>65</v>
      </c>
      <c r="AC251" s="5">
        <v>61.3</v>
      </c>
      <c r="AD251" s="5">
        <v>7</v>
      </c>
      <c r="AE251" s="5">
        <v>14</v>
      </c>
      <c r="AF251" s="5">
        <v>13.5</v>
      </c>
      <c r="AG251" s="5">
        <v>3</v>
      </c>
      <c r="AH251" s="5">
        <v>1.2</v>
      </c>
      <c r="AI251" s="5">
        <v>4.3</v>
      </c>
      <c r="AJ251" s="5">
        <v>3.7330000000000001</v>
      </c>
      <c r="AK251" s="5">
        <v>1.8496180136710898</v>
      </c>
      <c r="AL251" s="5" t="s">
        <v>15</v>
      </c>
      <c r="AM251" s="5">
        <f t="shared" ref="AM251:AM279" si="150">100*(AI251*AK251)/E251</f>
        <v>54.340659340659336</v>
      </c>
      <c r="AN251" s="5">
        <f>100*(AK251/F251)*(AE251*Calculations!$B$5*Calculations!$B$9+AF251*Calculations!$B$6*Calculations!$B$10+AG251*Calculations!$B$7*Calculations!$B$11+AH251*Calculations!$B$8*Calculations!$B$12)</f>
        <v>62.228416336377734</v>
      </c>
      <c r="AO251" s="6" t="s">
        <v>219</v>
      </c>
      <c r="AP251" s="6" t="s">
        <v>220</v>
      </c>
    </row>
    <row r="252" spans="1:42" x14ac:dyDescent="0.3">
      <c r="A252" s="6">
        <v>249</v>
      </c>
      <c r="B252" s="3" t="s">
        <v>213</v>
      </c>
      <c r="C252" s="3" t="s">
        <v>82</v>
      </c>
      <c r="D252" s="3">
        <f t="shared" ref="D252:D256" si="151">(4+0.8)/2</f>
        <v>2.4</v>
      </c>
      <c r="E252" s="5">
        <f t="shared" ref="E252:E256" si="152">100/(100+K252+L252)*18.2</f>
        <v>14.936397209684039</v>
      </c>
      <c r="F252" s="5">
        <v>50</v>
      </c>
      <c r="G252" s="5">
        <v>5.7</v>
      </c>
      <c r="H252" s="5">
        <v>0.2</v>
      </c>
      <c r="I252" s="5">
        <v>0.03</v>
      </c>
      <c r="J252" s="5">
        <v>44.1</v>
      </c>
      <c r="K252" s="5">
        <f t="shared" ref="K252:K256" si="153">(0.5+1.2)/2</f>
        <v>0.85</v>
      </c>
      <c r="L252" s="5">
        <v>21</v>
      </c>
      <c r="M252" s="5">
        <v>82</v>
      </c>
      <c r="N252" s="5">
        <v>16.5</v>
      </c>
      <c r="O252" s="5" t="s">
        <v>15</v>
      </c>
      <c r="P252" s="5" t="s">
        <v>15</v>
      </c>
      <c r="Q252" s="5" t="s">
        <v>15</v>
      </c>
      <c r="R252" s="5">
        <v>800</v>
      </c>
      <c r="S252" s="5" t="s">
        <v>39</v>
      </c>
      <c r="T252" s="5" t="s">
        <v>75</v>
      </c>
      <c r="U252" s="5">
        <v>300</v>
      </c>
      <c r="V252" s="5" t="s">
        <v>15</v>
      </c>
      <c r="W252" s="5">
        <v>0.37</v>
      </c>
      <c r="X252" s="5" t="s">
        <v>33</v>
      </c>
      <c r="Y252" s="5" t="s">
        <v>34</v>
      </c>
      <c r="Z252" s="5" t="s">
        <v>73</v>
      </c>
      <c r="AA252" s="5" t="s">
        <v>15</v>
      </c>
      <c r="AB252" s="5" t="s">
        <v>65</v>
      </c>
      <c r="AC252" s="5">
        <v>58.3</v>
      </c>
      <c r="AD252" s="5">
        <v>9.5</v>
      </c>
      <c r="AE252" s="5">
        <v>13</v>
      </c>
      <c r="AF252" s="5">
        <v>15</v>
      </c>
      <c r="AG252" s="5">
        <v>2.7</v>
      </c>
      <c r="AH252" s="5">
        <v>1.6</v>
      </c>
      <c r="AI252" s="5">
        <v>4.5999999999999996</v>
      </c>
      <c r="AJ252" s="5">
        <v>7.1630000000000003</v>
      </c>
      <c r="AK252" s="5">
        <v>2.0661157024793391</v>
      </c>
      <c r="AL252" s="5" t="s">
        <v>15</v>
      </c>
      <c r="AM252" s="5">
        <f t="shared" si="150"/>
        <v>63.630687494323858</v>
      </c>
      <c r="AN252" s="5">
        <f>100*(AK252/F252)*(AE252*Calculations!$B$5*Calculations!$B$9+AF252*Calculations!$B$6*Calculations!$B$10+AG252*Calculations!$B$7*Calculations!$B$11+AH252*Calculations!$B$8*Calculations!$B$12)</f>
        <v>71.901402007083831</v>
      </c>
      <c r="AO252" s="6" t="s">
        <v>219</v>
      </c>
      <c r="AP252" s="6" t="s">
        <v>220</v>
      </c>
    </row>
    <row r="253" spans="1:42" x14ac:dyDescent="0.3">
      <c r="A253" s="6">
        <v>250</v>
      </c>
      <c r="B253" s="3" t="s">
        <v>213</v>
      </c>
      <c r="C253" s="3" t="s">
        <v>82</v>
      </c>
      <c r="D253" s="3">
        <f t="shared" si="151"/>
        <v>2.4</v>
      </c>
      <c r="E253" s="5">
        <f t="shared" si="152"/>
        <v>14.695195801372627</v>
      </c>
      <c r="F253" s="5">
        <v>50</v>
      </c>
      <c r="G253" s="5">
        <v>5.7</v>
      </c>
      <c r="H253" s="5">
        <v>0.2</v>
      </c>
      <c r="I253" s="5">
        <v>0.03</v>
      </c>
      <c r="J253" s="5">
        <v>44.1</v>
      </c>
      <c r="K253" s="5">
        <f t="shared" si="153"/>
        <v>0.85</v>
      </c>
      <c r="L253" s="5">
        <v>23</v>
      </c>
      <c r="M253" s="5">
        <v>82</v>
      </c>
      <c r="N253" s="5">
        <v>16.5</v>
      </c>
      <c r="O253" s="5" t="s">
        <v>15</v>
      </c>
      <c r="P253" s="5" t="s">
        <v>15</v>
      </c>
      <c r="Q253" s="5" t="s">
        <v>15</v>
      </c>
      <c r="R253" s="5">
        <v>810</v>
      </c>
      <c r="S253" s="5" t="s">
        <v>39</v>
      </c>
      <c r="T253" s="5" t="s">
        <v>75</v>
      </c>
      <c r="U253" s="5">
        <v>162</v>
      </c>
      <c r="V253" s="5" t="s">
        <v>15</v>
      </c>
      <c r="W253" s="5">
        <v>0.47</v>
      </c>
      <c r="X253" s="5" t="s">
        <v>33</v>
      </c>
      <c r="Y253" s="5" t="s">
        <v>34</v>
      </c>
      <c r="Z253" s="5" t="s">
        <v>73</v>
      </c>
      <c r="AA253" s="5" t="s">
        <v>15</v>
      </c>
      <c r="AB253" s="5" t="s">
        <v>65</v>
      </c>
      <c r="AC253" s="5">
        <v>66.5</v>
      </c>
      <c r="AD253" s="5">
        <v>8</v>
      </c>
      <c r="AE253" s="5">
        <v>10</v>
      </c>
      <c r="AF253" s="5">
        <v>12</v>
      </c>
      <c r="AG253" s="5">
        <v>2.4</v>
      </c>
      <c r="AH253" s="5">
        <v>1.1000000000000001</v>
      </c>
      <c r="AI253" s="5">
        <v>3.7</v>
      </c>
      <c r="AJ253" s="5">
        <v>2.9870000000000001</v>
      </c>
      <c r="AK253" s="5">
        <v>2.0325203252032518</v>
      </c>
      <c r="AL253" s="5" t="s">
        <v>15</v>
      </c>
      <c r="AM253" s="5">
        <f t="shared" si="150"/>
        <v>51.175399803448585</v>
      </c>
      <c r="AN253" s="5">
        <f>100*(AK253/F253)*(AE253*Calculations!$B$5*Calculations!$B$9+AF253*Calculations!$B$6*Calculations!$B$10+AG253*Calculations!$B$7*Calculations!$B$11+AH253*Calculations!$B$8*Calculations!$B$12)</f>
        <v>55.532055749128901</v>
      </c>
      <c r="AO253" s="6" t="s">
        <v>219</v>
      </c>
      <c r="AP253" s="6" t="s">
        <v>220</v>
      </c>
    </row>
    <row r="254" spans="1:42" x14ac:dyDescent="0.3">
      <c r="A254" s="6">
        <v>251</v>
      </c>
      <c r="B254" s="3" t="s">
        <v>213</v>
      </c>
      <c r="C254" s="3" t="s">
        <v>82</v>
      </c>
      <c r="D254" s="3">
        <f t="shared" si="151"/>
        <v>2.4</v>
      </c>
      <c r="E254" s="5">
        <f t="shared" si="152"/>
        <v>14.814814814814815</v>
      </c>
      <c r="F254" s="5">
        <v>50</v>
      </c>
      <c r="G254" s="5">
        <v>5.7</v>
      </c>
      <c r="H254" s="5">
        <v>0.2</v>
      </c>
      <c r="I254" s="5">
        <v>0.03</v>
      </c>
      <c r="J254" s="5">
        <v>44.1</v>
      </c>
      <c r="K254" s="5">
        <f t="shared" si="153"/>
        <v>0.85</v>
      </c>
      <c r="L254" s="5">
        <v>22</v>
      </c>
      <c r="M254" s="5">
        <v>82</v>
      </c>
      <c r="N254" s="5">
        <v>16.5</v>
      </c>
      <c r="O254" s="5" t="s">
        <v>15</v>
      </c>
      <c r="P254" s="5" t="s">
        <v>15</v>
      </c>
      <c r="Q254" s="5" t="s">
        <v>15</v>
      </c>
      <c r="R254" s="5">
        <v>800</v>
      </c>
      <c r="S254" s="5" t="s">
        <v>39</v>
      </c>
      <c r="T254" s="5" t="s">
        <v>75</v>
      </c>
      <c r="U254" s="5">
        <v>240</v>
      </c>
      <c r="V254" s="5" t="s">
        <v>15</v>
      </c>
      <c r="W254" s="5">
        <v>0.26</v>
      </c>
      <c r="X254" s="5" t="s">
        <v>33</v>
      </c>
      <c r="Y254" s="5" t="s">
        <v>34</v>
      </c>
      <c r="Z254" s="5" t="s">
        <v>73</v>
      </c>
      <c r="AA254" s="5" t="s">
        <v>15</v>
      </c>
      <c r="AB254" s="5" t="s">
        <v>65</v>
      </c>
      <c r="AC254" s="5">
        <v>58.3</v>
      </c>
      <c r="AD254" s="5">
        <v>9.5</v>
      </c>
      <c r="AE254" s="5">
        <v>13</v>
      </c>
      <c r="AF254" s="5">
        <v>15</v>
      </c>
      <c r="AG254" s="5">
        <v>2.7</v>
      </c>
      <c r="AH254" s="5">
        <v>1.6</v>
      </c>
      <c r="AI254" s="5">
        <v>4.5999999999999996</v>
      </c>
      <c r="AJ254" s="5">
        <v>2.0110000000000001</v>
      </c>
      <c r="AK254" s="5">
        <v>1.7213114754098362</v>
      </c>
      <c r="AL254" s="5" t="s">
        <v>15</v>
      </c>
      <c r="AM254" s="5">
        <f t="shared" si="150"/>
        <v>53.446721311475414</v>
      </c>
      <c r="AN254" s="5">
        <f>100*(AK254/F254)*(AE254*Calculations!$B$5*Calculations!$B$9+AF254*Calculations!$B$6*Calculations!$B$10+AG254*Calculations!$B$7*Calculations!$B$11+AH254*Calculations!$B$8*Calculations!$B$12)</f>
        <v>59.902118852459019</v>
      </c>
      <c r="AO254" s="6" t="s">
        <v>219</v>
      </c>
      <c r="AP254" s="6" t="s">
        <v>220</v>
      </c>
    </row>
    <row r="255" spans="1:42" x14ac:dyDescent="0.3">
      <c r="A255" s="6">
        <v>252</v>
      </c>
      <c r="B255" s="3" t="s">
        <v>213</v>
      </c>
      <c r="C255" s="3" t="s">
        <v>82</v>
      </c>
      <c r="D255" s="3">
        <f t="shared" si="151"/>
        <v>2.4</v>
      </c>
      <c r="E255" s="5">
        <f t="shared" si="152"/>
        <v>14.461660707191101</v>
      </c>
      <c r="F255" s="5">
        <v>50</v>
      </c>
      <c r="G255" s="5">
        <v>5.7</v>
      </c>
      <c r="H255" s="5">
        <v>0.2</v>
      </c>
      <c r="I255" s="5">
        <v>0.03</v>
      </c>
      <c r="J255" s="5">
        <v>44.1</v>
      </c>
      <c r="K255" s="5">
        <f t="shared" si="153"/>
        <v>0.85</v>
      </c>
      <c r="L255" s="5">
        <v>25</v>
      </c>
      <c r="M255" s="5">
        <v>82</v>
      </c>
      <c r="N255" s="5">
        <v>16.5</v>
      </c>
      <c r="O255" s="5" t="s">
        <v>15</v>
      </c>
      <c r="P255" s="5" t="s">
        <v>15</v>
      </c>
      <c r="Q255" s="5" t="s">
        <v>15</v>
      </c>
      <c r="R255" s="5">
        <v>790</v>
      </c>
      <c r="S255" s="5" t="s">
        <v>39</v>
      </c>
      <c r="T255" s="5" t="s">
        <v>75</v>
      </c>
      <c r="U255" s="5">
        <v>300</v>
      </c>
      <c r="V255" s="5" t="s">
        <v>15</v>
      </c>
      <c r="W255" s="5">
        <v>0.36</v>
      </c>
      <c r="X255" s="5" t="s">
        <v>33</v>
      </c>
      <c r="Y255" s="5" t="s">
        <v>34</v>
      </c>
      <c r="Z255" s="5" t="s">
        <v>73</v>
      </c>
      <c r="AA255" s="5" t="s">
        <v>15</v>
      </c>
      <c r="AB255" s="5" t="s">
        <v>65</v>
      </c>
      <c r="AC255" s="5">
        <v>58.3</v>
      </c>
      <c r="AD255" s="5">
        <v>9.5</v>
      </c>
      <c r="AE255" s="5">
        <v>13</v>
      </c>
      <c r="AF255" s="5">
        <v>15</v>
      </c>
      <c r="AG255" s="5">
        <v>2.7</v>
      </c>
      <c r="AH255" s="5">
        <v>1.6</v>
      </c>
      <c r="AI255" s="5">
        <v>4.5999999999999996</v>
      </c>
      <c r="AJ255" s="5">
        <v>2.0110000000000001</v>
      </c>
      <c r="AK255" s="5">
        <v>1.92</v>
      </c>
      <c r="AL255" s="5" t="s">
        <v>15</v>
      </c>
      <c r="AM255" s="5">
        <f t="shared" si="150"/>
        <v>61.071824175824169</v>
      </c>
      <c r="AN255" s="5">
        <f>100*(AK255/F255)*(AE255*Calculations!$B$5*Calculations!$B$9+AF255*Calculations!$B$6*Calculations!$B$10+AG255*Calculations!$B$7*Calculations!$B$11+AH255*Calculations!$B$8*Calculations!$B$12)</f>
        <v>66.816534857142855</v>
      </c>
      <c r="AO255" s="6" t="s">
        <v>219</v>
      </c>
      <c r="AP255" s="6" t="s">
        <v>220</v>
      </c>
    </row>
    <row r="256" spans="1:42" x14ac:dyDescent="0.3">
      <c r="A256" s="6">
        <v>253</v>
      </c>
      <c r="B256" s="3" t="s">
        <v>213</v>
      </c>
      <c r="C256" s="3" t="s">
        <v>82</v>
      </c>
      <c r="D256" s="3">
        <f t="shared" si="151"/>
        <v>2.4</v>
      </c>
      <c r="E256" s="5">
        <f t="shared" si="152"/>
        <v>15.185648727576137</v>
      </c>
      <c r="F256" s="5">
        <v>50</v>
      </c>
      <c r="G256" s="5">
        <v>5.7</v>
      </c>
      <c r="H256" s="5">
        <v>0.2</v>
      </c>
      <c r="I256" s="5">
        <v>0.03</v>
      </c>
      <c r="J256" s="5">
        <v>44.1</v>
      </c>
      <c r="K256" s="5">
        <f t="shared" si="153"/>
        <v>0.85</v>
      </c>
      <c r="L256" s="5">
        <v>19</v>
      </c>
      <c r="M256" s="5">
        <v>82</v>
      </c>
      <c r="N256" s="5">
        <v>16.5</v>
      </c>
      <c r="O256" s="5" t="s">
        <v>15</v>
      </c>
      <c r="P256" s="5" t="s">
        <v>15</v>
      </c>
      <c r="Q256" s="5" t="s">
        <v>15</v>
      </c>
      <c r="R256" s="5">
        <v>800</v>
      </c>
      <c r="S256" s="5" t="s">
        <v>39</v>
      </c>
      <c r="T256" s="5" t="s">
        <v>75</v>
      </c>
      <c r="U256" s="5">
        <v>312</v>
      </c>
      <c r="V256" s="5" t="s">
        <v>15</v>
      </c>
      <c r="W256" s="5">
        <v>0.32</v>
      </c>
      <c r="X256" s="5" t="s">
        <v>33</v>
      </c>
      <c r="Y256" s="5" t="s">
        <v>34</v>
      </c>
      <c r="Z256" s="5" t="s">
        <v>75</v>
      </c>
      <c r="AA256" s="5" t="s">
        <v>15</v>
      </c>
      <c r="AB256" s="5" t="s">
        <v>65</v>
      </c>
      <c r="AC256" s="5">
        <v>45</v>
      </c>
      <c r="AD256" s="5">
        <v>9.5</v>
      </c>
      <c r="AE256" s="5">
        <v>18</v>
      </c>
      <c r="AF256" s="5">
        <v>13.5</v>
      </c>
      <c r="AG256" s="5">
        <v>4.5</v>
      </c>
      <c r="AH256" s="5">
        <v>2.2999999999999998</v>
      </c>
      <c r="AI256" s="5">
        <v>6.3</v>
      </c>
      <c r="AJ256" s="5">
        <v>9.9809999999999999</v>
      </c>
      <c r="AK256" s="5">
        <v>1.7647058823529413</v>
      </c>
      <c r="AL256" s="5" t="s">
        <v>15</v>
      </c>
      <c r="AM256" s="5">
        <f t="shared" si="150"/>
        <v>73.211538461538481</v>
      </c>
      <c r="AN256" s="5">
        <f>100*(AK256/F256)*(AE256*Calculations!$B$5*Calculations!$B$9+AF256*Calculations!$B$6*Calculations!$B$10+AG256*Calculations!$B$7*Calculations!$B$11+AH256*Calculations!$B$8*Calculations!$B$12)</f>
        <v>72.804516806722702</v>
      </c>
      <c r="AO256" s="6" t="s">
        <v>219</v>
      </c>
      <c r="AP256" s="6" t="s">
        <v>220</v>
      </c>
    </row>
    <row r="257" spans="1:42" x14ac:dyDescent="0.3">
      <c r="A257" s="6">
        <v>254</v>
      </c>
      <c r="B257" s="3" t="s">
        <v>238</v>
      </c>
      <c r="C257" s="3" t="s">
        <v>233</v>
      </c>
      <c r="D257" s="3">
        <v>10</v>
      </c>
      <c r="E257" s="5">
        <f>(100/(100+L257))*18.845</f>
        <v>17.421651104742534</v>
      </c>
      <c r="F257" s="5">
        <f>(100/(100-K257))*49.51</f>
        <v>50.623721881390594</v>
      </c>
      <c r="G257" s="5">
        <f>(100/(100-K257))*5.94</f>
        <v>6.073619631901841</v>
      </c>
      <c r="H257" s="5">
        <f>(100/(100-K257))*0.3</f>
        <v>0.30674846625766872</v>
      </c>
      <c r="I257" s="5">
        <f>(100/(100-K257))*0.16</f>
        <v>0.16359918200408999</v>
      </c>
      <c r="J257" s="5">
        <f>100-I257-H257-G257-F257</f>
        <v>42.832310838445807</v>
      </c>
      <c r="K257" s="5">
        <v>2.2000000000000002</v>
      </c>
      <c r="L257" s="5">
        <v>8.17</v>
      </c>
      <c r="M257" s="5">
        <v>86.27</v>
      </c>
      <c r="N257" s="5">
        <v>11.53</v>
      </c>
      <c r="O257" s="5">
        <v>37.53</v>
      </c>
      <c r="P257" s="5">
        <v>19.329999999999998</v>
      </c>
      <c r="Q257" s="5">
        <v>23.84</v>
      </c>
      <c r="R257" s="5">
        <v>790</v>
      </c>
      <c r="S257" s="5" t="s">
        <v>115</v>
      </c>
      <c r="T257" s="5" t="s">
        <v>234</v>
      </c>
      <c r="U257" s="5">
        <v>16.3</v>
      </c>
      <c r="V257" s="5" t="s">
        <v>15</v>
      </c>
      <c r="W257" s="5">
        <v>0.57999999999999996</v>
      </c>
      <c r="X257" s="5" t="s">
        <v>33</v>
      </c>
      <c r="Y257" s="5" t="s">
        <v>114</v>
      </c>
      <c r="Z257" s="5" t="s">
        <v>15</v>
      </c>
      <c r="AA257" s="5" t="s">
        <v>15</v>
      </c>
      <c r="AB257" s="5" t="s">
        <v>65</v>
      </c>
      <c r="AC257" s="5">
        <f t="shared" ref="AC257:AC261" si="154">100-AD257-AE257-AF257-AG257-AH257</f>
        <v>51.690000000000005</v>
      </c>
      <c r="AD257" s="5">
        <v>16</v>
      </c>
      <c r="AE257" s="5">
        <v>16</v>
      </c>
      <c r="AF257" s="5">
        <v>14.25</v>
      </c>
      <c r="AG257" s="5">
        <v>1.76</v>
      </c>
      <c r="AH257" s="5">
        <f>0.25+0.05</f>
        <v>0.3</v>
      </c>
      <c r="AI257" s="5">
        <v>4.6500000000000004</v>
      </c>
      <c r="AJ257" s="5">
        <v>0.55000000000000004</v>
      </c>
      <c r="AK257" s="5">
        <v>2.2999999999999998</v>
      </c>
      <c r="AL257" s="5" t="s">
        <v>15</v>
      </c>
      <c r="AM257" s="5">
        <f t="shared" si="150"/>
        <v>61.389129742637309</v>
      </c>
      <c r="AN257" s="5">
        <f>100*(AK257/F257)*(AE257*Calculations!$B$5*Calculations!$B$9+AF257*Calculations!$B$6*Calculations!$B$10+AG257*Calculations!$B$7*Calculations!$B$11+AH257*Calculations!$B$8*Calculations!$B$12)</f>
        <v>75.795427241827028</v>
      </c>
      <c r="AO257" s="6" t="s">
        <v>232</v>
      </c>
      <c r="AP257" s="6" t="s">
        <v>235</v>
      </c>
    </row>
    <row r="258" spans="1:42" x14ac:dyDescent="0.3">
      <c r="A258" s="6">
        <v>255</v>
      </c>
      <c r="B258" s="3" t="s">
        <v>238</v>
      </c>
      <c r="C258" s="3" t="s">
        <v>233</v>
      </c>
      <c r="D258" s="3">
        <v>15</v>
      </c>
      <c r="E258" s="5">
        <f t="shared" ref="E258:E261" si="155">(100/(100+L258))*18.845</f>
        <v>17.421651104742534</v>
      </c>
      <c r="F258" s="5">
        <f t="shared" ref="F258:F261" si="156">(100/(100-K258))*49.51</f>
        <v>50.623721881390594</v>
      </c>
      <c r="G258" s="5">
        <f t="shared" ref="G258:G261" si="157">(100/(100-K258))*5.94</f>
        <v>6.073619631901841</v>
      </c>
      <c r="H258" s="5">
        <f t="shared" ref="H258:H261" si="158">(100/(100-K258))*0.3</f>
        <v>0.30674846625766872</v>
      </c>
      <c r="I258" s="5">
        <f t="shared" ref="I258:I261" si="159">(100/(100-K258))*0.16</f>
        <v>0.16359918200408999</v>
      </c>
      <c r="J258" s="5">
        <f t="shared" ref="J258:J261" si="160">100-I258-H258-G258-F258</f>
        <v>42.832310838445807</v>
      </c>
      <c r="K258" s="5">
        <v>2.2000000000000002</v>
      </c>
      <c r="L258" s="5">
        <v>8.17</v>
      </c>
      <c r="M258" s="5">
        <v>86.27</v>
      </c>
      <c r="N258" s="5">
        <v>11.53</v>
      </c>
      <c r="O258" s="5">
        <v>37.53</v>
      </c>
      <c r="P258" s="5">
        <v>19.329999999999998</v>
      </c>
      <c r="Q258" s="5">
        <v>23.84</v>
      </c>
      <c r="R258" s="5">
        <v>820</v>
      </c>
      <c r="S258" s="5" t="s">
        <v>115</v>
      </c>
      <c r="T258" s="5" t="s">
        <v>234</v>
      </c>
      <c r="U258" s="5">
        <v>18.600000000000001</v>
      </c>
      <c r="V258" s="5" t="s">
        <v>15</v>
      </c>
      <c r="W258" s="5">
        <v>0.67</v>
      </c>
      <c r="X258" s="5" t="s">
        <v>33</v>
      </c>
      <c r="Y258" s="5" t="s">
        <v>114</v>
      </c>
      <c r="Z258" s="5" t="s">
        <v>15</v>
      </c>
      <c r="AA258" s="5" t="s">
        <v>15</v>
      </c>
      <c r="AB258" s="5" t="s">
        <v>65</v>
      </c>
      <c r="AC258" s="5">
        <f t="shared" si="154"/>
        <v>51.94</v>
      </c>
      <c r="AD258" s="5">
        <v>15</v>
      </c>
      <c r="AE258" s="5">
        <v>20.5</v>
      </c>
      <c r="AF258" s="5">
        <v>11.5</v>
      </c>
      <c r="AG258" s="5">
        <v>0.95</v>
      </c>
      <c r="AH258" s="5">
        <v>0.11</v>
      </c>
      <c r="AI258" s="5">
        <v>4.7</v>
      </c>
      <c r="AJ258" s="5">
        <v>7.4999999999999997E-2</v>
      </c>
      <c r="AK258" s="5">
        <v>2.6</v>
      </c>
      <c r="AL258" s="5" t="s">
        <v>15</v>
      </c>
      <c r="AM258" s="5">
        <f t="shared" si="150"/>
        <v>70.142605465640756</v>
      </c>
      <c r="AN258" s="5">
        <f>100*(AK258/F258)*(AE258*Calculations!$B$5*Calculations!$B$9+AF258*Calculations!$B$6*Calculations!$B$10+AG258*Calculations!$B$7*Calculations!$B$11+AH258*Calculations!$B$8*Calculations!$B$12)</f>
        <v>86.309770578815233</v>
      </c>
      <c r="AO258" s="6" t="s">
        <v>232</v>
      </c>
      <c r="AP258" s="6" t="s">
        <v>235</v>
      </c>
    </row>
    <row r="259" spans="1:42" x14ac:dyDescent="0.3">
      <c r="A259" s="6">
        <v>256</v>
      </c>
      <c r="B259" s="3" t="s">
        <v>238</v>
      </c>
      <c r="C259" s="3" t="s">
        <v>233</v>
      </c>
      <c r="D259" s="3">
        <v>30</v>
      </c>
      <c r="E259" s="5">
        <f t="shared" si="155"/>
        <v>17.421651104742534</v>
      </c>
      <c r="F259" s="5">
        <f t="shared" si="156"/>
        <v>50.623721881390594</v>
      </c>
      <c r="G259" s="5">
        <f t="shared" si="157"/>
        <v>6.073619631901841</v>
      </c>
      <c r="H259" s="5">
        <f t="shared" si="158"/>
        <v>0.30674846625766872</v>
      </c>
      <c r="I259" s="5">
        <f t="shared" si="159"/>
        <v>0.16359918200408999</v>
      </c>
      <c r="J259" s="5">
        <f t="shared" si="160"/>
        <v>42.832310838445807</v>
      </c>
      <c r="K259" s="5">
        <v>2.2000000000000002</v>
      </c>
      <c r="L259" s="5">
        <v>8.17</v>
      </c>
      <c r="M259" s="5">
        <v>86.27</v>
      </c>
      <c r="N259" s="5">
        <v>11.53</v>
      </c>
      <c r="O259" s="5">
        <v>37.53</v>
      </c>
      <c r="P259" s="5">
        <v>19.329999999999998</v>
      </c>
      <c r="Q259" s="5">
        <v>23.84</v>
      </c>
      <c r="R259" s="5">
        <v>930</v>
      </c>
      <c r="S259" s="5" t="s">
        <v>115</v>
      </c>
      <c r="T259" s="5" t="s">
        <v>234</v>
      </c>
      <c r="U259" s="5">
        <v>20.3</v>
      </c>
      <c r="V259" s="5" t="s">
        <v>15</v>
      </c>
      <c r="W259" s="5">
        <v>0.73</v>
      </c>
      <c r="X259" s="5" t="s">
        <v>33</v>
      </c>
      <c r="Y259" s="5" t="s">
        <v>114</v>
      </c>
      <c r="Z259" s="5" t="s">
        <v>15</v>
      </c>
      <c r="AA259" s="5" t="s">
        <v>15</v>
      </c>
      <c r="AB259" s="5" t="s">
        <v>65</v>
      </c>
      <c r="AC259" s="5">
        <f t="shared" si="154"/>
        <v>53.080000000000005</v>
      </c>
      <c r="AD259" s="5">
        <v>13.75</v>
      </c>
      <c r="AE259" s="5">
        <v>20.5</v>
      </c>
      <c r="AF259" s="5">
        <v>12</v>
      </c>
      <c r="AG259" s="5">
        <v>0.62</v>
      </c>
      <c r="AH259" s="5">
        <v>0.05</v>
      </c>
      <c r="AI259" s="5">
        <v>4.3</v>
      </c>
      <c r="AJ259" s="5">
        <v>7.4999999999999997E-2</v>
      </c>
      <c r="AK259" s="5">
        <v>2.75</v>
      </c>
      <c r="AL259" s="5" t="s">
        <v>15</v>
      </c>
      <c r="AM259" s="5">
        <f t="shared" si="150"/>
        <v>67.875311753780849</v>
      </c>
      <c r="AN259" s="5">
        <f>100*(AK259/F259)*(AE259*Calculations!$B$5*Calculations!$B$9+AF259*Calculations!$B$6*Calculations!$B$10+AG259*Calculations!$B$7*Calculations!$B$11+AH259*Calculations!$B$8*Calculations!$B$12)</f>
        <v>91.542902698589003</v>
      </c>
      <c r="AO259" s="6" t="s">
        <v>232</v>
      </c>
      <c r="AP259" s="6" t="s">
        <v>235</v>
      </c>
    </row>
    <row r="260" spans="1:42" x14ac:dyDescent="0.3">
      <c r="A260" s="6">
        <v>257</v>
      </c>
      <c r="B260" s="3" t="s">
        <v>238</v>
      </c>
      <c r="C260" s="3" t="s">
        <v>233</v>
      </c>
      <c r="D260" s="3">
        <v>50</v>
      </c>
      <c r="E260" s="5">
        <f t="shared" si="155"/>
        <v>17.421651104742534</v>
      </c>
      <c r="F260" s="5">
        <f t="shared" si="156"/>
        <v>50.623721881390594</v>
      </c>
      <c r="G260" s="5">
        <f t="shared" si="157"/>
        <v>6.073619631901841</v>
      </c>
      <c r="H260" s="5">
        <f t="shared" si="158"/>
        <v>0.30674846625766872</v>
      </c>
      <c r="I260" s="5">
        <f t="shared" si="159"/>
        <v>0.16359918200408999</v>
      </c>
      <c r="J260" s="5">
        <f t="shared" si="160"/>
        <v>42.832310838445807</v>
      </c>
      <c r="K260" s="5">
        <v>2.2000000000000002</v>
      </c>
      <c r="L260" s="5">
        <v>8.17</v>
      </c>
      <c r="M260" s="5">
        <v>86.27</v>
      </c>
      <c r="N260" s="5">
        <v>11.53</v>
      </c>
      <c r="O260" s="5">
        <v>37.53</v>
      </c>
      <c r="P260" s="5">
        <v>19.329999999999998</v>
      </c>
      <c r="Q260" s="5">
        <v>23.84</v>
      </c>
      <c r="R260" s="5">
        <v>1030</v>
      </c>
      <c r="S260" s="5" t="s">
        <v>115</v>
      </c>
      <c r="T260" s="5" t="s">
        <v>234</v>
      </c>
      <c r="U260" s="5">
        <v>21.7</v>
      </c>
      <c r="V260" s="5" t="s">
        <v>15</v>
      </c>
      <c r="W260" s="5">
        <v>0.77</v>
      </c>
      <c r="X260" s="5" t="s">
        <v>33</v>
      </c>
      <c r="Y260" s="5" t="s">
        <v>114</v>
      </c>
      <c r="Z260" s="5" t="s">
        <v>15</v>
      </c>
      <c r="AA260" s="5" t="s">
        <v>15</v>
      </c>
      <c r="AB260" s="5" t="s">
        <v>65</v>
      </c>
      <c r="AC260" s="5">
        <f t="shared" si="154"/>
        <v>55.72</v>
      </c>
      <c r="AD260" s="5">
        <v>12</v>
      </c>
      <c r="AE260" s="5">
        <v>23.75</v>
      </c>
      <c r="AF260" s="5">
        <v>8.25</v>
      </c>
      <c r="AG260" s="5">
        <v>0.25</v>
      </c>
      <c r="AH260" s="5">
        <v>0.03</v>
      </c>
      <c r="AI260" s="5">
        <v>4.4000000000000004</v>
      </c>
      <c r="AJ260" s="5">
        <v>0.02</v>
      </c>
      <c r="AK260" s="5">
        <v>3</v>
      </c>
      <c r="AL260" s="5" t="s">
        <v>15</v>
      </c>
      <c r="AM260" s="5">
        <f t="shared" si="150"/>
        <v>75.767789864685597</v>
      </c>
      <c r="AN260" s="5">
        <f>100*(AK260/F260)*(AE260*Calculations!$B$5*Calculations!$B$9+AF260*Calculations!$B$6*Calculations!$B$10+AG260*Calculations!$B$7*Calculations!$B$11+AH260*Calculations!$B$8*Calculations!$B$12)</f>
        <v>96.074139849092504</v>
      </c>
      <c r="AO260" s="6" t="s">
        <v>232</v>
      </c>
      <c r="AP260" s="6" t="s">
        <v>235</v>
      </c>
    </row>
    <row r="261" spans="1:42" x14ac:dyDescent="0.3">
      <c r="A261" s="6">
        <v>258</v>
      </c>
      <c r="B261" s="3" t="s">
        <v>238</v>
      </c>
      <c r="C261" s="3" t="s">
        <v>233</v>
      </c>
      <c r="D261" s="3">
        <v>70</v>
      </c>
      <c r="E261" s="5">
        <f t="shared" si="155"/>
        <v>17.421651104742534</v>
      </c>
      <c r="F261" s="5">
        <f t="shared" si="156"/>
        <v>50.623721881390594</v>
      </c>
      <c r="G261" s="5">
        <f t="shared" si="157"/>
        <v>6.073619631901841</v>
      </c>
      <c r="H261" s="5">
        <f t="shared" si="158"/>
        <v>0.30674846625766872</v>
      </c>
      <c r="I261" s="5">
        <f t="shared" si="159"/>
        <v>0.16359918200408999</v>
      </c>
      <c r="J261" s="5">
        <f t="shared" si="160"/>
        <v>42.832310838445807</v>
      </c>
      <c r="K261" s="5">
        <v>2.2000000000000002</v>
      </c>
      <c r="L261" s="5">
        <v>8.17</v>
      </c>
      <c r="M261" s="5">
        <v>86.27</v>
      </c>
      <c r="N261" s="5">
        <v>11.53</v>
      </c>
      <c r="O261" s="5">
        <v>37.53</v>
      </c>
      <c r="P261" s="5">
        <v>19.329999999999998</v>
      </c>
      <c r="Q261" s="5">
        <v>23.84</v>
      </c>
      <c r="R261" s="5">
        <v>1000</v>
      </c>
      <c r="S261" s="5" t="s">
        <v>115</v>
      </c>
      <c r="T261" s="5" t="s">
        <v>234</v>
      </c>
      <c r="U261" s="5">
        <v>24.8</v>
      </c>
      <c r="V261" s="5" t="s">
        <v>15</v>
      </c>
      <c r="W261" s="5">
        <v>0.87</v>
      </c>
      <c r="X261" s="5" t="s">
        <v>33</v>
      </c>
      <c r="Y261" s="5" t="s">
        <v>114</v>
      </c>
      <c r="Z261" s="5" t="s">
        <v>15</v>
      </c>
      <c r="AA261" s="5" t="s">
        <v>15</v>
      </c>
      <c r="AB261" s="5" t="s">
        <v>65</v>
      </c>
      <c r="AC261" s="5">
        <f t="shared" si="154"/>
        <v>56.29</v>
      </c>
      <c r="AD261" s="5">
        <v>12</v>
      </c>
      <c r="AE261" s="5">
        <v>21.5</v>
      </c>
      <c r="AF261" s="5">
        <v>9.75</v>
      </c>
      <c r="AG261" s="5">
        <v>0.4</v>
      </c>
      <c r="AH261" s="5">
        <v>0.06</v>
      </c>
      <c r="AI261" s="5">
        <v>4.3499999999999996</v>
      </c>
      <c r="AJ261" s="5">
        <v>0.03</v>
      </c>
      <c r="AK261" s="5">
        <v>3.4</v>
      </c>
      <c r="AL261" s="5" t="s">
        <v>15</v>
      </c>
      <c r="AM261" s="5">
        <f t="shared" si="150"/>
        <v>84.894364552931819</v>
      </c>
      <c r="AN261" s="5">
        <f>100*(AK261/F261)*(AE261*Calculations!$B$5*Calculations!$B$9+AF261*Calculations!$B$6*Calculations!$B$10+AG261*Calculations!$B$7*Calculations!$B$11+AH261*Calculations!$B$8*Calculations!$B$12)</f>
        <v>107.64132077213836</v>
      </c>
      <c r="AO261" s="6" t="s">
        <v>232</v>
      </c>
      <c r="AP261" s="6" t="s">
        <v>235</v>
      </c>
    </row>
    <row r="262" spans="1:42" x14ac:dyDescent="0.3">
      <c r="A262" s="6">
        <v>259</v>
      </c>
      <c r="B262" s="3" t="s">
        <v>188</v>
      </c>
      <c r="C262" s="3" t="s">
        <v>15</v>
      </c>
      <c r="D262" s="3">
        <v>1.5</v>
      </c>
      <c r="E262" s="5">
        <v>14.47</v>
      </c>
      <c r="F262" s="5">
        <f>(100/(100-K262-L262))*40.06</f>
        <v>46.285384170999421</v>
      </c>
      <c r="G262" s="5">
        <f>(100/(100-K262-L262))*5.61</f>
        <v>6.4818024263431546</v>
      </c>
      <c r="H262" s="5">
        <f>(100/(100-K262-L262))*0.9</f>
        <v>1.0398613518197573</v>
      </c>
      <c r="I262" s="5">
        <f>(100/(100-K262-L262))*0.1</f>
        <v>0.11554015020219527</v>
      </c>
      <c r="J262" s="5">
        <f>(100/(100-K262-L262))*39.88</f>
        <v>46.077411900635475</v>
      </c>
      <c r="K262" s="5">
        <v>1.56</v>
      </c>
      <c r="L262" s="5">
        <v>11.89</v>
      </c>
      <c r="M262" s="5">
        <v>75.78</v>
      </c>
      <c r="N262" s="5">
        <v>14.77</v>
      </c>
      <c r="O262" s="5" t="s">
        <v>15</v>
      </c>
      <c r="P262" s="5" t="s">
        <v>15</v>
      </c>
      <c r="Q262" s="5" t="s">
        <v>15</v>
      </c>
      <c r="R262" s="5">
        <v>720</v>
      </c>
      <c r="S262" s="5" t="s">
        <v>39</v>
      </c>
      <c r="T262" s="5" t="s">
        <v>75</v>
      </c>
      <c r="U262" s="5" t="s">
        <v>15</v>
      </c>
      <c r="V262" s="5">
        <v>1.2</v>
      </c>
      <c r="W262" s="5" t="s">
        <v>15</v>
      </c>
      <c r="X262" s="5" t="s">
        <v>161</v>
      </c>
      <c r="Y262" s="5" t="s">
        <v>237</v>
      </c>
      <c r="Z262" s="5" t="s">
        <v>73</v>
      </c>
      <c r="AA262" s="5" t="s">
        <v>15</v>
      </c>
      <c r="AB262" s="5" t="s">
        <v>86</v>
      </c>
      <c r="AC262" s="5">
        <f t="shared" ref="AC262:AC267" si="161">100-AD262-AE262-AF262-AG262</f>
        <v>0</v>
      </c>
      <c r="AD262" s="5">
        <v>71.5</v>
      </c>
      <c r="AE262" s="5">
        <v>9</v>
      </c>
      <c r="AF262" s="5">
        <v>7.5</v>
      </c>
      <c r="AG262" s="5">
        <v>12</v>
      </c>
      <c r="AH262" s="5" t="s">
        <v>15</v>
      </c>
      <c r="AI262" s="5">
        <f>(AD262*Calculations!$B$23+AE262*Calculations!$B$21+AG262*Calculations!$B$22)/100</f>
        <v>13.152774999999998</v>
      </c>
      <c r="AJ262" s="5" t="s">
        <v>15</v>
      </c>
      <c r="AK262" s="5">
        <f>((100-K262-L262)/100)*0.895</f>
        <v>0.77462249999999999</v>
      </c>
      <c r="AL262" s="5" t="s">
        <v>15</v>
      </c>
      <c r="AM262" s="5">
        <f t="shared" si="150"/>
        <v>70.41074949853143</v>
      </c>
      <c r="AN262" s="5">
        <f>100*(AK262/F262)*(AE262*Calculations!$B$5*Calculations!$B$9+AF262*Calculations!$B$6*Calculations!$B$10+AG262*Calculations!$B$7*Calculations!$B$11)</f>
        <v>24.032834467271858</v>
      </c>
      <c r="AO262" s="6" t="s">
        <v>236</v>
      </c>
      <c r="AP262" s="6" t="s">
        <v>239</v>
      </c>
    </row>
    <row r="263" spans="1:42" x14ac:dyDescent="0.3">
      <c r="A263" s="6">
        <v>260</v>
      </c>
      <c r="B263" s="3" t="s">
        <v>188</v>
      </c>
      <c r="C263" s="3" t="s">
        <v>15</v>
      </c>
      <c r="D263" s="3">
        <v>1.5</v>
      </c>
      <c r="E263" s="5">
        <v>14.47</v>
      </c>
      <c r="F263" s="5">
        <f t="shared" ref="F263:F266" si="162">(100/(100-K263-L263))*40.06</f>
        <v>46.285384170999421</v>
      </c>
      <c r="G263" s="5">
        <f t="shared" ref="G263:G266" si="163">(100/(100-K263-L263))*5.61</f>
        <v>6.4818024263431546</v>
      </c>
      <c r="H263" s="5">
        <f t="shared" ref="H263:H266" si="164">(100/(100-K263-L263))*0.9</f>
        <v>1.0398613518197573</v>
      </c>
      <c r="I263" s="5">
        <f t="shared" ref="I263:I266" si="165">(100/(100-K263-L263))*0.1</f>
        <v>0.11554015020219527</v>
      </c>
      <c r="J263" s="5">
        <f t="shared" ref="J263:J266" si="166">(100/(100-K263-L263))*39.88</f>
        <v>46.077411900635475</v>
      </c>
      <c r="K263" s="5">
        <v>1.56</v>
      </c>
      <c r="L263" s="5">
        <v>11.89</v>
      </c>
      <c r="M263" s="5">
        <v>75.78</v>
      </c>
      <c r="N263" s="5">
        <v>14.77</v>
      </c>
      <c r="O263" s="5" t="s">
        <v>15</v>
      </c>
      <c r="P263" s="5" t="s">
        <v>15</v>
      </c>
      <c r="Q263" s="5" t="s">
        <v>15</v>
      </c>
      <c r="R263" s="5">
        <v>770</v>
      </c>
      <c r="S263" s="5" t="s">
        <v>39</v>
      </c>
      <c r="T263" s="5" t="s">
        <v>75</v>
      </c>
      <c r="U263" s="5" t="s">
        <v>15</v>
      </c>
      <c r="V263" s="5">
        <v>1.2</v>
      </c>
      <c r="W263" s="5" t="s">
        <v>15</v>
      </c>
      <c r="X263" s="5" t="s">
        <v>161</v>
      </c>
      <c r="Y263" s="5" t="s">
        <v>237</v>
      </c>
      <c r="Z263" s="5" t="s">
        <v>73</v>
      </c>
      <c r="AA263" s="5" t="s">
        <v>15</v>
      </c>
      <c r="AB263" s="5" t="s">
        <v>86</v>
      </c>
      <c r="AC263" s="5">
        <f t="shared" si="161"/>
        <v>0</v>
      </c>
      <c r="AD263" s="5">
        <v>64</v>
      </c>
      <c r="AE263" s="5">
        <v>13</v>
      </c>
      <c r="AF263" s="5">
        <v>14</v>
      </c>
      <c r="AG263" s="5">
        <v>9</v>
      </c>
      <c r="AH263" s="5" t="s">
        <v>15</v>
      </c>
      <c r="AI263" s="5">
        <f>(AD263*Calculations!$B$23+AE263*Calculations!$B$21+AG263*Calculations!$B$22)/100</f>
        <v>11.772880000000001</v>
      </c>
      <c r="AJ263" s="5" t="s">
        <v>15</v>
      </c>
      <c r="AK263" s="5">
        <f>((100-K262-L262)/100)*1.05</f>
        <v>0.908775</v>
      </c>
      <c r="AL263" s="5" t="s">
        <v>15</v>
      </c>
      <c r="AM263" s="5">
        <f t="shared" si="150"/>
        <v>73.938486675881137</v>
      </c>
      <c r="AN263" s="5">
        <f>100*(AK263/F263)*(AE263*Calculations!$B$5*Calculations!$B$9+AF263*Calculations!$B$6*Calculations!$B$10+AG263*Calculations!$B$7*Calculations!$B$11)</f>
        <v>36.021194875803474</v>
      </c>
      <c r="AO263" s="6" t="s">
        <v>236</v>
      </c>
      <c r="AP263" s="6" t="s">
        <v>239</v>
      </c>
    </row>
    <row r="264" spans="1:42" x14ac:dyDescent="0.3">
      <c r="A264" s="6">
        <v>261</v>
      </c>
      <c r="B264" s="3" t="s">
        <v>188</v>
      </c>
      <c r="C264" s="3" t="s">
        <v>15</v>
      </c>
      <c r="D264" s="3">
        <v>1.5</v>
      </c>
      <c r="E264" s="5">
        <v>14.47</v>
      </c>
      <c r="F264" s="5">
        <f t="shared" si="162"/>
        <v>46.285384170999421</v>
      </c>
      <c r="G264" s="5">
        <f t="shared" si="163"/>
        <v>6.4818024263431546</v>
      </c>
      <c r="H264" s="5">
        <f t="shared" si="164"/>
        <v>1.0398613518197573</v>
      </c>
      <c r="I264" s="5">
        <f t="shared" si="165"/>
        <v>0.11554015020219527</v>
      </c>
      <c r="J264" s="5">
        <f t="shared" si="166"/>
        <v>46.077411900635475</v>
      </c>
      <c r="K264" s="5">
        <v>1.56</v>
      </c>
      <c r="L264" s="5">
        <v>11.89</v>
      </c>
      <c r="M264" s="5">
        <v>75.78</v>
      </c>
      <c r="N264" s="5">
        <v>14.77</v>
      </c>
      <c r="O264" s="5" t="s">
        <v>15</v>
      </c>
      <c r="P264" s="5" t="s">
        <v>15</v>
      </c>
      <c r="Q264" s="5" t="s">
        <v>15</v>
      </c>
      <c r="R264" s="5">
        <v>820</v>
      </c>
      <c r="S264" s="5" t="s">
        <v>39</v>
      </c>
      <c r="T264" s="5" t="s">
        <v>75</v>
      </c>
      <c r="U264" s="5" t="s">
        <v>15</v>
      </c>
      <c r="V264" s="5">
        <v>1.2</v>
      </c>
      <c r="W264" s="5" t="s">
        <v>15</v>
      </c>
      <c r="X264" s="5" t="s">
        <v>161</v>
      </c>
      <c r="Y264" s="5" t="s">
        <v>237</v>
      </c>
      <c r="Z264" s="5" t="s">
        <v>73</v>
      </c>
      <c r="AA264" s="5" t="s">
        <v>15</v>
      </c>
      <c r="AB264" s="5" t="s">
        <v>86</v>
      </c>
      <c r="AC264" s="5">
        <f t="shared" si="161"/>
        <v>0</v>
      </c>
      <c r="AD264" s="5">
        <v>60</v>
      </c>
      <c r="AE264" s="5">
        <v>15</v>
      </c>
      <c r="AF264" s="5">
        <v>17</v>
      </c>
      <c r="AG264" s="5">
        <v>8</v>
      </c>
      <c r="AH264" s="5" t="s">
        <v>15</v>
      </c>
      <c r="AI264" s="5">
        <f>(AD264*Calculations!$B$23+AE264*Calculations!$B$21+AG264*Calculations!$B$22)/100</f>
        <v>11.235390000000001</v>
      </c>
      <c r="AJ264" s="5" t="s">
        <v>15</v>
      </c>
      <c r="AK264" s="5">
        <f>((100-K262-L262)/100)*1.35</f>
        <v>1.168425</v>
      </c>
      <c r="AL264" s="5" t="s">
        <v>15</v>
      </c>
      <c r="AM264" s="5">
        <f t="shared" si="150"/>
        <v>90.723638982377338</v>
      </c>
      <c r="AN264" s="5">
        <f>100*(AK264/F264)*(AE264*Calculations!$B$5*Calculations!$B$9+AF264*Calculations!$B$6*Calculations!$B$10+AG264*Calculations!$B$7*Calculations!$B$11)</f>
        <v>51.625279447070461</v>
      </c>
      <c r="AO264" s="6" t="s">
        <v>236</v>
      </c>
      <c r="AP264" s="6" t="s">
        <v>239</v>
      </c>
    </row>
    <row r="265" spans="1:42" x14ac:dyDescent="0.3">
      <c r="A265" s="6">
        <v>262</v>
      </c>
      <c r="B265" s="3" t="s">
        <v>188</v>
      </c>
      <c r="C265" s="3" t="s">
        <v>15</v>
      </c>
      <c r="D265" s="3">
        <v>1.5</v>
      </c>
      <c r="E265" s="5">
        <v>14.47</v>
      </c>
      <c r="F265" s="5">
        <f t="shared" si="162"/>
        <v>46.285384170999421</v>
      </c>
      <c r="G265" s="5">
        <f t="shared" si="163"/>
        <v>6.4818024263431546</v>
      </c>
      <c r="H265" s="5">
        <f t="shared" si="164"/>
        <v>1.0398613518197573</v>
      </c>
      <c r="I265" s="5">
        <f t="shared" si="165"/>
        <v>0.11554015020219527</v>
      </c>
      <c r="J265" s="5">
        <f t="shared" si="166"/>
        <v>46.077411900635475</v>
      </c>
      <c r="K265" s="5">
        <v>1.56</v>
      </c>
      <c r="L265" s="5">
        <v>11.89</v>
      </c>
      <c r="M265" s="5">
        <v>75.78</v>
      </c>
      <c r="N265" s="5">
        <v>14.77</v>
      </c>
      <c r="O265" s="5" t="s">
        <v>15</v>
      </c>
      <c r="P265" s="5" t="s">
        <v>15</v>
      </c>
      <c r="Q265" s="5" t="s">
        <v>15</v>
      </c>
      <c r="R265" s="5">
        <v>870</v>
      </c>
      <c r="S265" s="5" t="s">
        <v>39</v>
      </c>
      <c r="T265" s="5" t="s">
        <v>75</v>
      </c>
      <c r="U265" s="5" t="s">
        <v>15</v>
      </c>
      <c r="V265" s="5">
        <v>1.2</v>
      </c>
      <c r="W265" s="5" t="s">
        <v>15</v>
      </c>
      <c r="X265" s="5" t="s">
        <v>161</v>
      </c>
      <c r="Y265" s="5" t="s">
        <v>237</v>
      </c>
      <c r="Z265" s="5" t="s">
        <v>73</v>
      </c>
      <c r="AA265" s="5" t="s">
        <v>15</v>
      </c>
      <c r="AB265" s="5" t="s">
        <v>86</v>
      </c>
      <c r="AC265" s="5">
        <f t="shared" si="161"/>
        <v>1</v>
      </c>
      <c r="AD265" s="5">
        <v>56</v>
      </c>
      <c r="AE265" s="5">
        <v>20</v>
      </c>
      <c r="AF265" s="5">
        <v>15</v>
      </c>
      <c r="AG265" s="5">
        <v>8</v>
      </c>
      <c r="AH265" s="5" t="s">
        <v>15</v>
      </c>
      <c r="AI265" s="5">
        <f>(AD265*Calculations!$B$23+AE265*Calculations!$B$21+AG265*Calculations!$B$22)/100</f>
        <v>11.435719999999998</v>
      </c>
      <c r="AJ265" s="5" t="s">
        <v>15</v>
      </c>
      <c r="AK265" s="5">
        <f>((100-K262-L262)/100)*1.55</f>
        <v>1.3415249999999999</v>
      </c>
      <c r="AL265" s="5" t="s">
        <v>15</v>
      </c>
      <c r="AM265" s="5">
        <f t="shared" si="150"/>
        <v>106.02145316516929</v>
      </c>
      <c r="AN265" s="5">
        <f>100*(AK265/F265)*(AE265*Calculations!$B$5*Calculations!$B$9+AF265*Calculations!$B$6*Calculations!$B$10+AG265*Calculations!$B$7*Calculations!$B$11)</f>
        <v>63.223543000472496</v>
      </c>
      <c r="AO265" s="6" t="s">
        <v>236</v>
      </c>
      <c r="AP265" s="6" t="s">
        <v>239</v>
      </c>
    </row>
    <row r="266" spans="1:42" x14ac:dyDescent="0.3">
      <c r="A266" s="6">
        <v>263</v>
      </c>
      <c r="B266" s="3" t="s">
        <v>188</v>
      </c>
      <c r="C266" s="3" t="s">
        <v>15</v>
      </c>
      <c r="D266" s="3">
        <v>1.5</v>
      </c>
      <c r="E266" s="5">
        <v>14.47</v>
      </c>
      <c r="F266" s="5">
        <f t="shared" si="162"/>
        <v>46.285384170999421</v>
      </c>
      <c r="G266" s="5">
        <f t="shared" si="163"/>
        <v>6.4818024263431546</v>
      </c>
      <c r="H266" s="5">
        <f t="shared" si="164"/>
        <v>1.0398613518197573</v>
      </c>
      <c r="I266" s="5">
        <f t="shared" si="165"/>
        <v>0.11554015020219527</v>
      </c>
      <c r="J266" s="5">
        <f t="shared" si="166"/>
        <v>46.077411900635475</v>
      </c>
      <c r="K266" s="5">
        <v>1.56</v>
      </c>
      <c r="L266" s="5">
        <v>11.89</v>
      </c>
      <c r="M266" s="5">
        <v>75.78</v>
      </c>
      <c r="N266" s="5">
        <v>14.77</v>
      </c>
      <c r="O266" s="5" t="s">
        <v>15</v>
      </c>
      <c r="P266" s="5" t="s">
        <v>15</v>
      </c>
      <c r="Q266" s="5" t="s">
        <v>15</v>
      </c>
      <c r="R266" s="5">
        <v>920</v>
      </c>
      <c r="S266" s="5" t="s">
        <v>39</v>
      </c>
      <c r="T266" s="5" t="s">
        <v>75</v>
      </c>
      <c r="U266" s="5" t="s">
        <v>15</v>
      </c>
      <c r="V266" s="5">
        <v>1.2</v>
      </c>
      <c r="W266" s="5" t="s">
        <v>15</v>
      </c>
      <c r="X266" s="5" t="s">
        <v>161</v>
      </c>
      <c r="Y266" s="5" t="s">
        <v>237</v>
      </c>
      <c r="Z266" s="5" t="s">
        <v>73</v>
      </c>
      <c r="AA266" s="5" t="s">
        <v>15</v>
      </c>
      <c r="AB266" s="5" t="s">
        <v>86</v>
      </c>
      <c r="AC266" s="5">
        <f t="shared" si="161"/>
        <v>0.5</v>
      </c>
      <c r="AD266" s="5">
        <v>52.5</v>
      </c>
      <c r="AE266" s="5">
        <v>25</v>
      </c>
      <c r="AF266" s="5">
        <v>14</v>
      </c>
      <c r="AG266" s="5">
        <v>8</v>
      </c>
      <c r="AH266" s="5" t="s">
        <v>15</v>
      </c>
      <c r="AI266" s="5">
        <f>(AD266*Calculations!$B$23+AE266*Calculations!$B$21+AG266*Calculations!$B$22)/100</f>
        <v>11.689964999999999</v>
      </c>
      <c r="AJ266" s="5" t="s">
        <v>15</v>
      </c>
      <c r="AK266" s="5">
        <f>((100-K262-L262)/100)*1.711</f>
        <v>1.4808705</v>
      </c>
      <c r="AL266" s="5" t="s">
        <v>15</v>
      </c>
      <c r="AM266" s="5">
        <f t="shared" si="150"/>
        <v>119.63596623726674</v>
      </c>
      <c r="AN266" s="5">
        <f>100*(AK266/F266)*(AE266*Calculations!$B$5*Calculations!$B$9+AF266*Calculations!$B$6*Calculations!$B$10+AG266*Calculations!$B$7*Calculations!$B$11)</f>
        <v>75.878700183420762</v>
      </c>
      <c r="AO266" s="6" t="s">
        <v>236</v>
      </c>
      <c r="AP266" s="6" t="s">
        <v>239</v>
      </c>
    </row>
    <row r="267" spans="1:42" x14ac:dyDescent="0.3">
      <c r="A267" s="6">
        <v>264</v>
      </c>
      <c r="B267" s="3" t="s">
        <v>188</v>
      </c>
      <c r="C267" s="3" t="s">
        <v>15</v>
      </c>
      <c r="D267" s="3">
        <v>1.5</v>
      </c>
      <c r="E267" s="5">
        <v>14.47</v>
      </c>
      <c r="F267" s="5">
        <f>(100/(100-K267-L267))*40.06</f>
        <v>46.285384170999421</v>
      </c>
      <c r="G267" s="5">
        <f>(100/(100-K267-L267))*5.61</f>
        <v>6.4818024263431546</v>
      </c>
      <c r="H267" s="5">
        <f>(100/(100-K267-L267))*0.9</f>
        <v>1.0398613518197573</v>
      </c>
      <c r="I267" s="5">
        <f>(100/(100-K267-L267))*0.1</f>
        <v>0.11554015020219527</v>
      </c>
      <c r="J267" s="5">
        <f>(100/(100-K267-L267))*39.88</f>
        <v>46.077411900635475</v>
      </c>
      <c r="K267" s="5">
        <v>1.56</v>
      </c>
      <c r="L267" s="5">
        <v>11.89</v>
      </c>
      <c r="M267" s="5">
        <v>75.78</v>
      </c>
      <c r="N267" s="5">
        <v>14.77</v>
      </c>
      <c r="O267" s="5" t="s">
        <v>15</v>
      </c>
      <c r="P267" s="5" t="s">
        <v>15</v>
      </c>
      <c r="Q267" s="5" t="s">
        <v>15</v>
      </c>
      <c r="R267" s="5">
        <v>820</v>
      </c>
      <c r="S267" s="5" t="s">
        <v>39</v>
      </c>
      <c r="T267" s="5" t="s">
        <v>75</v>
      </c>
      <c r="U267" s="5" t="s">
        <v>15</v>
      </c>
      <c r="V267" s="5">
        <v>0.8</v>
      </c>
      <c r="W267" s="5" t="s">
        <v>15</v>
      </c>
      <c r="X267" s="5" t="s">
        <v>161</v>
      </c>
      <c r="Y267" s="5" t="s">
        <v>237</v>
      </c>
      <c r="Z267" s="5" t="s">
        <v>73</v>
      </c>
      <c r="AA267" s="5" t="s">
        <v>15</v>
      </c>
      <c r="AB267" s="5" t="s">
        <v>86</v>
      </c>
      <c r="AC267" s="5">
        <f t="shared" si="161"/>
        <v>0</v>
      </c>
      <c r="AD267" s="5">
        <v>56</v>
      </c>
      <c r="AE267" s="5">
        <v>20</v>
      </c>
      <c r="AF267" s="5">
        <v>15</v>
      </c>
      <c r="AG267" s="5">
        <v>9</v>
      </c>
      <c r="AH267" s="5" t="s">
        <v>15</v>
      </c>
      <c r="AI267" s="5">
        <f>(AD267*Calculations!$B$23+AE267*Calculations!$B$21+AG267*Calculations!$B$22)/100</f>
        <v>11.794549999999999</v>
      </c>
      <c r="AJ267" s="5">
        <v>9</v>
      </c>
      <c r="AK267" s="5">
        <f>((100-K262-L262)/100)*1.05405405405405</f>
        <v>0.91228378378378017</v>
      </c>
      <c r="AL267" s="5" t="s">
        <v>15</v>
      </c>
      <c r="AM267" s="5">
        <f t="shared" si="150"/>
        <v>74.360585363006109</v>
      </c>
      <c r="AN267" s="5">
        <f>100*(AK267/F267)*(AE267*Calculations!$B$5*Calculations!$B$9+AF267*Calculations!$B$6*Calculations!$B$10+AG267*Calculations!$B$7*Calculations!$B$11)</f>
        <v>43.965423110066261</v>
      </c>
      <c r="AO267" s="6" t="s">
        <v>236</v>
      </c>
      <c r="AP267" s="6" t="s">
        <v>239</v>
      </c>
    </row>
    <row r="268" spans="1:42" x14ac:dyDescent="0.3">
      <c r="A268" s="6">
        <v>265</v>
      </c>
      <c r="B268" s="3" t="s">
        <v>188</v>
      </c>
      <c r="C268" s="3" t="s">
        <v>15</v>
      </c>
      <c r="D268" s="3">
        <v>1.5</v>
      </c>
      <c r="E268" s="5">
        <v>14.47</v>
      </c>
      <c r="F268" s="5">
        <f t="shared" ref="F268:F271" si="167">(100/(100-K268-L268))*40.06</f>
        <v>46.285384170999421</v>
      </c>
      <c r="G268" s="5">
        <f t="shared" ref="G268:G271" si="168">(100/(100-K268-L268))*5.61</f>
        <v>6.4818024263431546</v>
      </c>
      <c r="H268" s="5">
        <f t="shared" ref="H268:H271" si="169">(100/(100-K268-L268))*0.9</f>
        <v>1.0398613518197573</v>
      </c>
      <c r="I268" s="5">
        <f t="shared" ref="I268:I271" si="170">(100/(100-K268-L268))*0.1</f>
        <v>0.11554015020219527</v>
      </c>
      <c r="J268" s="5">
        <f t="shared" ref="J268:J271" si="171">(100/(100-K268-L268))*39.88</f>
        <v>46.077411900635475</v>
      </c>
      <c r="K268" s="5">
        <v>1.56</v>
      </c>
      <c r="L268" s="5">
        <v>11.89</v>
      </c>
      <c r="M268" s="5">
        <v>75.78</v>
      </c>
      <c r="N268" s="5">
        <v>14.77</v>
      </c>
      <c r="O268" s="5" t="s">
        <v>15</v>
      </c>
      <c r="P268" s="5" t="s">
        <v>15</v>
      </c>
      <c r="Q268" s="5" t="s">
        <v>15</v>
      </c>
      <c r="R268" s="5">
        <v>820</v>
      </c>
      <c r="S268" s="5" t="s">
        <v>39</v>
      </c>
      <c r="T268" s="5" t="s">
        <v>75</v>
      </c>
      <c r="U268" s="5" t="s">
        <v>15</v>
      </c>
      <c r="V268" s="5">
        <v>1</v>
      </c>
      <c r="W268" s="5" t="s">
        <v>15</v>
      </c>
      <c r="X268" s="5" t="s">
        <v>161</v>
      </c>
      <c r="Y268" s="5" t="s">
        <v>237</v>
      </c>
      <c r="Z268" s="5" t="s">
        <v>73</v>
      </c>
      <c r="AA268" s="5" t="s">
        <v>15</v>
      </c>
      <c r="AB268" s="5" t="s">
        <v>86</v>
      </c>
      <c r="AC268" s="5">
        <v>0</v>
      </c>
      <c r="AD268" s="5">
        <v>57.5</v>
      </c>
      <c r="AE268" s="5">
        <v>18</v>
      </c>
      <c r="AF268" s="5">
        <v>17</v>
      </c>
      <c r="AG268" s="5">
        <v>8</v>
      </c>
      <c r="AH268" s="5" t="s">
        <v>15</v>
      </c>
      <c r="AI268" s="5">
        <f>(AD268*Calculations!$B$23+AE268*Calculations!$B$21+AG268*Calculations!$B$22)/100</f>
        <v>11.344804999999999</v>
      </c>
      <c r="AJ268" s="5">
        <v>8.85</v>
      </c>
      <c r="AK268" s="5">
        <f>((100-K262-L262)/100)*1.2027027027027</f>
        <v>1.0409391891891868</v>
      </c>
      <c r="AL268" s="5" t="s">
        <v>15</v>
      </c>
      <c r="AM268" s="5">
        <f t="shared" si="150"/>
        <v>81.611970409187506</v>
      </c>
      <c r="AN268" s="5">
        <f>100*(AK268/F268)*(AE268*Calculations!$B$5*Calculations!$B$9+AF268*Calculations!$B$6*Calculations!$B$10+AG268*Calculations!$B$7*Calculations!$B$11)</f>
        <v>49.288822141312522</v>
      </c>
      <c r="AO268" s="6" t="s">
        <v>236</v>
      </c>
      <c r="AP268" s="6" t="s">
        <v>239</v>
      </c>
    </row>
    <row r="269" spans="1:42" x14ac:dyDescent="0.3">
      <c r="A269" s="6">
        <v>266</v>
      </c>
      <c r="B269" s="3" t="s">
        <v>188</v>
      </c>
      <c r="C269" s="3" t="s">
        <v>15</v>
      </c>
      <c r="D269" s="3">
        <v>1.5</v>
      </c>
      <c r="E269" s="5">
        <v>14.47</v>
      </c>
      <c r="F269" s="5">
        <f t="shared" si="167"/>
        <v>46.285384170999421</v>
      </c>
      <c r="G269" s="5">
        <f t="shared" si="168"/>
        <v>6.4818024263431546</v>
      </c>
      <c r="H269" s="5">
        <f t="shared" si="169"/>
        <v>1.0398613518197573</v>
      </c>
      <c r="I269" s="5">
        <f t="shared" si="170"/>
        <v>0.11554015020219527</v>
      </c>
      <c r="J269" s="5">
        <f t="shared" si="171"/>
        <v>46.077411900635475</v>
      </c>
      <c r="K269" s="5">
        <v>1.56</v>
      </c>
      <c r="L269" s="5">
        <v>11.89</v>
      </c>
      <c r="M269" s="5">
        <v>75.78</v>
      </c>
      <c r="N269" s="5">
        <v>14.77</v>
      </c>
      <c r="O269" s="5" t="s">
        <v>15</v>
      </c>
      <c r="P269" s="5" t="s">
        <v>15</v>
      </c>
      <c r="Q269" s="5" t="s">
        <v>15</v>
      </c>
      <c r="R269" s="5">
        <v>820</v>
      </c>
      <c r="S269" s="5" t="s">
        <v>39</v>
      </c>
      <c r="T269" s="5" t="s">
        <v>75</v>
      </c>
      <c r="U269" s="5" t="s">
        <v>15</v>
      </c>
      <c r="V269" s="5">
        <v>1.2</v>
      </c>
      <c r="W269" s="5" t="s">
        <v>15</v>
      </c>
      <c r="X269" s="5" t="s">
        <v>161</v>
      </c>
      <c r="Y269" s="5" t="s">
        <v>237</v>
      </c>
      <c r="Z269" s="5" t="s">
        <v>73</v>
      </c>
      <c r="AA269" s="5" t="s">
        <v>15</v>
      </c>
      <c r="AB269" s="5" t="s">
        <v>86</v>
      </c>
      <c r="AC269" s="5">
        <v>0</v>
      </c>
      <c r="AD269" s="5">
        <v>60</v>
      </c>
      <c r="AE269" s="5">
        <v>15</v>
      </c>
      <c r="AF269" s="5">
        <v>17.5</v>
      </c>
      <c r="AG269" s="5">
        <v>8</v>
      </c>
      <c r="AH269" s="5" t="s">
        <v>15</v>
      </c>
      <c r="AI269" s="5">
        <f>(AD269*Calculations!$B$23+AE269*Calculations!$B$21+AG269*Calculations!$B$22)/100</f>
        <v>11.235390000000001</v>
      </c>
      <c r="AJ269" s="5">
        <v>7.85</v>
      </c>
      <c r="AK269" s="5">
        <f>((100-K262-L262)/100)*1.36486486486486</f>
        <v>1.1812905405405363</v>
      </c>
      <c r="AL269" s="5" t="s">
        <v>15</v>
      </c>
      <c r="AM269" s="5">
        <f t="shared" si="150"/>
        <v>91.722597970170952</v>
      </c>
      <c r="AN269" s="5">
        <f>100*(AK269/F269)*(AE269*Calculations!$B$5*Calculations!$B$9+AF269*Calculations!$B$6*Calculations!$B$10+AG269*Calculations!$B$7*Calculations!$B$11)</f>
        <v>52.882817030829045</v>
      </c>
      <c r="AO269" s="6" t="s">
        <v>236</v>
      </c>
      <c r="AP269" s="6" t="s">
        <v>239</v>
      </c>
    </row>
    <row r="270" spans="1:42" x14ac:dyDescent="0.3">
      <c r="A270" s="6">
        <v>267</v>
      </c>
      <c r="B270" s="3" t="s">
        <v>188</v>
      </c>
      <c r="C270" s="3" t="s">
        <v>15</v>
      </c>
      <c r="D270" s="3">
        <v>1.5</v>
      </c>
      <c r="E270" s="5">
        <v>14.47</v>
      </c>
      <c r="F270" s="5">
        <f t="shared" si="167"/>
        <v>46.285384170999421</v>
      </c>
      <c r="G270" s="5">
        <f t="shared" si="168"/>
        <v>6.4818024263431546</v>
      </c>
      <c r="H270" s="5">
        <f t="shared" si="169"/>
        <v>1.0398613518197573</v>
      </c>
      <c r="I270" s="5">
        <f t="shared" si="170"/>
        <v>0.11554015020219527</v>
      </c>
      <c r="J270" s="5">
        <f t="shared" si="171"/>
        <v>46.077411900635475</v>
      </c>
      <c r="K270" s="5">
        <v>1.56</v>
      </c>
      <c r="L270" s="5">
        <v>11.89</v>
      </c>
      <c r="M270" s="5">
        <v>75.78</v>
      </c>
      <c r="N270" s="5">
        <v>14.77</v>
      </c>
      <c r="O270" s="5" t="s">
        <v>15</v>
      </c>
      <c r="P270" s="5" t="s">
        <v>15</v>
      </c>
      <c r="Q270" s="5" t="s">
        <v>15</v>
      </c>
      <c r="R270" s="5">
        <v>820</v>
      </c>
      <c r="S270" s="5" t="s">
        <v>39</v>
      </c>
      <c r="T270" s="5" t="s">
        <v>75</v>
      </c>
      <c r="U270" s="5" t="s">
        <v>15</v>
      </c>
      <c r="V270" s="5">
        <v>1.4</v>
      </c>
      <c r="W270" s="5" t="s">
        <v>15</v>
      </c>
      <c r="X270" s="5" t="s">
        <v>161</v>
      </c>
      <c r="Y270" s="5" t="s">
        <v>237</v>
      </c>
      <c r="Z270" s="5" t="s">
        <v>73</v>
      </c>
      <c r="AA270" s="5" t="s">
        <v>15</v>
      </c>
      <c r="AB270" s="5" t="s">
        <v>86</v>
      </c>
      <c r="AC270" s="5">
        <v>0</v>
      </c>
      <c r="AD270" s="5">
        <v>60</v>
      </c>
      <c r="AE270" s="5">
        <v>15</v>
      </c>
      <c r="AF270" s="5">
        <v>17.5</v>
      </c>
      <c r="AG270" s="5">
        <v>8</v>
      </c>
      <c r="AH270" s="5" t="s">
        <v>15</v>
      </c>
      <c r="AI270" s="5">
        <f>(AD270*Calculations!$B$23+AE270*Calculations!$B$21+AG270*Calculations!$B$22)/100</f>
        <v>11.235390000000001</v>
      </c>
      <c r="AJ270" s="5">
        <v>6.7</v>
      </c>
      <c r="AK270" s="5">
        <f>((100-K262-L262)/100)*1.48648648648649</f>
        <v>1.286554054054057</v>
      </c>
      <c r="AL270" s="5" t="s">
        <v>15</v>
      </c>
      <c r="AM270" s="5">
        <f t="shared" si="150"/>
        <v>99.895898779394685</v>
      </c>
      <c r="AN270" s="5">
        <f>100*(AK270/F270)*(AE270*Calculations!$B$5*Calculations!$B$9+AF270*Calculations!$B$6*Calculations!$B$10+AG270*Calculations!$B$7*Calculations!$B$11)</f>
        <v>57.595147261299296</v>
      </c>
      <c r="AO270" s="6" t="s">
        <v>236</v>
      </c>
      <c r="AP270" s="6" t="s">
        <v>239</v>
      </c>
    </row>
    <row r="271" spans="1:42" x14ac:dyDescent="0.3">
      <c r="A271" s="6">
        <v>268</v>
      </c>
      <c r="B271" s="3" t="s">
        <v>188</v>
      </c>
      <c r="C271" s="3" t="s">
        <v>15</v>
      </c>
      <c r="D271" s="3">
        <v>1.5</v>
      </c>
      <c r="E271" s="5">
        <v>14.47</v>
      </c>
      <c r="F271" s="5">
        <f t="shared" si="167"/>
        <v>46.285384170999421</v>
      </c>
      <c r="G271" s="5">
        <f t="shared" si="168"/>
        <v>6.4818024263431546</v>
      </c>
      <c r="H271" s="5">
        <f t="shared" si="169"/>
        <v>1.0398613518197573</v>
      </c>
      <c r="I271" s="5">
        <f t="shared" si="170"/>
        <v>0.11554015020219527</v>
      </c>
      <c r="J271" s="5">
        <f t="shared" si="171"/>
        <v>46.077411900635475</v>
      </c>
      <c r="K271" s="5">
        <v>1.56</v>
      </c>
      <c r="L271" s="5">
        <v>11.89</v>
      </c>
      <c r="M271" s="5">
        <v>75.78</v>
      </c>
      <c r="N271" s="5">
        <v>14.77</v>
      </c>
      <c r="O271" s="5" t="s">
        <v>15</v>
      </c>
      <c r="P271" s="5" t="s">
        <v>15</v>
      </c>
      <c r="Q271" s="5" t="s">
        <v>15</v>
      </c>
      <c r="R271" s="5">
        <v>820</v>
      </c>
      <c r="S271" s="5" t="s">
        <v>39</v>
      </c>
      <c r="T271" s="5" t="s">
        <v>75</v>
      </c>
      <c r="U271" s="5" t="s">
        <v>15</v>
      </c>
      <c r="V271" s="5">
        <v>1.7</v>
      </c>
      <c r="W271" s="5" t="s">
        <v>15</v>
      </c>
      <c r="X271" s="5" t="s">
        <v>161</v>
      </c>
      <c r="Y271" s="5" t="s">
        <v>237</v>
      </c>
      <c r="Z271" s="5" t="s">
        <v>73</v>
      </c>
      <c r="AA271" s="5" t="s">
        <v>15</v>
      </c>
      <c r="AB271" s="5" t="s">
        <v>86</v>
      </c>
      <c r="AC271" s="5">
        <v>0</v>
      </c>
      <c r="AD271" s="5">
        <v>60</v>
      </c>
      <c r="AE271" s="5">
        <v>14.5</v>
      </c>
      <c r="AF271" s="5">
        <v>17.5</v>
      </c>
      <c r="AG271" s="5">
        <v>8</v>
      </c>
      <c r="AH271" s="5" t="s">
        <v>15</v>
      </c>
      <c r="AI271" s="5">
        <f>(AD271*Calculations!$B$23+AE271*Calculations!$B$21+AG271*Calculations!$B$22)/100</f>
        <v>11.172225000000001</v>
      </c>
      <c r="AJ271" s="5">
        <v>6.55</v>
      </c>
      <c r="AK271" s="5">
        <f>((100-K262-L262)/100)*1.28378378378378</f>
        <v>1.1111148648648614</v>
      </c>
      <c r="AL271" s="5" t="s">
        <v>15</v>
      </c>
      <c r="AM271" s="5">
        <f t="shared" si="150"/>
        <v>85.788702633827427</v>
      </c>
      <c r="AN271" s="5">
        <f>100*(AK271/F271)*(AE271*Calculations!$B$5*Calculations!$B$9+AF271*Calculations!$B$6*Calculations!$B$10+AG271*Calculations!$B$7*Calculations!$B$11)</f>
        <v>49.154837627161903</v>
      </c>
      <c r="AO271" s="6" t="s">
        <v>236</v>
      </c>
      <c r="AP271" s="6" t="s">
        <v>239</v>
      </c>
    </row>
    <row r="272" spans="1:42" x14ac:dyDescent="0.3">
      <c r="A272" s="6">
        <v>269</v>
      </c>
      <c r="B272" s="3" t="s">
        <v>188</v>
      </c>
      <c r="C272" s="3" t="s">
        <v>15</v>
      </c>
      <c r="D272" s="3">
        <v>1.5</v>
      </c>
      <c r="E272" s="5">
        <v>14.47</v>
      </c>
      <c r="F272" s="5">
        <f>(100/(100-K272-L272))*40.06</f>
        <v>46.285384170999421</v>
      </c>
      <c r="G272" s="5">
        <f>(100/(100-K272-L272))*5.61</f>
        <v>6.4818024263431546</v>
      </c>
      <c r="H272" s="5">
        <f>(100/(100-K272-L272))*0.9</f>
        <v>1.0398613518197573</v>
      </c>
      <c r="I272" s="5">
        <f>(100/(100-K272-L272))*0.1</f>
        <v>0.11554015020219527</v>
      </c>
      <c r="J272" s="5">
        <f>(100/(100-K272-L272))*39.88</f>
        <v>46.077411900635475</v>
      </c>
      <c r="K272" s="5">
        <v>1.56</v>
      </c>
      <c r="L272" s="5">
        <v>11.89</v>
      </c>
      <c r="M272" s="5">
        <v>75.78</v>
      </c>
      <c r="N272" s="5">
        <v>14.77</v>
      </c>
      <c r="O272" s="5" t="s">
        <v>15</v>
      </c>
      <c r="P272" s="5" t="s">
        <v>15</v>
      </c>
      <c r="Q272" s="5" t="s">
        <v>15</v>
      </c>
      <c r="R272" s="5">
        <v>820</v>
      </c>
      <c r="S272" s="5" t="s">
        <v>39</v>
      </c>
      <c r="T272" s="5" t="s">
        <v>75</v>
      </c>
      <c r="U272" s="5" t="s">
        <v>15</v>
      </c>
      <c r="V272" s="5">
        <v>2</v>
      </c>
      <c r="W272" s="5" t="s">
        <v>15</v>
      </c>
      <c r="X272" s="5" t="s">
        <v>161</v>
      </c>
      <c r="Y272" s="5" t="s">
        <v>237</v>
      </c>
      <c r="Z272" s="5" t="s">
        <v>73</v>
      </c>
      <c r="AA272" s="5" t="s">
        <v>15</v>
      </c>
      <c r="AB272" s="5" t="s">
        <v>86</v>
      </c>
      <c r="AC272" s="5">
        <f>100-AD272-AE272-AF272-AG272</f>
        <v>0.5</v>
      </c>
      <c r="AD272" s="5">
        <v>60</v>
      </c>
      <c r="AE272" s="5">
        <v>14</v>
      </c>
      <c r="AF272" s="5">
        <v>17.5</v>
      </c>
      <c r="AG272" s="5">
        <v>8</v>
      </c>
      <c r="AH272" s="5" t="s">
        <v>15</v>
      </c>
      <c r="AI272" s="5">
        <f>(AD272*Calculations!$B$23+AE272*Calculations!$B$21+AG272*Calculations!$B$22)/100</f>
        <v>11.109059999999999</v>
      </c>
      <c r="AJ272" s="5">
        <v>6.5</v>
      </c>
      <c r="AK272" s="5">
        <f>((100-K262-L262)/100)*1.18918918918919</f>
        <v>1.0292432432432439</v>
      </c>
      <c r="AL272" s="5" t="s">
        <v>15</v>
      </c>
      <c r="AM272" s="5">
        <f t="shared" si="150"/>
        <v>79.018140592838904</v>
      </c>
      <c r="AN272" s="5">
        <f>100*(AK272/F272)*(AE272*Calculations!$B$5*Calculations!$B$9+AF272*Calculations!$B$6*Calculations!$B$10+AG272*Calculations!$B$7*Calculations!$B$11)</f>
        <v>44.989686637071451</v>
      </c>
      <c r="AO272" s="6" t="s">
        <v>236</v>
      </c>
      <c r="AP272" s="6" t="s">
        <v>239</v>
      </c>
    </row>
    <row r="273" spans="1:42" x14ac:dyDescent="0.3">
      <c r="A273" s="6">
        <v>270</v>
      </c>
      <c r="B273" s="3" t="s">
        <v>242</v>
      </c>
      <c r="C273" s="3" t="s">
        <v>15</v>
      </c>
      <c r="D273" s="5">
        <f t="shared" ref="D273:D274" si="172">((8+63)/2)*0.751+((3.15+8)/2)*0.134+((3.15)/2)*0.115</f>
        <v>27.588675000000002</v>
      </c>
      <c r="E273" s="5">
        <v>17.3</v>
      </c>
      <c r="F273" s="5">
        <v>47.6</v>
      </c>
      <c r="G273" s="5">
        <v>6.1</v>
      </c>
      <c r="H273" s="5">
        <v>0.52</v>
      </c>
      <c r="I273" s="5" t="s">
        <v>15</v>
      </c>
      <c r="J273" s="5">
        <v>45.78</v>
      </c>
      <c r="K273" s="5">
        <v>2.12</v>
      </c>
      <c r="L273" s="5">
        <v>10.1</v>
      </c>
      <c r="M273" s="5">
        <v>80.06</v>
      </c>
      <c r="N273" s="5">
        <v>17.82</v>
      </c>
      <c r="O273" s="5" t="s">
        <v>15</v>
      </c>
      <c r="P273" s="5" t="s">
        <v>15</v>
      </c>
      <c r="Q273" s="5" t="s">
        <v>15</v>
      </c>
      <c r="R273" s="5">
        <v>926.85</v>
      </c>
      <c r="S273" s="5" t="s">
        <v>39</v>
      </c>
      <c r="T273" s="5" t="s">
        <v>15</v>
      </c>
      <c r="U273" s="5" t="s">
        <v>15</v>
      </c>
      <c r="V273" s="5" t="s">
        <v>15</v>
      </c>
      <c r="W273" s="5">
        <v>0.27900000000000003</v>
      </c>
      <c r="X273" s="5" t="s">
        <v>33</v>
      </c>
      <c r="Y273" s="5" t="s">
        <v>114</v>
      </c>
      <c r="Z273" s="5" t="s">
        <v>15</v>
      </c>
      <c r="AA273" s="5" t="s">
        <v>15</v>
      </c>
      <c r="AB273" s="5" t="s">
        <v>243</v>
      </c>
      <c r="AC273" s="5">
        <v>46.46</v>
      </c>
      <c r="AD273" s="5">
        <v>15.83</v>
      </c>
      <c r="AE273" s="5">
        <v>22.46</v>
      </c>
      <c r="AF273" s="5">
        <v>12.33</v>
      </c>
      <c r="AG273" s="5">
        <v>2.25</v>
      </c>
      <c r="AH273" s="5">
        <v>0.6100000000000001</v>
      </c>
      <c r="AI273" s="5">
        <v>5.72</v>
      </c>
      <c r="AJ273" s="5" t="s">
        <v>15</v>
      </c>
      <c r="AK273" s="5">
        <v>2</v>
      </c>
      <c r="AL273" s="5">
        <v>77.966101694915253</v>
      </c>
      <c r="AM273" s="5">
        <f t="shared" si="150"/>
        <v>66.127167630057798</v>
      </c>
      <c r="AN273" s="5">
        <f>100*(AK273/F273)*(AE273*Calculations!$B$5*Calculations!$B$9+AF273*Calculations!$B$6*Calculations!$B$10+AG273*Calculations!$B$7*Calculations!$B$11)</f>
        <v>78.740343637454956</v>
      </c>
      <c r="AO273" s="6" t="s">
        <v>245</v>
      </c>
      <c r="AP273" s="6" t="s">
        <v>244</v>
      </c>
    </row>
    <row r="274" spans="1:42" x14ac:dyDescent="0.3">
      <c r="A274" s="6">
        <v>271</v>
      </c>
      <c r="B274" s="3" t="s">
        <v>242</v>
      </c>
      <c r="C274" s="3" t="s">
        <v>15</v>
      </c>
      <c r="D274" s="5">
        <f t="shared" si="172"/>
        <v>27.588675000000002</v>
      </c>
      <c r="E274" s="5">
        <v>17.3</v>
      </c>
      <c r="F274" s="5">
        <v>47.6</v>
      </c>
      <c r="G274" s="5">
        <v>6.1</v>
      </c>
      <c r="H274" s="5">
        <v>0.52</v>
      </c>
      <c r="I274" s="5" t="s">
        <v>15</v>
      </c>
      <c r="J274" s="5">
        <v>45.78</v>
      </c>
      <c r="K274" s="5">
        <v>2.12</v>
      </c>
      <c r="L274" s="5">
        <v>10.1</v>
      </c>
      <c r="M274" s="5">
        <v>80.06</v>
      </c>
      <c r="N274" s="5">
        <v>17.82</v>
      </c>
      <c r="O274" s="5" t="s">
        <v>15</v>
      </c>
      <c r="P274" s="5" t="s">
        <v>15</v>
      </c>
      <c r="Q274" s="5" t="s">
        <v>15</v>
      </c>
      <c r="R274" s="5">
        <v>926.85</v>
      </c>
      <c r="S274" s="5" t="s">
        <v>39</v>
      </c>
      <c r="T274" s="5" t="s">
        <v>15</v>
      </c>
      <c r="U274" s="5" t="s">
        <v>15</v>
      </c>
      <c r="V274" s="5" t="s">
        <v>15</v>
      </c>
      <c r="W274" s="5">
        <v>0.27700000000000002</v>
      </c>
      <c r="X274" s="5" t="s">
        <v>33</v>
      </c>
      <c r="Y274" s="5" t="s">
        <v>114</v>
      </c>
      <c r="Z274" s="5" t="s">
        <v>15</v>
      </c>
      <c r="AA274" s="5" t="s">
        <v>15</v>
      </c>
      <c r="AB274" s="5" t="s">
        <v>243</v>
      </c>
      <c r="AC274" s="5">
        <v>45.25</v>
      </c>
      <c r="AD274" s="5">
        <v>17.559999999999999</v>
      </c>
      <c r="AE274" s="5">
        <v>22.61</v>
      </c>
      <c r="AF274" s="5">
        <v>12.02</v>
      </c>
      <c r="AG274" s="5">
        <v>2.0299999999999998</v>
      </c>
      <c r="AH274" s="5">
        <v>0.45999999999999996</v>
      </c>
      <c r="AI274" s="5">
        <v>5.74</v>
      </c>
      <c r="AJ274" s="5" t="s">
        <v>15</v>
      </c>
      <c r="AK274" s="5">
        <v>2.0273972602739727</v>
      </c>
      <c r="AL274" s="5">
        <v>79.452054794520535</v>
      </c>
      <c r="AM274" s="5">
        <f t="shared" si="150"/>
        <v>67.267400427587305</v>
      </c>
      <c r="AN274" s="5">
        <f>100*(AK274/F274)*(AE274*Calculations!$B$5*Calculations!$B$9+AF274*Calculations!$B$6*Calculations!$B$10+AG274*Calculations!$B$7*Calculations!$B$11)</f>
        <v>78.956400656152866</v>
      </c>
      <c r="AO274" s="6" t="s">
        <v>245</v>
      </c>
      <c r="AP274" s="6" t="s">
        <v>244</v>
      </c>
    </row>
    <row r="275" spans="1:42" x14ac:dyDescent="0.3">
      <c r="A275" s="6">
        <v>272</v>
      </c>
      <c r="B275" s="3" t="s">
        <v>242</v>
      </c>
      <c r="C275" s="3" t="s">
        <v>15</v>
      </c>
      <c r="D275" s="5">
        <f>((8+63)/2)*0.751+((3.15+8)/2)*0.134+((3.15)/2)*0.115</f>
        <v>27.588675000000002</v>
      </c>
      <c r="E275" s="5">
        <v>17.3</v>
      </c>
      <c r="F275" s="5">
        <v>47.6</v>
      </c>
      <c r="G275" s="5">
        <v>6.1</v>
      </c>
      <c r="H275" s="5">
        <v>0.52</v>
      </c>
      <c r="I275" s="5" t="s">
        <v>15</v>
      </c>
      <c r="J275" s="5">
        <v>45.78</v>
      </c>
      <c r="K275" s="5">
        <v>2.12</v>
      </c>
      <c r="L275" s="5">
        <v>10.1</v>
      </c>
      <c r="M275" s="5">
        <v>80.06</v>
      </c>
      <c r="N275" s="5">
        <v>17.82</v>
      </c>
      <c r="O275" s="5" t="s">
        <v>15</v>
      </c>
      <c r="P275" s="5" t="s">
        <v>15</v>
      </c>
      <c r="Q275" s="5" t="s">
        <v>15</v>
      </c>
      <c r="R275" s="5">
        <v>926.85</v>
      </c>
      <c r="S275" s="5" t="s">
        <v>39</v>
      </c>
      <c r="T275" s="5" t="s">
        <v>15</v>
      </c>
      <c r="U275" s="5" t="s">
        <v>15</v>
      </c>
      <c r="V275" s="5" t="s">
        <v>15</v>
      </c>
      <c r="W275" s="5">
        <v>0.28699999999999998</v>
      </c>
      <c r="X275" s="5" t="s">
        <v>33</v>
      </c>
      <c r="Y275" s="5" t="s">
        <v>114</v>
      </c>
      <c r="Z275" s="5" t="s">
        <v>15</v>
      </c>
      <c r="AA275" s="5" t="s">
        <v>15</v>
      </c>
      <c r="AB275" s="5" t="s">
        <v>243</v>
      </c>
      <c r="AC275" s="5">
        <v>46.59</v>
      </c>
      <c r="AD275" s="5">
        <v>16.600000000000001</v>
      </c>
      <c r="AE275" s="5">
        <v>22.55</v>
      </c>
      <c r="AF275" s="5">
        <v>11.78</v>
      </c>
      <c r="AG275" s="5">
        <v>1.91</v>
      </c>
      <c r="AH275" s="5">
        <v>0.49999999999999994</v>
      </c>
      <c r="AI275" s="5">
        <v>5.62</v>
      </c>
      <c r="AJ275" s="5" t="s">
        <v>15</v>
      </c>
      <c r="AK275" s="5">
        <v>2.0547945205479454</v>
      </c>
      <c r="AL275" s="5">
        <v>79.452054794520535</v>
      </c>
      <c r="AM275" s="5">
        <f t="shared" si="150"/>
        <v>66.751128355372572</v>
      </c>
      <c r="AN275" s="5">
        <f>100*(AK275/F275)*(AE275*Calculations!$B$5*Calculations!$B$9+AF275*Calculations!$B$6*Calculations!$B$10+AG275*Calculations!$B$7*Calculations!$B$11)</f>
        <v>79.082126514989554</v>
      </c>
      <c r="AO275" s="6" t="s">
        <v>245</v>
      </c>
      <c r="AP275" s="6" t="s">
        <v>244</v>
      </c>
    </row>
    <row r="276" spans="1:42" x14ac:dyDescent="0.3">
      <c r="A276" s="6">
        <v>273</v>
      </c>
      <c r="B276" s="3" t="s">
        <v>241</v>
      </c>
      <c r="C276" s="3" t="s">
        <v>15</v>
      </c>
      <c r="D276" s="5">
        <f>((8+63)/2)*0.618+((3.15+8)/2)*0.366+((3.15)/2)*0.026</f>
        <v>24.020399999999999</v>
      </c>
      <c r="E276" s="5">
        <v>18.399999999999999</v>
      </c>
      <c r="F276" s="5">
        <v>48.91</v>
      </c>
      <c r="G276" s="5">
        <v>5.8</v>
      </c>
      <c r="H276" s="5">
        <v>0.18</v>
      </c>
      <c r="I276" s="5" t="s">
        <v>15</v>
      </c>
      <c r="J276" s="5">
        <v>45.11</v>
      </c>
      <c r="K276" s="5">
        <v>2.1</v>
      </c>
      <c r="L276" s="5">
        <v>9.5</v>
      </c>
      <c r="M276" s="5">
        <v>80.63</v>
      </c>
      <c r="N276" s="5">
        <v>17.27</v>
      </c>
      <c r="O276" s="5" t="s">
        <v>15</v>
      </c>
      <c r="P276" s="5" t="s">
        <v>15</v>
      </c>
      <c r="Q276" s="5" t="s">
        <v>15</v>
      </c>
      <c r="R276" s="5">
        <v>926.85</v>
      </c>
      <c r="S276" s="5" t="s">
        <v>39</v>
      </c>
      <c r="T276" s="5" t="s">
        <v>15</v>
      </c>
      <c r="U276" s="5" t="s">
        <v>15</v>
      </c>
      <c r="V276" s="5" t="s">
        <v>15</v>
      </c>
      <c r="W276" s="5">
        <v>0.27200000000000002</v>
      </c>
      <c r="X276" s="5" t="s">
        <v>33</v>
      </c>
      <c r="Y276" s="5" t="s">
        <v>114</v>
      </c>
      <c r="Z276" s="5" t="s">
        <v>15</v>
      </c>
      <c r="AA276" s="5" t="s">
        <v>15</v>
      </c>
      <c r="AB276" s="5" t="s">
        <v>243</v>
      </c>
      <c r="AC276" s="5">
        <v>47.25</v>
      </c>
      <c r="AD276" s="5">
        <v>16.350000000000001</v>
      </c>
      <c r="AE276" s="5">
        <v>21.29</v>
      </c>
      <c r="AF276" s="5">
        <v>12.39</v>
      </c>
      <c r="AG276" s="5">
        <v>2.2799999999999998</v>
      </c>
      <c r="AH276" s="5">
        <v>0.43000000000000005</v>
      </c>
      <c r="AI276" s="5">
        <v>5.52</v>
      </c>
      <c r="AJ276" s="5" t="s">
        <v>15</v>
      </c>
      <c r="AK276" s="5">
        <v>1.8103448275862069</v>
      </c>
      <c r="AL276" s="5">
        <v>108.62068965517241</v>
      </c>
      <c r="AM276" s="5">
        <f t="shared" si="150"/>
        <v>54.310344827586199</v>
      </c>
      <c r="AN276" s="5">
        <f>100*(AK276/F276)*(AE276*Calculations!$B$5*Calculations!$B$9+AF276*Calculations!$B$6*Calculations!$B$10+AG276*Calculations!$B$7*Calculations!$B$11)</f>
        <v>67.423429028687451</v>
      </c>
      <c r="AO276" s="6" t="s">
        <v>245</v>
      </c>
      <c r="AP276" s="6" t="s">
        <v>244</v>
      </c>
    </row>
    <row r="277" spans="1:42" x14ac:dyDescent="0.3">
      <c r="A277" s="6">
        <v>274</v>
      </c>
      <c r="B277" s="3" t="s">
        <v>137</v>
      </c>
      <c r="C277" s="3" t="s">
        <v>15</v>
      </c>
      <c r="D277" s="5">
        <v>3.15</v>
      </c>
      <c r="E277" s="5">
        <v>15.6</v>
      </c>
      <c r="F277" s="5">
        <v>49.44</v>
      </c>
      <c r="G277" s="5">
        <v>6.25</v>
      </c>
      <c r="H277" s="5">
        <v>0.54</v>
      </c>
      <c r="I277" s="5" t="s">
        <v>15</v>
      </c>
      <c r="J277" s="5">
        <v>43.77</v>
      </c>
      <c r="K277" s="5">
        <v>16.600000000000001</v>
      </c>
      <c r="L277" s="5">
        <v>12.5</v>
      </c>
      <c r="M277" s="5">
        <v>67.95</v>
      </c>
      <c r="N277" s="5">
        <v>15.45</v>
      </c>
      <c r="O277" s="5" t="s">
        <v>15</v>
      </c>
      <c r="P277" s="5" t="s">
        <v>15</v>
      </c>
      <c r="Q277" s="5" t="s">
        <v>15</v>
      </c>
      <c r="R277" s="5">
        <v>926.85</v>
      </c>
      <c r="S277" s="5" t="s">
        <v>39</v>
      </c>
      <c r="T277" s="5" t="s">
        <v>15</v>
      </c>
      <c r="U277" s="5" t="s">
        <v>15</v>
      </c>
      <c r="V277" s="5" t="s">
        <v>15</v>
      </c>
      <c r="W277" s="5">
        <v>0.38200000000000001</v>
      </c>
      <c r="X277" s="5" t="s">
        <v>33</v>
      </c>
      <c r="Y277" s="5" t="s">
        <v>114</v>
      </c>
      <c r="Z277" s="5" t="s">
        <v>15</v>
      </c>
      <c r="AA277" s="5" t="s">
        <v>15</v>
      </c>
      <c r="AB277" s="5" t="s">
        <v>243</v>
      </c>
      <c r="AC277" s="5">
        <v>60.5</v>
      </c>
      <c r="AD277" s="5">
        <v>7.97</v>
      </c>
      <c r="AE277" s="5">
        <v>20.04</v>
      </c>
      <c r="AF277" s="5">
        <v>10.58</v>
      </c>
      <c r="AG277" s="5">
        <v>0.69</v>
      </c>
      <c r="AH277" s="5">
        <v>0.22000000000000003</v>
      </c>
      <c r="AI277" s="5">
        <v>3.76</v>
      </c>
      <c r="AJ277" s="5" t="s">
        <v>15</v>
      </c>
      <c r="AK277" s="5">
        <v>1.74</v>
      </c>
      <c r="AL277" s="5">
        <v>172</v>
      </c>
      <c r="AM277" s="5">
        <f t="shared" si="150"/>
        <v>41.938461538461539</v>
      </c>
      <c r="AN277" s="5">
        <f>100*(AK277/F277)*(AE277*Calculations!$B$5*Calculations!$B$9+AF277*Calculations!$B$6*Calculations!$B$10+AG277*Calculations!$B$7*Calculations!$B$11)</f>
        <v>55.76224501560332</v>
      </c>
      <c r="AO277" s="6" t="s">
        <v>245</v>
      </c>
      <c r="AP277" s="6" t="s">
        <v>244</v>
      </c>
    </row>
    <row r="278" spans="1:42" x14ac:dyDescent="0.3">
      <c r="A278" s="6">
        <v>275</v>
      </c>
      <c r="B278" s="3" t="s">
        <v>137</v>
      </c>
      <c r="C278" s="3" t="s">
        <v>15</v>
      </c>
      <c r="D278" s="5">
        <v>3.15</v>
      </c>
      <c r="E278" s="5">
        <v>15.6</v>
      </c>
      <c r="F278" s="5">
        <v>49.44</v>
      </c>
      <c r="G278" s="5">
        <v>6.25</v>
      </c>
      <c r="H278" s="5">
        <v>0.54</v>
      </c>
      <c r="I278" s="5" t="s">
        <v>15</v>
      </c>
      <c r="J278" s="5">
        <v>43.77</v>
      </c>
      <c r="K278" s="5">
        <v>16.600000000000001</v>
      </c>
      <c r="L278" s="5">
        <v>12.5</v>
      </c>
      <c r="M278" s="5">
        <v>67.95</v>
      </c>
      <c r="N278" s="5">
        <v>15.45</v>
      </c>
      <c r="O278" s="5" t="s">
        <v>15</v>
      </c>
      <c r="P278" s="5" t="s">
        <v>15</v>
      </c>
      <c r="Q278" s="5" t="s">
        <v>15</v>
      </c>
      <c r="R278" s="5">
        <v>926.85</v>
      </c>
      <c r="S278" s="5" t="s">
        <v>39</v>
      </c>
      <c r="T278" s="5" t="s">
        <v>15</v>
      </c>
      <c r="U278" s="5" t="s">
        <v>15</v>
      </c>
      <c r="V278" s="5" t="s">
        <v>15</v>
      </c>
      <c r="W278" s="5">
        <v>0.41399999999999998</v>
      </c>
      <c r="X278" s="5" t="s">
        <v>33</v>
      </c>
      <c r="Y278" s="5" t="s">
        <v>114</v>
      </c>
      <c r="Z278" s="5" t="s">
        <v>15</v>
      </c>
      <c r="AA278" s="5" t="s">
        <v>15</v>
      </c>
      <c r="AB278" s="5" t="s">
        <v>243</v>
      </c>
      <c r="AC278" s="5">
        <v>66.540000000000006</v>
      </c>
      <c r="AD278" s="5">
        <v>5.78</v>
      </c>
      <c r="AE278" s="5">
        <v>12.27</v>
      </c>
      <c r="AF278" s="5">
        <v>14.55</v>
      </c>
      <c r="AG278" s="5">
        <v>0.60799999999999998</v>
      </c>
      <c r="AH278" s="5">
        <v>0.24000000000000002</v>
      </c>
      <c r="AI278" s="5">
        <v>2.5299999999999998</v>
      </c>
      <c r="AJ278" s="5" t="s">
        <v>15</v>
      </c>
      <c r="AK278" s="5">
        <v>1.8888888888888888</v>
      </c>
      <c r="AL278" s="5">
        <v>187.30158730158729</v>
      </c>
      <c r="AM278" s="5">
        <f t="shared" si="150"/>
        <v>30.633903133903129</v>
      </c>
      <c r="AN278" s="5">
        <f>100*(AK278/F278)*(AE278*Calculations!$B$5*Calculations!$B$9+AF278*Calculations!$B$6*Calculations!$B$10+AG278*Calculations!$B$7*Calculations!$B$11)</f>
        <v>54.066248266296817</v>
      </c>
      <c r="AO278" s="6" t="s">
        <v>245</v>
      </c>
      <c r="AP278" s="6" t="s">
        <v>244</v>
      </c>
    </row>
    <row r="279" spans="1:42" x14ac:dyDescent="0.3">
      <c r="A279" s="6">
        <v>276</v>
      </c>
      <c r="B279" s="3" t="s">
        <v>240</v>
      </c>
      <c r="C279" s="3" t="s">
        <v>15</v>
      </c>
      <c r="D279" s="5">
        <f>((8+63)/2)*0.466+((3.15+8)/2)*0.341+((3.15)/2)*0.128+63*0.065</f>
        <v>22.740674999999996</v>
      </c>
      <c r="E279" s="5">
        <v>18.100000000000001</v>
      </c>
      <c r="F279" s="5">
        <v>50.84</v>
      </c>
      <c r="G279" s="5">
        <v>5.82</v>
      </c>
      <c r="H279" s="5">
        <v>0.88</v>
      </c>
      <c r="I279" s="5" t="s">
        <v>15</v>
      </c>
      <c r="J279" s="5">
        <v>42.46</v>
      </c>
      <c r="K279" s="5">
        <v>2.62</v>
      </c>
      <c r="L279" s="5">
        <v>17.600000000000001</v>
      </c>
      <c r="M279" s="5">
        <v>80.84</v>
      </c>
      <c r="N279" s="5">
        <v>16.54</v>
      </c>
      <c r="O279" s="5" t="s">
        <v>15</v>
      </c>
      <c r="P279" s="5" t="s">
        <v>15</v>
      </c>
      <c r="Q279" s="5" t="s">
        <v>15</v>
      </c>
      <c r="R279" s="5">
        <v>926.85</v>
      </c>
      <c r="S279" s="5" t="s">
        <v>39</v>
      </c>
      <c r="T279" s="5" t="s">
        <v>15</v>
      </c>
      <c r="U279" s="5" t="s">
        <v>15</v>
      </c>
      <c r="V279" s="5" t="s">
        <v>15</v>
      </c>
      <c r="W279" s="5">
        <v>0.25700000000000001</v>
      </c>
      <c r="X279" s="5" t="s">
        <v>33</v>
      </c>
      <c r="Y279" s="5" t="s">
        <v>114</v>
      </c>
      <c r="Z279" s="5" t="s">
        <v>15</v>
      </c>
      <c r="AA279" s="5" t="s">
        <v>15</v>
      </c>
      <c r="AB279" s="5" t="s">
        <v>243</v>
      </c>
      <c r="AC279" s="5">
        <v>45.07</v>
      </c>
      <c r="AD279" s="5">
        <v>17.059999999999999</v>
      </c>
      <c r="AE279" s="5">
        <v>21.74</v>
      </c>
      <c r="AF279" s="5">
        <v>13.02</v>
      </c>
      <c r="AG279" s="5">
        <v>2.5499999999999998</v>
      </c>
      <c r="AH279" s="5">
        <v>0.54</v>
      </c>
      <c r="AI279" s="5">
        <v>5.82</v>
      </c>
      <c r="AJ279" s="5" t="s">
        <v>15</v>
      </c>
      <c r="AK279" s="5">
        <v>1.9772727272727273</v>
      </c>
      <c r="AL279" s="5">
        <v>120.45454545454545</v>
      </c>
      <c r="AM279" s="5">
        <f t="shared" si="150"/>
        <v>63.578603716725254</v>
      </c>
      <c r="AN279" s="5">
        <f>100*(AK279/F279)*(AE279*Calculations!$B$5*Calculations!$B$9+AF279*Calculations!$B$6*Calculations!$B$10+AG279*Calculations!$B$7*Calculations!$B$11)</f>
        <v>73.540448468968066</v>
      </c>
      <c r="AO279" s="6" t="s">
        <v>245</v>
      </c>
      <c r="AP279" s="6" t="s">
        <v>244</v>
      </c>
    </row>
    <row r="280" spans="1:42" x14ac:dyDescent="0.3">
      <c r="A280">
        <v>277</v>
      </c>
      <c r="B280" s="3" t="s">
        <v>247</v>
      </c>
      <c r="C280" s="3" t="s">
        <v>93</v>
      </c>
      <c r="D280" s="3" t="s">
        <v>15</v>
      </c>
      <c r="E280" s="5">
        <v>21.647058823529409</v>
      </c>
      <c r="F280" s="5">
        <v>48.39</v>
      </c>
      <c r="G280" s="5">
        <v>5.86</v>
      </c>
      <c r="H280" s="5">
        <v>2.04</v>
      </c>
      <c r="I280" s="5" t="s">
        <v>15</v>
      </c>
      <c r="J280" s="5">
        <v>39.21</v>
      </c>
      <c r="K280" s="5">
        <v>4.5</v>
      </c>
      <c r="L280" s="5">
        <v>5</v>
      </c>
      <c r="M280" s="5">
        <v>80.3</v>
      </c>
      <c r="N280" s="5">
        <v>15.2</v>
      </c>
      <c r="O280" s="5" t="s">
        <v>15</v>
      </c>
      <c r="P280" s="5" t="s">
        <v>15</v>
      </c>
      <c r="Q280" s="5" t="s">
        <v>15</v>
      </c>
      <c r="R280" s="5">
        <v>850</v>
      </c>
      <c r="S280" s="5" t="s">
        <v>15</v>
      </c>
      <c r="T280" s="5" t="s">
        <v>15</v>
      </c>
      <c r="U280" s="5" t="s">
        <v>15</v>
      </c>
      <c r="V280" s="5" t="s">
        <v>15</v>
      </c>
      <c r="W280" s="5">
        <v>0.3</v>
      </c>
      <c r="X280" s="5" t="s">
        <v>33</v>
      </c>
      <c r="Y280" s="5" t="s">
        <v>114</v>
      </c>
      <c r="Z280" s="5" t="s">
        <v>15</v>
      </c>
      <c r="AA280" s="5" t="s">
        <v>15</v>
      </c>
      <c r="AB280" s="5" t="s">
        <v>15</v>
      </c>
      <c r="AC280" s="5">
        <v>51.5</v>
      </c>
      <c r="AD280" s="5">
        <v>17.5</v>
      </c>
      <c r="AE280" s="5">
        <v>19.2</v>
      </c>
      <c r="AF280" s="5">
        <v>10.3</v>
      </c>
      <c r="AG280" s="5">
        <v>1.2</v>
      </c>
      <c r="AH280" s="5" t="s">
        <v>15</v>
      </c>
      <c r="AI280" s="5">
        <f>(AD280*Calculations!$B$23+AE280*Calculations!$B$21+AG280*Calculations!$B$22)/100</f>
        <v>4.7431569999999992</v>
      </c>
      <c r="AJ280" s="5" t="s">
        <v>15</v>
      </c>
      <c r="AK280" s="5" t="s">
        <v>15</v>
      </c>
      <c r="AL280" s="5" t="s">
        <v>15</v>
      </c>
      <c r="AM280" s="5" t="s">
        <v>15</v>
      </c>
      <c r="AN280" s="5" t="s">
        <v>15</v>
      </c>
      <c r="AO280" s="6" t="s">
        <v>246</v>
      </c>
      <c r="AP280" s="6" t="s">
        <v>252</v>
      </c>
    </row>
    <row r="281" spans="1:42" x14ac:dyDescent="0.3">
      <c r="A281">
        <v>278</v>
      </c>
      <c r="B281" s="3" t="s">
        <v>247</v>
      </c>
      <c r="C281" s="3" t="s">
        <v>93</v>
      </c>
      <c r="D281" s="3" t="s">
        <v>15</v>
      </c>
      <c r="E281" s="5">
        <v>18.399999999999999</v>
      </c>
      <c r="F281" s="5">
        <v>48.39</v>
      </c>
      <c r="G281" s="5">
        <v>5.86</v>
      </c>
      <c r="H281" s="5">
        <v>2.04</v>
      </c>
      <c r="I281" s="5" t="s">
        <v>15</v>
      </c>
      <c r="J281" s="5">
        <v>39.21</v>
      </c>
      <c r="K281" s="5">
        <v>4.5</v>
      </c>
      <c r="L281" s="5">
        <v>20</v>
      </c>
      <c r="M281" s="5">
        <v>80.3</v>
      </c>
      <c r="N281" s="5">
        <v>15.2</v>
      </c>
      <c r="O281" s="5" t="s">
        <v>15</v>
      </c>
      <c r="P281" s="5" t="s">
        <v>15</v>
      </c>
      <c r="Q281" s="5" t="s">
        <v>15</v>
      </c>
      <c r="R281" s="5">
        <v>850</v>
      </c>
      <c r="S281" s="5" t="s">
        <v>15</v>
      </c>
      <c r="T281" s="5" t="s">
        <v>15</v>
      </c>
      <c r="U281" s="5" t="s">
        <v>15</v>
      </c>
      <c r="V281" s="5" t="s">
        <v>15</v>
      </c>
      <c r="W281" s="5">
        <v>0.3</v>
      </c>
      <c r="X281" s="5" t="s">
        <v>33</v>
      </c>
      <c r="Y281" s="5" t="s">
        <v>114</v>
      </c>
      <c r="Z281" s="5" t="s">
        <v>15</v>
      </c>
      <c r="AA281" s="5" t="s">
        <v>15</v>
      </c>
      <c r="AB281" s="5" t="s">
        <v>15</v>
      </c>
      <c r="AC281" s="5">
        <v>50.5</v>
      </c>
      <c r="AD281" s="5">
        <v>18.2</v>
      </c>
      <c r="AE281" s="5">
        <v>18.5</v>
      </c>
      <c r="AF281" s="5">
        <v>11</v>
      </c>
      <c r="AG281" s="5">
        <v>1.35</v>
      </c>
      <c r="AH281" s="5" t="s">
        <v>15</v>
      </c>
      <c r="AI281" s="5">
        <f>(AD281*Calculations!$B$23+AE281*Calculations!$B$21+AG281*Calculations!$B$22)/100</f>
        <v>4.7840315000000002</v>
      </c>
      <c r="AJ281" s="5" t="s">
        <v>15</v>
      </c>
      <c r="AK281" s="5" t="s">
        <v>15</v>
      </c>
      <c r="AL281" s="5" t="s">
        <v>15</v>
      </c>
      <c r="AM281" s="5" t="s">
        <v>15</v>
      </c>
      <c r="AN281" s="5" t="s">
        <v>15</v>
      </c>
      <c r="AO281" s="6" t="s">
        <v>246</v>
      </c>
      <c r="AP281" s="6" t="s">
        <v>252</v>
      </c>
    </row>
    <row r="282" spans="1:42" x14ac:dyDescent="0.3">
      <c r="A282">
        <v>279</v>
      </c>
      <c r="B282" s="3" t="s">
        <v>248</v>
      </c>
      <c r="C282" s="3" t="s">
        <v>93</v>
      </c>
      <c r="D282" s="3" t="s">
        <v>15</v>
      </c>
      <c r="E282" s="5">
        <v>19.058823529411764</v>
      </c>
      <c r="F282" s="5">
        <v>44.43</v>
      </c>
      <c r="G282" s="5">
        <v>6.16</v>
      </c>
      <c r="H282" s="5">
        <v>1.65</v>
      </c>
      <c r="I282" s="5" t="s">
        <v>15</v>
      </c>
      <c r="J282" s="5">
        <v>41.9</v>
      </c>
      <c r="K282" s="5">
        <v>5.5</v>
      </c>
      <c r="L282" s="5">
        <v>5</v>
      </c>
      <c r="M282" s="5">
        <v>81.25</v>
      </c>
      <c r="N282" s="5">
        <v>13.25</v>
      </c>
      <c r="O282" s="5" t="s">
        <v>15</v>
      </c>
      <c r="P282" s="5" t="s">
        <v>15</v>
      </c>
      <c r="Q282" s="5" t="s">
        <v>15</v>
      </c>
      <c r="R282" s="5">
        <v>850</v>
      </c>
      <c r="S282" s="5" t="s">
        <v>15</v>
      </c>
      <c r="T282" s="5" t="s">
        <v>15</v>
      </c>
      <c r="U282" s="5" t="s">
        <v>15</v>
      </c>
      <c r="V282" s="5" t="s">
        <v>15</v>
      </c>
      <c r="W282" s="5">
        <v>0.3</v>
      </c>
      <c r="X282" s="5" t="s">
        <v>33</v>
      </c>
      <c r="Y282" s="5" t="s">
        <v>114</v>
      </c>
      <c r="Z282" s="5" t="s">
        <v>15</v>
      </c>
      <c r="AA282" s="5" t="s">
        <v>15</v>
      </c>
      <c r="AB282" s="5" t="s">
        <v>15</v>
      </c>
      <c r="AC282" s="5">
        <v>52.4</v>
      </c>
      <c r="AD282" s="5">
        <v>17</v>
      </c>
      <c r="AE282" s="5">
        <v>18.5</v>
      </c>
      <c r="AF282" s="5">
        <v>10.7</v>
      </c>
      <c r="AG282" s="5">
        <v>1.2</v>
      </c>
      <c r="AH282" s="5" t="s">
        <v>15</v>
      </c>
      <c r="AI282" s="5">
        <f>(AD282*Calculations!$B$23+AE282*Calculations!$B$21+AG282*Calculations!$B$22)/100</f>
        <v>4.6008109999999993</v>
      </c>
      <c r="AJ282" s="5" t="s">
        <v>15</v>
      </c>
      <c r="AK282" s="5" t="s">
        <v>15</v>
      </c>
      <c r="AL282" s="5" t="s">
        <v>15</v>
      </c>
      <c r="AM282" s="5" t="s">
        <v>15</v>
      </c>
      <c r="AN282" s="5" t="s">
        <v>15</v>
      </c>
      <c r="AO282" s="6" t="s">
        <v>246</v>
      </c>
      <c r="AP282" s="6" t="s">
        <v>252</v>
      </c>
    </row>
    <row r="283" spans="1:42" x14ac:dyDescent="0.3">
      <c r="A283">
        <v>280</v>
      </c>
      <c r="B283" s="3" t="s">
        <v>248</v>
      </c>
      <c r="C283" s="3" t="s">
        <v>93</v>
      </c>
      <c r="D283" s="3" t="s">
        <v>15</v>
      </c>
      <c r="E283" s="5">
        <v>16.2</v>
      </c>
      <c r="F283" s="5">
        <v>44.43</v>
      </c>
      <c r="G283" s="5">
        <v>6.16</v>
      </c>
      <c r="H283" s="5">
        <v>1.65</v>
      </c>
      <c r="I283" s="5" t="s">
        <v>15</v>
      </c>
      <c r="J283" s="5">
        <v>41.9</v>
      </c>
      <c r="K283" s="5">
        <v>5.5</v>
      </c>
      <c r="L283" s="5">
        <v>20</v>
      </c>
      <c r="M283" s="5">
        <v>81.25</v>
      </c>
      <c r="N283" s="5">
        <v>13.25</v>
      </c>
      <c r="O283" s="5" t="s">
        <v>15</v>
      </c>
      <c r="P283" s="5" t="s">
        <v>15</v>
      </c>
      <c r="Q283" s="5" t="s">
        <v>15</v>
      </c>
      <c r="R283" s="5">
        <v>850</v>
      </c>
      <c r="S283" s="5" t="s">
        <v>15</v>
      </c>
      <c r="T283" s="5" t="s">
        <v>15</v>
      </c>
      <c r="U283" s="5" t="s">
        <v>15</v>
      </c>
      <c r="V283" s="5" t="s">
        <v>15</v>
      </c>
      <c r="W283" s="5">
        <v>0.3</v>
      </c>
      <c r="X283" s="5" t="s">
        <v>33</v>
      </c>
      <c r="Y283" s="5" t="s">
        <v>114</v>
      </c>
      <c r="Z283" s="5" t="s">
        <v>15</v>
      </c>
      <c r="AA283" s="5" t="s">
        <v>15</v>
      </c>
      <c r="AB283" s="5" t="s">
        <v>15</v>
      </c>
      <c r="AC283" s="5">
        <v>51.5</v>
      </c>
      <c r="AD283" s="5">
        <v>17.5</v>
      </c>
      <c r="AE283" s="5">
        <v>18</v>
      </c>
      <c r="AF283" s="5">
        <v>11.5</v>
      </c>
      <c r="AG283" s="5">
        <v>1.35</v>
      </c>
      <c r="AH283" s="5" t="s">
        <v>15</v>
      </c>
      <c r="AI283" s="5">
        <f>(AD283*Calculations!$B$23+AE283*Calculations!$B$21+AG283*Calculations!$B$22)/100</f>
        <v>4.6453854999999997</v>
      </c>
      <c r="AJ283" s="5" t="s">
        <v>15</v>
      </c>
      <c r="AK283" s="5" t="s">
        <v>15</v>
      </c>
      <c r="AL283" s="5" t="s">
        <v>15</v>
      </c>
      <c r="AM283" s="5" t="s">
        <v>15</v>
      </c>
      <c r="AN283" s="5" t="s">
        <v>15</v>
      </c>
      <c r="AO283" s="6" t="s">
        <v>246</v>
      </c>
      <c r="AP283" s="6" t="s">
        <v>252</v>
      </c>
    </row>
    <row r="284" spans="1:42" x14ac:dyDescent="0.3">
      <c r="A284">
        <v>281</v>
      </c>
      <c r="B284" s="3" t="s">
        <v>249</v>
      </c>
      <c r="C284" s="3" t="s">
        <v>93</v>
      </c>
      <c r="D284" s="3" t="s">
        <v>15</v>
      </c>
      <c r="E284" s="5">
        <v>19.529411764705884</v>
      </c>
      <c r="F284" s="5">
        <v>45.1</v>
      </c>
      <c r="G284" s="5">
        <v>6</v>
      </c>
      <c r="H284" s="5">
        <v>1.7</v>
      </c>
      <c r="I284" s="5" t="s">
        <v>15</v>
      </c>
      <c r="J284" s="5">
        <v>41.5</v>
      </c>
      <c r="K284" s="5">
        <v>5.6</v>
      </c>
      <c r="L284" s="5">
        <v>5</v>
      </c>
      <c r="M284" s="5">
        <v>81.75</v>
      </c>
      <c r="N284" s="5">
        <v>12.65</v>
      </c>
      <c r="O284" s="5" t="s">
        <v>15</v>
      </c>
      <c r="P284" s="5" t="s">
        <v>15</v>
      </c>
      <c r="Q284" s="5" t="s">
        <v>15</v>
      </c>
      <c r="R284" s="5">
        <v>850</v>
      </c>
      <c r="S284" s="5" t="s">
        <v>15</v>
      </c>
      <c r="T284" s="5" t="s">
        <v>15</v>
      </c>
      <c r="U284" s="5" t="s">
        <v>15</v>
      </c>
      <c r="V284" s="5" t="s">
        <v>15</v>
      </c>
      <c r="W284" s="5">
        <v>0.3</v>
      </c>
      <c r="X284" s="5" t="s">
        <v>33</v>
      </c>
      <c r="Y284" s="5" t="s">
        <v>114</v>
      </c>
      <c r="Z284" s="5" t="s">
        <v>15</v>
      </c>
      <c r="AA284" s="5" t="s">
        <v>15</v>
      </c>
      <c r="AB284" s="5" t="s">
        <v>15</v>
      </c>
      <c r="AC284" s="5">
        <v>51.5</v>
      </c>
      <c r="AD284" s="5">
        <v>17.5</v>
      </c>
      <c r="AE284" s="5">
        <v>19.2</v>
      </c>
      <c r="AF284" s="5">
        <v>10.3</v>
      </c>
      <c r="AG284" s="5">
        <v>1.2</v>
      </c>
      <c r="AH284" s="5" t="s">
        <v>15</v>
      </c>
      <c r="AI284" s="5">
        <f>(AD284*Calculations!$B$23+AE284*Calculations!$B$21+AG284*Calculations!$B$22)/100</f>
        <v>4.7431569999999992</v>
      </c>
      <c r="AJ284" s="5" t="s">
        <v>15</v>
      </c>
      <c r="AK284" s="5" t="s">
        <v>15</v>
      </c>
      <c r="AL284" s="5" t="s">
        <v>15</v>
      </c>
      <c r="AM284" s="5" t="s">
        <v>15</v>
      </c>
      <c r="AN284" s="5" t="s">
        <v>15</v>
      </c>
      <c r="AO284" s="6" t="s">
        <v>246</v>
      </c>
      <c r="AP284" s="6" t="s">
        <v>252</v>
      </c>
    </row>
    <row r="285" spans="1:42" x14ac:dyDescent="0.3">
      <c r="A285">
        <v>282</v>
      </c>
      <c r="B285" s="3" t="s">
        <v>249</v>
      </c>
      <c r="C285" s="3" t="s">
        <v>93</v>
      </c>
      <c r="D285" s="3" t="s">
        <v>15</v>
      </c>
      <c r="E285" s="5">
        <v>16.600000000000001</v>
      </c>
      <c r="F285" s="5">
        <v>45.1</v>
      </c>
      <c r="G285" s="5">
        <v>6</v>
      </c>
      <c r="H285" s="5">
        <v>1.7</v>
      </c>
      <c r="I285" s="5" t="s">
        <v>15</v>
      </c>
      <c r="J285" s="5">
        <v>41.5</v>
      </c>
      <c r="K285" s="5">
        <v>5.6</v>
      </c>
      <c r="L285" s="5">
        <v>20</v>
      </c>
      <c r="M285" s="5">
        <v>81.75</v>
      </c>
      <c r="N285" s="5">
        <v>12.65</v>
      </c>
      <c r="O285" s="5" t="s">
        <v>15</v>
      </c>
      <c r="P285" s="5" t="s">
        <v>15</v>
      </c>
      <c r="Q285" s="5" t="s">
        <v>15</v>
      </c>
      <c r="R285" s="5">
        <v>850</v>
      </c>
      <c r="S285" s="5" t="s">
        <v>15</v>
      </c>
      <c r="T285" s="5" t="s">
        <v>15</v>
      </c>
      <c r="U285" s="5" t="s">
        <v>15</v>
      </c>
      <c r="V285" s="5" t="s">
        <v>15</v>
      </c>
      <c r="W285" s="5">
        <v>0.3</v>
      </c>
      <c r="X285" s="5" t="s">
        <v>33</v>
      </c>
      <c r="Y285" s="5" t="s">
        <v>114</v>
      </c>
      <c r="Z285" s="5" t="s">
        <v>15</v>
      </c>
      <c r="AA285" s="5" t="s">
        <v>15</v>
      </c>
      <c r="AB285" s="5" t="s">
        <v>15</v>
      </c>
      <c r="AC285" s="5">
        <v>50.5</v>
      </c>
      <c r="AD285" s="5">
        <v>18.2</v>
      </c>
      <c r="AE285" s="5">
        <v>18.5</v>
      </c>
      <c r="AF285" s="5">
        <v>11</v>
      </c>
      <c r="AG285" s="5">
        <v>1.35</v>
      </c>
      <c r="AH285" s="5" t="s">
        <v>15</v>
      </c>
      <c r="AI285" s="5">
        <f>(AD285*Calculations!$B$23+AE285*Calculations!$B$21+AG285*Calculations!$B$22)/100</f>
        <v>4.7840315000000002</v>
      </c>
      <c r="AJ285" s="5" t="s">
        <v>15</v>
      </c>
      <c r="AK285" s="5" t="s">
        <v>15</v>
      </c>
      <c r="AL285" s="5" t="s">
        <v>15</v>
      </c>
      <c r="AM285" s="5" t="s">
        <v>15</v>
      </c>
      <c r="AN285" s="5" t="s">
        <v>15</v>
      </c>
      <c r="AO285" s="6" t="s">
        <v>246</v>
      </c>
      <c r="AP285" s="6" t="s">
        <v>252</v>
      </c>
    </row>
    <row r="286" spans="1:42" x14ac:dyDescent="0.3">
      <c r="A286">
        <v>283</v>
      </c>
      <c r="B286" s="3" t="s">
        <v>250</v>
      </c>
      <c r="C286" s="3" t="s">
        <v>93</v>
      </c>
      <c r="D286" s="3" t="s">
        <v>15</v>
      </c>
      <c r="E286" s="5">
        <v>18.764705882352942</v>
      </c>
      <c r="F286" s="5">
        <v>44.85</v>
      </c>
      <c r="G286" s="5">
        <v>5.98</v>
      </c>
      <c r="H286" s="5">
        <v>1.65</v>
      </c>
      <c r="I286" s="5" t="s">
        <v>15</v>
      </c>
      <c r="J286" s="5">
        <v>41.84</v>
      </c>
      <c r="K286" s="5">
        <v>5.8</v>
      </c>
      <c r="L286" s="5">
        <v>5</v>
      </c>
      <c r="M286" s="5">
        <v>82</v>
      </c>
      <c r="N286" s="5">
        <v>12.2</v>
      </c>
      <c r="O286" s="5" t="s">
        <v>15</v>
      </c>
      <c r="P286" s="5" t="s">
        <v>15</v>
      </c>
      <c r="Q286" s="5" t="s">
        <v>15</v>
      </c>
      <c r="R286" s="5">
        <v>850</v>
      </c>
      <c r="S286" s="5" t="s">
        <v>15</v>
      </c>
      <c r="T286" s="5" t="s">
        <v>15</v>
      </c>
      <c r="U286" s="5" t="s">
        <v>15</v>
      </c>
      <c r="V286" s="5" t="s">
        <v>15</v>
      </c>
      <c r="W286" s="5">
        <v>0.3</v>
      </c>
      <c r="X286" s="5" t="s">
        <v>33</v>
      </c>
      <c r="Y286" s="5" t="s">
        <v>114</v>
      </c>
      <c r="Z286" s="5" t="s">
        <v>15</v>
      </c>
      <c r="AA286" s="5" t="s">
        <v>15</v>
      </c>
      <c r="AB286" s="5" t="s">
        <v>15</v>
      </c>
      <c r="AC286" s="5">
        <v>53</v>
      </c>
      <c r="AD286" s="5">
        <v>16.5</v>
      </c>
      <c r="AE286" s="5">
        <v>17.5</v>
      </c>
      <c r="AF286" s="5">
        <v>11.5</v>
      </c>
      <c r="AG286" s="5">
        <v>0.85</v>
      </c>
      <c r="AH286" s="5" t="s">
        <v>15</v>
      </c>
      <c r="AI286" s="5">
        <f>(AD286*Calculations!$B$23+AE286*Calculations!$B$21+AG286*Calculations!$B$22)/100</f>
        <v>4.2949754999999996</v>
      </c>
      <c r="AJ286" s="5" t="s">
        <v>15</v>
      </c>
      <c r="AK286" s="5" t="s">
        <v>15</v>
      </c>
      <c r="AL286" s="5" t="s">
        <v>15</v>
      </c>
      <c r="AM286" s="5" t="s">
        <v>15</v>
      </c>
      <c r="AN286" s="5" t="s">
        <v>15</v>
      </c>
      <c r="AO286" s="6" t="s">
        <v>246</v>
      </c>
      <c r="AP286" s="6" t="s">
        <v>252</v>
      </c>
    </row>
    <row r="287" spans="1:42" x14ac:dyDescent="0.3">
      <c r="A287">
        <v>284</v>
      </c>
      <c r="B287" s="3" t="s">
        <v>250</v>
      </c>
      <c r="C287" s="3" t="s">
        <v>93</v>
      </c>
      <c r="D287" s="3" t="s">
        <v>15</v>
      </c>
      <c r="E287" s="5">
        <v>15.95</v>
      </c>
      <c r="F287" s="5">
        <v>44.85</v>
      </c>
      <c r="G287" s="5">
        <v>5.98</v>
      </c>
      <c r="H287" s="5">
        <v>1.65</v>
      </c>
      <c r="I287" s="5" t="s">
        <v>15</v>
      </c>
      <c r="J287" s="5">
        <v>41.84</v>
      </c>
      <c r="K287" s="5">
        <v>5.8</v>
      </c>
      <c r="L287" s="5">
        <v>20</v>
      </c>
      <c r="M287" s="5">
        <v>82</v>
      </c>
      <c r="N287" s="5">
        <v>12.2</v>
      </c>
      <c r="O287" s="5" t="s">
        <v>15</v>
      </c>
      <c r="P287" s="5" t="s">
        <v>15</v>
      </c>
      <c r="Q287" s="5" t="s">
        <v>15</v>
      </c>
      <c r="R287" s="5">
        <v>850</v>
      </c>
      <c r="S287" s="5" t="s">
        <v>15</v>
      </c>
      <c r="T287" s="5" t="s">
        <v>15</v>
      </c>
      <c r="U287" s="5" t="s">
        <v>15</v>
      </c>
      <c r="V287" s="5" t="s">
        <v>15</v>
      </c>
      <c r="W287" s="5">
        <v>0.3</v>
      </c>
      <c r="X287" s="5" t="s">
        <v>33</v>
      </c>
      <c r="Y287" s="5" t="s">
        <v>114</v>
      </c>
      <c r="Z287" s="5" t="s">
        <v>15</v>
      </c>
      <c r="AA287" s="5" t="s">
        <v>15</v>
      </c>
      <c r="AB287" s="5" t="s">
        <v>15</v>
      </c>
      <c r="AC287" s="5">
        <v>52.5</v>
      </c>
      <c r="AD287" s="5">
        <v>17</v>
      </c>
      <c r="AE287" s="5">
        <v>17</v>
      </c>
      <c r="AF287" s="5">
        <v>12</v>
      </c>
      <c r="AG287" s="5">
        <v>0.95</v>
      </c>
      <c r="AH287" s="5" t="s">
        <v>15</v>
      </c>
      <c r="AI287" s="5">
        <f>(AD287*Calculations!$B$23+AE287*Calculations!$B$21+AG287*Calculations!$B$22)/100</f>
        <v>4.3216085</v>
      </c>
      <c r="AJ287" s="5" t="s">
        <v>15</v>
      </c>
      <c r="AK287" s="5" t="s">
        <v>15</v>
      </c>
      <c r="AL287" s="5" t="s">
        <v>15</v>
      </c>
      <c r="AM287" s="5" t="s">
        <v>15</v>
      </c>
      <c r="AN287" s="5" t="s">
        <v>15</v>
      </c>
      <c r="AO287" s="6" t="s">
        <v>246</v>
      </c>
      <c r="AP287" s="6" t="s">
        <v>252</v>
      </c>
    </row>
    <row r="288" spans="1:42" x14ac:dyDescent="0.3">
      <c r="A288">
        <v>285</v>
      </c>
      <c r="B288" s="3" t="s">
        <v>251</v>
      </c>
      <c r="C288" s="3" t="s">
        <v>93</v>
      </c>
      <c r="D288" s="3" t="s">
        <v>15</v>
      </c>
      <c r="E288" s="5">
        <v>20.176470588235293</v>
      </c>
      <c r="F288" s="5">
        <v>45.85</v>
      </c>
      <c r="G288" s="5">
        <v>5.8</v>
      </c>
      <c r="H288" s="5">
        <v>1.6</v>
      </c>
      <c r="I288" s="5" t="s">
        <v>15</v>
      </c>
      <c r="J288" s="5">
        <v>40.25</v>
      </c>
      <c r="K288" s="5">
        <v>4.5999999999999996</v>
      </c>
      <c r="L288" s="5">
        <v>5</v>
      </c>
      <c r="M288" s="5">
        <v>80</v>
      </c>
      <c r="N288" s="5">
        <v>15.4</v>
      </c>
      <c r="O288" s="5" t="s">
        <v>15</v>
      </c>
      <c r="P288" s="5" t="s">
        <v>15</v>
      </c>
      <c r="Q288" s="5" t="s">
        <v>15</v>
      </c>
      <c r="R288" s="5">
        <v>850</v>
      </c>
      <c r="S288" s="5" t="s">
        <v>15</v>
      </c>
      <c r="T288" s="5" t="s">
        <v>15</v>
      </c>
      <c r="U288" s="5" t="s">
        <v>15</v>
      </c>
      <c r="V288" s="5" t="s">
        <v>15</v>
      </c>
      <c r="W288" s="5">
        <v>0.3</v>
      </c>
      <c r="X288" s="5" t="s">
        <v>33</v>
      </c>
      <c r="Y288" s="5" t="s">
        <v>114</v>
      </c>
      <c r="Z288" s="5" t="s">
        <v>15</v>
      </c>
      <c r="AA288" s="5" t="s">
        <v>15</v>
      </c>
      <c r="AB288" s="5" t="s">
        <v>15</v>
      </c>
      <c r="AC288" s="5">
        <v>49.1</v>
      </c>
      <c r="AD288" s="5">
        <v>18</v>
      </c>
      <c r="AE288" s="5">
        <v>20.2</v>
      </c>
      <c r="AF288" s="5">
        <v>11</v>
      </c>
      <c r="AG288" s="5">
        <v>1.2</v>
      </c>
      <c r="AH288" s="5" t="s">
        <v>15</v>
      </c>
      <c r="AI288" s="5">
        <f>(AD288*Calculations!$B$23+AE288*Calculations!$B$21+AG288*Calculations!$B$22)/100</f>
        <v>4.9234019999999994</v>
      </c>
      <c r="AJ288" s="5" t="s">
        <v>15</v>
      </c>
      <c r="AK288" s="5" t="s">
        <v>15</v>
      </c>
      <c r="AL288" s="5" t="s">
        <v>15</v>
      </c>
      <c r="AM288" s="5" t="s">
        <v>15</v>
      </c>
      <c r="AN288" s="5" t="s">
        <v>15</v>
      </c>
      <c r="AO288" s="6" t="s">
        <v>246</v>
      </c>
      <c r="AP288" s="6" t="s">
        <v>252</v>
      </c>
    </row>
    <row r="289" spans="1:42" x14ac:dyDescent="0.3">
      <c r="A289">
        <v>286</v>
      </c>
      <c r="B289" s="3" t="s">
        <v>251</v>
      </c>
      <c r="C289" s="3" t="s">
        <v>93</v>
      </c>
      <c r="D289" s="3" t="s">
        <v>15</v>
      </c>
      <c r="E289" s="5">
        <v>17.149999999999999</v>
      </c>
      <c r="F289" s="5">
        <v>45.85</v>
      </c>
      <c r="G289" s="5">
        <v>5.8</v>
      </c>
      <c r="H289" s="5">
        <v>1.6</v>
      </c>
      <c r="I289" s="5" t="s">
        <v>15</v>
      </c>
      <c r="J289" s="5">
        <v>40.25</v>
      </c>
      <c r="K289" s="5">
        <v>4.5999999999999996</v>
      </c>
      <c r="L289" s="5">
        <v>20</v>
      </c>
      <c r="M289" s="5">
        <v>80</v>
      </c>
      <c r="N289" s="5">
        <v>15.4</v>
      </c>
      <c r="O289" s="5" t="s">
        <v>15</v>
      </c>
      <c r="P289" s="5" t="s">
        <v>15</v>
      </c>
      <c r="Q289" s="5" t="s">
        <v>15</v>
      </c>
      <c r="R289" s="5">
        <v>850</v>
      </c>
      <c r="S289" s="5" t="s">
        <v>15</v>
      </c>
      <c r="T289" s="5" t="s">
        <v>15</v>
      </c>
      <c r="U289" s="5" t="s">
        <v>15</v>
      </c>
      <c r="V289" s="5" t="s">
        <v>15</v>
      </c>
      <c r="W289" s="5">
        <v>0.3</v>
      </c>
      <c r="X289" s="5" t="s">
        <v>33</v>
      </c>
      <c r="Y289" s="5" t="s">
        <v>114</v>
      </c>
      <c r="Z289" s="5" t="s">
        <v>15</v>
      </c>
      <c r="AA289" s="5" t="s">
        <v>15</v>
      </c>
      <c r="AB289" s="5" t="s">
        <v>15</v>
      </c>
      <c r="AC289" s="5">
        <v>48.9</v>
      </c>
      <c r="AD289" s="5">
        <v>19</v>
      </c>
      <c r="AE289" s="5">
        <v>19</v>
      </c>
      <c r="AF289" s="5">
        <v>11.4</v>
      </c>
      <c r="AG289" s="5">
        <v>1.3</v>
      </c>
      <c r="AH289" s="5" t="s">
        <v>15</v>
      </c>
      <c r="AI289" s="5">
        <f>(AD289*Calculations!$B$23+AE289*Calculations!$B$21+AG289*Calculations!$B$22)/100</f>
        <v>4.9155189999999997</v>
      </c>
      <c r="AJ289" s="5" t="s">
        <v>15</v>
      </c>
      <c r="AK289" s="5" t="s">
        <v>15</v>
      </c>
      <c r="AL289" s="5" t="s">
        <v>15</v>
      </c>
      <c r="AM289" s="5" t="s">
        <v>15</v>
      </c>
      <c r="AN289" s="5" t="s">
        <v>15</v>
      </c>
      <c r="AO289" s="6" t="s">
        <v>246</v>
      </c>
      <c r="AP289" s="6" t="s">
        <v>252</v>
      </c>
    </row>
    <row r="290" spans="1:42" x14ac:dyDescent="0.3">
      <c r="A290" s="6">
        <v>287</v>
      </c>
      <c r="B290" s="3" t="s">
        <v>213</v>
      </c>
      <c r="C290" s="3" t="s">
        <v>82</v>
      </c>
      <c r="D290" s="3">
        <v>0.5</v>
      </c>
      <c r="E290" s="5">
        <v>16.976400000000002</v>
      </c>
      <c r="F290" s="5">
        <v>42.5</v>
      </c>
      <c r="G290" s="5">
        <v>6.3</v>
      </c>
      <c r="H290" s="5">
        <v>0.2</v>
      </c>
      <c r="I290" s="5" t="s">
        <v>15</v>
      </c>
      <c r="J290" s="5">
        <f>100-F290-G290-H290</f>
        <v>51</v>
      </c>
      <c r="K290" s="5">
        <f>1.2*(100/(100-L290))</f>
        <v>1.3114754098360657</v>
      </c>
      <c r="L290" s="5">
        <v>8.5</v>
      </c>
      <c r="M290" s="5">
        <f>77.4*(100/(100-L290))</f>
        <v>84.590163934426243</v>
      </c>
      <c r="N290" s="5">
        <f>12.9*(100/(100-L290))</f>
        <v>14.098360655737707</v>
      </c>
      <c r="O290" s="5" t="s">
        <v>15</v>
      </c>
      <c r="P290" s="5" t="s">
        <v>15</v>
      </c>
      <c r="Q290" s="5" t="s">
        <v>15</v>
      </c>
      <c r="R290" s="5">
        <v>780</v>
      </c>
      <c r="S290" s="5" t="s">
        <v>39</v>
      </c>
      <c r="T290" s="5" t="s">
        <v>254</v>
      </c>
      <c r="U290" s="5" t="s">
        <v>15</v>
      </c>
      <c r="V290" s="5">
        <v>0.8</v>
      </c>
      <c r="W290" s="5"/>
      <c r="X290" s="5" t="s">
        <v>161</v>
      </c>
      <c r="Y290" s="5" t="s">
        <v>79</v>
      </c>
      <c r="Z290" s="5" t="s">
        <v>73</v>
      </c>
      <c r="AA290" s="5" t="s">
        <v>15</v>
      </c>
      <c r="AB290" s="5" t="s">
        <v>217</v>
      </c>
      <c r="AC290" s="5">
        <v>0</v>
      </c>
      <c r="AD290" s="5">
        <v>51.5</v>
      </c>
      <c r="AE290" s="5">
        <v>22</v>
      </c>
      <c r="AF290" s="5">
        <v>17</v>
      </c>
      <c r="AG290" s="5">
        <v>7</v>
      </c>
      <c r="AH290" s="5">
        <f>100-AG290-AF290-AE290-AD290</f>
        <v>2.5</v>
      </c>
      <c r="AI290" s="5">
        <v>12</v>
      </c>
      <c r="AJ290" s="5">
        <v>20.547945205479451</v>
      </c>
      <c r="AK290" s="5">
        <v>1.3183800000000001</v>
      </c>
      <c r="AL290" s="5">
        <v>58.695</v>
      </c>
      <c r="AM290" s="5">
        <f t="shared" ref="AM290:AM315" si="173">100*(AI290*AK290)/E290</f>
        <v>93.191489361702125</v>
      </c>
      <c r="AN290" s="5">
        <f>100*(AK290/F290)*(AE290*Calculations!$B$5*Calculations!$B$9+AF290*Calculations!$B$6*Calculations!$B$10+AG290*Calculations!$B$7*Calculations!$B$11)</f>
        <v>72.519652270588224</v>
      </c>
      <c r="AO290" s="6" t="s">
        <v>253</v>
      </c>
      <c r="AP290" s="6" t="s">
        <v>260</v>
      </c>
    </row>
    <row r="291" spans="1:42" x14ac:dyDescent="0.3">
      <c r="A291" s="6">
        <v>288</v>
      </c>
      <c r="B291" s="3" t="s">
        <v>213</v>
      </c>
      <c r="C291" s="3" t="s">
        <v>82</v>
      </c>
      <c r="D291" s="3">
        <v>0.5</v>
      </c>
      <c r="E291" s="5">
        <v>16.976400000000002</v>
      </c>
      <c r="F291" s="5">
        <v>42.5</v>
      </c>
      <c r="G291" s="5">
        <v>6.3</v>
      </c>
      <c r="H291" s="5">
        <v>0.2</v>
      </c>
      <c r="I291" s="5" t="s">
        <v>15</v>
      </c>
      <c r="J291" s="5">
        <f t="shared" ref="J291:J305" si="174">100-F291-G291-H291</f>
        <v>51</v>
      </c>
      <c r="K291" s="5">
        <f>1.2*(100/(100-L291))</f>
        <v>1.3114754098360657</v>
      </c>
      <c r="L291" s="5">
        <v>8.5</v>
      </c>
      <c r="M291" s="5">
        <f>77.4*(100/(100-L291))</f>
        <v>84.590163934426243</v>
      </c>
      <c r="N291" s="5">
        <f>12.9*(100/(100-L291))</f>
        <v>14.098360655737707</v>
      </c>
      <c r="O291" s="5" t="s">
        <v>15</v>
      </c>
      <c r="P291" s="5" t="s">
        <v>15</v>
      </c>
      <c r="Q291" s="5" t="s">
        <v>15</v>
      </c>
      <c r="R291" s="5">
        <v>750</v>
      </c>
      <c r="S291" s="5" t="s">
        <v>39</v>
      </c>
      <c r="T291" s="5" t="s">
        <v>254</v>
      </c>
      <c r="U291" s="5" t="s">
        <v>15</v>
      </c>
      <c r="V291" s="5">
        <v>0.8</v>
      </c>
      <c r="W291" s="5"/>
      <c r="X291" s="5" t="s">
        <v>161</v>
      </c>
      <c r="Y291" s="5" t="s">
        <v>79</v>
      </c>
      <c r="Z291" s="5" t="s">
        <v>73</v>
      </c>
      <c r="AA291" s="5" t="s">
        <v>15</v>
      </c>
      <c r="AB291" s="5" t="s">
        <v>217</v>
      </c>
      <c r="AC291" s="5">
        <v>0</v>
      </c>
      <c r="AD291" s="5">
        <v>55</v>
      </c>
      <c r="AE291" s="5">
        <v>20</v>
      </c>
      <c r="AF291" s="5">
        <v>15</v>
      </c>
      <c r="AG291" s="5">
        <v>6</v>
      </c>
      <c r="AH291" s="5">
        <f t="shared" ref="AH291:AH306" si="175">100-AG291-AF291-AE291-AD291</f>
        <v>4</v>
      </c>
      <c r="AI291" s="5">
        <v>12.4</v>
      </c>
      <c r="AJ291" s="5">
        <v>26.92307692307692</v>
      </c>
      <c r="AK291" s="5">
        <v>1.1739000000000002</v>
      </c>
      <c r="AL291" s="5">
        <v>99.33</v>
      </c>
      <c r="AM291" s="5">
        <f t="shared" si="173"/>
        <v>85.744680851063848</v>
      </c>
      <c r="AN291" s="5">
        <f>100*(AK291/F291)*(AE291*Calculations!$B$5*Calculations!$B$9+AF291*Calculations!$B$6*Calculations!$B$10+AG291*Calculations!$B$7*Calculations!$B$11)</f>
        <v>57.529189058823533</v>
      </c>
      <c r="AO291" s="6" t="s">
        <v>253</v>
      </c>
      <c r="AP291" s="6" t="s">
        <v>260</v>
      </c>
    </row>
    <row r="292" spans="1:42" x14ac:dyDescent="0.3">
      <c r="A292" s="6">
        <v>289</v>
      </c>
      <c r="B292" s="3" t="s">
        <v>213</v>
      </c>
      <c r="C292" s="3" t="s">
        <v>82</v>
      </c>
      <c r="D292" s="3">
        <v>0.5</v>
      </c>
      <c r="E292" s="5">
        <v>16.976400000000002</v>
      </c>
      <c r="F292" s="5">
        <v>42.5</v>
      </c>
      <c r="G292" s="5">
        <v>6.3</v>
      </c>
      <c r="H292" s="5">
        <v>0.2</v>
      </c>
      <c r="I292" s="5" t="s">
        <v>15</v>
      </c>
      <c r="J292" s="5">
        <f t="shared" si="174"/>
        <v>51</v>
      </c>
      <c r="K292" s="5">
        <f>1.2*(100/(100-L292))</f>
        <v>1.3114754098360657</v>
      </c>
      <c r="L292" s="5">
        <v>8.5</v>
      </c>
      <c r="M292" s="5">
        <f>77.4*(100/(100-L292))</f>
        <v>84.590163934426243</v>
      </c>
      <c r="N292" s="5">
        <f>12.9*(100/(100-L292))</f>
        <v>14.098360655737707</v>
      </c>
      <c r="O292" s="5" t="s">
        <v>15</v>
      </c>
      <c r="P292" s="5" t="s">
        <v>15</v>
      </c>
      <c r="Q292" s="5" t="s">
        <v>15</v>
      </c>
      <c r="R292" s="5">
        <v>700</v>
      </c>
      <c r="S292" s="5" t="s">
        <v>39</v>
      </c>
      <c r="T292" s="5" t="s">
        <v>254</v>
      </c>
      <c r="U292" s="5" t="s">
        <v>15</v>
      </c>
      <c r="V292" s="5">
        <v>0.8</v>
      </c>
      <c r="W292" s="5"/>
      <c r="X292" s="5" t="s">
        <v>161</v>
      </c>
      <c r="Y292" s="5" t="s">
        <v>79</v>
      </c>
      <c r="Z292" s="5" t="s">
        <v>73</v>
      </c>
      <c r="AA292" s="5" t="s">
        <v>15</v>
      </c>
      <c r="AB292" s="5" t="s">
        <v>217</v>
      </c>
      <c r="AC292" s="5">
        <v>0</v>
      </c>
      <c r="AD292" s="5">
        <v>57.5</v>
      </c>
      <c r="AE292" s="5">
        <v>22</v>
      </c>
      <c r="AF292" s="5">
        <v>12</v>
      </c>
      <c r="AG292" s="5">
        <v>6</v>
      </c>
      <c r="AH292" s="5">
        <f t="shared" si="175"/>
        <v>2.5</v>
      </c>
      <c r="AI292" s="5">
        <v>12.6</v>
      </c>
      <c r="AJ292" s="5">
        <v>38.461538461538467</v>
      </c>
      <c r="AK292" s="5">
        <v>0.93912000000000007</v>
      </c>
      <c r="AL292" s="5">
        <v>139.965</v>
      </c>
      <c r="AM292" s="5">
        <f t="shared" si="173"/>
        <v>69.702127659574472</v>
      </c>
      <c r="AN292" s="5">
        <f>100*(AK292/F292)*(AE292*Calculations!$B$5*Calculations!$B$9+AF292*Calculations!$B$6*Calculations!$B$10+AG292*Calculations!$B$7*Calculations!$B$11)</f>
        <v>44.602833599999997</v>
      </c>
      <c r="AO292" s="6" t="s">
        <v>253</v>
      </c>
      <c r="AP292" s="6" t="s">
        <v>260</v>
      </c>
    </row>
    <row r="293" spans="1:42" x14ac:dyDescent="0.3">
      <c r="A293" s="6">
        <v>290</v>
      </c>
      <c r="B293" s="3" t="s">
        <v>213</v>
      </c>
      <c r="C293" s="3" t="s">
        <v>82</v>
      </c>
      <c r="D293" s="3">
        <v>0.5</v>
      </c>
      <c r="E293" s="5">
        <v>16.976400000000002</v>
      </c>
      <c r="F293" s="5">
        <v>42.5</v>
      </c>
      <c r="G293" s="5">
        <v>6.3</v>
      </c>
      <c r="H293" s="5">
        <v>0.2</v>
      </c>
      <c r="I293" s="5" t="s">
        <v>15</v>
      </c>
      <c r="J293" s="5">
        <f t="shared" si="174"/>
        <v>51</v>
      </c>
      <c r="K293" s="5">
        <f>1.2*(100/(100-L293))</f>
        <v>1.3114754098360657</v>
      </c>
      <c r="L293" s="5">
        <v>8.5</v>
      </c>
      <c r="M293" s="5">
        <f>77.4*(100/(100-L293))</f>
        <v>84.590163934426243</v>
      </c>
      <c r="N293" s="5">
        <f>12.9*(100/(100-L293))</f>
        <v>14.098360655737707</v>
      </c>
      <c r="O293" s="5" t="s">
        <v>15</v>
      </c>
      <c r="P293" s="5" t="s">
        <v>15</v>
      </c>
      <c r="Q293" s="5" t="s">
        <v>15</v>
      </c>
      <c r="R293" s="5">
        <v>650</v>
      </c>
      <c r="S293" s="5" t="s">
        <v>39</v>
      </c>
      <c r="T293" s="5" t="s">
        <v>254</v>
      </c>
      <c r="U293" s="5" t="s">
        <v>15</v>
      </c>
      <c r="V293" s="5">
        <v>0.8</v>
      </c>
      <c r="W293" s="5"/>
      <c r="X293" s="5" t="s">
        <v>161</v>
      </c>
      <c r="Y293" s="5" t="s">
        <v>79</v>
      </c>
      <c r="Z293" s="5" t="s">
        <v>73</v>
      </c>
      <c r="AA293" s="5" t="s">
        <v>15</v>
      </c>
      <c r="AB293" s="5" t="s">
        <v>217</v>
      </c>
      <c r="AC293" s="5">
        <v>0</v>
      </c>
      <c r="AD293" s="5">
        <v>50.5</v>
      </c>
      <c r="AE293" s="5">
        <v>27.5</v>
      </c>
      <c r="AF293" s="5">
        <v>11</v>
      </c>
      <c r="AG293" s="5">
        <v>8</v>
      </c>
      <c r="AH293" s="5">
        <f t="shared" si="175"/>
        <v>3</v>
      </c>
      <c r="AI293" s="5">
        <v>13.2</v>
      </c>
      <c r="AJ293" s="5">
        <v>76.623376623376629</v>
      </c>
      <c r="AK293" s="5">
        <v>0.69530999999999998</v>
      </c>
      <c r="AL293" s="5">
        <v>198.66</v>
      </c>
      <c r="AM293" s="5">
        <f t="shared" si="173"/>
        <v>54.063829787234035</v>
      </c>
      <c r="AN293" s="5">
        <f>100*(AK293/F293)*(AE293*Calculations!$B$5*Calculations!$B$9+AF293*Calculations!$B$6*Calculations!$B$10+AG293*Calculations!$B$7*Calculations!$B$11)</f>
        <v>38.148329223529409</v>
      </c>
      <c r="AO293" s="6" t="s">
        <v>253</v>
      </c>
      <c r="AP293" s="6" t="s">
        <v>260</v>
      </c>
    </row>
    <row r="294" spans="1:42" x14ac:dyDescent="0.3">
      <c r="A294" s="6">
        <v>291</v>
      </c>
      <c r="B294" s="3" t="s">
        <v>255</v>
      </c>
      <c r="C294" s="3" t="s">
        <v>159</v>
      </c>
      <c r="D294" s="3">
        <v>5</v>
      </c>
      <c r="E294" s="5">
        <v>12.339800000000002</v>
      </c>
      <c r="F294" s="5">
        <v>43.7</v>
      </c>
      <c r="G294" s="5">
        <v>6.1</v>
      </c>
      <c r="H294" s="5">
        <v>0.4</v>
      </c>
      <c r="I294" s="5" t="s">
        <v>15</v>
      </c>
      <c r="J294" s="5">
        <f t="shared" si="174"/>
        <v>49.8</v>
      </c>
      <c r="K294" s="5">
        <f>14.1*(100/(100-L294))</f>
        <v>15.292841648590022</v>
      </c>
      <c r="L294" s="5">
        <v>7.8</v>
      </c>
      <c r="M294" s="5">
        <f>61.6*(100/(100-L294))</f>
        <v>66.811279826464215</v>
      </c>
      <c r="N294" s="5">
        <f>16.5*(100/(100-L294))</f>
        <v>17.895878524945772</v>
      </c>
      <c r="O294" s="5" t="s">
        <v>15</v>
      </c>
      <c r="P294" s="5" t="s">
        <v>15</v>
      </c>
      <c r="Q294" s="5" t="s">
        <v>15</v>
      </c>
      <c r="R294" s="5">
        <v>780</v>
      </c>
      <c r="S294" s="5" t="s">
        <v>39</v>
      </c>
      <c r="T294" s="5" t="s">
        <v>254</v>
      </c>
      <c r="U294" s="5" t="s">
        <v>15</v>
      </c>
      <c r="V294" s="5">
        <v>0.8</v>
      </c>
      <c r="W294" s="5"/>
      <c r="X294" s="5" t="s">
        <v>161</v>
      </c>
      <c r="Y294" s="5" t="s">
        <v>79</v>
      </c>
      <c r="Z294" s="5" t="s">
        <v>73</v>
      </c>
      <c r="AA294" s="5" t="s">
        <v>15</v>
      </c>
      <c r="AB294" s="5" t="s">
        <v>217</v>
      </c>
      <c r="AC294" s="5">
        <v>0</v>
      </c>
      <c r="AD294" s="5">
        <v>51.5</v>
      </c>
      <c r="AE294" s="5">
        <v>22</v>
      </c>
      <c r="AF294" s="5">
        <v>18.5</v>
      </c>
      <c r="AG294" s="5">
        <v>6</v>
      </c>
      <c r="AH294" s="5">
        <f t="shared" si="175"/>
        <v>2</v>
      </c>
      <c r="AI294" s="5">
        <v>11.9</v>
      </c>
      <c r="AJ294" s="5">
        <v>20</v>
      </c>
      <c r="AK294" s="5">
        <v>1.1324500000000002</v>
      </c>
      <c r="AL294" s="5">
        <v>62.480000000000011</v>
      </c>
      <c r="AM294" s="5">
        <f t="shared" si="173"/>
        <v>109.20886075949366</v>
      </c>
      <c r="AN294" s="5">
        <f>100*(AK294/F294)*(AE294*Calculations!$B$5*Calculations!$B$9+AF294*Calculations!$B$6*Calculations!$B$10+AG294*Calculations!$B$7*Calculations!$B$11)</f>
        <v>61.403852721477605</v>
      </c>
      <c r="AO294" s="6" t="s">
        <v>253</v>
      </c>
      <c r="AP294" s="6" t="s">
        <v>260</v>
      </c>
    </row>
    <row r="295" spans="1:42" x14ac:dyDescent="0.3">
      <c r="A295" s="6">
        <v>292</v>
      </c>
      <c r="B295" s="3" t="s">
        <v>255</v>
      </c>
      <c r="C295" s="3" t="s">
        <v>159</v>
      </c>
      <c r="D295" s="3">
        <v>5</v>
      </c>
      <c r="E295" s="5">
        <v>12.339800000000002</v>
      </c>
      <c r="F295" s="5">
        <v>43.7</v>
      </c>
      <c r="G295" s="5">
        <v>6.1</v>
      </c>
      <c r="H295" s="5">
        <v>0.4</v>
      </c>
      <c r="I295" s="5" t="s">
        <v>15</v>
      </c>
      <c r="J295" s="5">
        <f t="shared" si="174"/>
        <v>49.8</v>
      </c>
      <c r="K295" s="5">
        <f>14.1*(100/(100-L295))</f>
        <v>15.292841648590022</v>
      </c>
      <c r="L295" s="5">
        <v>7.8</v>
      </c>
      <c r="M295" s="5">
        <f>61.6*(100/(100-L295))</f>
        <v>66.811279826464215</v>
      </c>
      <c r="N295" s="5">
        <f>16.5*(100/(100-L295))</f>
        <v>17.895878524945772</v>
      </c>
      <c r="O295" s="5" t="s">
        <v>15</v>
      </c>
      <c r="P295" s="5" t="s">
        <v>15</v>
      </c>
      <c r="Q295" s="5" t="s">
        <v>15</v>
      </c>
      <c r="R295" s="5">
        <v>750</v>
      </c>
      <c r="S295" s="5" t="s">
        <v>39</v>
      </c>
      <c r="T295" s="5" t="s">
        <v>254</v>
      </c>
      <c r="U295" s="5" t="s">
        <v>15</v>
      </c>
      <c r="V295" s="5">
        <v>0.8</v>
      </c>
      <c r="W295" s="5"/>
      <c r="X295" s="5" t="s">
        <v>161</v>
      </c>
      <c r="Y295" s="5" t="s">
        <v>79</v>
      </c>
      <c r="Z295" s="5" t="s">
        <v>73</v>
      </c>
      <c r="AA295" s="5" t="s">
        <v>15</v>
      </c>
      <c r="AB295" s="5" t="s">
        <v>217</v>
      </c>
      <c r="AC295" s="5">
        <v>0</v>
      </c>
      <c r="AD295" s="5">
        <v>49</v>
      </c>
      <c r="AE295" s="5">
        <v>23</v>
      </c>
      <c r="AF295" s="5">
        <v>17.5</v>
      </c>
      <c r="AG295" s="5">
        <v>6</v>
      </c>
      <c r="AH295" s="5">
        <f t="shared" si="175"/>
        <v>4.5</v>
      </c>
      <c r="AI295" s="5">
        <v>12.4</v>
      </c>
      <c r="AJ295" s="5">
        <v>33.070866141732289</v>
      </c>
      <c r="AK295" s="5">
        <v>0.99187000000000014</v>
      </c>
      <c r="AL295" s="5">
        <v>85.910000000000011</v>
      </c>
      <c r="AM295" s="5">
        <f t="shared" si="173"/>
        <v>99.670886075949383</v>
      </c>
      <c r="AN295" s="5">
        <f>100*(AK295/F295)*(AE295*Calculations!$B$5*Calculations!$B$9+AF295*Calculations!$B$6*Calculations!$B$10+AG295*Calculations!$B$7*Calculations!$B$11)</f>
        <v>53.6645767522066</v>
      </c>
      <c r="AO295" s="6" t="s">
        <v>253</v>
      </c>
      <c r="AP295" s="6" t="s">
        <v>260</v>
      </c>
    </row>
    <row r="296" spans="1:42" x14ac:dyDescent="0.3">
      <c r="A296" s="6">
        <v>293</v>
      </c>
      <c r="B296" s="3" t="s">
        <v>255</v>
      </c>
      <c r="C296" s="3" t="s">
        <v>159</v>
      </c>
      <c r="D296" s="3">
        <v>5</v>
      </c>
      <c r="E296" s="5">
        <v>12.339800000000002</v>
      </c>
      <c r="F296" s="5">
        <v>43.7</v>
      </c>
      <c r="G296" s="5">
        <v>6.1</v>
      </c>
      <c r="H296" s="5">
        <v>0.4</v>
      </c>
      <c r="I296" s="5" t="s">
        <v>15</v>
      </c>
      <c r="J296" s="5">
        <f t="shared" si="174"/>
        <v>49.8</v>
      </c>
      <c r="K296" s="5">
        <f>14.1*(100/(100-L296))</f>
        <v>15.292841648590022</v>
      </c>
      <c r="L296" s="5">
        <v>7.8</v>
      </c>
      <c r="M296" s="5">
        <f>61.6*(100/(100-L296))</f>
        <v>66.811279826464215</v>
      </c>
      <c r="N296" s="5">
        <f>16.5*(100/(100-L296))</f>
        <v>17.895878524945772</v>
      </c>
      <c r="O296" s="5" t="s">
        <v>15</v>
      </c>
      <c r="P296" s="5" t="s">
        <v>15</v>
      </c>
      <c r="Q296" s="5" t="s">
        <v>15</v>
      </c>
      <c r="R296" s="5">
        <v>700</v>
      </c>
      <c r="S296" s="5" t="s">
        <v>39</v>
      </c>
      <c r="T296" s="5" t="s">
        <v>254</v>
      </c>
      <c r="U296" s="5" t="s">
        <v>15</v>
      </c>
      <c r="V296" s="5">
        <v>0.8</v>
      </c>
      <c r="W296" s="5"/>
      <c r="X296" s="5" t="s">
        <v>161</v>
      </c>
      <c r="Y296" s="5" t="s">
        <v>79</v>
      </c>
      <c r="Z296" s="5" t="s">
        <v>73</v>
      </c>
      <c r="AA296" s="5" t="s">
        <v>15</v>
      </c>
      <c r="AB296" s="5" t="s">
        <v>217</v>
      </c>
      <c r="AC296" s="5">
        <v>0</v>
      </c>
      <c r="AD296" s="5">
        <v>44</v>
      </c>
      <c r="AE296" s="5">
        <v>27.5</v>
      </c>
      <c r="AF296" s="5">
        <v>16</v>
      </c>
      <c r="AG296" s="5">
        <v>7.5</v>
      </c>
      <c r="AH296" s="5">
        <f t="shared" si="175"/>
        <v>5</v>
      </c>
      <c r="AI296" s="5">
        <v>13.25</v>
      </c>
      <c r="AJ296" s="5">
        <v>55.670103092783506</v>
      </c>
      <c r="AK296" s="5">
        <v>0.75757000000000008</v>
      </c>
      <c r="AL296" s="5">
        <v>121.05500000000002</v>
      </c>
      <c r="AM296" s="5">
        <f t="shared" si="173"/>
        <v>81.344936708860757</v>
      </c>
      <c r="AN296" s="5">
        <f>100*(AK296/F296)*(AE296*Calculations!$B$5*Calculations!$B$9+AF296*Calculations!$B$6*Calculations!$B$10+AG296*Calculations!$B$7*Calculations!$B$11)</f>
        <v>44.676415337937229</v>
      </c>
      <c r="AO296" s="6" t="s">
        <v>253</v>
      </c>
      <c r="AP296" s="6" t="s">
        <v>260</v>
      </c>
    </row>
    <row r="297" spans="1:42" x14ac:dyDescent="0.3">
      <c r="A297" s="6">
        <v>294</v>
      </c>
      <c r="B297" s="3" t="s">
        <v>255</v>
      </c>
      <c r="C297" s="3" t="s">
        <v>159</v>
      </c>
      <c r="D297" s="3">
        <v>5</v>
      </c>
      <c r="E297" s="5">
        <v>12.339800000000002</v>
      </c>
      <c r="F297" s="5">
        <v>43.7</v>
      </c>
      <c r="G297" s="5">
        <v>6.1</v>
      </c>
      <c r="H297" s="5">
        <v>0.4</v>
      </c>
      <c r="I297" s="5" t="s">
        <v>15</v>
      </c>
      <c r="J297" s="5">
        <f t="shared" si="174"/>
        <v>49.8</v>
      </c>
      <c r="K297" s="5">
        <f>14.1*(100/(100-L297))</f>
        <v>15.292841648590022</v>
      </c>
      <c r="L297" s="5">
        <v>7.8</v>
      </c>
      <c r="M297" s="5">
        <f>61.6*(100/(100-L297))</f>
        <v>66.811279826464215</v>
      </c>
      <c r="N297" s="5">
        <f>16.5*(100/(100-L297))</f>
        <v>17.895878524945772</v>
      </c>
      <c r="O297" s="5" t="s">
        <v>15</v>
      </c>
      <c r="P297" s="5" t="s">
        <v>15</v>
      </c>
      <c r="Q297" s="5" t="s">
        <v>15</v>
      </c>
      <c r="R297" s="5">
        <v>650</v>
      </c>
      <c r="S297" s="5" t="s">
        <v>39</v>
      </c>
      <c r="T297" s="5" t="s">
        <v>254</v>
      </c>
      <c r="U297" s="5" t="s">
        <v>15</v>
      </c>
      <c r="V297" s="5">
        <v>0.8</v>
      </c>
      <c r="W297" s="5"/>
      <c r="X297" s="5" t="s">
        <v>161</v>
      </c>
      <c r="Y297" s="5" t="s">
        <v>79</v>
      </c>
      <c r="Z297" s="5" t="s">
        <v>73</v>
      </c>
      <c r="AA297" s="5" t="s">
        <v>15</v>
      </c>
      <c r="AB297" s="5" t="s">
        <v>217</v>
      </c>
      <c r="AC297" s="5">
        <v>0</v>
      </c>
      <c r="AD297" s="5">
        <v>37</v>
      </c>
      <c r="AE297" s="5">
        <v>34</v>
      </c>
      <c r="AF297" s="5">
        <v>16.5</v>
      </c>
      <c r="AG297" s="5">
        <v>8.5</v>
      </c>
      <c r="AH297" s="5">
        <f t="shared" si="175"/>
        <v>4</v>
      </c>
      <c r="AI297" s="5">
        <v>13.75</v>
      </c>
      <c r="AJ297" s="5">
        <v>101.42857142857143</v>
      </c>
      <c r="AK297" s="5">
        <v>0.54670000000000007</v>
      </c>
      <c r="AL297" s="5">
        <v>175.72500000000002</v>
      </c>
      <c r="AM297" s="5">
        <f t="shared" si="173"/>
        <v>60.917721518987342</v>
      </c>
      <c r="AN297" s="5">
        <f>100*(AK297/F297)*(AE297*Calculations!$B$5*Calculations!$B$9+AF297*Calculations!$B$6*Calculations!$B$10+AG297*Calculations!$B$7*Calculations!$B$11)</f>
        <v>37.167848083524028</v>
      </c>
      <c r="AO297" s="6" t="s">
        <v>253</v>
      </c>
      <c r="AP297" s="6" t="s">
        <v>260</v>
      </c>
    </row>
    <row r="298" spans="1:42" x14ac:dyDescent="0.3">
      <c r="A298" s="6">
        <v>295</v>
      </c>
      <c r="B298" s="3" t="s">
        <v>256</v>
      </c>
      <c r="C298" s="3" t="s">
        <v>93</v>
      </c>
      <c r="D298" s="3" t="s">
        <v>259</v>
      </c>
      <c r="E298" s="5">
        <v>16.058000000000003</v>
      </c>
      <c r="F298" s="5">
        <v>41.8</v>
      </c>
      <c r="G298" s="5">
        <v>5.3</v>
      </c>
      <c r="H298" s="5">
        <v>0.2</v>
      </c>
      <c r="I298" s="5" t="s">
        <v>15</v>
      </c>
      <c r="J298" s="5">
        <f t="shared" si="174"/>
        <v>52.7</v>
      </c>
      <c r="K298" s="5">
        <f>2.1*(100/(100-L298))</f>
        <v>2.3622047244094491</v>
      </c>
      <c r="L298" s="5">
        <v>11.1</v>
      </c>
      <c r="M298" s="5">
        <f>74.4*(100/(100-L298))</f>
        <v>83.689538807649058</v>
      </c>
      <c r="N298" s="5">
        <f>12.4*(100/(100-L298))</f>
        <v>13.948256467941508</v>
      </c>
      <c r="O298" s="5" t="s">
        <v>15</v>
      </c>
      <c r="P298" s="5" t="s">
        <v>15</v>
      </c>
      <c r="Q298" s="5" t="s">
        <v>15</v>
      </c>
      <c r="R298" s="5">
        <v>780</v>
      </c>
      <c r="S298" s="5" t="s">
        <v>39</v>
      </c>
      <c r="T298" s="5" t="s">
        <v>254</v>
      </c>
      <c r="U298" s="5" t="s">
        <v>15</v>
      </c>
      <c r="V298" s="5">
        <v>0.8</v>
      </c>
      <c r="W298" s="5"/>
      <c r="X298" s="5" t="s">
        <v>161</v>
      </c>
      <c r="Y298" s="5" t="s">
        <v>79</v>
      </c>
      <c r="Z298" s="5" t="s">
        <v>73</v>
      </c>
      <c r="AA298" s="5" t="s">
        <v>15</v>
      </c>
      <c r="AB298" s="5" t="s">
        <v>217</v>
      </c>
      <c r="AC298" s="5">
        <v>0</v>
      </c>
      <c r="AD298" s="5">
        <v>51.5</v>
      </c>
      <c r="AE298" s="5">
        <v>22</v>
      </c>
      <c r="AF298" s="5">
        <v>17</v>
      </c>
      <c r="AG298" s="5">
        <v>7</v>
      </c>
      <c r="AH298" s="5">
        <f t="shared" si="175"/>
        <v>2.5</v>
      </c>
      <c r="AI298" s="5">
        <v>12.55</v>
      </c>
      <c r="AJ298" s="5">
        <v>32.173913043478265</v>
      </c>
      <c r="AK298" s="5">
        <v>0.99820000000000009</v>
      </c>
      <c r="AL298" s="5">
        <v>173.60000000000002</v>
      </c>
      <c r="AM298" s="5">
        <f t="shared" si="173"/>
        <v>78.013513513513516</v>
      </c>
      <c r="AN298" s="5">
        <f>100*(AK298/F298)*(AE298*Calculations!$B$5*Calculations!$B$9+AF298*Calculations!$B$6*Calculations!$B$10+AG298*Calculations!$B$7*Calculations!$B$11)</f>
        <v>55.827132416267936</v>
      </c>
      <c r="AO298" s="6" t="s">
        <v>253</v>
      </c>
      <c r="AP298" s="6" t="s">
        <v>260</v>
      </c>
    </row>
    <row r="299" spans="1:42" x14ac:dyDescent="0.3">
      <c r="A299" s="6">
        <v>296</v>
      </c>
      <c r="B299" s="3" t="s">
        <v>256</v>
      </c>
      <c r="C299" s="3" t="s">
        <v>93</v>
      </c>
      <c r="D299" s="3" t="s">
        <v>259</v>
      </c>
      <c r="E299" s="5">
        <v>16.058000000000003</v>
      </c>
      <c r="F299" s="5">
        <v>41.8</v>
      </c>
      <c r="G299" s="5">
        <v>5.3</v>
      </c>
      <c r="H299" s="5">
        <v>0.2</v>
      </c>
      <c r="I299" s="5" t="s">
        <v>15</v>
      </c>
      <c r="J299" s="5">
        <f t="shared" si="174"/>
        <v>52.7</v>
      </c>
      <c r="K299" s="5">
        <f>2.1*(100/(100-L299))</f>
        <v>2.3622047244094491</v>
      </c>
      <c r="L299" s="5">
        <v>11.1</v>
      </c>
      <c r="M299" s="5">
        <f>74.4*(100/(100-L299))</f>
        <v>83.689538807649058</v>
      </c>
      <c r="N299" s="5">
        <f>12.4*(100/(100-L299))</f>
        <v>13.948256467941508</v>
      </c>
      <c r="O299" s="5" t="s">
        <v>15</v>
      </c>
      <c r="P299" s="5" t="s">
        <v>15</v>
      </c>
      <c r="Q299" s="5" t="s">
        <v>15</v>
      </c>
      <c r="R299" s="5">
        <v>750</v>
      </c>
      <c r="S299" s="5" t="s">
        <v>39</v>
      </c>
      <c r="T299" s="5" t="s">
        <v>254</v>
      </c>
      <c r="U299" s="5" t="s">
        <v>15</v>
      </c>
      <c r="V299" s="5">
        <v>0.8</v>
      </c>
      <c r="W299" s="5"/>
      <c r="X299" s="5" t="s">
        <v>161</v>
      </c>
      <c r="Y299" s="5" t="s">
        <v>79</v>
      </c>
      <c r="Z299" s="5" t="s">
        <v>73</v>
      </c>
      <c r="AA299" s="5" t="s">
        <v>15</v>
      </c>
      <c r="AB299" s="5" t="s">
        <v>217</v>
      </c>
      <c r="AC299" s="5">
        <v>0</v>
      </c>
      <c r="AD299" s="5">
        <v>51.5</v>
      </c>
      <c r="AE299" s="5">
        <v>22</v>
      </c>
      <c r="AF299" s="5">
        <v>18</v>
      </c>
      <c r="AG299" s="5">
        <v>6</v>
      </c>
      <c r="AH299" s="5">
        <f t="shared" si="175"/>
        <v>2.5</v>
      </c>
      <c r="AI299" s="5">
        <v>12.6</v>
      </c>
      <c r="AJ299" s="5">
        <v>48.514851485148512</v>
      </c>
      <c r="AK299" s="5">
        <v>0.87668000000000013</v>
      </c>
      <c r="AL299" s="5">
        <v>190.96000000000004</v>
      </c>
      <c r="AM299" s="5">
        <f t="shared" si="173"/>
        <v>68.789189189189187</v>
      </c>
      <c r="AN299" s="5">
        <f>100*(AK299/F299)*(AE299*Calculations!$B$5*Calculations!$B$9+AF299*Calculations!$B$6*Calculations!$B$10+AG299*Calculations!$B$7*Calculations!$B$11)</f>
        <v>49.129884258373217</v>
      </c>
      <c r="AO299" s="6" t="s">
        <v>253</v>
      </c>
      <c r="AP299" s="6" t="s">
        <v>260</v>
      </c>
    </row>
    <row r="300" spans="1:42" x14ac:dyDescent="0.3">
      <c r="A300" s="6">
        <v>297</v>
      </c>
      <c r="B300" s="3" t="s">
        <v>256</v>
      </c>
      <c r="C300" s="3" t="s">
        <v>93</v>
      </c>
      <c r="D300" s="3" t="s">
        <v>259</v>
      </c>
      <c r="E300" s="5">
        <v>16.058000000000003</v>
      </c>
      <c r="F300" s="5">
        <v>41.8</v>
      </c>
      <c r="G300" s="5">
        <v>5.3</v>
      </c>
      <c r="H300" s="5">
        <v>0.2</v>
      </c>
      <c r="I300" s="5" t="s">
        <v>15</v>
      </c>
      <c r="J300" s="5">
        <f t="shared" si="174"/>
        <v>52.7</v>
      </c>
      <c r="K300" s="5">
        <f>2.1*(100/(100-L300))</f>
        <v>2.3622047244094491</v>
      </c>
      <c r="L300" s="5">
        <v>11.1</v>
      </c>
      <c r="M300" s="5">
        <f>74.4*(100/(100-L300))</f>
        <v>83.689538807649058</v>
      </c>
      <c r="N300" s="5">
        <f>12.4*(100/(100-L300))</f>
        <v>13.948256467941508</v>
      </c>
      <c r="O300" s="5" t="s">
        <v>15</v>
      </c>
      <c r="P300" s="5" t="s">
        <v>15</v>
      </c>
      <c r="Q300" s="5" t="s">
        <v>15</v>
      </c>
      <c r="R300" s="5">
        <v>700</v>
      </c>
      <c r="S300" s="5" t="s">
        <v>39</v>
      </c>
      <c r="T300" s="5" t="s">
        <v>254</v>
      </c>
      <c r="U300" s="5" t="s">
        <v>15</v>
      </c>
      <c r="V300" s="5">
        <v>0.8</v>
      </c>
      <c r="W300" s="5"/>
      <c r="X300" s="5" t="s">
        <v>161</v>
      </c>
      <c r="Y300" s="5" t="s">
        <v>79</v>
      </c>
      <c r="Z300" s="5" t="s">
        <v>73</v>
      </c>
      <c r="AA300" s="5" t="s">
        <v>15</v>
      </c>
      <c r="AB300" s="5" t="s">
        <v>217</v>
      </c>
      <c r="AC300" s="5">
        <v>0</v>
      </c>
      <c r="AD300" s="5">
        <v>46</v>
      </c>
      <c r="AE300" s="5">
        <v>20</v>
      </c>
      <c r="AF300" s="5">
        <v>21</v>
      </c>
      <c r="AG300" s="5">
        <v>9</v>
      </c>
      <c r="AH300" s="5">
        <f t="shared" si="175"/>
        <v>4</v>
      </c>
      <c r="AI300" s="5">
        <v>13</v>
      </c>
      <c r="AJ300" s="5">
        <v>73.749999999999986</v>
      </c>
      <c r="AK300" s="5">
        <v>0.69440000000000013</v>
      </c>
      <c r="AL300" s="5">
        <v>195.3</v>
      </c>
      <c r="AM300" s="5">
        <f t="shared" si="173"/>
        <v>56.216216216216218</v>
      </c>
      <c r="AN300" s="5">
        <f>100*(AK300/F300)*(AE300*Calculations!$B$5*Calculations!$B$9+AF300*Calculations!$B$6*Calculations!$B$10+AG300*Calculations!$B$7*Calculations!$B$11)</f>
        <v>42.438436363636377</v>
      </c>
      <c r="AO300" s="6" t="s">
        <v>253</v>
      </c>
      <c r="AP300" s="6" t="s">
        <v>260</v>
      </c>
    </row>
    <row r="301" spans="1:42" x14ac:dyDescent="0.3">
      <c r="A301" s="6">
        <v>298</v>
      </c>
      <c r="B301" s="3" t="s">
        <v>256</v>
      </c>
      <c r="C301" s="3" t="s">
        <v>93</v>
      </c>
      <c r="D301" s="3" t="s">
        <v>259</v>
      </c>
      <c r="E301" s="5">
        <v>16.058000000000003</v>
      </c>
      <c r="F301" s="5">
        <v>41.8</v>
      </c>
      <c r="G301" s="5">
        <v>5.3</v>
      </c>
      <c r="H301" s="5">
        <v>0.2</v>
      </c>
      <c r="I301" s="5" t="s">
        <v>15</v>
      </c>
      <c r="J301" s="5">
        <f t="shared" si="174"/>
        <v>52.7</v>
      </c>
      <c r="K301" s="5">
        <f>2.1*(100/(100-L301))</f>
        <v>2.3622047244094491</v>
      </c>
      <c r="L301" s="5">
        <v>11.1</v>
      </c>
      <c r="M301" s="5">
        <f>74.4*(100/(100-L301))</f>
        <v>83.689538807649058</v>
      </c>
      <c r="N301" s="5">
        <f>12.4*(100/(100-L301))</f>
        <v>13.948256467941508</v>
      </c>
      <c r="O301" s="5" t="s">
        <v>15</v>
      </c>
      <c r="P301" s="5" t="s">
        <v>15</v>
      </c>
      <c r="Q301" s="5" t="s">
        <v>15</v>
      </c>
      <c r="R301" s="5">
        <v>650</v>
      </c>
      <c r="S301" s="5" t="s">
        <v>39</v>
      </c>
      <c r="T301" s="5" t="s">
        <v>254</v>
      </c>
      <c r="U301" s="5" t="s">
        <v>15</v>
      </c>
      <c r="V301" s="5">
        <v>0.8</v>
      </c>
      <c r="W301" s="5"/>
      <c r="X301" s="5" t="s">
        <v>161</v>
      </c>
      <c r="Y301" s="5" t="s">
        <v>79</v>
      </c>
      <c r="Z301" s="5" t="s">
        <v>73</v>
      </c>
      <c r="AA301" s="5" t="s">
        <v>15</v>
      </c>
      <c r="AB301" s="5" t="s">
        <v>217</v>
      </c>
      <c r="AC301" s="5">
        <v>0</v>
      </c>
      <c r="AD301" s="5">
        <v>38</v>
      </c>
      <c r="AE301" s="5">
        <v>27.5</v>
      </c>
      <c r="AF301" s="5">
        <v>20</v>
      </c>
      <c r="AG301" s="5">
        <v>9</v>
      </c>
      <c r="AH301" s="5">
        <f t="shared" si="175"/>
        <v>5.5</v>
      </c>
      <c r="AI301" s="5">
        <v>13.3</v>
      </c>
      <c r="AJ301" s="5">
        <v>103.03030303030303</v>
      </c>
      <c r="AK301" s="5">
        <v>0.57288000000000006</v>
      </c>
      <c r="AL301" s="5">
        <v>203.98000000000002</v>
      </c>
      <c r="AM301" s="5">
        <f t="shared" si="173"/>
        <v>47.44864864864865</v>
      </c>
      <c r="AN301" s="5">
        <f>100*(AK301/F301)*(AE301*Calculations!$B$5*Calculations!$B$9+AF301*Calculations!$B$6*Calculations!$B$10+AG301*Calculations!$B$7*Calculations!$B$11)</f>
        <v>39.293625789473687</v>
      </c>
      <c r="AO301" s="6" t="s">
        <v>253</v>
      </c>
      <c r="AP301" s="6" t="s">
        <v>260</v>
      </c>
    </row>
    <row r="302" spans="1:42" x14ac:dyDescent="0.3">
      <c r="A302" s="6">
        <v>299</v>
      </c>
      <c r="B302" s="3" t="s">
        <v>257</v>
      </c>
      <c r="C302" s="3" t="s">
        <v>258</v>
      </c>
      <c r="D302" s="3" t="s">
        <v>15</v>
      </c>
      <c r="E302" s="5">
        <v>12.300400000000002</v>
      </c>
      <c r="F302" s="5">
        <v>40.799999999999997</v>
      </c>
      <c r="G302" s="5">
        <v>5.5</v>
      </c>
      <c r="H302" s="5">
        <v>0.3</v>
      </c>
      <c r="I302" s="5" t="s">
        <v>15</v>
      </c>
      <c r="J302" s="5">
        <f t="shared" si="174"/>
        <v>53.400000000000006</v>
      </c>
      <c r="K302" s="5">
        <f>13.6*(100/(100-L302))</f>
        <v>15.111111111111111</v>
      </c>
      <c r="L302" s="5">
        <v>10</v>
      </c>
      <c r="M302" s="5">
        <f>60.7*(100/(100-L302))</f>
        <v>67.444444444444457</v>
      </c>
      <c r="N302" s="5">
        <f>15.7*(100/(100-L302))</f>
        <v>17.444444444444443</v>
      </c>
      <c r="O302" s="5" t="s">
        <v>15</v>
      </c>
      <c r="P302" s="5" t="s">
        <v>15</v>
      </c>
      <c r="Q302" s="5" t="s">
        <v>15</v>
      </c>
      <c r="R302" s="5">
        <v>780</v>
      </c>
      <c r="S302" s="5" t="s">
        <v>39</v>
      </c>
      <c r="T302" s="5" t="s">
        <v>254</v>
      </c>
      <c r="U302" s="5" t="s">
        <v>15</v>
      </c>
      <c r="V302" s="5">
        <v>0.8</v>
      </c>
      <c r="W302" s="5"/>
      <c r="X302" s="5" t="s">
        <v>161</v>
      </c>
      <c r="Y302" s="5" t="s">
        <v>79</v>
      </c>
      <c r="Z302" s="5" t="s">
        <v>73</v>
      </c>
      <c r="AA302" s="5" t="s">
        <v>15</v>
      </c>
      <c r="AB302" s="5" t="s">
        <v>217</v>
      </c>
      <c r="AC302" s="5">
        <v>0</v>
      </c>
      <c r="AD302" s="5">
        <v>51.5</v>
      </c>
      <c r="AE302" s="5">
        <v>22</v>
      </c>
      <c r="AF302" s="5">
        <v>18.5</v>
      </c>
      <c r="AG302" s="5">
        <v>7</v>
      </c>
      <c r="AH302" s="5">
        <f t="shared" si="175"/>
        <v>1</v>
      </c>
      <c r="AI302" s="5">
        <v>11.7</v>
      </c>
      <c r="AJ302" s="5">
        <v>35.714285714285715</v>
      </c>
      <c r="AK302" s="5">
        <v>0.85568000000000011</v>
      </c>
      <c r="AL302" s="5">
        <v>137.52000000000001</v>
      </c>
      <c r="AM302" s="5">
        <f t="shared" si="173"/>
        <v>81.391304347826079</v>
      </c>
      <c r="AN302" s="5">
        <f>100*(AK302/F302)*(AE302*Calculations!$B$5*Calculations!$B$9+AF302*Calculations!$B$6*Calculations!$B$10+AG302*Calculations!$B$7*Calculations!$B$11)</f>
        <v>50.728027058823528</v>
      </c>
      <c r="AO302" s="6" t="s">
        <v>253</v>
      </c>
      <c r="AP302" s="6" t="s">
        <v>260</v>
      </c>
    </row>
    <row r="303" spans="1:42" x14ac:dyDescent="0.3">
      <c r="A303" s="6">
        <v>300</v>
      </c>
      <c r="B303" s="3" t="s">
        <v>257</v>
      </c>
      <c r="C303" s="3" t="s">
        <v>258</v>
      </c>
      <c r="D303" s="3" t="s">
        <v>15</v>
      </c>
      <c r="E303" s="5">
        <v>12.300400000000002</v>
      </c>
      <c r="F303" s="5">
        <v>40.799999999999997</v>
      </c>
      <c r="G303" s="5">
        <v>5.5</v>
      </c>
      <c r="H303" s="5">
        <v>0.3</v>
      </c>
      <c r="I303" s="5" t="s">
        <v>15</v>
      </c>
      <c r="J303" s="5">
        <f t="shared" si="174"/>
        <v>53.400000000000006</v>
      </c>
      <c r="K303" s="5">
        <f>13.6*(100/(100-L303))</f>
        <v>15.111111111111111</v>
      </c>
      <c r="L303" s="5">
        <v>10</v>
      </c>
      <c r="M303" s="5">
        <f>60.7*(100/(100-L303))</f>
        <v>67.444444444444457</v>
      </c>
      <c r="N303" s="5">
        <f>15.7*(100/(100-L303))</f>
        <v>17.444444444444443</v>
      </c>
      <c r="O303" s="5" t="s">
        <v>15</v>
      </c>
      <c r="P303" s="5" t="s">
        <v>15</v>
      </c>
      <c r="Q303" s="5" t="s">
        <v>15</v>
      </c>
      <c r="R303" s="5">
        <v>750</v>
      </c>
      <c r="S303" s="5" t="s">
        <v>39</v>
      </c>
      <c r="T303" s="5" t="s">
        <v>254</v>
      </c>
      <c r="U303" s="5" t="s">
        <v>15</v>
      </c>
      <c r="V303" s="5">
        <v>0.8</v>
      </c>
      <c r="W303" s="5"/>
      <c r="X303" s="5" t="s">
        <v>161</v>
      </c>
      <c r="Y303" s="5" t="s">
        <v>79</v>
      </c>
      <c r="Z303" s="5" t="s">
        <v>73</v>
      </c>
      <c r="AA303" s="5" t="s">
        <v>15</v>
      </c>
      <c r="AB303" s="5" t="s">
        <v>217</v>
      </c>
      <c r="AC303" s="5">
        <v>0</v>
      </c>
      <c r="AD303" s="5">
        <v>53</v>
      </c>
      <c r="AE303" s="5">
        <v>18</v>
      </c>
      <c r="AF303" s="5">
        <v>18.5</v>
      </c>
      <c r="AG303" s="5">
        <v>6</v>
      </c>
      <c r="AH303" s="5">
        <f t="shared" si="175"/>
        <v>4.5</v>
      </c>
      <c r="AI303" s="5">
        <v>12.1</v>
      </c>
      <c r="AJ303" s="5">
        <v>44.660194174757272</v>
      </c>
      <c r="AK303" s="5">
        <v>0.78692000000000006</v>
      </c>
      <c r="AL303" s="5">
        <v>145.16</v>
      </c>
      <c r="AM303" s="5">
        <f t="shared" si="173"/>
        <v>77.409937888198741</v>
      </c>
      <c r="AN303" s="5">
        <f>100*(AK303/F303)*(AE303*Calculations!$B$5*Calculations!$B$9+AF303*Calculations!$B$6*Calculations!$B$10+AG303*Calculations!$B$7*Calculations!$B$11)</f>
        <v>41.932007584033606</v>
      </c>
      <c r="AO303" s="6" t="s">
        <v>253</v>
      </c>
      <c r="AP303" s="6" t="s">
        <v>260</v>
      </c>
    </row>
    <row r="304" spans="1:42" x14ac:dyDescent="0.3">
      <c r="A304" s="6">
        <v>301</v>
      </c>
      <c r="B304" s="3" t="s">
        <v>257</v>
      </c>
      <c r="C304" s="3" t="s">
        <v>258</v>
      </c>
      <c r="D304" s="3" t="s">
        <v>15</v>
      </c>
      <c r="E304" s="5">
        <v>12.300400000000002</v>
      </c>
      <c r="F304" s="5">
        <v>40.799999999999997</v>
      </c>
      <c r="G304" s="5">
        <v>5.5</v>
      </c>
      <c r="H304" s="5">
        <v>0.3</v>
      </c>
      <c r="I304" s="5" t="s">
        <v>15</v>
      </c>
      <c r="J304" s="5">
        <f t="shared" si="174"/>
        <v>53.400000000000006</v>
      </c>
      <c r="K304" s="5">
        <f>13.6*(100/(100-L304))</f>
        <v>15.111111111111111</v>
      </c>
      <c r="L304" s="5">
        <v>10</v>
      </c>
      <c r="M304" s="5">
        <f>60.7*(100/(100-L304))</f>
        <v>67.444444444444457</v>
      </c>
      <c r="N304" s="5">
        <f>15.7*(100/(100-L304))</f>
        <v>17.444444444444443</v>
      </c>
      <c r="O304" s="5" t="s">
        <v>15</v>
      </c>
      <c r="P304" s="5" t="s">
        <v>15</v>
      </c>
      <c r="Q304" s="5" t="s">
        <v>15</v>
      </c>
      <c r="R304" s="5">
        <v>700</v>
      </c>
      <c r="S304" s="5" t="s">
        <v>39</v>
      </c>
      <c r="T304" s="5" t="s">
        <v>254</v>
      </c>
      <c r="U304" s="5" t="s">
        <v>15</v>
      </c>
      <c r="V304" s="5">
        <v>0.8</v>
      </c>
      <c r="W304" s="5"/>
      <c r="X304" s="5" t="s">
        <v>161</v>
      </c>
      <c r="Y304" s="5" t="s">
        <v>79</v>
      </c>
      <c r="Z304" s="5" t="s">
        <v>73</v>
      </c>
      <c r="AA304" s="5" t="s">
        <v>15</v>
      </c>
      <c r="AB304" s="5" t="s">
        <v>217</v>
      </c>
      <c r="AC304" s="5">
        <v>0</v>
      </c>
      <c r="AD304" s="5">
        <v>53</v>
      </c>
      <c r="AE304" s="5">
        <v>17.5</v>
      </c>
      <c r="AF304" s="5">
        <v>18</v>
      </c>
      <c r="AG304" s="5">
        <v>9</v>
      </c>
      <c r="AH304" s="5">
        <f t="shared" si="175"/>
        <v>2.5</v>
      </c>
      <c r="AI304" s="5">
        <v>12.4</v>
      </c>
      <c r="AJ304" s="5">
        <v>68.35443037974683</v>
      </c>
      <c r="AK304" s="5">
        <v>0.60355999999999999</v>
      </c>
      <c r="AL304" s="5">
        <v>164.26</v>
      </c>
      <c r="AM304" s="5">
        <f t="shared" si="173"/>
        <v>60.844720496894404</v>
      </c>
      <c r="AN304" s="5">
        <f>100*(AK304/F304)*(AE304*Calculations!$B$5*Calculations!$B$9+AF304*Calculations!$B$6*Calculations!$B$10+AG304*Calculations!$B$7*Calculations!$B$11)</f>
        <v>33.587448308823532</v>
      </c>
      <c r="AO304" s="6" t="s">
        <v>253</v>
      </c>
      <c r="AP304" s="6" t="s">
        <v>260</v>
      </c>
    </row>
    <row r="305" spans="1:42" x14ac:dyDescent="0.3">
      <c r="A305" s="6">
        <v>302</v>
      </c>
      <c r="B305" s="3" t="s">
        <v>257</v>
      </c>
      <c r="C305" s="3" t="s">
        <v>258</v>
      </c>
      <c r="D305" s="3" t="s">
        <v>15</v>
      </c>
      <c r="E305" s="5">
        <v>12.300400000000002</v>
      </c>
      <c r="F305" s="5">
        <v>40.799999999999997</v>
      </c>
      <c r="G305" s="5">
        <v>5.5</v>
      </c>
      <c r="H305" s="5">
        <v>0.3</v>
      </c>
      <c r="I305" s="5" t="s">
        <v>15</v>
      </c>
      <c r="J305" s="5">
        <f t="shared" si="174"/>
        <v>53.400000000000006</v>
      </c>
      <c r="K305" s="5">
        <f>13.6*(100/(100-L305))</f>
        <v>15.111111111111111</v>
      </c>
      <c r="L305" s="5">
        <v>10</v>
      </c>
      <c r="M305" s="5">
        <f>60.7*(100/(100-L305))</f>
        <v>67.444444444444457</v>
      </c>
      <c r="N305" s="5">
        <f>15.7*(100/(100-L305))</f>
        <v>17.444444444444443</v>
      </c>
      <c r="O305" s="5" t="s">
        <v>15</v>
      </c>
      <c r="P305" s="5" t="s">
        <v>15</v>
      </c>
      <c r="Q305" s="5" t="s">
        <v>15</v>
      </c>
      <c r="R305" s="5">
        <v>650</v>
      </c>
      <c r="S305" s="5" t="s">
        <v>39</v>
      </c>
      <c r="T305" s="5" t="s">
        <v>254</v>
      </c>
      <c r="U305" s="5" t="s">
        <v>15</v>
      </c>
      <c r="V305" s="5">
        <v>0.8</v>
      </c>
      <c r="W305" s="5"/>
      <c r="X305" s="5" t="s">
        <v>161</v>
      </c>
      <c r="Y305" s="5" t="s">
        <v>79</v>
      </c>
      <c r="Z305" s="5" t="s">
        <v>73</v>
      </c>
      <c r="AA305" s="5" t="s">
        <v>15</v>
      </c>
      <c r="AB305" s="5" t="s">
        <v>217</v>
      </c>
      <c r="AC305" s="5">
        <v>0</v>
      </c>
      <c r="AD305" s="5">
        <v>41.5</v>
      </c>
      <c r="AE305" s="5">
        <v>24.5</v>
      </c>
      <c r="AF305" s="5">
        <v>21.5</v>
      </c>
      <c r="AG305" s="5">
        <v>9</v>
      </c>
      <c r="AH305" s="5">
        <f t="shared" si="175"/>
        <v>3.5</v>
      </c>
      <c r="AI305" s="5">
        <v>13.1</v>
      </c>
      <c r="AJ305" s="5">
        <v>86.301369863013704</v>
      </c>
      <c r="AK305" s="5">
        <v>0.55771999999999999</v>
      </c>
      <c r="AL305" s="5">
        <v>221.56</v>
      </c>
      <c r="AM305" s="5">
        <f t="shared" si="173"/>
        <v>59.397515527950304</v>
      </c>
      <c r="AN305" s="5">
        <f>100*(AK305/F305)*(AE305*Calculations!$B$5*Calculations!$B$9+AF305*Calculations!$B$6*Calculations!$B$10+AG305*Calculations!$B$7*Calculations!$B$11)</f>
        <v>38.295064632352947</v>
      </c>
      <c r="AO305" s="6" t="s">
        <v>253</v>
      </c>
      <c r="AP305" s="6" t="s">
        <v>260</v>
      </c>
    </row>
    <row r="306" spans="1:42" x14ac:dyDescent="0.3">
      <c r="A306" s="6">
        <v>303</v>
      </c>
      <c r="B306" s="3" t="s">
        <v>297</v>
      </c>
      <c r="C306" s="3" t="s">
        <v>159</v>
      </c>
      <c r="D306" s="3">
        <f>(1+2.5)/2</f>
        <v>1.75</v>
      </c>
      <c r="E306" s="5">
        <f>19.97-(9*((G306/100*((100+L306)/100)))*Calculations!$B$16)</f>
        <v>18.536578216639999</v>
      </c>
      <c r="F306" s="5">
        <v>50.26</v>
      </c>
      <c r="G306" s="5">
        <v>6.72</v>
      </c>
      <c r="H306" s="5">
        <v>0.16</v>
      </c>
      <c r="I306" s="5">
        <v>0.2</v>
      </c>
      <c r="J306" s="5">
        <v>42.66</v>
      </c>
      <c r="K306" s="5">
        <f>0.34*(100/(100-L306))</f>
        <v>0.35793241393830938</v>
      </c>
      <c r="L306" s="5">
        <v>5.01</v>
      </c>
      <c r="M306" s="5">
        <f>77.71*(100/(100-L306))</f>
        <v>81.808611432782399</v>
      </c>
      <c r="N306" s="5">
        <f>16.94*(100/(100-L306))</f>
        <v>17.833456153279297</v>
      </c>
      <c r="O306" s="5">
        <v>43.5</v>
      </c>
      <c r="P306" s="5">
        <v>19.5</v>
      </c>
      <c r="Q306" s="5">
        <v>33</v>
      </c>
      <c r="R306" s="5">
        <v>700</v>
      </c>
      <c r="S306" s="5" t="s">
        <v>115</v>
      </c>
      <c r="T306" s="5" t="s">
        <v>15</v>
      </c>
      <c r="U306" s="5">
        <v>40</v>
      </c>
      <c r="V306" s="5">
        <v>1</v>
      </c>
      <c r="W306" s="5" t="s">
        <v>15</v>
      </c>
      <c r="X306" s="5" t="s">
        <v>161</v>
      </c>
      <c r="Y306" s="5" t="s">
        <v>79</v>
      </c>
      <c r="Z306" s="5" t="s">
        <v>73</v>
      </c>
      <c r="AA306" s="5" t="s">
        <v>15</v>
      </c>
      <c r="AB306" s="5" t="s">
        <v>86</v>
      </c>
      <c r="AC306" s="5">
        <v>0</v>
      </c>
      <c r="AD306" s="5">
        <v>51</v>
      </c>
      <c r="AE306" s="5">
        <v>19</v>
      </c>
      <c r="AF306" s="5">
        <v>17</v>
      </c>
      <c r="AG306" s="5">
        <v>13</v>
      </c>
      <c r="AH306" s="5">
        <f t="shared" si="175"/>
        <v>0</v>
      </c>
      <c r="AI306" s="5">
        <v>10.83</v>
      </c>
      <c r="AJ306" s="5">
        <v>17.5</v>
      </c>
      <c r="AK306" s="5">
        <v>1.32</v>
      </c>
      <c r="AL306" s="5" t="s">
        <v>15</v>
      </c>
      <c r="AM306" s="5">
        <f t="shared" si="173"/>
        <v>77.121029744136166</v>
      </c>
      <c r="AN306" s="5">
        <f>100*(AK306/F306)*(AE306*Calculations!$B$5*Calculations!$B$9+AF306*Calculations!$B$6*Calculations!$B$10+AG306*Calculations!$B$7*Calculations!$B$11)</f>
        <v>65.31349269512819</v>
      </c>
      <c r="AO306" s="6" t="s">
        <v>298</v>
      </c>
      <c r="AP306" s="6" t="s">
        <v>302</v>
      </c>
    </row>
    <row r="307" spans="1:42" x14ac:dyDescent="0.3">
      <c r="A307" s="6">
        <v>304</v>
      </c>
      <c r="B307" s="3" t="s">
        <v>297</v>
      </c>
      <c r="C307" s="3" t="s">
        <v>159</v>
      </c>
      <c r="D307" s="3">
        <f>(1+2.5)/2</f>
        <v>1.75</v>
      </c>
      <c r="E307" s="5">
        <f>19.97-(9*((G307/100*((100+L307)/100)))*Calculations!$B$16)</f>
        <v>18.536578216639999</v>
      </c>
      <c r="F307" s="5">
        <v>50.26</v>
      </c>
      <c r="G307" s="5">
        <v>6.72</v>
      </c>
      <c r="H307" s="5">
        <v>0.16</v>
      </c>
      <c r="I307" s="5">
        <v>0.2</v>
      </c>
      <c r="J307" s="5">
        <v>42.66</v>
      </c>
      <c r="K307" s="5">
        <f>0.34*(100/(100-L307))</f>
        <v>0.35793241393830938</v>
      </c>
      <c r="L307" s="5">
        <v>5.01</v>
      </c>
      <c r="M307" s="5">
        <f>77.71*(100/(100-L307))</f>
        <v>81.808611432782399</v>
      </c>
      <c r="N307" s="5">
        <f>16.94*(100/(100-L307))</f>
        <v>17.833456153279297</v>
      </c>
      <c r="O307" s="5">
        <v>43.5</v>
      </c>
      <c r="P307" s="5">
        <v>19.5</v>
      </c>
      <c r="Q307" s="5">
        <v>33</v>
      </c>
      <c r="R307" s="5">
        <v>800</v>
      </c>
      <c r="S307" s="5" t="s">
        <v>115</v>
      </c>
      <c r="T307" s="5" t="s">
        <v>15</v>
      </c>
      <c r="U307" s="5">
        <v>40</v>
      </c>
      <c r="V307" s="5">
        <v>1</v>
      </c>
      <c r="W307" s="5" t="s">
        <v>15</v>
      </c>
      <c r="X307" s="5" t="s">
        <v>161</v>
      </c>
      <c r="Y307" s="5" t="s">
        <v>79</v>
      </c>
      <c r="Z307" s="5" t="s">
        <v>73</v>
      </c>
      <c r="AA307" s="5" t="s">
        <v>15</v>
      </c>
      <c r="AB307" s="5" t="s">
        <v>86</v>
      </c>
      <c r="AC307" s="5">
        <v>0</v>
      </c>
      <c r="AD307" s="5">
        <v>51</v>
      </c>
      <c r="AE307" s="5" t="s">
        <v>15</v>
      </c>
      <c r="AF307" s="5" t="s">
        <v>15</v>
      </c>
      <c r="AG307" s="5" t="s">
        <v>15</v>
      </c>
      <c r="AH307" s="5" t="s">
        <v>15</v>
      </c>
      <c r="AI307" s="5">
        <v>13.45</v>
      </c>
      <c r="AJ307" s="5">
        <v>15.5</v>
      </c>
      <c r="AK307" s="5">
        <v>1.55</v>
      </c>
      <c r="AL307" s="5" t="s">
        <v>15</v>
      </c>
      <c r="AM307" s="5">
        <f t="shared" si="173"/>
        <v>112.46681969213456</v>
      </c>
      <c r="AN307" s="5" t="s">
        <v>15</v>
      </c>
      <c r="AO307" s="6" t="s">
        <v>299</v>
      </c>
      <c r="AP307" s="6" t="s">
        <v>302</v>
      </c>
    </row>
    <row r="308" spans="1:42" x14ac:dyDescent="0.3">
      <c r="A308" s="6">
        <v>305</v>
      </c>
      <c r="B308" s="3" t="s">
        <v>297</v>
      </c>
      <c r="C308" s="3" t="s">
        <v>159</v>
      </c>
      <c r="D308" s="3">
        <f>(1+2.5)/2</f>
        <v>1.75</v>
      </c>
      <c r="E308" s="5">
        <f>19.97-(9*((G308/100*((100+L308)/100)))*Calculations!$B$16)</f>
        <v>18.536578216639999</v>
      </c>
      <c r="F308" s="5">
        <v>50.26</v>
      </c>
      <c r="G308" s="5">
        <v>6.72</v>
      </c>
      <c r="H308" s="5">
        <v>0.16</v>
      </c>
      <c r="I308" s="5">
        <v>0.2</v>
      </c>
      <c r="J308" s="5">
        <v>42.66</v>
      </c>
      <c r="K308" s="5">
        <f>0.34*(100/(100-L308))</f>
        <v>0.35793241393830938</v>
      </c>
      <c r="L308" s="5">
        <v>5.01</v>
      </c>
      <c r="M308" s="5">
        <f>77.71*(100/(100-L308))</f>
        <v>81.808611432782399</v>
      </c>
      <c r="N308" s="5">
        <f>16.94*(100/(100-L308))</f>
        <v>17.833456153279297</v>
      </c>
      <c r="O308" s="5">
        <v>43.5</v>
      </c>
      <c r="P308" s="5">
        <v>19.5</v>
      </c>
      <c r="Q308" s="5">
        <v>33</v>
      </c>
      <c r="R308" s="5">
        <v>900</v>
      </c>
      <c r="S308" s="5" t="s">
        <v>115</v>
      </c>
      <c r="T308" s="5" t="s">
        <v>15</v>
      </c>
      <c r="U308" s="5">
        <v>40</v>
      </c>
      <c r="V308" s="5">
        <v>1</v>
      </c>
      <c r="W308" s="5" t="s">
        <v>15</v>
      </c>
      <c r="X308" s="5" t="s">
        <v>161</v>
      </c>
      <c r="Y308" s="5" t="s">
        <v>79</v>
      </c>
      <c r="Z308" s="5" t="s">
        <v>73</v>
      </c>
      <c r="AA308" s="5" t="s">
        <v>15</v>
      </c>
      <c r="AB308" s="5" t="s">
        <v>86</v>
      </c>
      <c r="AC308" s="5">
        <v>0</v>
      </c>
      <c r="AD308" s="5">
        <v>59</v>
      </c>
      <c r="AE308" s="5" t="s">
        <v>15</v>
      </c>
      <c r="AF308" s="5" t="s">
        <v>15</v>
      </c>
      <c r="AG308" s="5" t="s">
        <v>15</v>
      </c>
      <c r="AH308" s="5" t="s">
        <v>15</v>
      </c>
      <c r="AI308" s="5">
        <v>13.72</v>
      </c>
      <c r="AJ308" s="5">
        <v>12.5</v>
      </c>
      <c r="AK308" s="5">
        <v>1.66</v>
      </c>
      <c r="AL308" s="5" t="s">
        <v>15</v>
      </c>
      <c r="AM308" s="5">
        <f t="shared" si="173"/>
        <v>122.86625791352935</v>
      </c>
      <c r="AN308" s="5" t="s">
        <v>15</v>
      </c>
      <c r="AO308" s="6" t="s">
        <v>300</v>
      </c>
      <c r="AP308" s="6" t="s">
        <v>302</v>
      </c>
    </row>
    <row r="309" spans="1:42" x14ac:dyDescent="0.3">
      <c r="A309" s="6">
        <v>306</v>
      </c>
      <c r="B309" s="3" t="s">
        <v>297</v>
      </c>
      <c r="C309" s="3" t="s">
        <v>159</v>
      </c>
      <c r="D309" s="3">
        <f>(1+2.5)/2</f>
        <v>1.75</v>
      </c>
      <c r="E309" s="5">
        <f>19.97-(9*((G309/100*((100+L309)/100)))*Calculations!$B$16)</f>
        <v>18.536578216639999</v>
      </c>
      <c r="F309" s="5">
        <v>50.26</v>
      </c>
      <c r="G309" s="5">
        <v>6.72</v>
      </c>
      <c r="H309" s="5">
        <v>0.16</v>
      </c>
      <c r="I309" s="5">
        <v>0.2</v>
      </c>
      <c r="J309" s="5">
        <v>42.66</v>
      </c>
      <c r="K309" s="5">
        <f>0.34*(100/(100-L309))</f>
        <v>0.35793241393830938</v>
      </c>
      <c r="L309" s="5">
        <v>5.01</v>
      </c>
      <c r="M309" s="5">
        <f>77.71*(100/(100-L309))</f>
        <v>81.808611432782399</v>
      </c>
      <c r="N309" s="5">
        <f>16.94*(100/(100-L309))</f>
        <v>17.833456153279297</v>
      </c>
      <c r="O309" s="5">
        <v>43.5</v>
      </c>
      <c r="P309" s="5">
        <v>19.5</v>
      </c>
      <c r="Q309" s="5">
        <v>33</v>
      </c>
      <c r="R309" s="5">
        <v>900</v>
      </c>
      <c r="S309" s="5" t="s">
        <v>115</v>
      </c>
      <c r="T309" s="5" t="s">
        <v>15</v>
      </c>
      <c r="U309" s="5">
        <v>40</v>
      </c>
      <c r="V309" s="5">
        <v>0.5</v>
      </c>
      <c r="W309" s="5" t="s">
        <v>15</v>
      </c>
      <c r="X309" s="5" t="s">
        <v>161</v>
      </c>
      <c r="Y309" s="5" t="s">
        <v>79</v>
      </c>
      <c r="Z309" s="5" t="s">
        <v>73</v>
      </c>
      <c r="AA309" s="5" t="s">
        <v>15</v>
      </c>
      <c r="AB309" s="5" t="s">
        <v>86</v>
      </c>
      <c r="AC309" s="5">
        <v>0</v>
      </c>
      <c r="AD309" s="5">
        <v>58</v>
      </c>
      <c r="AE309" s="5" t="s">
        <v>15</v>
      </c>
      <c r="AF309" s="5" t="s">
        <v>15</v>
      </c>
      <c r="AG309" s="5" t="s">
        <v>15</v>
      </c>
      <c r="AH309" s="5" t="s">
        <v>15</v>
      </c>
      <c r="AI309" s="5">
        <v>13.12</v>
      </c>
      <c r="AJ309" s="5">
        <v>15</v>
      </c>
      <c r="AK309" s="5">
        <v>1.36</v>
      </c>
      <c r="AL309" s="5" t="s">
        <v>15</v>
      </c>
      <c r="AM309" s="5">
        <f t="shared" si="173"/>
        <v>96.259405546501753</v>
      </c>
      <c r="AN309" s="5" t="s">
        <v>15</v>
      </c>
      <c r="AO309" s="6" t="s">
        <v>301</v>
      </c>
      <c r="AP309" s="6" t="s">
        <v>302</v>
      </c>
    </row>
    <row r="310" spans="1:42" x14ac:dyDescent="0.3">
      <c r="A310" s="6">
        <v>307</v>
      </c>
      <c r="B310" s="3" t="s">
        <v>188</v>
      </c>
      <c r="C310" s="3" t="s">
        <v>42</v>
      </c>
      <c r="D310" s="3" t="s">
        <v>15</v>
      </c>
      <c r="E310" s="5">
        <v>18.600000000000001</v>
      </c>
      <c r="F310" s="5">
        <v>51.3</v>
      </c>
      <c r="G310" s="5">
        <v>5.81</v>
      </c>
      <c r="H310" s="5">
        <v>0.2</v>
      </c>
      <c r="I310" s="5">
        <v>0.1</v>
      </c>
      <c r="J310" s="5">
        <v>42.6</v>
      </c>
      <c r="K310" s="5">
        <f>0.4*(100/(100-L310))</f>
        <v>0.43478260869565216</v>
      </c>
      <c r="L310" s="5">
        <v>8</v>
      </c>
      <c r="M310" s="5">
        <f>77.4*(100/(100-L310))</f>
        <v>84.130434782608702</v>
      </c>
      <c r="N310" s="5">
        <f>14.2*(100/(100-L310))</f>
        <v>15.434782608695651</v>
      </c>
      <c r="O310" s="5" t="s">
        <v>15</v>
      </c>
      <c r="P310" s="5" t="s">
        <v>15</v>
      </c>
      <c r="Q310" s="5" t="s">
        <v>15</v>
      </c>
      <c r="R310" s="5">
        <v>700</v>
      </c>
      <c r="S310" s="5" t="s">
        <v>39</v>
      </c>
      <c r="T310" s="5" t="s">
        <v>15</v>
      </c>
      <c r="U310" s="5" t="s">
        <v>15</v>
      </c>
      <c r="V310" s="5" t="s">
        <v>15</v>
      </c>
      <c r="W310" s="5" t="s">
        <v>15</v>
      </c>
      <c r="X310" s="5" t="s">
        <v>161</v>
      </c>
      <c r="Y310" s="5" t="s">
        <v>304</v>
      </c>
      <c r="Z310" s="5" t="s">
        <v>73</v>
      </c>
      <c r="AA310" s="5" t="s">
        <v>15</v>
      </c>
      <c r="AB310" s="5" t="s">
        <v>305</v>
      </c>
      <c r="AC310" s="5">
        <v>0</v>
      </c>
      <c r="AD310" s="5">
        <v>22.5</v>
      </c>
      <c r="AE310" s="5">
        <v>40.5</v>
      </c>
      <c r="AF310" s="5">
        <v>18.5</v>
      </c>
      <c r="AG310" s="5">
        <v>14</v>
      </c>
      <c r="AH310" s="5" t="s">
        <v>15</v>
      </c>
      <c r="AI310" s="5">
        <f>(AD310*Calculations!$B$23+AE310*Calculations!$B$21+AG310*Calculations!$B$22)/100</f>
        <v>12.56616</v>
      </c>
      <c r="AJ310" s="5">
        <v>12.7</v>
      </c>
      <c r="AK310" s="5">
        <v>0.49463999999999997</v>
      </c>
      <c r="AL310" s="5" t="s">
        <v>15</v>
      </c>
      <c r="AM310" s="5">
        <f t="shared" si="173"/>
        <v>33.417878399999999</v>
      </c>
      <c r="AN310" s="5">
        <f>100*(AK310/F310)*(AE310*Calculations!$B$5*Calculations!$B$9+AF310*Calculations!$B$6*Calculations!$B$10+AG310*Calculations!$B$7*Calculations!$B$11)</f>
        <v>35.363040902255634</v>
      </c>
      <c r="AO310" s="6" t="s">
        <v>303</v>
      </c>
      <c r="AP310" s="6" t="s">
        <v>308</v>
      </c>
    </row>
    <row r="311" spans="1:42" x14ac:dyDescent="0.3">
      <c r="A311" s="6">
        <v>308</v>
      </c>
      <c r="B311" s="3" t="s">
        <v>188</v>
      </c>
      <c r="C311" s="3" t="s">
        <v>42</v>
      </c>
      <c r="D311" s="3" t="s">
        <v>15</v>
      </c>
      <c r="E311" s="5">
        <v>18.600000000000001</v>
      </c>
      <c r="F311" s="5">
        <v>51.3</v>
      </c>
      <c r="G311" s="5">
        <v>5.81</v>
      </c>
      <c r="H311" s="5">
        <v>0.2</v>
      </c>
      <c r="I311" s="5">
        <v>0.1</v>
      </c>
      <c r="J311" s="5">
        <v>42.6</v>
      </c>
      <c r="K311" s="5">
        <f t="shared" ref="K311:K312" si="176">0.4*(100/(100-L311))</f>
        <v>0.43478260869565216</v>
      </c>
      <c r="L311" s="5">
        <v>8</v>
      </c>
      <c r="M311" s="5">
        <f t="shared" ref="M311:M312" si="177">77.4*(100/(100-L311))</f>
        <v>84.130434782608702</v>
      </c>
      <c r="N311" s="5">
        <f t="shared" ref="N311:N312" si="178">14.2*(100/(100-L311))</f>
        <v>15.434782608695651</v>
      </c>
      <c r="O311" s="5" t="s">
        <v>15</v>
      </c>
      <c r="P311" s="5" t="s">
        <v>15</v>
      </c>
      <c r="Q311" s="5" t="s">
        <v>15</v>
      </c>
      <c r="R311" s="5">
        <v>750</v>
      </c>
      <c r="S311" s="5" t="s">
        <v>39</v>
      </c>
      <c r="T311" s="5" t="s">
        <v>15</v>
      </c>
      <c r="U311" s="5" t="s">
        <v>15</v>
      </c>
      <c r="V311" s="5" t="s">
        <v>15</v>
      </c>
      <c r="W311" s="5" t="s">
        <v>15</v>
      </c>
      <c r="X311" s="5" t="s">
        <v>161</v>
      </c>
      <c r="Y311" s="5" t="s">
        <v>304</v>
      </c>
      <c r="Z311" s="5" t="s">
        <v>73</v>
      </c>
      <c r="AA311" s="5" t="s">
        <v>15</v>
      </c>
      <c r="AB311" s="5" t="s">
        <v>305</v>
      </c>
      <c r="AC311" s="5">
        <v>0</v>
      </c>
      <c r="AD311" s="5">
        <v>25</v>
      </c>
      <c r="AE311" s="5">
        <v>40</v>
      </c>
      <c r="AF311" s="5">
        <v>16</v>
      </c>
      <c r="AG311" s="5">
        <v>14</v>
      </c>
      <c r="AH311" s="5" t="s">
        <v>15</v>
      </c>
      <c r="AI311" s="5">
        <f>(AD311*Calculations!$B$23+AE311*Calculations!$B$21+AG311*Calculations!$B$22)/100</f>
        <v>12.77257</v>
      </c>
      <c r="AJ311" s="5">
        <v>11.9</v>
      </c>
      <c r="AK311" s="5">
        <v>0.51295999999999997</v>
      </c>
      <c r="AL311" s="5" t="s">
        <v>15</v>
      </c>
      <c r="AM311" s="5">
        <f t="shared" si="173"/>
        <v>35.224825307526878</v>
      </c>
      <c r="AN311" s="5">
        <f>100*(AK311/F311)*(AE311*Calculations!$B$5*Calculations!$B$9+AF311*Calculations!$B$6*Calculations!$B$10+AG311*Calculations!$B$7*Calculations!$B$11)</f>
        <v>35.078621754385956</v>
      </c>
      <c r="AO311" s="6" t="s">
        <v>306</v>
      </c>
      <c r="AP311" s="6" t="s">
        <v>308</v>
      </c>
    </row>
    <row r="312" spans="1:42" x14ac:dyDescent="0.3">
      <c r="A312" s="6">
        <v>309</v>
      </c>
      <c r="B312" s="3" t="s">
        <v>188</v>
      </c>
      <c r="C312" s="3" t="s">
        <v>42</v>
      </c>
      <c r="D312" s="3" t="s">
        <v>15</v>
      </c>
      <c r="E312" s="5">
        <v>18.600000000000001</v>
      </c>
      <c r="F312" s="5">
        <v>51.3</v>
      </c>
      <c r="G312" s="5">
        <v>5.81</v>
      </c>
      <c r="H312" s="5">
        <v>0.2</v>
      </c>
      <c r="I312" s="5">
        <v>0.1</v>
      </c>
      <c r="J312" s="5">
        <v>42.6</v>
      </c>
      <c r="K312" s="5">
        <f t="shared" si="176"/>
        <v>0.43478260869565216</v>
      </c>
      <c r="L312" s="5">
        <v>8</v>
      </c>
      <c r="M312" s="5">
        <f t="shared" si="177"/>
        <v>84.130434782608702</v>
      </c>
      <c r="N312" s="5">
        <f t="shared" si="178"/>
        <v>15.434782608695651</v>
      </c>
      <c r="O312" s="5" t="s">
        <v>15</v>
      </c>
      <c r="P312" s="5" t="s">
        <v>15</v>
      </c>
      <c r="Q312" s="5" t="s">
        <v>15</v>
      </c>
      <c r="R312" s="5">
        <v>800</v>
      </c>
      <c r="S312" s="5" t="s">
        <v>39</v>
      </c>
      <c r="T312" s="5" t="s">
        <v>15</v>
      </c>
      <c r="U312" s="5" t="s">
        <v>15</v>
      </c>
      <c r="V312" s="5" t="s">
        <v>15</v>
      </c>
      <c r="W312" s="5" t="s">
        <v>15</v>
      </c>
      <c r="X312" s="5" t="s">
        <v>161</v>
      </c>
      <c r="Y312" s="5" t="s">
        <v>304</v>
      </c>
      <c r="Z312" s="5" t="s">
        <v>73</v>
      </c>
      <c r="AA312" s="5" t="s">
        <v>15</v>
      </c>
      <c r="AB312" s="5" t="s">
        <v>305</v>
      </c>
      <c r="AC312" s="5">
        <v>0</v>
      </c>
      <c r="AD312" s="5">
        <v>25.5</v>
      </c>
      <c r="AE312" s="5">
        <v>42.5</v>
      </c>
      <c r="AF312" s="5">
        <v>13</v>
      </c>
      <c r="AG312" s="5">
        <v>13.5</v>
      </c>
      <c r="AH312" s="5" t="s">
        <v>15</v>
      </c>
      <c r="AI312" s="5">
        <f>(AD312*Calculations!$B$23+AE312*Calculations!$B$21+AG312*Calculations!$B$22)/100</f>
        <v>12.962894999999998</v>
      </c>
      <c r="AJ312" s="5">
        <v>10.4</v>
      </c>
      <c r="AK312" s="5">
        <v>0.58898799999999996</v>
      </c>
      <c r="AL312" s="5" t="s">
        <v>15</v>
      </c>
      <c r="AM312" s="5">
        <f t="shared" si="173"/>
        <v>41.048331184193536</v>
      </c>
      <c r="AN312" s="5">
        <f>100*(AK312/F312)*(AE312*Calculations!$B$5*Calculations!$B$9+AF312*Calculations!$B$6*Calculations!$B$10+AG312*Calculations!$B$7*Calculations!$B$11)</f>
        <v>39.537295660400993</v>
      </c>
      <c r="AO312" s="6" t="s">
        <v>307</v>
      </c>
      <c r="AP312" s="6" t="s">
        <v>308</v>
      </c>
    </row>
    <row r="313" spans="1:42" x14ac:dyDescent="0.3">
      <c r="A313" s="6">
        <v>310</v>
      </c>
      <c r="B313" s="3" t="s">
        <v>309</v>
      </c>
      <c r="C313" s="3" t="s">
        <v>159</v>
      </c>
      <c r="D313" s="3">
        <v>15</v>
      </c>
      <c r="E313" s="5">
        <f>17.4-(9*((G313/100*((100+0)/100)))*Calculations!$B$16)</f>
        <v>16.282784999999997</v>
      </c>
      <c r="F313" s="5">
        <v>48.3</v>
      </c>
      <c r="G313" s="5">
        <v>5.5</v>
      </c>
      <c r="H313" s="5">
        <v>0.6</v>
      </c>
      <c r="I313" s="5">
        <v>0.01</v>
      </c>
      <c r="J313" s="5">
        <v>38.1</v>
      </c>
      <c r="K313" s="5">
        <v>7.5</v>
      </c>
      <c r="L313" s="5">
        <v>0</v>
      </c>
      <c r="M313" s="5">
        <v>71</v>
      </c>
      <c r="N313" s="5">
        <v>21.5</v>
      </c>
      <c r="O313" s="5" t="s">
        <v>15</v>
      </c>
      <c r="P313" s="5" t="s">
        <v>15</v>
      </c>
      <c r="Q313" s="5" t="s">
        <v>15</v>
      </c>
      <c r="R313" s="5">
        <v>850</v>
      </c>
      <c r="S313" s="5" t="s">
        <v>39</v>
      </c>
      <c r="T313" s="5" t="s">
        <v>15</v>
      </c>
      <c r="U313" s="5">
        <v>6</v>
      </c>
      <c r="V313" s="5">
        <v>0.6</v>
      </c>
      <c r="W313" s="5" t="s">
        <v>15</v>
      </c>
      <c r="X313" s="5" t="s">
        <v>161</v>
      </c>
      <c r="Y313" s="5" t="s">
        <v>310</v>
      </c>
      <c r="Z313" s="5" t="s">
        <v>15</v>
      </c>
      <c r="AA313" s="5" t="s">
        <v>15</v>
      </c>
      <c r="AB313" s="5" t="s">
        <v>65</v>
      </c>
      <c r="AC313" s="5">
        <v>0</v>
      </c>
      <c r="AD313" s="5">
        <v>40.4</v>
      </c>
      <c r="AE313" s="5">
        <v>24.1</v>
      </c>
      <c r="AF313" s="5">
        <v>21.7</v>
      </c>
      <c r="AG313" s="5">
        <v>12.2</v>
      </c>
      <c r="AH313" s="5">
        <v>1.7</v>
      </c>
      <c r="AI313" s="5">
        <f>(AD313*Calculations!$B$23+AE313*Calculations!$B$21+AG313*Calculations!$B$22+AH313*Calculations!$B$24)/100</f>
        <v>12.789380000000001</v>
      </c>
      <c r="AJ313" s="5" t="s">
        <v>15</v>
      </c>
      <c r="AK313" s="5">
        <v>0.74441788851883106</v>
      </c>
      <c r="AL313" s="5">
        <v>219</v>
      </c>
      <c r="AM313" s="5">
        <f t="shared" si="173"/>
        <v>58.470607178470814</v>
      </c>
      <c r="AN313" s="5">
        <f>100*(AK313/F313)*(AE313*Calculations!$B$5*Calculations!$B$9+AF313*Calculations!$B$6*Calculations!$B$10+AG313*Calculations!$B$7*Calculations!$B$11)</f>
        <v>45.472869102402363</v>
      </c>
      <c r="AO313" s="6" t="s">
        <v>311</v>
      </c>
      <c r="AP313" s="6" t="s">
        <v>308</v>
      </c>
    </row>
    <row r="314" spans="1:42" ht="14.5" thickBot="1" x14ac:dyDescent="0.35">
      <c r="A314" s="6">
        <v>311</v>
      </c>
      <c r="B314" s="3" t="s">
        <v>309</v>
      </c>
      <c r="C314" s="3" t="s">
        <v>159</v>
      </c>
      <c r="D314" s="3">
        <v>15</v>
      </c>
      <c r="E314" s="5">
        <f>17.4-(9*((G314/100*((100+0)/100)))*Calculations!$B$16)</f>
        <v>16.282784999999997</v>
      </c>
      <c r="F314" s="5">
        <v>48.3</v>
      </c>
      <c r="G314" s="5">
        <v>5.5</v>
      </c>
      <c r="H314" s="5">
        <v>0.6</v>
      </c>
      <c r="I314" s="5">
        <v>0.01</v>
      </c>
      <c r="J314" s="5">
        <v>38.1</v>
      </c>
      <c r="K314" s="5">
        <v>7.5</v>
      </c>
      <c r="L314" s="5">
        <v>0</v>
      </c>
      <c r="M314" s="5">
        <v>71</v>
      </c>
      <c r="N314" s="5">
        <v>21.5</v>
      </c>
      <c r="O314" s="5" t="s">
        <v>15</v>
      </c>
      <c r="P314" s="5" t="s">
        <v>15</v>
      </c>
      <c r="Q314" s="5" t="s">
        <v>15</v>
      </c>
      <c r="R314" s="5">
        <v>850</v>
      </c>
      <c r="S314" s="5" t="s">
        <v>39</v>
      </c>
      <c r="T314" s="5" t="s">
        <v>15</v>
      </c>
      <c r="U314" s="5">
        <v>6</v>
      </c>
      <c r="V314" s="5">
        <v>0.7</v>
      </c>
      <c r="W314" s="5" t="s">
        <v>15</v>
      </c>
      <c r="X314" s="5" t="s">
        <v>161</v>
      </c>
      <c r="Y314" s="5" t="s">
        <v>310</v>
      </c>
      <c r="Z314" s="5" t="s">
        <v>15</v>
      </c>
      <c r="AA314" s="23" t="s">
        <v>15</v>
      </c>
      <c r="AB314" s="5" t="s">
        <v>65</v>
      </c>
      <c r="AC314" s="5">
        <v>0</v>
      </c>
      <c r="AD314" s="5">
        <v>39.4</v>
      </c>
      <c r="AE314" s="5">
        <v>23.5</v>
      </c>
      <c r="AF314" s="5">
        <v>23.1</v>
      </c>
      <c r="AG314" s="5">
        <v>11.3</v>
      </c>
      <c r="AH314" s="5">
        <v>2.7</v>
      </c>
      <c r="AI314" s="5">
        <f>(AD314*Calculations!$B$23+AE314*Calculations!$B$21+AG314*Calculations!$B$22+AH314*Calculations!$B$24)/100</f>
        <v>12.877375000000002</v>
      </c>
      <c r="AJ314" s="5" t="s">
        <v>15</v>
      </c>
      <c r="AK314" s="5">
        <v>0.71989446347165509</v>
      </c>
      <c r="AL314" s="5">
        <v>217</v>
      </c>
      <c r="AM314" s="5">
        <f t="shared" si="173"/>
        <v>56.933448218767907</v>
      </c>
      <c r="AN314" s="5">
        <f>100*(AK314/F314)*(AE314*Calculations!$B$5*Calculations!$B$9+AF314*Calculations!$B$6*Calculations!$B$10+AG314*Calculations!$B$7*Calculations!$B$11)</f>
        <v>44.003740710884188</v>
      </c>
      <c r="AO314" s="6" t="s">
        <v>311</v>
      </c>
      <c r="AP314" s="6" t="s">
        <v>308</v>
      </c>
    </row>
    <row r="315" spans="1:42" ht="14.5" thickBot="1" x14ac:dyDescent="0.35">
      <c r="A315" s="6">
        <v>312</v>
      </c>
      <c r="B315" s="3" t="s">
        <v>309</v>
      </c>
      <c r="C315" s="3" t="s">
        <v>159</v>
      </c>
      <c r="D315" s="3">
        <v>15</v>
      </c>
      <c r="E315" s="5">
        <f>17.4-(9*((G315/100*((100+0)/100)))*Calculations!$B$16)</f>
        <v>16.282784999999997</v>
      </c>
      <c r="F315" s="5">
        <v>48.3</v>
      </c>
      <c r="G315" s="5">
        <v>5.5</v>
      </c>
      <c r="H315" s="5">
        <v>0.6</v>
      </c>
      <c r="I315" s="5">
        <v>0.01</v>
      </c>
      <c r="J315" s="5">
        <v>38.1</v>
      </c>
      <c r="K315" s="5">
        <v>7.5</v>
      </c>
      <c r="L315" s="5">
        <v>0</v>
      </c>
      <c r="M315" s="5">
        <v>71</v>
      </c>
      <c r="N315" s="5">
        <v>21.5</v>
      </c>
      <c r="O315" s="5" t="s">
        <v>15</v>
      </c>
      <c r="P315" s="5" t="s">
        <v>15</v>
      </c>
      <c r="Q315" s="5" t="s">
        <v>15</v>
      </c>
      <c r="R315" s="5">
        <v>850</v>
      </c>
      <c r="S315" s="5" t="s">
        <v>39</v>
      </c>
      <c r="T315" s="5" t="s">
        <v>15</v>
      </c>
      <c r="U315" s="5">
        <v>6</v>
      </c>
      <c r="V315" s="5">
        <v>1</v>
      </c>
      <c r="W315" s="5" t="s">
        <v>15</v>
      </c>
      <c r="X315" s="5" t="s">
        <v>161</v>
      </c>
      <c r="Y315" s="5" t="s">
        <v>310</v>
      </c>
      <c r="Z315" s="5" t="s">
        <v>15</v>
      </c>
      <c r="AA315" s="5" t="s">
        <v>15</v>
      </c>
      <c r="AB315" s="5" t="s">
        <v>65</v>
      </c>
      <c r="AC315" s="5">
        <v>0</v>
      </c>
      <c r="AD315" s="24">
        <v>52.2</v>
      </c>
      <c r="AE315" s="24">
        <v>22.1</v>
      </c>
      <c r="AF315" s="24">
        <v>19.5</v>
      </c>
      <c r="AG315" s="24">
        <v>6</v>
      </c>
      <c r="AH315" s="24">
        <v>0.2</v>
      </c>
      <c r="AI315" s="5">
        <f>(AD315*Calculations!$B$23+AE315*Calculations!$B$21+AG315*Calculations!$B$22+AH315*Calculations!$B$24)/100</f>
        <v>10.692512999999998</v>
      </c>
      <c r="AJ315" s="5" t="s">
        <v>15</v>
      </c>
      <c r="AK315" s="5">
        <v>0.86276010359505939</v>
      </c>
      <c r="AL315" s="5">
        <v>212</v>
      </c>
      <c r="AM315" s="5">
        <f t="shared" si="173"/>
        <v>56.655379430309495</v>
      </c>
      <c r="AN315" s="5">
        <f>100*(AK315/F315)*(AE315*Calculations!$B$5*Calculations!$B$9+AF315*Calculations!$B$6*Calculations!$B$10+AG315*Calculations!$B$7*Calculations!$B$11)</f>
        <v>43.377235465798627</v>
      </c>
      <c r="AO315" s="6" t="s">
        <v>311</v>
      </c>
      <c r="AP315" s="6" t="s">
        <v>308</v>
      </c>
    </row>
    <row r="316" spans="1:42" x14ac:dyDescent="0.3">
      <c r="AC316" s="6"/>
      <c r="AD316" s="6"/>
    </row>
    <row r="317" spans="1:42" x14ac:dyDescent="0.3">
      <c r="AG317" s="6"/>
      <c r="AH317" s="6"/>
      <c r="AI317" s="6"/>
      <c r="AJ317" s="6"/>
      <c r="AK317" s="6"/>
      <c r="AL317" s="6"/>
      <c r="AM317" s="6"/>
      <c r="AN317" s="6"/>
    </row>
    <row r="318" spans="1:42" x14ac:dyDescent="0.3">
      <c r="AG318" s="6"/>
      <c r="AH318" s="6"/>
      <c r="AI318" s="6"/>
      <c r="AJ318" s="6"/>
      <c r="AK318" s="6"/>
      <c r="AL318" s="6"/>
      <c r="AM318" s="6"/>
      <c r="AN318" s="6"/>
    </row>
    <row r="319" spans="1:42" x14ac:dyDescent="0.3">
      <c r="AF319" s="6"/>
      <c r="AG319" s="6"/>
      <c r="AH319" s="6"/>
      <c r="AI319" s="6"/>
      <c r="AJ319" s="6"/>
      <c r="AK319" s="6"/>
      <c r="AL319" s="6"/>
      <c r="AM319" s="6"/>
      <c r="AN319" s="6"/>
    </row>
    <row r="320" spans="1:42" x14ac:dyDescent="0.3">
      <c r="AF320" s="6"/>
      <c r="AG320" s="6"/>
      <c r="AH320" s="6"/>
      <c r="AI320" s="6"/>
      <c r="AJ320" s="6"/>
      <c r="AK320" s="6"/>
      <c r="AL320" s="6"/>
      <c r="AM320" s="6"/>
      <c r="AN320" s="6"/>
    </row>
    <row r="321" spans="32:40" x14ac:dyDescent="0.3">
      <c r="AF321" s="6"/>
      <c r="AG321" s="6"/>
      <c r="AH321" s="6"/>
      <c r="AI321" s="6"/>
      <c r="AJ321" s="6"/>
      <c r="AK321" s="6"/>
      <c r="AL321" s="6"/>
      <c r="AM321" s="6"/>
      <c r="AN321" s="6"/>
    </row>
    <row r="322" spans="32:40" x14ac:dyDescent="0.3">
      <c r="AF322" s="6"/>
      <c r="AG322" s="6"/>
      <c r="AH322" s="6"/>
      <c r="AI322" s="6"/>
      <c r="AJ322" s="6"/>
      <c r="AK322" s="6"/>
      <c r="AL322" s="6"/>
      <c r="AM322" s="6"/>
      <c r="AN322" s="6"/>
    </row>
    <row r="323" spans="32:40" x14ac:dyDescent="0.3">
      <c r="AF323" s="6"/>
      <c r="AG323" s="6"/>
      <c r="AH323" s="6"/>
      <c r="AI323" s="6"/>
      <c r="AJ323" s="6"/>
      <c r="AK323" s="6"/>
      <c r="AL323" s="6"/>
      <c r="AM323" s="6"/>
      <c r="AN323" s="6"/>
    </row>
    <row r="324" spans="32:40" x14ac:dyDescent="0.3">
      <c r="AF324" s="6"/>
      <c r="AG324" s="6"/>
      <c r="AH324" s="6"/>
      <c r="AI324" s="6"/>
      <c r="AJ324" s="6"/>
      <c r="AK324" s="6"/>
      <c r="AL324" s="6"/>
      <c r="AM324" s="6"/>
      <c r="AN324" s="6"/>
    </row>
    <row r="325" spans="32:40" x14ac:dyDescent="0.3">
      <c r="AF325" s="6"/>
      <c r="AG325" s="5"/>
      <c r="AH325" s="5"/>
      <c r="AI325" s="5"/>
    </row>
    <row r="327" spans="32:40" x14ac:dyDescent="0.3">
      <c r="AG327" s="5"/>
      <c r="AH327" s="5"/>
      <c r="AI327" s="5"/>
    </row>
  </sheetData>
  <autoFilter ref="A3:AP315" xr:uid="{EE52BC31-4DF7-43A3-8B2D-03BFED1D0E52}"/>
  <mergeCells count="12">
    <mergeCell ref="AO1:AP1"/>
    <mergeCell ref="B1:AB1"/>
    <mergeCell ref="AC1:AN1"/>
    <mergeCell ref="AO2:AP2"/>
    <mergeCell ref="A1:A3"/>
    <mergeCell ref="O2:Q2"/>
    <mergeCell ref="AK2:AN2"/>
    <mergeCell ref="AC2:AJ2"/>
    <mergeCell ref="R2:AB2"/>
    <mergeCell ref="B2:E2"/>
    <mergeCell ref="F2:J2"/>
    <mergeCell ref="K2:N2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6AAD-B06A-4916-8887-FCB6225018DA}">
  <dimension ref="A1:AT372"/>
  <sheetViews>
    <sheetView zoomScale="40" zoomScaleNormal="40" workbookViewId="0">
      <selection activeCell="T337" sqref="T337"/>
    </sheetView>
  </sheetViews>
  <sheetFormatPr defaultRowHeight="14" x14ac:dyDescent="0.3"/>
  <sheetData>
    <row r="1" spans="1:46" x14ac:dyDescent="0.3">
      <c r="A1" t="s">
        <v>325</v>
      </c>
    </row>
    <row r="2" spans="1:46" x14ac:dyDescent="0.3">
      <c r="A2" s="16" t="str">
        <f>'Clean Data'!A1</f>
        <v>ID</v>
      </c>
      <c r="B2" s="16" t="str">
        <f>'Clean Data'!B1</f>
        <v>feed_type</v>
      </c>
      <c r="C2" s="16" t="str">
        <f>'Clean Data'!C1</f>
        <v>feed_shape</v>
      </c>
      <c r="D2" s="16" t="str">
        <f>'Clean Data'!D1</f>
        <v>feed_particle_size</v>
      </c>
      <c r="E2" s="16" t="str">
        <f>'Clean Data'!E1</f>
        <v>feed_LHV</v>
      </c>
      <c r="F2" s="16" t="str">
        <f>'Clean Data'!F1</f>
        <v>C</v>
      </c>
      <c r="G2" s="16" t="str">
        <f>'Clean Data'!G1</f>
        <v>H</v>
      </c>
      <c r="H2" s="16" t="str">
        <f>'Clean Data'!H1</f>
        <v>N</v>
      </c>
      <c r="I2" s="16" t="str">
        <f>'Clean Data'!I1</f>
        <v>S</v>
      </c>
      <c r="J2" s="16" t="str">
        <f>'Clean Data'!J1</f>
        <v>O</v>
      </c>
      <c r="K2" s="16" t="str">
        <f>'Clean Data'!K1</f>
        <v>feed_ash</v>
      </c>
      <c r="L2" s="16" t="str">
        <f>'Clean Data'!L1</f>
        <v>feed_moisture</v>
      </c>
      <c r="M2" s="16" t="str">
        <f>'Clean Data'!M1</f>
        <v>feed_VM</v>
      </c>
      <c r="N2" s="16" t="str">
        <f>'Clean Data'!N1</f>
        <v>feed_FC</v>
      </c>
      <c r="O2" s="16" t="str">
        <f>'Clean Data'!O1</f>
        <v>feed_cellulose</v>
      </c>
      <c r="P2" s="16" t="str">
        <f>'Clean Data'!P1</f>
        <v>feed_hemicellulose</v>
      </c>
      <c r="Q2" s="16" t="str">
        <f>'Clean Data'!Q1</f>
        <v>feed_lignin</v>
      </c>
      <c r="R2" s="16" t="str">
        <f>'Clean Data'!R1</f>
        <v>temperature</v>
      </c>
      <c r="S2" s="16" t="str">
        <f>'Clean Data'!S1</f>
        <v>operating_condition</v>
      </c>
      <c r="T2" s="16" t="str">
        <f>'Clean Data'!T1</f>
        <v>operating_pressure</v>
      </c>
      <c r="U2" s="16" t="str">
        <f>'Clean Data'!U1</f>
        <v>residence_time</v>
      </c>
      <c r="V2" s="16" t="str">
        <f>'Clean Data'!V1</f>
        <v>steam_biomass_ratio</v>
      </c>
      <c r="W2" s="16" t="str">
        <f>'Clean Data'!W1</f>
        <v>ER</v>
      </c>
      <c r="X2" s="16" t="str">
        <f>'Clean Data'!X1</f>
        <v>gasifying_agent</v>
      </c>
      <c r="Y2" s="16" t="str">
        <f>'Clean Data'!Y1</f>
        <v>reactor_type</v>
      </c>
      <c r="Z2" s="16" t="str">
        <f>'Clean Data'!Z1</f>
        <v>bed_material</v>
      </c>
      <c r="AA2" s="16" t="str">
        <f>'Clean Data'!AA1</f>
        <v>catalyst</v>
      </c>
      <c r="AB2" s="16" t="str">
        <f>'Clean Data'!AB1</f>
        <v>scale</v>
      </c>
      <c r="AC2" s="16" t="str">
        <f>'Clean Data'!AC1</f>
        <v>N2</v>
      </c>
      <c r="AD2" s="16" t="str">
        <f>'Clean Data'!AD1</f>
        <v>H2</v>
      </c>
      <c r="AE2" s="16" t="str">
        <f>'Clean Data'!AE1</f>
        <v>CO</v>
      </c>
      <c r="AF2" s="16" t="str">
        <f>'Clean Data'!AF1</f>
        <v>CO2</v>
      </c>
      <c r="AG2" s="16" t="str">
        <f>'Clean Data'!AG1</f>
        <v>CH4</v>
      </c>
      <c r="AH2" s="16" t="str">
        <f>'Clean Data'!AH1</f>
        <v>C2Hn</v>
      </c>
      <c r="AI2" s="16" t="str">
        <f>'Clean Data'!AI1</f>
        <v>gas_LHV</v>
      </c>
      <c r="AJ2" s="16" t="str">
        <f>'Clean Data'!AJ1</f>
        <v>gas_tar</v>
      </c>
      <c r="AK2" s="16" t="str">
        <f>'Clean Data'!AK1</f>
        <v>gas_yield</v>
      </c>
      <c r="AL2" s="16" t="str">
        <f>'Clean Data'!AL1</f>
        <v>char_yield</v>
      </c>
      <c r="AM2" s="16" t="str">
        <f>'Clean Data'!AM1</f>
        <v>CGE</v>
      </c>
      <c r="AN2" s="16" t="str">
        <f>'Clean Data'!AN1</f>
        <v>CCE</v>
      </c>
      <c r="AO2" s="16" t="str">
        <f>'Clean Data'!AO1</f>
        <v>Reference</v>
      </c>
      <c r="AP2" s="16"/>
      <c r="AQ2" s="16"/>
      <c r="AR2" s="16"/>
      <c r="AS2" s="16"/>
      <c r="AT2" s="16"/>
    </row>
    <row r="3" spans="1:46" x14ac:dyDescent="0.3">
      <c r="A3" s="16">
        <f>'Clean Data'!A2</f>
        <v>1</v>
      </c>
      <c r="B3" s="16" t="str">
        <f>'Clean Data'!B2</f>
        <v>municipal solid waste</v>
      </c>
      <c r="C3" s="16" t="str">
        <f>'Clean Data'!C2</f>
        <v>pellets</v>
      </c>
      <c r="D3" s="16">
        <f>'Clean Data'!D2</f>
        <v>5</v>
      </c>
      <c r="E3" s="16">
        <f>'Clean Data'!E2</f>
        <v>19.450000000000003</v>
      </c>
      <c r="F3" s="16">
        <f>'Clean Data'!F2</f>
        <v>59.392196990063809</v>
      </c>
      <c r="G3" s="16">
        <f>'Clean Data'!G2</f>
        <v>8.5727767017990502</v>
      </c>
      <c r="H3" s="16">
        <f>'Clean Data'!H2</f>
        <v>0.93271810515573661</v>
      </c>
      <c r="I3" s="16">
        <f>'Clean Data'!I2</f>
        <v>0.2743288544575696</v>
      </c>
      <c r="J3" s="16">
        <f>'Clean Data'!J2</f>
        <v>32.302222612378813</v>
      </c>
      <c r="K3" s="16">
        <f>'Clean Data'!K2</f>
        <v>20.694800000000001</v>
      </c>
      <c r="L3" s="16">
        <f>'Clean Data'!L2</f>
        <v>6.4</v>
      </c>
      <c r="M3" s="16" t="str">
        <f>'Clean Data'!M2</f>
        <v>NaN</v>
      </c>
      <c r="N3" s="16" t="str">
        <f>'Clean Data'!N2</f>
        <v>NaN</v>
      </c>
      <c r="O3" s="16" t="str">
        <f>'Clean Data'!O2</f>
        <v>NaN</v>
      </c>
      <c r="P3" s="16" t="str">
        <f>'Clean Data'!P2</f>
        <v>NaN</v>
      </c>
      <c r="Q3" s="16" t="str">
        <f>'Clean Data'!Q2</f>
        <v>NaN</v>
      </c>
      <c r="R3" s="16">
        <f>'Clean Data'!R2</f>
        <v>849</v>
      </c>
      <c r="S3" s="16" t="str">
        <f>'Clean Data'!S2</f>
        <v>continuous</v>
      </c>
      <c r="T3" s="16" t="str">
        <f>'Clean Data'!T2</f>
        <v>NaN</v>
      </c>
      <c r="U3" s="16">
        <f>'Clean Data'!U2</f>
        <v>120</v>
      </c>
      <c r="V3" s="16" t="str">
        <f>'Clean Data'!V2</f>
        <v>NaN</v>
      </c>
      <c r="W3" s="16">
        <f>'Clean Data'!W2</f>
        <v>0.25600000000000001</v>
      </c>
      <c r="X3" s="16" t="str">
        <f>'Clean Data'!X2</f>
        <v>air</v>
      </c>
      <c r="Y3" s="16" t="str">
        <f>'Clean Data'!Y2</f>
        <v>fluidised bed</v>
      </c>
      <c r="Z3" s="16" t="str">
        <f>'Clean Data'!Z2</f>
        <v>olivine</v>
      </c>
      <c r="AA3" s="16">
        <f>'Clean Data'!AA2</f>
        <v>1</v>
      </c>
      <c r="AB3" s="16" t="str">
        <f>'Clean Data'!AB2</f>
        <v>pilot</v>
      </c>
      <c r="AC3" s="16">
        <f>'Clean Data'!AC2</f>
        <v>61.77</v>
      </c>
      <c r="AD3" s="16">
        <f>'Clean Data'!AD2</f>
        <v>8.48</v>
      </c>
      <c r="AE3" s="16">
        <f>'Clean Data'!AE2</f>
        <v>9.74</v>
      </c>
      <c r="AF3" s="16">
        <f>'Clean Data'!AF2</f>
        <v>13.36</v>
      </c>
      <c r="AG3" s="16">
        <f>'Clean Data'!AG2</f>
        <v>4.18</v>
      </c>
      <c r="AH3" s="16">
        <f>'Clean Data'!AH2</f>
        <v>2.19</v>
      </c>
      <c r="AI3" s="16">
        <f>'Clean Data'!AI2</f>
        <v>5.39</v>
      </c>
      <c r="AJ3" s="16">
        <f>'Clean Data'!AJ2</f>
        <v>73</v>
      </c>
      <c r="AK3" s="16">
        <f>'Clean Data'!AK2</f>
        <v>1.62</v>
      </c>
      <c r="AL3" s="16" t="str">
        <f>'Clean Data'!AL2</f>
        <v>NaN</v>
      </c>
      <c r="AM3" s="16">
        <f>'Clean Data'!AM2</f>
        <v>53</v>
      </c>
      <c r="AN3" s="16">
        <f>'Clean Data'!AN2</f>
        <v>70</v>
      </c>
      <c r="AO3" s="16" t="str">
        <f>'Clean Data'!AO2</f>
        <v>Arena, Fuel 2014, 117, 528-536</v>
      </c>
      <c r="AP3" s="16"/>
      <c r="AQ3" s="16"/>
      <c r="AR3" s="16"/>
      <c r="AS3" s="16"/>
      <c r="AT3" s="16"/>
    </row>
    <row r="4" spans="1:46" x14ac:dyDescent="0.3">
      <c r="A4" s="16">
        <f>'Clean Data'!A3</f>
        <v>2</v>
      </c>
      <c r="B4" s="16" t="str">
        <f>'Clean Data'!B3</f>
        <v>municipal solid waste</v>
      </c>
      <c r="C4" s="16" t="str">
        <f>'Clean Data'!C3</f>
        <v>pellets</v>
      </c>
      <c r="D4" s="16">
        <f>'Clean Data'!D3</f>
        <v>5</v>
      </c>
      <c r="E4" s="16">
        <f>'Clean Data'!E3</f>
        <v>19.450000000000003</v>
      </c>
      <c r="F4" s="16">
        <f>'Clean Data'!F3</f>
        <v>59.392196990063809</v>
      </c>
      <c r="G4" s="16">
        <f>'Clean Data'!G3</f>
        <v>8.5727767017990502</v>
      </c>
      <c r="H4" s="16">
        <f>'Clean Data'!H3</f>
        <v>0.93271810515573661</v>
      </c>
      <c r="I4" s="16">
        <f>'Clean Data'!I3</f>
        <v>0.2743288544575696</v>
      </c>
      <c r="J4" s="16">
        <f>'Clean Data'!J3</f>
        <v>32.302222612378813</v>
      </c>
      <c r="K4" s="16">
        <f>'Clean Data'!K3</f>
        <v>20.694800000000001</v>
      </c>
      <c r="L4" s="16">
        <f>'Clean Data'!L3</f>
        <v>6.4</v>
      </c>
      <c r="M4" s="16" t="str">
        <f>'Clean Data'!M3</f>
        <v>NaN</v>
      </c>
      <c r="N4" s="16" t="str">
        <f>'Clean Data'!N3</f>
        <v>NaN</v>
      </c>
      <c r="O4" s="16" t="str">
        <f>'Clean Data'!O3</f>
        <v>NaN</v>
      </c>
      <c r="P4" s="16" t="str">
        <f>'Clean Data'!P3</f>
        <v>NaN</v>
      </c>
      <c r="Q4" s="16" t="str">
        <f>'Clean Data'!Q3</f>
        <v>NaN</v>
      </c>
      <c r="R4" s="16">
        <f>'Clean Data'!R3</f>
        <v>852</v>
      </c>
      <c r="S4" s="16" t="str">
        <f>'Clean Data'!S3</f>
        <v>continuous</v>
      </c>
      <c r="T4" s="16" t="str">
        <f>'Clean Data'!T3</f>
        <v>NaN</v>
      </c>
      <c r="U4" s="16">
        <f>'Clean Data'!U3</f>
        <v>120</v>
      </c>
      <c r="V4" s="16" t="str">
        <f>'Clean Data'!V3</f>
        <v>NaN</v>
      </c>
      <c r="W4" s="16">
        <f>'Clean Data'!W3</f>
        <v>0.255</v>
      </c>
      <c r="X4" s="16" t="str">
        <f>'Clean Data'!X3</f>
        <v>air</v>
      </c>
      <c r="Y4" s="16" t="str">
        <f>'Clean Data'!Y3</f>
        <v>fluidised bed</v>
      </c>
      <c r="Z4" s="16" t="str">
        <f>'Clean Data'!Z3</f>
        <v>olivine</v>
      </c>
      <c r="AA4" s="16">
        <f>'Clean Data'!AA3</f>
        <v>1</v>
      </c>
      <c r="AB4" s="16" t="str">
        <f>'Clean Data'!AB3</f>
        <v>pilot</v>
      </c>
      <c r="AC4" s="16">
        <f>'Clean Data'!AC3</f>
        <v>60.64</v>
      </c>
      <c r="AD4" s="16">
        <f>'Clean Data'!AD3</f>
        <v>7.11</v>
      </c>
      <c r="AE4" s="16">
        <f>'Clean Data'!AE3</f>
        <v>8.98</v>
      </c>
      <c r="AF4" s="16">
        <f>'Clean Data'!AF3</f>
        <v>15.69</v>
      </c>
      <c r="AG4" s="16">
        <f>'Clean Data'!AG3</f>
        <v>4.2</v>
      </c>
      <c r="AH4" s="16">
        <f>'Clean Data'!AH3</f>
        <v>2.72</v>
      </c>
      <c r="AI4" s="16">
        <f>'Clean Data'!AI3</f>
        <v>5.6520000000000001</v>
      </c>
      <c r="AJ4" s="16">
        <f>'Clean Data'!AJ3</f>
        <v>47</v>
      </c>
      <c r="AK4" s="16">
        <f>'Clean Data'!AK3</f>
        <v>1.73</v>
      </c>
      <c r="AL4" s="16" t="str">
        <f>'Clean Data'!AL3</f>
        <v>NaN</v>
      </c>
      <c r="AM4" s="16">
        <f>'Clean Data'!AM3</f>
        <v>56.000000000000007</v>
      </c>
      <c r="AN4" s="16">
        <f>'Clean Data'!AN3</f>
        <v>80</v>
      </c>
      <c r="AO4" s="16" t="str">
        <f>'Clean Data'!AO3</f>
        <v>Arena, Fuel 2014, 117, 528-536</v>
      </c>
      <c r="AP4" s="16"/>
      <c r="AQ4" s="16"/>
      <c r="AR4" s="16"/>
      <c r="AS4" s="16"/>
      <c r="AT4" s="16"/>
    </row>
    <row r="5" spans="1:46" x14ac:dyDescent="0.3">
      <c r="A5" s="16">
        <f>'Clean Data'!A4</f>
        <v>3</v>
      </c>
      <c r="B5" s="16" t="str">
        <f>'Clean Data'!B4</f>
        <v>municipal solid waste</v>
      </c>
      <c r="C5" s="16" t="str">
        <f>'Clean Data'!C4</f>
        <v>pellets</v>
      </c>
      <c r="D5" s="16">
        <f>'Clean Data'!D4</f>
        <v>5</v>
      </c>
      <c r="E5" s="16">
        <f>'Clean Data'!E4</f>
        <v>19.450000000000003</v>
      </c>
      <c r="F5" s="16">
        <f>'Clean Data'!F4</f>
        <v>59.392196990063809</v>
      </c>
      <c r="G5" s="16">
        <f>'Clean Data'!G4</f>
        <v>8.5727767017990502</v>
      </c>
      <c r="H5" s="16">
        <f>'Clean Data'!H4</f>
        <v>0.93271810515573661</v>
      </c>
      <c r="I5" s="16">
        <f>'Clean Data'!I4</f>
        <v>0.2743288544575696</v>
      </c>
      <c r="J5" s="16">
        <f>'Clean Data'!J4</f>
        <v>32.302222612378813</v>
      </c>
      <c r="K5" s="16">
        <f>'Clean Data'!K4</f>
        <v>20.694800000000001</v>
      </c>
      <c r="L5" s="16">
        <f>'Clean Data'!L4</f>
        <v>6.4</v>
      </c>
      <c r="M5" s="16" t="str">
        <f>'Clean Data'!M4</f>
        <v>NaN</v>
      </c>
      <c r="N5" s="16" t="str">
        <f>'Clean Data'!N4</f>
        <v>NaN</v>
      </c>
      <c r="O5" s="16" t="str">
        <f>'Clean Data'!O4</f>
        <v>NaN</v>
      </c>
      <c r="P5" s="16" t="str">
        <f>'Clean Data'!P4</f>
        <v>NaN</v>
      </c>
      <c r="Q5" s="16" t="str">
        <f>'Clean Data'!Q4</f>
        <v>NaN</v>
      </c>
      <c r="R5" s="16">
        <f>'Clean Data'!R4</f>
        <v>869</v>
      </c>
      <c r="S5" s="16" t="str">
        <f>'Clean Data'!S4</f>
        <v>continuous</v>
      </c>
      <c r="T5" s="16" t="str">
        <f>'Clean Data'!T4</f>
        <v>NaN</v>
      </c>
      <c r="U5" s="16">
        <f>'Clean Data'!U4</f>
        <v>120</v>
      </c>
      <c r="V5" s="16" t="str">
        <f>'Clean Data'!V4</f>
        <v>NaN</v>
      </c>
      <c r="W5" s="16">
        <f>'Clean Data'!W4</f>
        <v>0.27200000000000002</v>
      </c>
      <c r="X5" s="16" t="str">
        <f>'Clean Data'!X4</f>
        <v>air</v>
      </c>
      <c r="Y5" s="16" t="str">
        <f>'Clean Data'!Y4</f>
        <v>fluidised bed</v>
      </c>
      <c r="Z5" s="16" t="str">
        <f>'Clean Data'!Z4</f>
        <v>olivine</v>
      </c>
      <c r="AA5" s="16">
        <f>'Clean Data'!AA4</f>
        <v>1</v>
      </c>
      <c r="AB5" s="16" t="str">
        <f>'Clean Data'!AB4</f>
        <v>pilot</v>
      </c>
      <c r="AC5" s="16">
        <f>'Clean Data'!AC4</f>
        <v>61.67</v>
      </c>
      <c r="AD5" s="16">
        <f>'Clean Data'!AD4</f>
        <v>8.44</v>
      </c>
      <c r="AE5" s="16">
        <f>'Clean Data'!AE4</f>
        <v>10.47</v>
      </c>
      <c r="AF5" s="16">
        <f>'Clean Data'!AF4</f>
        <v>12.28</v>
      </c>
      <c r="AG5" s="16">
        <f>'Clean Data'!AG4</f>
        <v>4.57</v>
      </c>
      <c r="AH5" s="16">
        <f>'Clean Data'!AH4</f>
        <v>2.14</v>
      </c>
      <c r="AI5" s="16">
        <f>'Clean Data'!AI4</f>
        <v>5.55</v>
      </c>
      <c r="AJ5" s="16">
        <f>'Clean Data'!AJ4</f>
        <v>58</v>
      </c>
      <c r="AK5" s="16">
        <f>'Clean Data'!AK4</f>
        <v>1.72</v>
      </c>
      <c r="AL5" s="16" t="str">
        <f>'Clean Data'!AL4</f>
        <v>NaN</v>
      </c>
      <c r="AM5" s="16">
        <f>'Clean Data'!AM4</f>
        <v>57.999999999999993</v>
      </c>
      <c r="AN5" s="16">
        <f>'Clean Data'!AN4</f>
        <v>75</v>
      </c>
      <c r="AO5" s="16" t="str">
        <f>'Clean Data'!AO4</f>
        <v>Arena, Fuel 2014, 117, 528-536</v>
      </c>
      <c r="AP5" s="16"/>
      <c r="AQ5" s="16"/>
      <c r="AR5" s="16"/>
      <c r="AS5" s="16"/>
      <c r="AT5" s="16"/>
    </row>
    <row r="6" spans="1:46" x14ac:dyDescent="0.3">
      <c r="A6" s="16">
        <f>'Clean Data'!A5</f>
        <v>4</v>
      </c>
      <c r="B6" s="16" t="str">
        <f>'Clean Data'!B5</f>
        <v>municipal solid waste</v>
      </c>
      <c r="C6" s="16" t="str">
        <f>'Clean Data'!C5</f>
        <v>pellets</v>
      </c>
      <c r="D6" s="16">
        <f>'Clean Data'!D5</f>
        <v>5</v>
      </c>
      <c r="E6" s="16">
        <f>'Clean Data'!E5</f>
        <v>19.450000000000003</v>
      </c>
      <c r="F6" s="16">
        <f>'Clean Data'!F5</f>
        <v>59.392196990063809</v>
      </c>
      <c r="G6" s="16">
        <f>'Clean Data'!G5</f>
        <v>8.5727767017990502</v>
      </c>
      <c r="H6" s="16">
        <f>'Clean Data'!H5</f>
        <v>0.93271810515573661</v>
      </c>
      <c r="I6" s="16">
        <f>'Clean Data'!I5</f>
        <v>0.2743288544575696</v>
      </c>
      <c r="J6" s="16">
        <f>'Clean Data'!J5</f>
        <v>32.302222612378813</v>
      </c>
      <c r="K6" s="16">
        <f>'Clean Data'!K5</f>
        <v>20.694800000000001</v>
      </c>
      <c r="L6" s="16">
        <f>'Clean Data'!L5</f>
        <v>6.4</v>
      </c>
      <c r="M6" s="16" t="str">
        <f>'Clean Data'!M5</f>
        <v>NaN</v>
      </c>
      <c r="N6" s="16" t="str">
        <f>'Clean Data'!N5</f>
        <v>NaN</v>
      </c>
      <c r="O6" s="16" t="str">
        <f>'Clean Data'!O5</f>
        <v>NaN</v>
      </c>
      <c r="P6" s="16" t="str">
        <f>'Clean Data'!P5</f>
        <v>NaN</v>
      </c>
      <c r="Q6" s="16" t="str">
        <f>'Clean Data'!Q5</f>
        <v>NaN</v>
      </c>
      <c r="R6" s="16">
        <f>'Clean Data'!R5</f>
        <v>879</v>
      </c>
      <c r="S6" s="16" t="str">
        <f>'Clean Data'!S5</f>
        <v>continuous</v>
      </c>
      <c r="T6" s="16" t="str">
        <f>'Clean Data'!T5</f>
        <v>NaN</v>
      </c>
      <c r="U6" s="16">
        <f>'Clean Data'!U5</f>
        <v>120</v>
      </c>
      <c r="V6" s="16" t="str">
        <f>'Clean Data'!V5</f>
        <v>NaN</v>
      </c>
      <c r="W6" s="16">
        <f>'Clean Data'!W5</f>
        <v>0.30199999999999999</v>
      </c>
      <c r="X6" s="16" t="str">
        <f>'Clean Data'!X5</f>
        <v>air</v>
      </c>
      <c r="Y6" s="16" t="str">
        <f>'Clean Data'!Y5</f>
        <v>fluidised bed</v>
      </c>
      <c r="Z6" s="16" t="str">
        <f>'Clean Data'!Z5</f>
        <v>olivine</v>
      </c>
      <c r="AA6" s="16">
        <f>'Clean Data'!AA5</f>
        <v>1</v>
      </c>
      <c r="AB6" s="16" t="str">
        <f>'Clean Data'!AB5</f>
        <v>pilot</v>
      </c>
      <c r="AC6" s="16">
        <f>'Clean Data'!AC5</f>
        <v>61.86</v>
      </c>
      <c r="AD6" s="16">
        <f>'Clean Data'!AD5</f>
        <v>8.24</v>
      </c>
      <c r="AE6" s="16">
        <f>'Clean Data'!AE5</f>
        <v>10.4</v>
      </c>
      <c r="AF6" s="16">
        <f>'Clean Data'!AF5</f>
        <v>12.83</v>
      </c>
      <c r="AG6" s="16">
        <f>'Clean Data'!AG5</f>
        <v>4.3499999999999996</v>
      </c>
      <c r="AH6" s="16">
        <f>'Clean Data'!AH5</f>
        <v>2.0499999999999998</v>
      </c>
      <c r="AI6" s="16">
        <f>'Clean Data'!AI5</f>
        <v>5.16</v>
      </c>
      <c r="AJ6" s="16">
        <f>'Clean Data'!AJ5</f>
        <v>39</v>
      </c>
      <c r="AK6" s="16">
        <f>'Clean Data'!AK5</f>
        <v>1.91</v>
      </c>
      <c r="AL6" s="16" t="str">
        <f>'Clean Data'!AL5</f>
        <v>NaN</v>
      </c>
      <c r="AM6" s="16">
        <f>'Clean Data'!AM5</f>
        <v>61</v>
      </c>
      <c r="AN6" s="16">
        <f>'Clean Data'!AN5</f>
        <v>81</v>
      </c>
      <c r="AO6" s="16" t="str">
        <f>'Clean Data'!AO5</f>
        <v>Arena, Fuel 2014, 117, 528-536</v>
      </c>
      <c r="AP6" s="16"/>
      <c r="AQ6" s="16"/>
      <c r="AR6" s="16"/>
      <c r="AS6" s="16"/>
      <c r="AT6" s="16"/>
    </row>
    <row r="7" spans="1:46" x14ac:dyDescent="0.3">
      <c r="A7" s="16">
        <f>'Clean Data'!A6</f>
        <v>5</v>
      </c>
      <c r="B7" s="16" t="str">
        <f>'Clean Data'!B6</f>
        <v>municipal solid waste</v>
      </c>
      <c r="C7" s="16" t="str">
        <f>'Clean Data'!C6</f>
        <v>pellets</v>
      </c>
      <c r="D7" s="16">
        <f>'Clean Data'!D6</f>
        <v>5</v>
      </c>
      <c r="E7" s="16">
        <f>'Clean Data'!E6</f>
        <v>19.450000000000003</v>
      </c>
      <c r="F7" s="16">
        <f>'Clean Data'!F6</f>
        <v>59.392196990063809</v>
      </c>
      <c r="G7" s="16">
        <f>'Clean Data'!G6</f>
        <v>8.5727767017990502</v>
      </c>
      <c r="H7" s="16">
        <f>'Clean Data'!H6</f>
        <v>0.93271810515573661</v>
      </c>
      <c r="I7" s="16">
        <f>'Clean Data'!I6</f>
        <v>0.2743288544575696</v>
      </c>
      <c r="J7" s="16">
        <f>'Clean Data'!J6</f>
        <v>32.302222612378813</v>
      </c>
      <c r="K7" s="16">
        <f>'Clean Data'!K6</f>
        <v>20.694800000000001</v>
      </c>
      <c r="L7" s="16">
        <f>'Clean Data'!L6</f>
        <v>6.4</v>
      </c>
      <c r="M7" s="16" t="str">
        <f>'Clean Data'!M6</f>
        <v>NaN</v>
      </c>
      <c r="N7" s="16" t="str">
        <f>'Clean Data'!N6</f>
        <v>NaN</v>
      </c>
      <c r="O7" s="16" t="str">
        <f>'Clean Data'!O6</f>
        <v>NaN</v>
      </c>
      <c r="P7" s="16" t="str">
        <f>'Clean Data'!P6</f>
        <v>NaN</v>
      </c>
      <c r="Q7" s="16" t="str">
        <f>'Clean Data'!Q6</f>
        <v>NaN</v>
      </c>
      <c r="R7" s="16">
        <f>'Clean Data'!R6</f>
        <v>898</v>
      </c>
      <c r="S7" s="16" t="str">
        <f>'Clean Data'!S6</f>
        <v>continuous</v>
      </c>
      <c r="T7" s="16" t="str">
        <f>'Clean Data'!T6</f>
        <v>NaN</v>
      </c>
      <c r="U7" s="16">
        <f>'Clean Data'!U6</f>
        <v>120</v>
      </c>
      <c r="V7" s="16" t="str">
        <f>'Clean Data'!V6</f>
        <v>NaN</v>
      </c>
      <c r="W7" s="16">
        <f>'Clean Data'!W6</f>
        <v>0.318</v>
      </c>
      <c r="X7" s="16" t="str">
        <f>'Clean Data'!X6</f>
        <v>air</v>
      </c>
      <c r="Y7" s="16" t="str">
        <f>'Clean Data'!Y6</f>
        <v>fluidised bed</v>
      </c>
      <c r="Z7" s="16" t="str">
        <f>'Clean Data'!Z6</f>
        <v>olivine</v>
      </c>
      <c r="AA7" s="16">
        <f>'Clean Data'!AA6</f>
        <v>1</v>
      </c>
      <c r="AB7" s="16" t="str">
        <f>'Clean Data'!AB6</f>
        <v>pilot</v>
      </c>
      <c r="AC7" s="16">
        <f>'Clean Data'!AC6</f>
        <v>60.66</v>
      </c>
      <c r="AD7" s="16">
        <f>'Clean Data'!AD6</f>
        <v>7.08</v>
      </c>
      <c r="AE7" s="16">
        <f>'Clean Data'!AE6</f>
        <v>12.73</v>
      </c>
      <c r="AF7" s="16">
        <f>'Clean Data'!AF6</f>
        <v>14.04</v>
      </c>
      <c r="AG7" s="16">
        <f>'Clean Data'!AG6</f>
        <v>3.33</v>
      </c>
      <c r="AH7" s="16">
        <f>'Clean Data'!AH6</f>
        <v>1.78</v>
      </c>
      <c r="AI7" s="16">
        <f>'Clean Data'!AI6</f>
        <v>4.91</v>
      </c>
      <c r="AJ7" s="16">
        <f>'Clean Data'!AJ6</f>
        <v>5</v>
      </c>
      <c r="AK7" s="16">
        <f>'Clean Data'!AK6</f>
        <v>2.04</v>
      </c>
      <c r="AL7" s="16" t="str">
        <f>'Clean Data'!AL6</f>
        <v>NaN</v>
      </c>
      <c r="AM7" s="16">
        <f>'Clean Data'!AM6</f>
        <v>61</v>
      </c>
      <c r="AN7" s="16">
        <f>'Clean Data'!AN6</f>
        <v>92</v>
      </c>
      <c r="AO7" s="16" t="str">
        <f>'Clean Data'!AO6</f>
        <v>Arena, Fuel 2014, 117, 528-536</v>
      </c>
      <c r="AP7" s="16"/>
      <c r="AQ7" s="16"/>
      <c r="AR7" s="16"/>
      <c r="AS7" s="16"/>
      <c r="AT7" s="16"/>
    </row>
    <row r="8" spans="1:46" x14ac:dyDescent="0.3">
      <c r="A8" s="16">
        <f>'Clean Data'!A7</f>
        <v>6</v>
      </c>
      <c r="B8" s="16" t="str">
        <f>'Clean Data'!B7</f>
        <v>municipal solid waste</v>
      </c>
      <c r="C8" s="16" t="str">
        <f>'Clean Data'!C7</f>
        <v>pellets</v>
      </c>
      <c r="D8" s="16">
        <f>'Clean Data'!D7</f>
        <v>5</v>
      </c>
      <c r="E8" s="16">
        <f>'Clean Data'!E7</f>
        <v>19.450000000000003</v>
      </c>
      <c r="F8" s="16">
        <f>'Clean Data'!F7</f>
        <v>59.392196990063809</v>
      </c>
      <c r="G8" s="16">
        <f>'Clean Data'!G7</f>
        <v>8.5727767017990502</v>
      </c>
      <c r="H8" s="16">
        <f>'Clean Data'!H7</f>
        <v>0.93271810515573661</v>
      </c>
      <c r="I8" s="16">
        <f>'Clean Data'!I7</f>
        <v>0.2743288544575696</v>
      </c>
      <c r="J8" s="16">
        <f>'Clean Data'!J7</f>
        <v>32.302222612378813</v>
      </c>
      <c r="K8" s="16">
        <f>'Clean Data'!K7</f>
        <v>20.694800000000001</v>
      </c>
      <c r="L8" s="16">
        <f>'Clean Data'!L7</f>
        <v>6.4</v>
      </c>
      <c r="M8" s="16" t="str">
        <f>'Clean Data'!M7</f>
        <v>NaN</v>
      </c>
      <c r="N8" s="16" t="str">
        <f>'Clean Data'!N7</f>
        <v>NaN</v>
      </c>
      <c r="O8" s="16" t="str">
        <f>'Clean Data'!O7</f>
        <v>NaN</v>
      </c>
      <c r="P8" s="16" t="str">
        <f>'Clean Data'!P7</f>
        <v>NaN</v>
      </c>
      <c r="Q8" s="16" t="str">
        <f>'Clean Data'!Q7</f>
        <v>NaN</v>
      </c>
      <c r="R8" s="16">
        <f>'Clean Data'!R7</f>
        <v>932</v>
      </c>
      <c r="S8" s="16" t="str">
        <f>'Clean Data'!S7</f>
        <v>continuous</v>
      </c>
      <c r="T8" s="16" t="str">
        <f>'Clean Data'!T7</f>
        <v>NaN</v>
      </c>
      <c r="U8" s="16">
        <f>'Clean Data'!U7</f>
        <v>120</v>
      </c>
      <c r="V8" s="16" t="str">
        <f>'Clean Data'!V7</f>
        <v>NaN</v>
      </c>
      <c r="W8" s="16">
        <f>'Clean Data'!W7</f>
        <v>0.33200000000000002</v>
      </c>
      <c r="X8" s="16" t="str">
        <f>'Clean Data'!X7</f>
        <v>air</v>
      </c>
      <c r="Y8" s="16" t="str">
        <f>'Clean Data'!Y7</f>
        <v>fluidised bed</v>
      </c>
      <c r="Z8" s="16" t="str">
        <f>'Clean Data'!Z7</f>
        <v>olivine</v>
      </c>
      <c r="AA8" s="16">
        <f>'Clean Data'!AA7</f>
        <v>1</v>
      </c>
      <c r="AB8" s="16" t="str">
        <f>'Clean Data'!AB7</f>
        <v>pilot</v>
      </c>
      <c r="AC8" s="16">
        <f>'Clean Data'!AC7</f>
        <v>64.61</v>
      </c>
      <c r="AD8" s="16">
        <f>'Clean Data'!AD7</f>
        <v>7.68</v>
      </c>
      <c r="AE8" s="16">
        <f>'Clean Data'!AE7</f>
        <v>10.58</v>
      </c>
      <c r="AF8" s="16">
        <f>'Clean Data'!AF7</f>
        <v>11.66</v>
      </c>
      <c r="AG8" s="16">
        <f>'Clean Data'!AG7</f>
        <v>3.78</v>
      </c>
      <c r="AH8" s="16">
        <f>'Clean Data'!AH7</f>
        <v>1.27</v>
      </c>
      <c r="AI8" s="16">
        <f>'Clean Data'!AI7</f>
        <v>4.6900000000000004</v>
      </c>
      <c r="AJ8" s="16">
        <f>'Clean Data'!AJ7</f>
        <v>42</v>
      </c>
      <c r="AK8" s="16">
        <f>'Clean Data'!AK7</f>
        <v>2</v>
      </c>
      <c r="AL8" s="16" t="str">
        <f>'Clean Data'!AL7</f>
        <v>NaN</v>
      </c>
      <c r="AM8" s="16">
        <f>'Clean Data'!AM7</f>
        <v>56.999999999999993</v>
      </c>
      <c r="AN8" s="16">
        <f>'Clean Data'!AN7</f>
        <v>79</v>
      </c>
      <c r="AO8" s="16" t="str">
        <f>'Clean Data'!AO7</f>
        <v>Arena, Fuel 2014, 117, 528-536</v>
      </c>
      <c r="AP8" s="16"/>
      <c r="AQ8" s="16"/>
      <c r="AR8" s="16"/>
      <c r="AS8" s="16"/>
      <c r="AT8" s="16"/>
    </row>
    <row r="9" spans="1:46" x14ac:dyDescent="0.3">
      <c r="A9" s="16">
        <f>'Clean Data'!A8</f>
        <v>7</v>
      </c>
      <c r="B9" s="16" t="str">
        <f>'Clean Data'!B8</f>
        <v>plastics</v>
      </c>
      <c r="C9" s="16" t="str">
        <f>'Clean Data'!C8</f>
        <v>pellets</v>
      </c>
      <c r="D9" s="16">
        <f>'Clean Data'!D8</f>
        <v>2</v>
      </c>
      <c r="E9" s="16">
        <f>'Clean Data'!E8</f>
        <v>42.9</v>
      </c>
      <c r="F9" s="16">
        <f>'Clean Data'!F8</f>
        <v>86.034130245551538</v>
      </c>
      <c r="G9" s="16">
        <f>'Clean Data'!G8</f>
        <v>13.967894086924838</v>
      </c>
      <c r="H9" s="16">
        <f>'Clean Data'!H8</f>
        <v>0</v>
      </c>
      <c r="I9" s="16">
        <f>'Clean Data'!I8</f>
        <v>0</v>
      </c>
      <c r="J9" s="16">
        <f>'Clean Data'!J8</f>
        <v>0</v>
      </c>
      <c r="K9" s="16">
        <f>'Clean Data'!K8</f>
        <v>1.002</v>
      </c>
      <c r="L9" s="16">
        <f>'Clean Data'!L8</f>
        <v>0.2</v>
      </c>
      <c r="M9" s="16" t="str">
        <f>'Clean Data'!M8</f>
        <v>NaN</v>
      </c>
      <c r="N9" s="16" t="str">
        <f>'Clean Data'!N8</f>
        <v>NaN</v>
      </c>
      <c r="O9" s="16" t="str">
        <f>'Clean Data'!O8</f>
        <v>NaN</v>
      </c>
      <c r="P9" s="16" t="str">
        <f>'Clean Data'!P8</f>
        <v>NaN</v>
      </c>
      <c r="Q9" s="16" t="str">
        <f>'Clean Data'!Q8</f>
        <v>NaN</v>
      </c>
      <c r="R9" s="16">
        <f>'Clean Data'!R8</f>
        <v>867</v>
      </c>
      <c r="S9" s="16" t="str">
        <f>'Clean Data'!S8</f>
        <v>continuous</v>
      </c>
      <c r="T9" s="16" t="str">
        <f>'Clean Data'!T8</f>
        <v>NaN</v>
      </c>
      <c r="U9" s="16" t="str">
        <f>'Clean Data'!U8</f>
        <v>NaN</v>
      </c>
      <c r="V9" s="16" t="str">
        <f>'Clean Data'!V8</f>
        <v>NaN</v>
      </c>
      <c r="W9" s="16">
        <f>'Clean Data'!W8</f>
        <v>0.22</v>
      </c>
      <c r="X9" s="16" t="str">
        <f>'Clean Data'!X8</f>
        <v>air</v>
      </c>
      <c r="Y9" s="16" t="str">
        <f>'Clean Data'!Y8</f>
        <v>fluidised bed</v>
      </c>
      <c r="Z9" s="16" t="str">
        <f>'Clean Data'!Z8</f>
        <v>silica</v>
      </c>
      <c r="AA9" s="16">
        <f>'Clean Data'!AA8</f>
        <v>0</v>
      </c>
      <c r="AB9" s="16" t="str">
        <f>'Clean Data'!AB8</f>
        <v>pilot</v>
      </c>
      <c r="AC9" s="16">
        <f>'Clean Data'!AC8</f>
        <v>64.7</v>
      </c>
      <c r="AD9" s="16">
        <f>'Clean Data'!AD8</f>
        <v>9.5</v>
      </c>
      <c r="AE9" s="16">
        <f>'Clean Data'!AE8</f>
        <v>2.4</v>
      </c>
      <c r="AF9" s="16">
        <f>'Clean Data'!AF8</f>
        <v>9.6</v>
      </c>
      <c r="AG9" s="16">
        <f>'Clean Data'!AG8</f>
        <v>9.1</v>
      </c>
      <c r="AH9" s="16">
        <f>'Clean Data'!AH8</f>
        <v>4.7</v>
      </c>
      <c r="AI9" s="16">
        <f>'Clean Data'!AI8</f>
        <v>7.5</v>
      </c>
      <c r="AJ9" s="16">
        <f>'Clean Data'!AJ8</f>
        <v>130</v>
      </c>
      <c r="AK9" s="16">
        <f>'Clean Data'!AK8</f>
        <v>3.3120000000000003</v>
      </c>
      <c r="AL9" s="16" t="str">
        <f>'Clean Data'!AL8</f>
        <v>NaN</v>
      </c>
      <c r="AM9" s="16">
        <f>'Clean Data'!AM8</f>
        <v>57.999999999999993</v>
      </c>
      <c r="AN9" s="16">
        <f>'Clean Data'!AN8</f>
        <v>60.032404510051755</v>
      </c>
      <c r="AO9" s="16" t="str">
        <f>'Clean Data'!AO8</f>
        <v>Arena, Waste Management 2010, 30, 1212-1219</v>
      </c>
      <c r="AP9" s="16"/>
      <c r="AQ9" s="16"/>
      <c r="AR9" s="16"/>
      <c r="AS9" s="16"/>
      <c r="AT9" s="16"/>
    </row>
    <row r="10" spans="1:46" x14ac:dyDescent="0.3">
      <c r="A10" s="16">
        <f>'Clean Data'!A9</f>
        <v>8</v>
      </c>
      <c r="B10" s="16" t="str">
        <f>'Clean Data'!B9</f>
        <v>plastics</v>
      </c>
      <c r="C10" s="16" t="str">
        <f>'Clean Data'!C9</f>
        <v>pellets</v>
      </c>
      <c r="D10" s="16">
        <f>'Clean Data'!D9</f>
        <v>2</v>
      </c>
      <c r="E10" s="16">
        <f>'Clean Data'!E9</f>
        <v>42.9</v>
      </c>
      <c r="F10" s="16">
        <f>'Clean Data'!F9</f>
        <v>86.034130245551538</v>
      </c>
      <c r="G10" s="16">
        <f>'Clean Data'!G9</f>
        <v>13.967894086924838</v>
      </c>
      <c r="H10" s="16">
        <f>'Clean Data'!H9</f>
        <v>0</v>
      </c>
      <c r="I10" s="16">
        <f>'Clean Data'!I9</f>
        <v>0</v>
      </c>
      <c r="J10" s="16">
        <f>'Clean Data'!J9</f>
        <v>0</v>
      </c>
      <c r="K10" s="16">
        <f>'Clean Data'!K9</f>
        <v>1.002</v>
      </c>
      <c r="L10" s="16">
        <f>'Clean Data'!L9</f>
        <v>0.2</v>
      </c>
      <c r="M10" s="16" t="str">
        <f>'Clean Data'!M9</f>
        <v>NaN</v>
      </c>
      <c r="N10" s="16" t="str">
        <f>'Clean Data'!N9</f>
        <v>NaN</v>
      </c>
      <c r="O10" s="16" t="str">
        <f>'Clean Data'!O9</f>
        <v>NaN</v>
      </c>
      <c r="P10" s="16" t="str">
        <f>'Clean Data'!P9</f>
        <v>NaN</v>
      </c>
      <c r="Q10" s="16" t="str">
        <f>'Clean Data'!Q9</f>
        <v>NaN</v>
      </c>
      <c r="R10" s="16">
        <f>'Clean Data'!R9</f>
        <v>898</v>
      </c>
      <c r="S10" s="16" t="str">
        <f>'Clean Data'!S9</f>
        <v>continuous</v>
      </c>
      <c r="T10" s="16" t="str">
        <f>'Clean Data'!T9</f>
        <v>NaN</v>
      </c>
      <c r="U10" s="16" t="str">
        <f>'Clean Data'!U9</f>
        <v>NaN</v>
      </c>
      <c r="V10" s="16" t="str">
        <f>'Clean Data'!V9</f>
        <v>NaN</v>
      </c>
      <c r="W10" s="16">
        <f>'Clean Data'!W9</f>
        <v>0.31</v>
      </c>
      <c r="X10" s="16" t="str">
        <f>'Clean Data'!X9</f>
        <v>air</v>
      </c>
      <c r="Y10" s="16" t="str">
        <f>'Clean Data'!Y9</f>
        <v>fluidised bed</v>
      </c>
      <c r="Z10" s="16" t="str">
        <f>'Clean Data'!Z9</f>
        <v>silica</v>
      </c>
      <c r="AA10" s="16">
        <f>'Clean Data'!AA9</f>
        <v>0</v>
      </c>
      <c r="AB10" s="16" t="str">
        <f>'Clean Data'!AB9</f>
        <v>pilot</v>
      </c>
      <c r="AC10" s="16">
        <f>'Clean Data'!AC9</f>
        <v>68</v>
      </c>
      <c r="AD10" s="16">
        <f>'Clean Data'!AD9</f>
        <v>8.1</v>
      </c>
      <c r="AE10" s="16">
        <f>'Clean Data'!AE9</f>
        <v>2.2000000000000002</v>
      </c>
      <c r="AF10" s="16">
        <f>'Clean Data'!AF9</f>
        <v>10.4</v>
      </c>
      <c r="AG10" s="16">
        <f>'Clean Data'!AG9</f>
        <v>7.1</v>
      </c>
      <c r="AH10" s="16">
        <f>'Clean Data'!AH9</f>
        <v>4.2</v>
      </c>
      <c r="AI10" s="16">
        <f>'Clean Data'!AI9</f>
        <v>6.3</v>
      </c>
      <c r="AJ10" s="16">
        <f>'Clean Data'!AJ9</f>
        <v>81</v>
      </c>
      <c r="AK10" s="16">
        <f>'Clean Data'!AK9</f>
        <v>4.3428571428571425</v>
      </c>
      <c r="AL10" s="16" t="str">
        <f>'Clean Data'!AL9</f>
        <v>NaN</v>
      </c>
      <c r="AM10" s="16">
        <f>'Clean Data'!AM9</f>
        <v>63</v>
      </c>
      <c r="AN10" s="16">
        <f>'Clean Data'!AN9</f>
        <v>72.877459194756298</v>
      </c>
      <c r="AO10" s="16" t="str">
        <f>'Clean Data'!AO9</f>
        <v>Arena, Waste Management 2010, 30, 1212-1219</v>
      </c>
      <c r="AP10" s="16"/>
      <c r="AQ10" s="16"/>
      <c r="AR10" s="16"/>
      <c r="AS10" s="16"/>
      <c r="AT10" s="16"/>
    </row>
    <row r="11" spans="1:46" x14ac:dyDescent="0.3">
      <c r="A11" s="16">
        <f>'Clean Data'!A10</f>
        <v>9</v>
      </c>
      <c r="B11" s="16" t="str">
        <f>'Clean Data'!B10</f>
        <v>plastics</v>
      </c>
      <c r="C11" s="16" t="str">
        <f>'Clean Data'!C10</f>
        <v>pellets</v>
      </c>
      <c r="D11" s="16">
        <f>'Clean Data'!D10</f>
        <v>2</v>
      </c>
      <c r="E11" s="16">
        <f>'Clean Data'!E10</f>
        <v>42.9</v>
      </c>
      <c r="F11" s="16">
        <f>'Clean Data'!F10</f>
        <v>86.034130245551538</v>
      </c>
      <c r="G11" s="16">
        <f>'Clean Data'!G10</f>
        <v>13.967894086924838</v>
      </c>
      <c r="H11" s="16">
        <f>'Clean Data'!H10</f>
        <v>0</v>
      </c>
      <c r="I11" s="16">
        <f>'Clean Data'!I10</f>
        <v>0</v>
      </c>
      <c r="J11" s="16">
        <f>'Clean Data'!J10</f>
        <v>0</v>
      </c>
      <c r="K11" s="16">
        <f>'Clean Data'!K10</f>
        <v>1.002</v>
      </c>
      <c r="L11" s="16">
        <f>'Clean Data'!L10</f>
        <v>0.2</v>
      </c>
      <c r="M11" s="16" t="str">
        <f>'Clean Data'!M10</f>
        <v>NaN</v>
      </c>
      <c r="N11" s="16" t="str">
        <f>'Clean Data'!N10</f>
        <v>NaN</v>
      </c>
      <c r="O11" s="16" t="str">
        <f>'Clean Data'!O10</f>
        <v>NaN</v>
      </c>
      <c r="P11" s="16" t="str">
        <f>'Clean Data'!P10</f>
        <v>NaN</v>
      </c>
      <c r="Q11" s="16" t="str">
        <f>'Clean Data'!Q10</f>
        <v>NaN</v>
      </c>
      <c r="R11" s="16">
        <f>'Clean Data'!R10</f>
        <v>845</v>
      </c>
      <c r="S11" s="16" t="str">
        <f>'Clean Data'!S10</f>
        <v>continuous</v>
      </c>
      <c r="T11" s="16" t="str">
        <f>'Clean Data'!T10</f>
        <v>NaN</v>
      </c>
      <c r="U11" s="16" t="str">
        <f>'Clean Data'!U10</f>
        <v>NaN</v>
      </c>
      <c r="V11" s="16" t="str">
        <f>'Clean Data'!V10</f>
        <v>NaN</v>
      </c>
      <c r="W11" s="16">
        <f>'Clean Data'!W10</f>
        <v>0.2</v>
      </c>
      <c r="X11" s="16" t="str">
        <f>'Clean Data'!X10</f>
        <v>air</v>
      </c>
      <c r="Y11" s="16" t="str">
        <f>'Clean Data'!Y10</f>
        <v>fluidised bed</v>
      </c>
      <c r="Z11" s="16" t="str">
        <f>'Clean Data'!Z10</f>
        <v>silica</v>
      </c>
      <c r="AA11" s="16">
        <f>'Clean Data'!AA10</f>
        <v>0</v>
      </c>
      <c r="AB11" s="16" t="str">
        <f>'Clean Data'!AB10</f>
        <v>pilot</v>
      </c>
      <c r="AC11" s="16">
        <f>'Clean Data'!AC10</f>
        <v>64.100000000000009</v>
      </c>
      <c r="AD11" s="16">
        <f>'Clean Data'!AD10</f>
        <v>9.1</v>
      </c>
      <c r="AE11" s="16">
        <f>'Clean Data'!AE10</f>
        <v>2.8</v>
      </c>
      <c r="AF11" s="16">
        <f>'Clean Data'!AF10</f>
        <v>9.1</v>
      </c>
      <c r="AG11" s="16">
        <f>'Clean Data'!AG10</f>
        <v>10.4</v>
      </c>
      <c r="AH11" s="16">
        <f>'Clean Data'!AH10</f>
        <v>4.5</v>
      </c>
      <c r="AI11" s="16">
        <f>'Clean Data'!AI10</f>
        <v>7.9</v>
      </c>
      <c r="AJ11" s="16">
        <f>'Clean Data'!AJ10</f>
        <v>160</v>
      </c>
      <c r="AK11" s="16">
        <f>'Clean Data'!AK10</f>
        <v>2.9620253164556964</v>
      </c>
      <c r="AL11" s="16" t="str">
        <f>'Clean Data'!AL10</f>
        <v>NaN</v>
      </c>
      <c r="AM11" s="16">
        <f>'Clean Data'!AM10</f>
        <v>55.000000000000007</v>
      </c>
      <c r="AN11" s="16">
        <f>'Clean Data'!AN10</f>
        <v>54.941085002412507</v>
      </c>
      <c r="AO11" s="16" t="str">
        <f>'Clean Data'!AO10</f>
        <v>Arena, Waste Management 2010, 30, 1212-1219</v>
      </c>
      <c r="AP11" s="16"/>
      <c r="AQ11" s="16"/>
      <c r="AR11" s="16"/>
      <c r="AS11" s="16"/>
      <c r="AT11" s="16"/>
    </row>
    <row r="12" spans="1:46" x14ac:dyDescent="0.3">
      <c r="A12" s="16">
        <f>'Clean Data'!A11</f>
        <v>10</v>
      </c>
      <c r="B12" s="16" t="str">
        <f>'Clean Data'!B11</f>
        <v>plastics</v>
      </c>
      <c r="C12" s="16" t="str">
        <f>'Clean Data'!C11</f>
        <v>pellets</v>
      </c>
      <c r="D12" s="16">
        <f>'Clean Data'!D11</f>
        <v>2</v>
      </c>
      <c r="E12" s="16">
        <f>'Clean Data'!E11</f>
        <v>42.9</v>
      </c>
      <c r="F12" s="16">
        <f>'Clean Data'!F11</f>
        <v>86.034130245551538</v>
      </c>
      <c r="G12" s="16">
        <f>'Clean Data'!G11</f>
        <v>13.967894086924838</v>
      </c>
      <c r="H12" s="16">
        <f>'Clean Data'!H11</f>
        <v>0</v>
      </c>
      <c r="I12" s="16">
        <f>'Clean Data'!I11</f>
        <v>0</v>
      </c>
      <c r="J12" s="16">
        <f>'Clean Data'!J11</f>
        <v>0</v>
      </c>
      <c r="K12" s="16">
        <f>'Clean Data'!K11</f>
        <v>1.002</v>
      </c>
      <c r="L12" s="16">
        <f>'Clean Data'!L11</f>
        <v>0.2</v>
      </c>
      <c r="M12" s="16" t="str">
        <f>'Clean Data'!M11</f>
        <v>NaN</v>
      </c>
      <c r="N12" s="16" t="str">
        <f>'Clean Data'!N11</f>
        <v>NaN</v>
      </c>
      <c r="O12" s="16" t="str">
        <f>'Clean Data'!O11</f>
        <v>NaN</v>
      </c>
      <c r="P12" s="16" t="str">
        <f>'Clean Data'!P11</f>
        <v>NaN</v>
      </c>
      <c r="Q12" s="16" t="str">
        <f>'Clean Data'!Q11</f>
        <v>NaN</v>
      </c>
      <c r="R12" s="16">
        <f>'Clean Data'!R11</f>
        <v>807</v>
      </c>
      <c r="S12" s="16" t="str">
        <f>'Clean Data'!S11</f>
        <v>continuous</v>
      </c>
      <c r="T12" s="16" t="str">
        <f>'Clean Data'!T11</f>
        <v>NaN</v>
      </c>
      <c r="U12" s="16" t="str">
        <f>'Clean Data'!U11</f>
        <v>NaN</v>
      </c>
      <c r="V12" s="16" t="str">
        <f>'Clean Data'!V11</f>
        <v>NaN</v>
      </c>
      <c r="W12" s="16">
        <f>'Clean Data'!W11</f>
        <v>0.27</v>
      </c>
      <c r="X12" s="16" t="str">
        <f>'Clean Data'!X11</f>
        <v>air</v>
      </c>
      <c r="Y12" s="16" t="str">
        <f>'Clean Data'!Y11</f>
        <v>fluidised bed</v>
      </c>
      <c r="Z12" s="16" t="str">
        <f>'Clean Data'!Z11</f>
        <v>olivine</v>
      </c>
      <c r="AA12" s="16">
        <f>'Clean Data'!AA11</f>
        <v>1</v>
      </c>
      <c r="AB12" s="16" t="str">
        <f>'Clean Data'!AB11</f>
        <v>pilot</v>
      </c>
      <c r="AC12" s="16">
        <f>'Clean Data'!AC11</f>
        <v>48.999999999999993</v>
      </c>
      <c r="AD12" s="16">
        <f>'Clean Data'!AD11</f>
        <v>26.9</v>
      </c>
      <c r="AE12" s="16">
        <f>'Clean Data'!AE11</f>
        <v>20</v>
      </c>
      <c r="AF12" s="16">
        <f>'Clean Data'!AF11</f>
        <v>1.4</v>
      </c>
      <c r="AG12" s="16">
        <f>'Clean Data'!AG11</f>
        <v>2.2000000000000002</v>
      </c>
      <c r="AH12" s="16">
        <f>'Clean Data'!AH11</f>
        <v>0.5</v>
      </c>
      <c r="AI12" s="16">
        <f>'Clean Data'!AI11</f>
        <v>6.5</v>
      </c>
      <c r="AJ12" s="16">
        <f>'Clean Data'!AJ11</f>
        <v>0</v>
      </c>
      <c r="AK12" s="16">
        <f>'Clean Data'!AK11</f>
        <v>5.4276923076923076</v>
      </c>
      <c r="AL12" s="16" t="str">
        <f>'Clean Data'!AL11</f>
        <v>NaN</v>
      </c>
      <c r="AM12" s="16">
        <f>'Clean Data'!AM11</f>
        <v>82</v>
      </c>
      <c r="AN12" s="16">
        <f>'Clean Data'!AN11</f>
        <v>76.444539247189127</v>
      </c>
      <c r="AO12" s="16" t="str">
        <f>'Clean Data'!AO11</f>
        <v>Arena, Waste Management 2010, 30, 1212-1219</v>
      </c>
      <c r="AP12" s="16"/>
      <c r="AQ12" s="16"/>
      <c r="AR12" s="16"/>
      <c r="AS12" s="16"/>
      <c r="AT12" s="16"/>
    </row>
    <row r="13" spans="1:46" x14ac:dyDescent="0.3">
      <c r="A13" s="16">
        <f>'Clean Data'!A12</f>
        <v>11</v>
      </c>
      <c r="B13" s="16" t="str">
        <f>'Clean Data'!B12</f>
        <v>plastics</v>
      </c>
      <c r="C13" s="16" t="str">
        <f>'Clean Data'!C12</f>
        <v>pellets</v>
      </c>
      <c r="D13" s="16">
        <f>'Clean Data'!D12</f>
        <v>2</v>
      </c>
      <c r="E13" s="16">
        <f>'Clean Data'!E12</f>
        <v>42.9</v>
      </c>
      <c r="F13" s="16">
        <f>'Clean Data'!F12</f>
        <v>86.034130245551538</v>
      </c>
      <c r="G13" s="16">
        <f>'Clean Data'!G12</f>
        <v>13.967894086924838</v>
      </c>
      <c r="H13" s="16">
        <f>'Clean Data'!H12</f>
        <v>0</v>
      </c>
      <c r="I13" s="16">
        <f>'Clean Data'!I12</f>
        <v>0</v>
      </c>
      <c r="J13" s="16">
        <f>'Clean Data'!J12</f>
        <v>0</v>
      </c>
      <c r="K13" s="16">
        <f>'Clean Data'!K12</f>
        <v>1.002</v>
      </c>
      <c r="L13" s="16">
        <f>'Clean Data'!L12</f>
        <v>0.2</v>
      </c>
      <c r="M13" s="16" t="str">
        <f>'Clean Data'!M12</f>
        <v>NaN</v>
      </c>
      <c r="N13" s="16" t="str">
        <f>'Clean Data'!N12</f>
        <v>NaN</v>
      </c>
      <c r="O13" s="16" t="str">
        <f>'Clean Data'!O12</f>
        <v>NaN</v>
      </c>
      <c r="P13" s="16" t="str">
        <f>'Clean Data'!P12</f>
        <v>NaN</v>
      </c>
      <c r="Q13" s="16" t="str">
        <f>'Clean Data'!Q12</f>
        <v>NaN</v>
      </c>
      <c r="R13" s="16">
        <f>'Clean Data'!R12</f>
        <v>819</v>
      </c>
      <c r="S13" s="16" t="str">
        <f>'Clean Data'!S12</f>
        <v>continuous</v>
      </c>
      <c r="T13" s="16" t="str">
        <f>'Clean Data'!T12</f>
        <v>NaN</v>
      </c>
      <c r="U13" s="16" t="str">
        <f>'Clean Data'!U12</f>
        <v>NaN</v>
      </c>
      <c r="V13" s="16" t="str">
        <f>'Clean Data'!V12</f>
        <v>NaN</v>
      </c>
      <c r="W13" s="16">
        <f>'Clean Data'!W12</f>
        <v>0.2</v>
      </c>
      <c r="X13" s="16" t="str">
        <f>'Clean Data'!X12</f>
        <v>air</v>
      </c>
      <c r="Y13" s="16" t="str">
        <f>'Clean Data'!Y12</f>
        <v>fluidised bed</v>
      </c>
      <c r="Z13" s="16" t="str">
        <f>'Clean Data'!Z12</f>
        <v>olivine</v>
      </c>
      <c r="AA13" s="16">
        <f>'Clean Data'!AA12</f>
        <v>1</v>
      </c>
      <c r="AB13" s="16" t="str">
        <f>'Clean Data'!AB12</f>
        <v>pilot</v>
      </c>
      <c r="AC13" s="16">
        <f>'Clean Data'!AC12</f>
        <v>45.100000000000009</v>
      </c>
      <c r="AD13" s="16">
        <f>'Clean Data'!AD12</f>
        <v>30.1</v>
      </c>
      <c r="AE13" s="16">
        <f>'Clean Data'!AE12</f>
        <v>18.399999999999999</v>
      </c>
      <c r="AF13" s="16">
        <f>'Clean Data'!AF12</f>
        <v>1.6</v>
      </c>
      <c r="AG13" s="16">
        <f>'Clean Data'!AG12</f>
        <v>3.4</v>
      </c>
      <c r="AH13" s="16">
        <f>'Clean Data'!AH12</f>
        <v>1.4</v>
      </c>
      <c r="AI13" s="16">
        <f>'Clean Data'!AI12</f>
        <v>7.6000000000000005</v>
      </c>
      <c r="AJ13" s="16">
        <f>'Clean Data'!AJ12</f>
        <v>0</v>
      </c>
      <c r="AK13" s="16">
        <f>'Clean Data'!AK12</f>
        <v>4.1684210526315795</v>
      </c>
      <c r="AL13" s="16" t="str">
        <f>'Clean Data'!AL12</f>
        <v>NaN</v>
      </c>
      <c r="AM13" s="16">
        <f>'Clean Data'!AM12</f>
        <v>74</v>
      </c>
      <c r="AN13" s="16">
        <f>'Clean Data'!AN12</f>
        <v>62.719851229077399</v>
      </c>
      <c r="AO13" s="16" t="str">
        <f>'Clean Data'!AO12</f>
        <v>Arena, Waste Management 2010, 30, 1212-1219</v>
      </c>
      <c r="AP13" s="16"/>
      <c r="AQ13" s="16"/>
      <c r="AR13" s="16"/>
      <c r="AS13" s="16"/>
      <c r="AT13" s="16"/>
    </row>
    <row r="14" spans="1:46" x14ac:dyDescent="0.3">
      <c r="A14" s="16">
        <f>'Clean Data'!A13</f>
        <v>12</v>
      </c>
      <c r="B14" s="16" t="str">
        <f>'Clean Data'!B13</f>
        <v>plastics</v>
      </c>
      <c r="C14" s="16" t="str">
        <f>'Clean Data'!C13</f>
        <v>pellets</v>
      </c>
      <c r="D14" s="16">
        <f>'Clean Data'!D13</f>
        <v>2</v>
      </c>
      <c r="E14" s="16">
        <f>'Clean Data'!E13</f>
        <v>42.9</v>
      </c>
      <c r="F14" s="16">
        <f>'Clean Data'!F13</f>
        <v>86.034130245551538</v>
      </c>
      <c r="G14" s="16">
        <f>'Clean Data'!G13</f>
        <v>13.967894086924838</v>
      </c>
      <c r="H14" s="16">
        <f>'Clean Data'!H13</f>
        <v>0</v>
      </c>
      <c r="I14" s="16">
        <f>'Clean Data'!I13</f>
        <v>0</v>
      </c>
      <c r="J14" s="16">
        <f>'Clean Data'!J13</f>
        <v>0</v>
      </c>
      <c r="K14" s="16">
        <f>'Clean Data'!K13</f>
        <v>1.002</v>
      </c>
      <c r="L14" s="16">
        <f>'Clean Data'!L13</f>
        <v>0.2</v>
      </c>
      <c r="M14" s="16" t="str">
        <f>'Clean Data'!M13</f>
        <v>NaN</v>
      </c>
      <c r="N14" s="16" t="str">
        <f>'Clean Data'!N13</f>
        <v>NaN</v>
      </c>
      <c r="O14" s="16" t="str">
        <f>'Clean Data'!O13</f>
        <v>NaN</v>
      </c>
      <c r="P14" s="16" t="str">
        <f>'Clean Data'!P13</f>
        <v>NaN</v>
      </c>
      <c r="Q14" s="16" t="str">
        <f>'Clean Data'!Q13</f>
        <v>NaN</v>
      </c>
      <c r="R14" s="16">
        <f>'Clean Data'!R13</f>
        <v>816</v>
      </c>
      <c r="S14" s="16" t="str">
        <f>'Clean Data'!S13</f>
        <v>continuous</v>
      </c>
      <c r="T14" s="16" t="str">
        <f>'Clean Data'!T13</f>
        <v>NaN</v>
      </c>
      <c r="U14" s="16" t="str">
        <f>'Clean Data'!U13</f>
        <v>NaN</v>
      </c>
      <c r="V14" s="16" t="str">
        <f>'Clean Data'!V13</f>
        <v>NaN</v>
      </c>
      <c r="W14" s="16">
        <f>'Clean Data'!W13</f>
        <v>0.28000000000000003</v>
      </c>
      <c r="X14" s="16" t="str">
        <f>'Clean Data'!X13</f>
        <v>air</v>
      </c>
      <c r="Y14" s="16" t="str">
        <f>'Clean Data'!Y13</f>
        <v>fluidised bed</v>
      </c>
      <c r="Z14" s="16" t="str">
        <f>'Clean Data'!Z13</f>
        <v>olivine</v>
      </c>
      <c r="AA14" s="16">
        <f>'Clean Data'!AA13</f>
        <v>1</v>
      </c>
      <c r="AB14" s="16" t="str">
        <f>'Clean Data'!AB13</f>
        <v>pilot</v>
      </c>
      <c r="AC14" s="16">
        <f>'Clean Data'!AC13</f>
        <v>48.5</v>
      </c>
      <c r="AD14" s="16">
        <f>'Clean Data'!AD13</f>
        <v>27.1</v>
      </c>
      <c r="AE14" s="16">
        <f>'Clean Data'!AE13</f>
        <v>20.100000000000001</v>
      </c>
      <c r="AF14" s="16">
        <f>'Clean Data'!AF13</f>
        <v>1.7</v>
      </c>
      <c r="AG14" s="16">
        <f>'Clean Data'!AG13</f>
        <v>2.1</v>
      </c>
      <c r="AH14" s="16">
        <f>'Clean Data'!AH13</f>
        <v>0.5</v>
      </c>
      <c r="AI14" s="16">
        <f>'Clean Data'!AI13</f>
        <v>6.5</v>
      </c>
      <c r="AJ14" s="16">
        <f>'Clean Data'!AJ13</f>
        <v>0</v>
      </c>
      <c r="AK14" s="16">
        <f>'Clean Data'!AK13</f>
        <v>5.6492307692307691</v>
      </c>
      <c r="AL14" s="16" t="str">
        <f>'Clean Data'!AL13</f>
        <v>NaN</v>
      </c>
      <c r="AM14" s="16">
        <f>'Clean Data'!AM13</f>
        <v>85</v>
      </c>
      <c r="AN14" s="16">
        <f>'Clean Data'!AN13</f>
        <v>80.625716027446131</v>
      </c>
      <c r="AO14" s="16" t="str">
        <f>'Clean Data'!AO13</f>
        <v>Arena, Waste Management 2010, 30, 1212-1219</v>
      </c>
      <c r="AP14" s="16"/>
      <c r="AQ14" s="16"/>
      <c r="AR14" s="16"/>
      <c r="AS14" s="16"/>
      <c r="AT14" s="16"/>
    </row>
    <row r="15" spans="1:46" x14ac:dyDescent="0.3">
      <c r="A15" s="16">
        <f>'Clean Data'!A14</f>
        <v>13</v>
      </c>
      <c r="B15" s="16" t="str">
        <f>'Clean Data'!B14</f>
        <v>plastics</v>
      </c>
      <c r="C15" s="16" t="str">
        <f>'Clean Data'!C14</f>
        <v>pellets</v>
      </c>
      <c r="D15" s="16">
        <f>'Clean Data'!D14</f>
        <v>2</v>
      </c>
      <c r="E15" s="16">
        <f>'Clean Data'!E14</f>
        <v>42.9</v>
      </c>
      <c r="F15" s="16">
        <f>'Clean Data'!F14</f>
        <v>86.034130245551538</v>
      </c>
      <c r="G15" s="16">
        <f>'Clean Data'!G14</f>
        <v>13.967894086924838</v>
      </c>
      <c r="H15" s="16">
        <f>'Clean Data'!H14</f>
        <v>0</v>
      </c>
      <c r="I15" s="16">
        <f>'Clean Data'!I14</f>
        <v>0</v>
      </c>
      <c r="J15" s="16">
        <f>'Clean Data'!J14</f>
        <v>0</v>
      </c>
      <c r="K15" s="16">
        <f>'Clean Data'!K14</f>
        <v>1.002</v>
      </c>
      <c r="L15" s="16">
        <f>'Clean Data'!L14</f>
        <v>0.2</v>
      </c>
      <c r="M15" s="16" t="str">
        <f>'Clean Data'!M14</f>
        <v>NaN</v>
      </c>
      <c r="N15" s="16" t="str">
        <f>'Clean Data'!N14</f>
        <v>NaN</v>
      </c>
      <c r="O15" s="16" t="str">
        <f>'Clean Data'!O14</f>
        <v>NaN</v>
      </c>
      <c r="P15" s="16" t="str">
        <f>'Clean Data'!P14</f>
        <v>NaN</v>
      </c>
      <c r="Q15" s="16" t="str">
        <f>'Clean Data'!Q14</f>
        <v>NaN</v>
      </c>
      <c r="R15" s="16">
        <f>'Clean Data'!R14</f>
        <v>825</v>
      </c>
      <c r="S15" s="16" t="str">
        <f>'Clean Data'!S14</f>
        <v>continuous</v>
      </c>
      <c r="T15" s="16" t="str">
        <f>'Clean Data'!T14</f>
        <v>NaN</v>
      </c>
      <c r="U15" s="16" t="str">
        <f>'Clean Data'!U14</f>
        <v>NaN</v>
      </c>
      <c r="V15" s="16" t="str">
        <f>'Clean Data'!V14</f>
        <v>NaN</v>
      </c>
      <c r="W15" s="16">
        <f>'Clean Data'!W14</f>
        <v>0.31</v>
      </c>
      <c r="X15" s="16" t="str">
        <f>'Clean Data'!X14</f>
        <v>air</v>
      </c>
      <c r="Y15" s="16" t="str">
        <f>'Clean Data'!Y14</f>
        <v>fluidised bed</v>
      </c>
      <c r="Z15" s="16" t="str">
        <f>'Clean Data'!Z14</f>
        <v>olivine</v>
      </c>
      <c r="AA15" s="16">
        <f>'Clean Data'!AA14</f>
        <v>1</v>
      </c>
      <c r="AB15" s="16" t="str">
        <f>'Clean Data'!AB14</f>
        <v>pilot</v>
      </c>
      <c r="AC15" s="16">
        <f>'Clean Data'!AC14</f>
        <v>50.300000000000004</v>
      </c>
      <c r="AD15" s="16">
        <f>'Clean Data'!AD14</f>
        <v>24</v>
      </c>
      <c r="AE15" s="16">
        <f>'Clean Data'!AE14</f>
        <v>19.5</v>
      </c>
      <c r="AF15" s="16">
        <f>'Clean Data'!AF14</f>
        <v>3.3</v>
      </c>
      <c r="AG15" s="16">
        <f>'Clean Data'!AG14</f>
        <v>2</v>
      </c>
      <c r="AH15" s="16">
        <f>'Clean Data'!AH14</f>
        <v>0.9</v>
      </c>
      <c r="AI15" s="16">
        <f>'Clean Data'!AI14</f>
        <v>6.3</v>
      </c>
      <c r="AJ15" s="16">
        <f>'Clean Data'!AJ14</f>
        <v>0</v>
      </c>
      <c r="AK15" s="16">
        <f>'Clean Data'!AK14</f>
        <v>6.0000000000000009</v>
      </c>
      <c r="AL15" s="16" t="str">
        <f>'Clean Data'!AL14</f>
        <v>NaN</v>
      </c>
      <c r="AM15" s="16">
        <f>'Clean Data'!AM14</f>
        <v>88</v>
      </c>
      <c r="AN15" s="16">
        <f>'Clean Data'!AN14</f>
        <v>92.090861152941159</v>
      </c>
      <c r="AO15" s="16" t="str">
        <f>'Clean Data'!AO14</f>
        <v>Arena, Waste Management 2010, 30, 1212-1219</v>
      </c>
      <c r="AP15" s="16"/>
      <c r="AQ15" s="16"/>
      <c r="AR15" s="16"/>
      <c r="AS15" s="16"/>
      <c r="AT15" s="16"/>
    </row>
    <row r="16" spans="1:46" x14ac:dyDescent="0.3">
      <c r="A16" s="16">
        <f>'Clean Data'!A15</f>
        <v>14</v>
      </c>
      <c r="B16" s="16" t="str">
        <f>'Clean Data'!B15</f>
        <v>plastics</v>
      </c>
      <c r="C16" s="16" t="str">
        <f>'Clean Data'!C15</f>
        <v>pellets</v>
      </c>
      <c r="D16" s="16">
        <f>'Clean Data'!D15</f>
        <v>2</v>
      </c>
      <c r="E16" s="16">
        <f>'Clean Data'!E15</f>
        <v>42.9</v>
      </c>
      <c r="F16" s="16">
        <f>'Clean Data'!F15</f>
        <v>86.034130245551538</v>
      </c>
      <c r="G16" s="16">
        <f>'Clean Data'!G15</f>
        <v>13.967894086924838</v>
      </c>
      <c r="H16" s="16">
        <f>'Clean Data'!H15</f>
        <v>0</v>
      </c>
      <c r="I16" s="16">
        <f>'Clean Data'!I15</f>
        <v>0</v>
      </c>
      <c r="J16" s="16">
        <f>'Clean Data'!J15</f>
        <v>0</v>
      </c>
      <c r="K16" s="16">
        <f>'Clean Data'!K15</f>
        <v>1.002</v>
      </c>
      <c r="L16" s="16">
        <f>'Clean Data'!L15</f>
        <v>0.2</v>
      </c>
      <c r="M16" s="16" t="str">
        <f>'Clean Data'!M15</f>
        <v>NaN</v>
      </c>
      <c r="N16" s="16" t="str">
        <f>'Clean Data'!N15</f>
        <v>NaN</v>
      </c>
      <c r="O16" s="16" t="str">
        <f>'Clean Data'!O15</f>
        <v>NaN</v>
      </c>
      <c r="P16" s="16" t="str">
        <f>'Clean Data'!P15</f>
        <v>NaN</v>
      </c>
      <c r="Q16" s="16" t="str">
        <f>'Clean Data'!Q15</f>
        <v>NaN</v>
      </c>
      <c r="R16" s="16">
        <f>'Clean Data'!R15</f>
        <v>825</v>
      </c>
      <c r="S16" s="16" t="str">
        <f>'Clean Data'!S15</f>
        <v>continuous</v>
      </c>
      <c r="T16" s="16" t="str">
        <f>'Clean Data'!T15</f>
        <v>NaN</v>
      </c>
      <c r="U16" s="16" t="str">
        <f>'Clean Data'!U15</f>
        <v>NaN</v>
      </c>
      <c r="V16" s="16" t="str">
        <f>'Clean Data'!V15</f>
        <v>NaN</v>
      </c>
      <c r="W16" s="16">
        <f>'Clean Data'!W15</f>
        <v>0.21</v>
      </c>
      <c r="X16" s="16" t="str">
        <f>'Clean Data'!X15</f>
        <v>air</v>
      </c>
      <c r="Y16" s="16" t="str">
        <f>'Clean Data'!Y15</f>
        <v>fluidised bed</v>
      </c>
      <c r="Z16" s="16" t="str">
        <f>'Clean Data'!Z15</f>
        <v>olivine</v>
      </c>
      <c r="AA16" s="16">
        <f>'Clean Data'!AA15</f>
        <v>1</v>
      </c>
      <c r="AB16" s="16" t="str">
        <f>'Clean Data'!AB15</f>
        <v>pilot</v>
      </c>
      <c r="AC16" s="16">
        <f>'Clean Data'!AC15</f>
        <v>44.4</v>
      </c>
      <c r="AD16" s="16">
        <f>'Clean Data'!AD15</f>
        <v>30.8</v>
      </c>
      <c r="AE16" s="16">
        <f>'Clean Data'!AE15</f>
        <v>19</v>
      </c>
      <c r="AF16" s="16">
        <f>'Clean Data'!AF15</f>
        <v>1.6</v>
      </c>
      <c r="AG16" s="16">
        <f>'Clean Data'!AG15</f>
        <v>3.2</v>
      </c>
      <c r="AH16" s="16">
        <f>'Clean Data'!AH15</f>
        <v>1</v>
      </c>
      <c r="AI16" s="16">
        <f>'Clean Data'!AI15</f>
        <v>7.5</v>
      </c>
      <c r="AJ16" s="16">
        <f>'Clean Data'!AJ15</f>
        <v>0</v>
      </c>
      <c r="AK16" s="16">
        <f>'Clean Data'!AK15</f>
        <v>4.8</v>
      </c>
      <c r="AL16" s="16" t="str">
        <f>'Clean Data'!AL15</f>
        <v>NaN</v>
      </c>
      <c r="AM16" s="16">
        <f>'Clean Data'!AM15</f>
        <v>84</v>
      </c>
      <c r="AN16" s="16">
        <f>'Clean Data'!AN15</f>
        <v>71.051350497882325</v>
      </c>
      <c r="AO16" s="16" t="str">
        <f>'Clean Data'!AO15</f>
        <v>Arena, Waste Management 2010, 30, 1212-1219</v>
      </c>
      <c r="AP16" s="16"/>
      <c r="AQ16" s="16"/>
      <c r="AR16" s="16"/>
      <c r="AS16" s="16"/>
      <c r="AT16" s="16"/>
    </row>
    <row r="17" spans="1:46" x14ac:dyDescent="0.3">
      <c r="A17" s="16">
        <f>'Clean Data'!A16</f>
        <v>15</v>
      </c>
      <c r="B17" s="16" t="str">
        <f>'Clean Data'!B16</f>
        <v>plastics</v>
      </c>
      <c r="C17" s="16" t="str">
        <f>'Clean Data'!C16</f>
        <v>pellets</v>
      </c>
      <c r="D17" s="16">
        <f>'Clean Data'!D16</f>
        <v>2</v>
      </c>
      <c r="E17" s="16">
        <f>'Clean Data'!E16</f>
        <v>42.9</v>
      </c>
      <c r="F17" s="16">
        <f>'Clean Data'!F16</f>
        <v>86.034130245551538</v>
      </c>
      <c r="G17" s="16">
        <f>'Clean Data'!G16</f>
        <v>13.967894086924838</v>
      </c>
      <c r="H17" s="16">
        <f>'Clean Data'!H16</f>
        <v>0</v>
      </c>
      <c r="I17" s="16">
        <f>'Clean Data'!I16</f>
        <v>0</v>
      </c>
      <c r="J17" s="16">
        <f>'Clean Data'!J16</f>
        <v>0</v>
      </c>
      <c r="K17" s="16">
        <f>'Clean Data'!K16</f>
        <v>1.002</v>
      </c>
      <c r="L17" s="16">
        <f>'Clean Data'!L16</f>
        <v>0.2</v>
      </c>
      <c r="M17" s="16" t="str">
        <f>'Clean Data'!M16</f>
        <v>NaN</v>
      </c>
      <c r="N17" s="16" t="str">
        <f>'Clean Data'!N16</f>
        <v>NaN</v>
      </c>
      <c r="O17" s="16" t="str">
        <f>'Clean Data'!O16</f>
        <v>NaN</v>
      </c>
      <c r="P17" s="16" t="str">
        <f>'Clean Data'!P16</f>
        <v>NaN</v>
      </c>
      <c r="Q17" s="16" t="str">
        <f>'Clean Data'!Q16</f>
        <v>NaN</v>
      </c>
      <c r="R17" s="16">
        <f>'Clean Data'!R16</f>
        <v>850</v>
      </c>
      <c r="S17" s="16" t="str">
        <f>'Clean Data'!S16</f>
        <v>continuous</v>
      </c>
      <c r="T17" s="16" t="str">
        <f>'Clean Data'!T16</f>
        <v>NaN</v>
      </c>
      <c r="U17" s="16" t="str">
        <f>'Clean Data'!U16</f>
        <v>NaN</v>
      </c>
      <c r="V17" s="16" t="str">
        <f>'Clean Data'!V16</f>
        <v>NaN</v>
      </c>
      <c r="W17" s="16">
        <f>'Clean Data'!W16</f>
        <v>0.28999999999999998</v>
      </c>
      <c r="X17" s="16" t="str">
        <f>'Clean Data'!X16</f>
        <v>air</v>
      </c>
      <c r="Y17" s="16" t="str">
        <f>'Clean Data'!Y16</f>
        <v>fluidised bed</v>
      </c>
      <c r="Z17" s="16" t="str">
        <f>'Clean Data'!Z16</f>
        <v>olivine</v>
      </c>
      <c r="AA17" s="16">
        <f>'Clean Data'!AA16</f>
        <v>1</v>
      </c>
      <c r="AB17" s="16" t="str">
        <f>'Clean Data'!AB16</f>
        <v>pilot</v>
      </c>
      <c r="AC17" s="16">
        <f>'Clean Data'!AC16</f>
        <v>47.2</v>
      </c>
      <c r="AD17" s="16">
        <f>'Clean Data'!AD16</f>
        <v>29.1</v>
      </c>
      <c r="AE17" s="16">
        <f>'Clean Data'!AE16</f>
        <v>20.9</v>
      </c>
      <c r="AF17" s="16">
        <f>'Clean Data'!AF16</f>
        <v>1.2</v>
      </c>
      <c r="AG17" s="16">
        <f>'Clean Data'!AG16</f>
        <v>1.5</v>
      </c>
      <c r="AH17" s="16">
        <f>'Clean Data'!AH16</f>
        <v>0.1</v>
      </c>
      <c r="AI17" s="16">
        <f>'Clean Data'!AI16</f>
        <v>6.4</v>
      </c>
      <c r="AJ17" s="16">
        <f>'Clean Data'!AJ16</f>
        <v>0</v>
      </c>
      <c r="AK17" s="16">
        <f>'Clean Data'!AK16</f>
        <v>6.1875</v>
      </c>
      <c r="AL17" s="16" t="str">
        <f>'Clean Data'!AL16</f>
        <v>NaN</v>
      </c>
      <c r="AM17" s="16">
        <f>'Clean Data'!AM16</f>
        <v>92</v>
      </c>
      <c r="AN17" s="16">
        <f>'Clean Data'!AN16</f>
        <v>84.141146761213207</v>
      </c>
      <c r="AO17" s="16" t="str">
        <f>'Clean Data'!AO16</f>
        <v>Arena, Waste Management 2010, 30, 1212-1219</v>
      </c>
      <c r="AP17" s="16"/>
      <c r="AQ17" s="16"/>
      <c r="AR17" s="16"/>
      <c r="AS17" s="16"/>
      <c r="AT17" s="16"/>
    </row>
    <row r="18" spans="1:46" x14ac:dyDescent="0.3">
      <c r="A18" s="16">
        <f>'Clean Data'!A17</f>
        <v>16</v>
      </c>
      <c r="B18" s="16" t="str">
        <f>'Clean Data'!B17</f>
        <v>plastics</v>
      </c>
      <c r="C18" s="16" t="str">
        <f>'Clean Data'!C17</f>
        <v>pellets</v>
      </c>
      <c r="D18" s="16">
        <f>'Clean Data'!D17</f>
        <v>2</v>
      </c>
      <c r="E18" s="16">
        <f>'Clean Data'!E17</f>
        <v>42.9</v>
      </c>
      <c r="F18" s="16">
        <f>'Clean Data'!F17</f>
        <v>86.034130245551538</v>
      </c>
      <c r="G18" s="16">
        <f>'Clean Data'!G17</f>
        <v>13.967894086924838</v>
      </c>
      <c r="H18" s="16">
        <f>'Clean Data'!H17</f>
        <v>0</v>
      </c>
      <c r="I18" s="16">
        <f>'Clean Data'!I17</f>
        <v>0</v>
      </c>
      <c r="J18" s="16">
        <f>'Clean Data'!J17</f>
        <v>0</v>
      </c>
      <c r="K18" s="16">
        <f>'Clean Data'!K17</f>
        <v>1.002</v>
      </c>
      <c r="L18" s="16">
        <f>'Clean Data'!L17</f>
        <v>0.2</v>
      </c>
      <c r="M18" s="16" t="str">
        <f>'Clean Data'!M17</f>
        <v>NaN</v>
      </c>
      <c r="N18" s="16" t="str">
        <f>'Clean Data'!N17</f>
        <v>NaN</v>
      </c>
      <c r="O18" s="16" t="str">
        <f>'Clean Data'!O17</f>
        <v>NaN</v>
      </c>
      <c r="P18" s="16" t="str">
        <f>'Clean Data'!P17</f>
        <v>NaN</v>
      </c>
      <c r="Q18" s="16" t="str">
        <f>'Clean Data'!Q17</f>
        <v>NaN</v>
      </c>
      <c r="R18" s="16">
        <f>'Clean Data'!R17</f>
        <v>856</v>
      </c>
      <c r="S18" s="16" t="str">
        <f>'Clean Data'!S17</f>
        <v>continuous</v>
      </c>
      <c r="T18" s="16" t="str">
        <f>'Clean Data'!T17</f>
        <v>NaN</v>
      </c>
      <c r="U18" s="16" t="str">
        <f>'Clean Data'!U17</f>
        <v>NaN</v>
      </c>
      <c r="V18" s="16" t="str">
        <f>'Clean Data'!V17</f>
        <v>NaN</v>
      </c>
      <c r="W18" s="16">
        <f>'Clean Data'!W17</f>
        <v>0.3</v>
      </c>
      <c r="X18" s="16" t="str">
        <f>'Clean Data'!X17</f>
        <v>air</v>
      </c>
      <c r="Y18" s="16" t="str">
        <f>'Clean Data'!Y17</f>
        <v>fluidised bed</v>
      </c>
      <c r="Z18" s="16" t="str">
        <f>'Clean Data'!Z17</f>
        <v>dolomite</v>
      </c>
      <c r="AA18" s="16">
        <f>'Clean Data'!AA17</f>
        <v>1</v>
      </c>
      <c r="AB18" s="16" t="str">
        <f>'Clean Data'!AB17</f>
        <v>pilot</v>
      </c>
      <c r="AC18" s="16">
        <f>'Clean Data'!AC17</f>
        <v>56.199999999999996</v>
      </c>
      <c r="AD18" s="16">
        <f>'Clean Data'!AD17</f>
        <v>14.7</v>
      </c>
      <c r="AE18" s="16">
        <f>'Clean Data'!AE17</f>
        <v>18.3</v>
      </c>
      <c r="AF18" s="16">
        <f>'Clean Data'!AF17</f>
        <v>3.1</v>
      </c>
      <c r="AG18" s="16">
        <f>'Clean Data'!AG17</f>
        <v>5.7</v>
      </c>
      <c r="AH18" s="16">
        <f>'Clean Data'!AH17</f>
        <v>2</v>
      </c>
      <c r="AI18" s="16">
        <f>'Clean Data'!AI17</f>
        <v>7.1000000000000005</v>
      </c>
      <c r="AJ18" s="16">
        <f>'Clean Data'!AJ17</f>
        <v>0</v>
      </c>
      <c r="AK18" s="16">
        <f>'Clean Data'!AK17</f>
        <v>5.6788732394366193</v>
      </c>
      <c r="AL18" s="16" t="str">
        <f>'Clean Data'!AL17</f>
        <v>NaN</v>
      </c>
      <c r="AM18" s="16">
        <f>'Clean Data'!AM17</f>
        <v>94</v>
      </c>
      <c r="AN18" s="16">
        <f>'Clean Data'!AN17</f>
        <v>101.95731218553104</v>
      </c>
      <c r="AO18" s="16" t="str">
        <f>'Clean Data'!AO17</f>
        <v>Arena, Waste Management 2010, 30, 1212-1219</v>
      </c>
      <c r="AP18" s="16"/>
      <c r="AQ18" s="16"/>
      <c r="AR18" s="16"/>
      <c r="AS18" s="16"/>
      <c r="AT18" s="16"/>
    </row>
    <row r="19" spans="1:46" x14ac:dyDescent="0.3">
      <c r="A19" s="16">
        <f>'Clean Data'!A18</f>
        <v>17</v>
      </c>
      <c r="B19" s="16" t="str">
        <f>'Clean Data'!B18</f>
        <v>plastics</v>
      </c>
      <c r="C19" s="16" t="str">
        <f>'Clean Data'!C18</f>
        <v>pellets</v>
      </c>
      <c r="D19" s="16">
        <f>'Clean Data'!D18</f>
        <v>1</v>
      </c>
      <c r="E19" s="16">
        <f>'Clean Data'!E18</f>
        <v>42.9</v>
      </c>
      <c r="F19" s="16">
        <f>'Clean Data'!F18</f>
        <v>85.775757372497495</v>
      </c>
      <c r="G19" s="16">
        <f>'Clean Data'!G18</f>
        <v>14.228206199229442</v>
      </c>
      <c r="H19" s="16">
        <f>'Clean Data'!H18</f>
        <v>0</v>
      </c>
      <c r="I19" s="16">
        <f>'Clean Data'!I18</f>
        <v>0</v>
      </c>
      <c r="J19" s="16">
        <f>'Clean Data'!J18</f>
        <v>0</v>
      </c>
      <c r="K19" s="16">
        <f>'Clean Data'!K18</f>
        <v>1.3038999999999998</v>
      </c>
      <c r="L19" s="16">
        <f>'Clean Data'!L18</f>
        <v>0.3</v>
      </c>
      <c r="M19" s="16" t="str">
        <f>'Clean Data'!M18</f>
        <v>NaN</v>
      </c>
      <c r="N19" s="16" t="str">
        <f>'Clean Data'!N18</f>
        <v>NaN</v>
      </c>
      <c r="O19" s="16" t="str">
        <f>'Clean Data'!O18</f>
        <v>NaN</v>
      </c>
      <c r="P19" s="16" t="str">
        <f>'Clean Data'!P18</f>
        <v>NaN</v>
      </c>
      <c r="Q19" s="16" t="str">
        <f>'Clean Data'!Q18</f>
        <v>NaN</v>
      </c>
      <c r="R19" s="16">
        <f>'Clean Data'!R18</f>
        <v>818</v>
      </c>
      <c r="S19" s="16" t="str">
        <f>'Clean Data'!S18</f>
        <v>continuous</v>
      </c>
      <c r="T19" s="16" t="str">
        <f>'Clean Data'!T18</f>
        <v>NaN</v>
      </c>
      <c r="U19" s="16" t="str">
        <f>'Clean Data'!U18</f>
        <v>NaN</v>
      </c>
      <c r="V19" s="16" t="str">
        <f>'Clean Data'!V18</f>
        <v>NaN</v>
      </c>
      <c r="W19" s="16">
        <f>'Clean Data'!W18</f>
        <v>0.23</v>
      </c>
      <c r="X19" s="16" t="str">
        <f>'Clean Data'!X18</f>
        <v>air</v>
      </c>
      <c r="Y19" s="16" t="str">
        <f>'Clean Data'!Y18</f>
        <v>fluidised bed</v>
      </c>
      <c r="Z19" s="16" t="str">
        <f>'Clean Data'!Z18</f>
        <v>olivine</v>
      </c>
      <c r="AA19" s="16">
        <f>'Clean Data'!AA18</f>
        <v>1</v>
      </c>
      <c r="AB19" s="16" t="str">
        <f>'Clean Data'!AB18</f>
        <v>pilot</v>
      </c>
      <c r="AC19" s="16">
        <f>'Clean Data'!AC18</f>
        <v>46.20000000000001</v>
      </c>
      <c r="AD19" s="16">
        <f>'Clean Data'!AD18</f>
        <v>30.6</v>
      </c>
      <c r="AE19" s="16">
        <f>'Clean Data'!AE18</f>
        <v>17.5</v>
      </c>
      <c r="AF19" s="16">
        <f>'Clean Data'!AF18</f>
        <v>2.2999999999999998</v>
      </c>
      <c r="AG19" s="16">
        <f>'Clean Data'!AG18</f>
        <v>2.8</v>
      </c>
      <c r="AH19" s="16">
        <f>'Clean Data'!AH18</f>
        <v>0.6</v>
      </c>
      <c r="AI19" s="16">
        <f>'Clean Data'!AI18</f>
        <v>6.9</v>
      </c>
      <c r="AJ19" s="16">
        <f>'Clean Data'!AJ18</f>
        <v>0</v>
      </c>
      <c r="AK19" s="16">
        <f>'Clean Data'!AK18</f>
        <v>4.9043478260869566</v>
      </c>
      <c r="AL19" s="16" t="str">
        <f>'Clean Data'!AL18</f>
        <v>NaN</v>
      </c>
      <c r="AM19" s="16">
        <f>'Clean Data'!AM18</f>
        <v>79</v>
      </c>
      <c r="AN19" s="16">
        <f>'Clean Data'!AN18</f>
        <v>67.345533152394083</v>
      </c>
      <c r="AO19" s="16" t="str">
        <f>'Clean Data'!AO18</f>
        <v>Arena, Waste Management 2010, 30, 1212-1219</v>
      </c>
      <c r="AP19" s="16"/>
      <c r="AQ19" s="16"/>
      <c r="AR19" s="16"/>
      <c r="AS19" s="16"/>
      <c r="AT19" s="16"/>
    </row>
    <row r="20" spans="1:46" x14ac:dyDescent="0.3">
      <c r="A20" s="16">
        <f>'Clean Data'!A19</f>
        <v>18</v>
      </c>
      <c r="B20" s="16" t="str">
        <f>'Clean Data'!B19</f>
        <v>plastics</v>
      </c>
      <c r="C20" s="16" t="str">
        <f>'Clean Data'!C19</f>
        <v>pellets</v>
      </c>
      <c r="D20" s="16">
        <f>'Clean Data'!D19</f>
        <v>1</v>
      </c>
      <c r="E20" s="16">
        <f>'Clean Data'!E19</f>
        <v>42.9</v>
      </c>
      <c r="F20" s="16">
        <f>'Clean Data'!F19</f>
        <v>85.775757372497495</v>
      </c>
      <c r="G20" s="16">
        <f>'Clean Data'!G19</f>
        <v>14.228206199229442</v>
      </c>
      <c r="H20" s="16">
        <f>'Clean Data'!H19</f>
        <v>0</v>
      </c>
      <c r="I20" s="16">
        <f>'Clean Data'!I19</f>
        <v>0</v>
      </c>
      <c r="J20" s="16">
        <f>'Clean Data'!J19</f>
        <v>0</v>
      </c>
      <c r="K20" s="16">
        <f>'Clean Data'!K19</f>
        <v>1.3038999999999998</v>
      </c>
      <c r="L20" s="16">
        <f>'Clean Data'!L19</f>
        <v>0.3</v>
      </c>
      <c r="M20" s="16" t="str">
        <f>'Clean Data'!M19</f>
        <v>NaN</v>
      </c>
      <c r="N20" s="16" t="str">
        <f>'Clean Data'!N19</f>
        <v>NaN</v>
      </c>
      <c r="O20" s="16" t="str">
        <f>'Clean Data'!O19</f>
        <v>NaN</v>
      </c>
      <c r="P20" s="16" t="str">
        <f>'Clean Data'!P19</f>
        <v>NaN</v>
      </c>
      <c r="Q20" s="16" t="str">
        <f>'Clean Data'!Q19</f>
        <v>NaN</v>
      </c>
      <c r="R20" s="16">
        <f>'Clean Data'!R19</f>
        <v>831</v>
      </c>
      <c r="S20" s="16" t="str">
        <f>'Clean Data'!S19</f>
        <v>continuous</v>
      </c>
      <c r="T20" s="16" t="str">
        <f>'Clean Data'!T19</f>
        <v>NaN</v>
      </c>
      <c r="U20" s="16" t="str">
        <f>'Clean Data'!U19</f>
        <v>NaN</v>
      </c>
      <c r="V20" s="16" t="str">
        <f>'Clean Data'!V19</f>
        <v>NaN</v>
      </c>
      <c r="W20" s="16">
        <f>'Clean Data'!W19</f>
        <v>0.27</v>
      </c>
      <c r="X20" s="16" t="str">
        <f>'Clean Data'!X19</f>
        <v>air</v>
      </c>
      <c r="Y20" s="16" t="str">
        <f>'Clean Data'!Y19</f>
        <v>fluidised bed</v>
      </c>
      <c r="Z20" s="16" t="str">
        <f>'Clean Data'!Z19</f>
        <v>olivine</v>
      </c>
      <c r="AA20" s="16">
        <f>'Clean Data'!AA19</f>
        <v>1</v>
      </c>
      <c r="AB20" s="16" t="str">
        <f>'Clean Data'!AB19</f>
        <v>pilot</v>
      </c>
      <c r="AC20" s="16">
        <f>'Clean Data'!AC19</f>
        <v>46.4</v>
      </c>
      <c r="AD20" s="16">
        <f>'Clean Data'!AD19</f>
        <v>28.2</v>
      </c>
      <c r="AE20" s="16">
        <f>'Clean Data'!AE19</f>
        <v>21.1</v>
      </c>
      <c r="AF20" s="16">
        <f>'Clean Data'!AF19</f>
        <v>1.5</v>
      </c>
      <c r="AG20" s="16">
        <f>'Clean Data'!AG19</f>
        <v>2.2999999999999998</v>
      </c>
      <c r="AH20" s="16">
        <f>'Clean Data'!AH19</f>
        <v>0.5</v>
      </c>
      <c r="AI20" s="16">
        <f>'Clean Data'!AI19</f>
        <v>6.8</v>
      </c>
      <c r="AJ20" s="16">
        <f>'Clean Data'!AJ19</f>
        <v>0</v>
      </c>
      <c r="AK20" s="16">
        <f>'Clean Data'!AK19</f>
        <v>5.8235294117647065</v>
      </c>
      <c r="AL20" s="16" t="str">
        <f>'Clean Data'!AL19</f>
        <v>NaN</v>
      </c>
      <c r="AM20" s="16">
        <f>'Clean Data'!AM19</f>
        <v>93</v>
      </c>
      <c r="AN20" s="16">
        <f>'Clean Data'!AN19</f>
        <v>86.616530544159701</v>
      </c>
      <c r="AO20" s="16" t="str">
        <f>'Clean Data'!AO19</f>
        <v>Arena, Waste Management 2010, 30, 1212-1219</v>
      </c>
      <c r="AP20" s="16"/>
      <c r="AQ20" s="16"/>
      <c r="AR20" s="16"/>
      <c r="AS20" s="16"/>
      <c r="AT20" s="16"/>
    </row>
    <row r="21" spans="1:46" x14ac:dyDescent="0.3">
      <c r="A21" s="16">
        <f>'Clean Data'!A20</f>
        <v>19</v>
      </c>
      <c r="B21" s="16" t="str">
        <f>'Clean Data'!B20</f>
        <v>plastics</v>
      </c>
      <c r="C21" s="16" t="str">
        <f>'Clean Data'!C20</f>
        <v>pellets</v>
      </c>
      <c r="D21" s="16">
        <f>'Clean Data'!D20</f>
        <v>1</v>
      </c>
      <c r="E21" s="16">
        <f>'Clean Data'!E20</f>
        <v>42.9</v>
      </c>
      <c r="F21" s="16">
        <f>'Clean Data'!F20</f>
        <v>85.775757372497495</v>
      </c>
      <c r="G21" s="16">
        <f>'Clean Data'!G20</f>
        <v>14.228206199229442</v>
      </c>
      <c r="H21" s="16">
        <f>'Clean Data'!H20</f>
        <v>0</v>
      </c>
      <c r="I21" s="16">
        <f>'Clean Data'!I20</f>
        <v>0</v>
      </c>
      <c r="J21" s="16">
        <f>'Clean Data'!J20</f>
        <v>0</v>
      </c>
      <c r="K21" s="16">
        <f>'Clean Data'!K20</f>
        <v>1.3038999999999998</v>
      </c>
      <c r="L21" s="16">
        <f>'Clean Data'!L20</f>
        <v>0.3</v>
      </c>
      <c r="M21" s="16" t="str">
        <f>'Clean Data'!M20</f>
        <v>NaN</v>
      </c>
      <c r="N21" s="16" t="str">
        <f>'Clean Data'!N20</f>
        <v>NaN</v>
      </c>
      <c r="O21" s="16" t="str">
        <f>'Clean Data'!O20</f>
        <v>NaN</v>
      </c>
      <c r="P21" s="16" t="str">
        <f>'Clean Data'!P20</f>
        <v>NaN</v>
      </c>
      <c r="Q21" s="16" t="str">
        <f>'Clean Data'!Q20</f>
        <v>NaN</v>
      </c>
      <c r="R21" s="16">
        <f>'Clean Data'!R20</f>
        <v>829</v>
      </c>
      <c r="S21" s="16" t="str">
        <f>'Clean Data'!S20</f>
        <v>continuous</v>
      </c>
      <c r="T21" s="16" t="str">
        <f>'Clean Data'!T20</f>
        <v>NaN</v>
      </c>
      <c r="U21" s="16" t="str">
        <f>'Clean Data'!U20</f>
        <v>NaN</v>
      </c>
      <c r="V21" s="16" t="str">
        <f>'Clean Data'!V20</f>
        <v>NaN</v>
      </c>
      <c r="W21" s="16">
        <f>'Clean Data'!W20</f>
        <v>0.24</v>
      </c>
      <c r="X21" s="16" t="str">
        <f>'Clean Data'!X20</f>
        <v>air</v>
      </c>
      <c r="Y21" s="16" t="str">
        <f>'Clean Data'!Y20</f>
        <v>fluidised bed</v>
      </c>
      <c r="Z21" s="16" t="str">
        <f>'Clean Data'!Z20</f>
        <v>olivine</v>
      </c>
      <c r="AA21" s="16">
        <f>'Clean Data'!AA20</f>
        <v>1</v>
      </c>
      <c r="AB21" s="16" t="str">
        <f>'Clean Data'!AB20</f>
        <v>pilot</v>
      </c>
      <c r="AC21" s="16">
        <f>'Clean Data'!AC20</f>
        <v>45.699999999999996</v>
      </c>
      <c r="AD21" s="16">
        <f>'Clean Data'!AD20</f>
        <v>29.5</v>
      </c>
      <c r="AE21" s="16">
        <f>'Clean Data'!AE20</f>
        <v>19.899999999999999</v>
      </c>
      <c r="AF21" s="16">
        <f>'Clean Data'!AF20</f>
        <v>1.7</v>
      </c>
      <c r="AG21" s="16">
        <f>'Clean Data'!AG20</f>
        <v>2.5</v>
      </c>
      <c r="AH21" s="16">
        <f>'Clean Data'!AH20</f>
        <v>0.7</v>
      </c>
      <c r="AI21" s="16">
        <f>'Clean Data'!AI20</f>
        <v>7</v>
      </c>
      <c r="AJ21" s="16">
        <f>'Clean Data'!AJ20</f>
        <v>0</v>
      </c>
      <c r="AK21" s="16">
        <f>'Clean Data'!AK20</f>
        <v>5.1428571428571432</v>
      </c>
      <c r="AL21" s="16" t="str">
        <f>'Clean Data'!AL20</f>
        <v>NaN</v>
      </c>
      <c r="AM21" s="16">
        <f>'Clean Data'!AM20</f>
        <v>84</v>
      </c>
      <c r="AN21" s="16">
        <f>'Clean Data'!AN20</f>
        <v>75.428583503542384</v>
      </c>
      <c r="AO21" s="16" t="str">
        <f>'Clean Data'!AO20</f>
        <v>Arena, Waste Management 2010, 30, 1212-1219</v>
      </c>
      <c r="AP21" s="16"/>
      <c r="AQ21" s="16"/>
      <c r="AR21" s="16"/>
      <c r="AS21" s="16"/>
      <c r="AT21" s="16"/>
    </row>
    <row r="22" spans="1:46" x14ac:dyDescent="0.3">
      <c r="A22" s="16">
        <f>'Clean Data'!A21</f>
        <v>20</v>
      </c>
      <c r="B22" s="16" t="str">
        <f>'Clean Data'!B21</f>
        <v>plastics</v>
      </c>
      <c r="C22" s="16" t="str">
        <f>'Clean Data'!C21</f>
        <v>pellets</v>
      </c>
      <c r="D22" s="16">
        <f>'Clean Data'!D21</f>
        <v>1</v>
      </c>
      <c r="E22" s="16">
        <f>'Clean Data'!E21</f>
        <v>42.9</v>
      </c>
      <c r="F22" s="16">
        <f>'Clean Data'!F21</f>
        <v>85.775757372497495</v>
      </c>
      <c r="G22" s="16">
        <f>'Clean Data'!G21</f>
        <v>14.228206199229442</v>
      </c>
      <c r="H22" s="16">
        <f>'Clean Data'!H21</f>
        <v>0</v>
      </c>
      <c r="I22" s="16">
        <f>'Clean Data'!I21</f>
        <v>0</v>
      </c>
      <c r="J22" s="16">
        <f>'Clean Data'!J21</f>
        <v>0</v>
      </c>
      <c r="K22" s="16">
        <f>'Clean Data'!K21</f>
        <v>1.3038999999999998</v>
      </c>
      <c r="L22" s="16">
        <f>'Clean Data'!L21</f>
        <v>0.3</v>
      </c>
      <c r="M22" s="16" t="str">
        <f>'Clean Data'!M21</f>
        <v>NaN</v>
      </c>
      <c r="N22" s="16" t="str">
        <f>'Clean Data'!N21</f>
        <v>NaN</v>
      </c>
      <c r="O22" s="16" t="str">
        <f>'Clean Data'!O21</f>
        <v>NaN</v>
      </c>
      <c r="P22" s="16" t="str">
        <f>'Clean Data'!P21</f>
        <v>NaN</v>
      </c>
      <c r="Q22" s="16" t="str">
        <f>'Clean Data'!Q21</f>
        <v>NaN</v>
      </c>
      <c r="R22" s="16">
        <f>'Clean Data'!R21</f>
        <v>879</v>
      </c>
      <c r="S22" s="16" t="str">
        <f>'Clean Data'!S21</f>
        <v>continuous</v>
      </c>
      <c r="T22" s="16" t="str">
        <f>'Clean Data'!T21</f>
        <v>NaN</v>
      </c>
      <c r="U22" s="16" t="str">
        <f>'Clean Data'!U21</f>
        <v>NaN</v>
      </c>
      <c r="V22" s="16" t="str">
        <f>'Clean Data'!V21</f>
        <v>NaN</v>
      </c>
      <c r="W22" s="16">
        <f>'Clean Data'!W21</f>
        <v>0.28999999999999998</v>
      </c>
      <c r="X22" s="16" t="str">
        <f>'Clean Data'!X21</f>
        <v>air</v>
      </c>
      <c r="Y22" s="16" t="str">
        <f>'Clean Data'!Y21</f>
        <v>fluidised bed</v>
      </c>
      <c r="Z22" s="16" t="str">
        <f>'Clean Data'!Z21</f>
        <v>dolomite</v>
      </c>
      <c r="AA22" s="16">
        <f>'Clean Data'!AA21</f>
        <v>1</v>
      </c>
      <c r="AB22" s="16" t="str">
        <f>'Clean Data'!AB21</f>
        <v>pilot</v>
      </c>
      <c r="AC22" s="16">
        <f>'Clean Data'!AC21</f>
        <v>54.800000000000004</v>
      </c>
      <c r="AD22" s="16">
        <f>'Clean Data'!AD21</f>
        <v>13.7</v>
      </c>
      <c r="AE22" s="16">
        <f>'Clean Data'!AE21</f>
        <v>16.7</v>
      </c>
      <c r="AF22" s="16">
        <f>'Clean Data'!AF21</f>
        <v>5.0999999999999996</v>
      </c>
      <c r="AG22" s="16">
        <f>'Clean Data'!AG21</f>
        <v>7.3</v>
      </c>
      <c r="AH22" s="16">
        <f>'Clean Data'!AH21</f>
        <v>2.4</v>
      </c>
      <c r="AI22" s="16">
        <f>'Clean Data'!AI21</f>
        <v>7.7</v>
      </c>
      <c r="AJ22" s="16">
        <f>'Clean Data'!AJ21</f>
        <v>0</v>
      </c>
      <c r="AK22" s="16">
        <f>'Clean Data'!AK21</f>
        <v>5.1428571428571432</v>
      </c>
      <c r="AL22" s="16" t="str">
        <f>'Clean Data'!AL21</f>
        <v>NaN</v>
      </c>
      <c r="AM22" s="16">
        <f>'Clean Data'!AM21</f>
        <v>93</v>
      </c>
      <c r="AN22" s="16">
        <f>'Clean Data'!AN21</f>
        <v>101.55304783854578</v>
      </c>
      <c r="AO22" s="16" t="str">
        <f>'Clean Data'!AO21</f>
        <v>Arena, Waste Management 2010, 30, 1212-1219</v>
      </c>
      <c r="AP22" s="16"/>
      <c r="AQ22" s="16"/>
      <c r="AR22" s="16"/>
      <c r="AS22" s="16"/>
      <c r="AT22" s="16"/>
    </row>
    <row r="23" spans="1:46" x14ac:dyDescent="0.3">
      <c r="A23" s="16">
        <f>'Clean Data'!A22</f>
        <v>21</v>
      </c>
      <c r="B23" s="16" t="str">
        <f>'Clean Data'!B22</f>
        <v>plastics</v>
      </c>
      <c r="C23" s="16" t="str">
        <f>'Clean Data'!C22</f>
        <v>pellets</v>
      </c>
      <c r="D23" s="16" t="str">
        <f>'Clean Data'!D22</f>
        <v>NaN</v>
      </c>
      <c r="E23" s="16">
        <f>'Clean Data'!E22</f>
        <v>33.4</v>
      </c>
      <c r="F23" s="16">
        <f>'Clean Data'!F22</f>
        <v>73.494654639876188</v>
      </c>
      <c r="G23" s="16">
        <f>'Clean Data'!G22</f>
        <v>11.008009946060751</v>
      </c>
      <c r="H23" s="16">
        <f>'Clean Data'!H22</f>
        <v>0</v>
      </c>
      <c r="I23" s="16">
        <f>'Clean Data'!I22</f>
        <v>0.10792166613785051</v>
      </c>
      <c r="J23" s="16">
        <f>'Clean Data'!J22</f>
        <v>15.432798257712623</v>
      </c>
      <c r="K23" s="16">
        <f>'Clean Data'!K22</f>
        <v>6.7402000000000006</v>
      </c>
      <c r="L23" s="16">
        <f>'Clean Data'!L22</f>
        <v>0.6</v>
      </c>
      <c r="M23" s="16" t="str">
        <f>'Clean Data'!M22</f>
        <v>NaN</v>
      </c>
      <c r="N23" s="16" t="str">
        <f>'Clean Data'!N22</f>
        <v>NaN</v>
      </c>
      <c r="O23" s="16" t="str">
        <f>'Clean Data'!O22</f>
        <v>NaN</v>
      </c>
      <c r="P23" s="16" t="str">
        <f>'Clean Data'!P22</f>
        <v>NaN</v>
      </c>
      <c r="Q23" s="16" t="str">
        <f>'Clean Data'!Q22</f>
        <v>NaN</v>
      </c>
      <c r="R23" s="16">
        <f>'Clean Data'!R22</f>
        <v>914</v>
      </c>
      <c r="S23" s="16" t="str">
        <f>'Clean Data'!S22</f>
        <v>continuous</v>
      </c>
      <c r="T23" s="16" t="str">
        <f>'Clean Data'!T22</f>
        <v>NaN</v>
      </c>
      <c r="U23" s="16" t="str">
        <f>'Clean Data'!U22</f>
        <v>NaN</v>
      </c>
      <c r="V23" s="16" t="str">
        <f>'Clean Data'!V22</f>
        <v>NaN</v>
      </c>
      <c r="W23" s="16">
        <f>'Clean Data'!W22</f>
        <v>0.31</v>
      </c>
      <c r="X23" s="16" t="str">
        <f>'Clean Data'!X22</f>
        <v>air</v>
      </c>
      <c r="Y23" s="16" t="str">
        <f>'Clean Data'!Y22</f>
        <v>fluidised bed</v>
      </c>
      <c r="Z23" s="16" t="str">
        <f>'Clean Data'!Z22</f>
        <v>olivine</v>
      </c>
      <c r="AA23" s="16">
        <f>'Clean Data'!AA22</f>
        <v>1</v>
      </c>
      <c r="AB23" s="16" t="str">
        <f>'Clean Data'!AB22</f>
        <v>pilot</v>
      </c>
      <c r="AC23" s="16">
        <f>'Clean Data'!AC22</f>
        <v>68.5</v>
      </c>
      <c r="AD23" s="16">
        <f>'Clean Data'!AD22</f>
        <v>6.6</v>
      </c>
      <c r="AE23" s="16">
        <f>'Clean Data'!AE22</f>
        <v>4.8</v>
      </c>
      <c r="AF23" s="16">
        <f>'Clean Data'!AF22</f>
        <v>11.4</v>
      </c>
      <c r="AG23" s="16">
        <f>'Clean Data'!AG22</f>
        <v>6.3</v>
      </c>
      <c r="AH23" s="16">
        <f>'Clean Data'!AH22</f>
        <v>2.4</v>
      </c>
      <c r="AI23" s="16">
        <f>'Clean Data'!AI22</f>
        <v>5.2</v>
      </c>
      <c r="AJ23" s="16">
        <f>'Clean Data'!AJ22</f>
        <v>56</v>
      </c>
      <c r="AK23" s="16">
        <f>'Clean Data'!AK22</f>
        <v>3.3230769230769233</v>
      </c>
      <c r="AL23" s="16" t="str">
        <f>'Clean Data'!AL22</f>
        <v>NaN</v>
      </c>
      <c r="AM23" s="16">
        <f>'Clean Data'!AM22</f>
        <v>52</v>
      </c>
      <c r="AN23" s="16">
        <f>'Clean Data'!AN22</f>
        <v>63.45004886983007</v>
      </c>
      <c r="AO23" s="16" t="str">
        <f>'Clean Data'!AO22</f>
        <v>Arena, Waste Management 2010, 30, 1212-1219</v>
      </c>
      <c r="AP23" s="16"/>
      <c r="AQ23" s="16"/>
      <c r="AR23" s="16"/>
      <c r="AS23" s="16"/>
      <c r="AT23" s="16"/>
    </row>
    <row r="24" spans="1:46" x14ac:dyDescent="0.3">
      <c r="A24" s="16">
        <f>'Clean Data'!A23</f>
        <v>22</v>
      </c>
      <c r="B24" s="16" t="str">
        <f>'Clean Data'!B23</f>
        <v>plastics</v>
      </c>
      <c r="C24" s="16" t="str">
        <f>'Clean Data'!C23</f>
        <v>pellets</v>
      </c>
      <c r="D24" s="16" t="str">
        <f>'Clean Data'!D23</f>
        <v>NaN</v>
      </c>
      <c r="E24" s="16">
        <f>'Clean Data'!E23</f>
        <v>33.4</v>
      </c>
      <c r="F24" s="16">
        <f>'Clean Data'!F23</f>
        <v>73.494654639876188</v>
      </c>
      <c r="G24" s="16">
        <f>'Clean Data'!G23</f>
        <v>11.008009946060751</v>
      </c>
      <c r="H24" s="16">
        <f>'Clean Data'!H23</f>
        <v>0</v>
      </c>
      <c r="I24" s="16">
        <f>'Clean Data'!I23</f>
        <v>0.10792166613785051</v>
      </c>
      <c r="J24" s="16">
        <f>'Clean Data'!J23</f>
        <v>15.432798257712623</v>
      </c>
      <c r="K24" s="16">
        <f>'Clean Data'!K23</f>
        <v>6.7402000000000006</v>
      </c>
      <c r="L24" s="16">
        <f>'Clean Data'!L23</f>
        <v>0.6</v>
      </c>
      <c r="M24" s="16" t="str">
        <f>'Clean Data'!M23</f>
        <v>NaN</v>
      </c>
      <c r="N24" s="16" t="str">
        <f>'Clean Data'!N23</f>
        <v>NaN</v>
      </c>
      <c r="O24" s="16" t="str">
        <f>'Clean Data'!O23</f>
        <v>NaN</v>
      </c>
      <c r="P24" s="16" t="str">
        <f>'Clean Data'!P23</f>
        <v>NaN</v>
      </c>
      <c r="Q24" s="16" t="str">
        <f>'Clean Data'!Q23</f>
        <v>NaN</v>
      </c>
      <c r="R24" s="16">
        <f>'Clean Data'!R23</f>
        <v>884</v>
      </c>
      <c r="S24" s="16" t="str">
        <f>'Clean Data'!S23</f>
        <v>continuous</v>
      </c>
      <c r="T24" s="16" t="str">
        <f>'Clean Data'!T23</f>
        <v>NaN</v>
      </c>
      <c r="U24" s="16" t="str">
        <f>'Clean Data'!U23</f>
        <v>NaN</v>
      </c>
      <c r="V24" s="16" t="str">
        <f>'Clean Data'!V23</f>
        <v>NaN</v>
      </c>
      <c r="W24" s="16">
        <f>'Clean Data'!W23</f>
        <v>0.25</v>
      </c>
      <c r="X24" s="16" t="str">
        <f>'Clean Data'!X23</f>
        <v>air</v>
      </c>
      <c r="Y24" s="16" t="str">
        <f>'Clean Data'!Y23</f>
        <v>fluidised bed</v>
      </c>
      <c r="Z24" s="16" t="str">
        <f>'Clean Data'!Z23</f>
        <v>olivine</v>
      </c>
      <c r="AA24" s="16">
        <f>'Clean Data'!AA23</f>
        <v>1</v>
      </c>
      <c r="AB24" s="16" t="str">
        <f>'Clean Data'!AB23</f>
        <v>pilot</v>
      </c>
      <c r="AC24" s="16">
        <f>'Clean Data'!AC23</f>
        <v>64.2</v>
      </c>
      <c r="AD24" s="16">
        <f>'Clean Data'!AD23</f>
        <v>8</v>
      </c>
      <c r="AE24" s="16">
        <f>'Clean Data'!AE23</f>
        <v>4.5999999999999996</v>
      </c>
      <c r="AF24" s="16">
        <f>'Clean Data'!AF23</f>
        <v>11.6</v>
      </c>
      <c r="AG24" s="16">
        <f>'Clean Data'!AG23</f>
        <v>7.9</v>
      </c>
      <c r="AH24" s="16">
        <f>'Clean Data'!AH23</f>
        <v>3.7</v>
      </c>
      <c r="AI24" s="16">
        <f>'Clean Data'!AI23</f>
        <v>6.4</v>
      </c>
      <c r="AJ24" s="16">
        <f>'Clean Data'!AJ23</f>
        <v>55</v>
      </c>
      <c r="AK24" s="16">
        <f>'Clean Data'!AK23</f>
        <v>3.0375000000000001</v>
      </c>
      <c r="AL24" s="16" t="str">
        <f>'Clean Data'!AL23</f>
        <v>NaN</v>
      </c>
      <c r="AM24" s="16">
        <f>'Clean Data'!AM23</f>
        <v>57.999999999999993</v>
      </c>
      <c r="AN24" s="16">
        <f>'Clean Data'!AN23</f>
        <v>66.732484927885878</v>
      </c>
      <c r="AO24" s="16" t="str">
        <f>'Clean Data'!AO23</f>
        <v>Arena, Waste Management 2010, 30, 1212-1219</v>
      </c>
      <c r="AP24" s="16"/>
      <c r="AQ24" s="16"/>
      <c r="AR24" s="16"/>
      <c r="AS24" s="16"/>
      <c r="AT24" s="16"/>
    </row>
    <row r="25" spans="1:46" x14ac:dyDescent="0.3">
      <c r="A25" s="16">
        <f>'Clean Data'!A24</f>
        <v>23</v>
      </c>
      <c r="B25" s="16" t="str">
        <f>'Clean Data'!B24</f>
        <v>plastics</v>
      </c>
      <c r="C25" s="16" t="str">
        <f>'Clean Data'!C24</f>
        <v>pellets</v>
      </c>
      <c r="D25" s="16" t="str">
        <f>'Clean Data'!D24</f>
        <v>NaN</v>
      </c>
      <c r="E25" s="16">
        <f>'Clean Data'!E24</f>
        <v>33.4</v>
      </c>
      <c r="F25" s="16">
        <f>'Clean Data'!F24</f>
        <v>73.494654639876188</v>
      </c>
      <c r="G25" s="16">
        <f>'Clean Data'!G24</f>
        <v>11.008009946060751</v>
      </c>
      <c r="H25" s="16">
        <f>'Clean Data'!H24</f>
        <v>0</v>
      </c>
      <c r="I25" s="16">
        <f>'Clean Data'!I24</f>
        <v>0.10792166613785051</v>
      </c>
      <c r="J25" s="16">
        <f>'Clean Data'!J24</f>
        <v>15.432798257712623</v>
      </c>
      <c r="K25" s="16">
        <f>'Clean Data'!K24</f>
        <v>6.7402000000000006</v>
      </c>
      <c r="L25" s="16">
        <f>'Clean Data'!L24</f>
        <v>0.6</v>
      </c>
      <c r="M25" s="16" t="str">
        <f>'Clean Data'!M24</f>
        <v>NaN</v>
      </c>
      <c r="N25" s="16" t="str">
        <f>'Clean Data'!N24</f>
        <v>NaN</v>
      </c>
      <c r="O25" s="16" t="str">
        <f>'Clean Data'!O24</f>
        <v>NaN</v>
      </c>
      <c r="P25" s="16" t="str">
        <f>'Clean Data'!P24</f>
        <v>NaN</v>
      </c>
      <c r="Q25" s="16" t="str">
        <f>'Clean Data'!Q24</f>
        <v>NaN</v>
      </c>
      <c r="R25" s="16">
        <f>'Clean Data'!R24</f>
        <v>869</v>
      </c>
      <c r="S25" s="16" t="str">
        <f>'Clean Data'!S24</f>
        <v>continuous</v>
      </c>
      <c r="T25" s="16" t="str">
        <f>'Clean Data'!T24</f>
        <v>NaN</v>
      </c>
      <c r="U25" s="16" t="str">
        <f>'Clean Data'!U24</f>
        <v>NaN</v>
      </c>
      <c r="V25" s="16" t="str">
        <f>'Clean Data'!V24</f>
        <v>NaN</v>
      </c>
      <c r="W25" s="16">
        <f>'Clean Data'!W24</f>
        <v>0.22</v>
      </c>
      <c r="X25" s="16" t="str">
        <f>'Clean Data'!X24</f>
        <v>air</v>
      </c>
      <c r="Y25" s="16" t="str">
        <f>'Clean Data'!Y24</f>
        <v>fluidised bed</v>
      </c>
      <c r="Z25" s="16" t="str">
        <f>'Clean Data'!Z24</f>
        <v>olivine</v>
      </c>
      <c r="AA25" s="16">
        <f>'Clean Data'!AA24</f>
        <v>1</v>
      </c>
      <c r="AB25" s="16" t="str">
        <f>'Clean Data'!AB24</f>
        <v>pilot</v>
      </c>
      <c r="AC25" s="16">
        <f>'Clean Data'!AC24</f>
        <v>66.300000000000011</v>
      </c>
      <c r="AD25" s="16">
        <f>'Clean Data'!AD24</f>
        <v>6.8</v>
      </c>
      <c r="AE25" s="16">
        <f>'Clean Data'!AE24</f>
        <v>3.7</v>
      </c>
      <c r="AF25" s="16">
        <f>'Clean Data'!AF24</f>
        <v>11.1</v>
      </c>
      <c r="AG25" s="16">
        <f>'Clean Data'!AG24</f>
        <v>7.3</v>
      </c>
      <c r="AH25" s="16">
        <f>'Clean Data'!AH24</f>
        <v>4.8</v>
      </c>
      <c r="AI25" s="16">
        <f>'Clean Data'!AI24</f>
        <v>6.8</v>
      </c>
      <c r="AJ25" s="16">
        <f>'Clean Data'!AJ24</f>
        <v>99</v>
      </c>
      <c r="AK25" s="16">
        <f>'Clean Data'!AK24</f>
        <v>2.6470588235294117</v>
      </c>
      <c r="AL25" s="16" t="str">
        <f>'Clean Data'!AL24</f>
        <v>NaN</v>
      </c>
      <c r="AM25" s="16">
        <f>'Clean Data'!AM24</f>
        <v>54</v>
      </c>
      <c r="AN25" s="16">
        <f>'Clean Data'!AN24</f>
        <v>58.540799197025507</v>
      </c>
      <c r="AO25" s="16" t="str">
        <f>'Clean Data'!AO24</f>
        <v>Arena, Waste Management 2010, 30, 1212-1219</v>
      </c>
      <c r="AP25" s="16"/>
      <c r="AQ25" s="16"/>
      <c r="AR25" s="16"/>
      <c r="AS25" s="16"/>
      <c r="AT25" s="16"/>
    </row>
    <row r="26" spans="1:46" x14ac:dyDescent="0.3">
      <c r="A26" s="16">
        <f>'Clean Data'!A25</f>
        <v>24</v>
      </c>
      <c r="B26" s="16" t="str">
        <f>'Clean Data'!B25</f>
        <v>plastics</v>
      </c>
      <c r="C26" s="16" t="str">
        <f>'Clean Data'!C25</f>
        <v>pellets</v>
      </c>
      <c r="D26" s="16" t="str">
        <f>'Clean Data'!D25</f>
        <v>NaN</v>
      </c>
      <c r="E26" s="16">
        <f>'Clean Data'!E25</f>
        <v>40.200000000000003</v>
      </c>
      <c r="F26" s="16">
        <f>'Clean Data'!F25</f>
        <v>81.633323646863502</v>
      </c>
      <c r="G26" s="16">
        <f>'Clean Data'!G25</f>
        <v>13.451528802187569</v>
      </c>
      <c r="H26" s="16">
        <f>'Clean Data'!H25</f>
        <v>0.20536685194179496</v>
      </c>
      <c r="I26" s="16">
        <f>'Clean Data'!I25</f>
        <v>0.10268342597089748</v>
      </c>
      <c r="J26" s="16">
        <f>'Clean Data'!J25</f>
        <v>4.6207541686903868</v>
      </c>
      <c r="K26" s="16">
        <f>'Clean Data'!K25</f>
        <v>1.9133000000000002</v>
      </c>
      <c r="L26" s="16">
        <f>'Clean Data'!L25</f>
        <v>0.7</v>
      </c>
      <c r="M26" s="16" t="str">
        <f>'Clean Data'!M25</f>
        <v>NaN</v>
      </c>
      <c r="N26" s="16" t="str">
        <f>'Clean Data'!N25</f>
        <v>NaN</v>
      </c>
      <c r="O26" s="16" t="str">
        <f>'Clean Data'!O25</f>
        <v>NaN</v>
      </c>
      <c r="P26" s="16" t="str">
        <f>'Clean Data'!P25</f>
        <v>NaN</v>
      </c>
      <c r="Q26" s="16" t="str">
        <f>'Clean Data'!Q25</f>
        <v>NaN</v>
      </c>
      <c r="R26" s="16">
        <f>'Clean Data'!R25</f>
        <v>894</v>
      </c>
      <c r="S26" s="16" t="str">
        <f>'Clean Data'!S25</f>
        <v>continuous</v>
      </c>
      <c r="T26" s="16" t="str">
        <f>'Clean Data'!T25</f>
        <v>NaN</v>
      </c>
      <c r="U26" s="16" t="str">
        <f>'Clean Data'!U25</f>
        <v>NaN</v>
      </c>
      <c r="V26" s="16" t="str">
        <f>'Clean Data'!V25</f>
        <v>NaN</v>
      </c>
      <c r="W26" s="16">
        <f>'Clean Data'!W25</f>
        <v>0.27</v>
      </c>
      <c r="X26" s="16" t="str">
        <f>'Clean Data'!X25</f>
        <v>air</v>
      </c>
      <c r="Y26" s="16" t="str">
        <f>'Clean Data'!Y25</f>
        <v>fluidised bed</v>
      </c>
      <c r="Z26" s="16" t="str">
        <f>'Clean Data'!Z25</f>
        <v>olivine</v>
      </c>
      <c r="AA26" s="16">
        <f>'Clean Data'!AA25</f>
        <v>1</v>
      </c>
      <c r="AB26" s="16" t="str">
        <f>'Clean Data'!AB25</f>
        <v>pilot</v>
      </c>
      <c r="AC26" s="16">
        <f>'Clean Data'!AC25</f>
        <v>65.600000000000009</v>
      </c>
      <c r="AD26" s="16">
        <f>'Clean Data'!AD25</f>
        <v>8.6</v>
      </c>
      <c r="AE26" s="16">
        <f>'Clean Data'!AE25</f>
        <v>5.3</v>
      </c>
      <c r="AF26" s="16">
        <f>'Clean Data'!AF25</f>
        <v>9.8000000000000007</v>
      </c>
      <c r="AG26" s="16">
        <f>'Clean Data'!AG25</f>
        <v>7.3</v>
      </c>
      <c r="AH26" s="16">
        <f>'Clean Data'!AH25</f>
        <v>3.4</v>
      </c>
      <c r="AI26" s="16">
        <f>'Clean Data'!AI25</f>
        <v>6.4</v>
      </c>
      <c r="AJ26" s="16">
        <f>'Clean Data'!AJ25</f>
        <v>59</v>
      </c>
      <c r="AK26" s="16">
        <f>'Clean Data'!AK25</f>
        <v>3.7687499999999998</v>
      </c>
      <c r="AL26" s="16" t="str">
        <f>'Clean Data'!AL25</f>
        <v>NaN</v>
      </c>
      <c r="AM26" s="16">
        <f>'Clean Data'!AM25</f>
        <v>60</v>
      </c>
      <c r="AN26" s="16">
        <f>'Clean Data'!AN25</f>
        <v>68.868693176287636</v>
      </c>
      <c r="AO26" s="16" t="str">
        <f>'Clean Data'!AO25</f>
        <v>Arena, Waste Management 2010, 30, 1212-1219</v>
      </c>
      <c r="AP26" s="16"/>
      <c r="AQ26" s="16"/>
      <c r="AR26" s="16"/>
      <c r="AS26" s="16"/>
      <c r="AT26" s="16"/>
    </row>
    <row r="27" spans="1:46" x14ac:dyDescent="0.3">
      <c r="A27" s="16">
        <f>'Clean Data'!A26</f>
        <v>25</v>
      </c>
      <c r="B27" s="16" t="str">
        <f>'Clean Data'!B26</f>
        <v>plastics</v>
      </c>
      <c r="C27" s="16" t="str">
        <f>'Clean Data'!C26</f>
        <v>pellets</v>
      </c>
      <c r="D27" s="16" t="str">
        <f>'Clean Data'!D26</f>
        <v>NaN</v>
      </c>
      <c r="E27" s="16">
        <f>'Clean Data'!E26</f>
        <v>40.200000000000003</v>
      </c>
      <c r="F27" s="16">
        <f>'Clean Data'!F26</f>
        <v>81.633323646863502</v>
      </c>
      <c r="G27" s="16">
        <f>'Clean Data'!G26</f>
        <v>13.451528802187569</v>
      </c>
      <c r="H27" s="16">
        <f>'Clean Data'!H26</f>
        <v>0.20536685194179496</v>
      </c>
      <c r="I27" s="16">
        <f>'Clean Data'!I26</f>
        <v>0.10268342597089748</v>
      </c>
      <c r="J27" s="16">
        <f>'Clean Data'!J26</f>
        <v>4.6207541686903868</v>
      </c>
      <c r="K27" s="16">
        <f>'Clean Data'!K26</f>
        <v>1.9133000000000002</v>
      </c>
      <c r="L27" s="16">
        <f>'Clean Data'!L26</f>
        <v>0.7</v>
      </c>
      <c r="M27" s="16" t="str">
        <f>'Clean Data'!M26</f>
        <v>NaN</v>
      </c>
      <c r="N27" s="16" t="str">
        <f>'Clean Data'!N26</f>
        <v>NaN</v>
      </c>
      <c r="O27" s="16" t="str">
        <f>'Clean Data'!O26</f>
        <v>NaN</v>
      </c>
      <c r="P27" s="16" t="str">
        <f>'Clean Data'!P26</f>
        <v>NaN</v>
      </c>
      <c r="Q27" s="16" t="str">
        <f>'Clean Data'!Q26</f>
        <v>NaN</v>
      </c>
      <c r="R27" s="16">
        <f>'Clean Data'!R26</f>
        <v>890</v>
      </c>
      <c r="S27" s="16" t="str">
        <f>'Clean Data'!S26</f>
        <v>continuous</v>
      </c>
      <c r="T27" s="16" t="str">
        <f>'Clean Data'!T26</f>
        <v>NaN</v>
      </c>
      <c r="U27" s="16" t="str">
        <f>'Clean Data'!U26</f>
        <v>NaN</v>
      </c>
      <c r="V27" s="16" t="str">
        <f>'Clean Data'!V26</f>
        <v>NaN</v>
      </c>
      <c r="W27" s="16">
        <f>'Clean Data'!W26</f>
        <v>0.24</v>
      </c>
      <c r="X27" s="16" t="str">
        <f>'Clean Data'!X26</f>
        <v>air</v>
      </c>
      <c r="Y27" s="16" t="str">
        <f>'Clean Data'!Y26</f>
        <v>fluidised bed</v>
      </c>
      <c r="Z27" s="16" t="str">
        <f>'Clean Data'!Z26</f>
        <v>olivine</v>
      </c>
      <c r="AA27" s="16">
        <f>'Clean Data'!AA26</f>
        <v>1</v>
      </c>
      <c r="AB27" s="16" t="str">
        <f>'Clean Data'!AB26</f>
        <v>pilot</v>
      </c>
      <c r="AC27" s="16">
        <f>'Clean Data'!AC26</f>
        <v>61.000000000000007</v>
      </c>
      <c r="AD27" s="16">
        <f>'Clean Data'!AD26</f>
        <v>9.6</v>
      </c>
      <c r="AE27" s="16">
        <f>'Clean Data'!AE26</f>
        <v>4.5</v>
      </c>
      <c r="AF27" s="16">
        <f>'Clean Data'!AF26</f>
        <v>10.9</v>
      </c>
      <c r="AG27" s="16">
        <f>'Clean Data'!AG26</f>
        <v>8.6</v>
      </c>
      <c r="AH27" s="16">
        <f>'Clean Data'!AH26</f>
        <v>5.4</v>
      </c>
      <c r="AI27" s="16">
        <f>'Clean Data'!AI26</f>
        <v>7.9</v>
      </c>
      <c r="AJ27" s="16">
        <f>'Clean Data'!AJ26</f>
        <v>32</v>
      </c>
      <c r="AK27" s="16">
        <f>'Clean Data'!AK26</f>
        <v>3.5088607594936709</v>
      </c>
      <c r="AL27" s="16" t="str">
        <f>'Clean Data'!AL26</f>
        <v>NaN</v>
      </c>
      <c r="AM27" s="16">
        <f>'Clean Data'!AM26</f>
        <v>69</v>
      </c>
      <c r="AN27" s="16">
        <f>'Clean Data'!AN26</f>
        <v>76.441030928933358</v>
      </c>
      <c r="AO27" s="16" t="str">
        <f>'Clean Data'!AO26</f>
        <v>Arena, Waste Management 2010, 30, 1212-1219</v>
      </c>
      <c r="AP27" s="16"/>
      <c r="AQ27" s="16"/>
      <c r="AR27" s="16"/>
      <c r="AS27" s="16"/>
      <c r="AT27" s="16"/>
    </row>
    <row r="28" spans="1:46" x14ac:dyDescent="0.3">
      <c r="A28" s="16">
        <f>'Clean Data'!A27</f>
        <v>26</v>
      </c>
      <c r="B28" s="16" t="str">
        <f>'Clean Data'!B27</f>
        <v>plastics</v>
      </c>
      <c r="C28" s="16" t="str">
        <f>'Clean Data'!C27</f>
        <v>pellets</v>
      </c>
      <c r="D28" s="16">
        <f>'Clean Data'!D27</f>
        <v>1.5</v>
      </c>
      <c r="E28" s="16">
        <f>'Clean Data'!E27</f>
        <v>25.400000000000002</v>
      </c>
      <c r="F28" s="16">
        <f>'Clean Data'!F27</f>
        <v>61.132181613617384</v>
      </c>
      <c r="G28" s="16">
        <f>'Clean Data'!G27</f>
        <v>8.7331688019453413</v>
      </c>
      <c r="H28" s="16">
        <f>'Clean Data'!H27</f>
        <v>0.56708888324320395</v>
      </c>
      <c r="I28" s="16">
        <f>'Clean Data'!I27</f>
        <v>0.11341777664864079</v>
      </c>
      <c r="J28" s="16">
        <f>'Clean Data'!J27</f>
        <v>29.828875258592529</v>
      </c>
      <c r="K28" s="16">
        <f>'Clean Data'!K27</f>
        <v>6.2304000000000004</v>
      </c>
      <c r="L28" s="16">
        <f>'Clean Data'!L27</f>
        <v>5.6</v>
      </c>
      <c r="M28" s="16" t="str">
        <f>'Clean Data'!M27</f>
        <v>NaN</v>
      </c>
      <c r="N28" s="16" t="str">
        <f>'Clean Data'!N27</f>
        <v>NaN</v>
      </c>
      <c r="O28" s="16" t="str">
        <f>'Clean Data'!O27</f>
        <v>NaN</v>
      </c>
      <c r="P28" s="16" t="str">
        <f>'Clean Data'!P27</f>
        <v>NaN</v>
      </c>
      <c r="Q28" s="16" t="str">
        <f>'Clean Data'!Q27</f>
        <v>NaN</v>
      </c>
      <c r="R28" s="16">
        <f>'Clean Data'!R27</f>
        <v>879</v>
      </c>
      <c r="S28" s="16" t="str">
        <f>'Clean Data'!S27</f>
        <v>continuous</v>
      </c>
      <c r="T28" s="16" t="str">
        <f>'Clean Data'!T27</f>
        <v>NaN</v>
      </c>
      <c r="U28" s="16" t="str">
        <f>'Clean Data'!U27</f>
        <v>NaN</v>
      </c>
      <c r="V28" s="16" t="str">
        <f>'Clean Data'!V27</f>
        <v>NaN</v>
      </c>
      <c r="W28" s="16">
        <f>'Clean Data'!W27</f>
        <v>0.26</v>
      </c>
      <c r="X28" s="16" t="str">
        <f>'Clean Data'!X27</f>
        <v>air</v>
      </c>
      <c r="Y28" s="16" t="str">
        <f>'Clean Data'!Y27</f>
        <v>fluidised bed</v>
      </c>
      <c r="Z28" s="16" t="str">
        <f>'Clean Data'!Z27</f>
        <v>olivine</v>
      </c>
      <c r="AA28" s="16">
        <f>'Clean Data'!AA27</f>
        <v>1</v>
      </c>
      <c r="AB28" s="16" t="str">
        <f>'Clean Data'!AB27</f>
        <v>pilot</v>
      </c>
      <c r="AC28" s="16">
        <f>'Clean Data'!AC27</f>
        <v>55.800000000000004</v>
      </c>
      <c r="AD28" s="16">
        <f>'Clean Data'!AD27</f>
        <v>9.9</v>
      </c>
      <c r="AE28" s="16">
        <f>'Clean Data'!AE27</f>
        <v>11.6</v>
      </c>
      <c r="AF28" s="16">
        <f>'Clean Data'!AF27</f>
        <v>14.3</v>
      </c>
      <c r="AG28" s="16">
        <f>'Clean Data'!AG27</f>
        <v>6.3</v>
      </c>
      <c r="AH28" s="16">
        <f>'Clean Data'!AH27</f>
        <v>2.1</v>
      </c>
      <c r="AI28" s="16">
        <f>'Clean Data'!AI27</f>
        <v>6.2</v>
      </c>
      <c r="AJ28" s="16">
        <f>'Clean Data'!AJ27</f>
        <v>19</v>
      </c>
      <c r="AK28" s="16">
        <f>'Clean Data'!AK27</f>
        <v>2.4387096774193551</v>
      </c>
      <c r="AL28" s="16" t="str">
        <f>'Clean Data'!AL27</f>
        <v>NaN</v>
      </c>
      <c r="AM28" s="16">
        <f>'Clean Data'!AM27</f>
        <v>60</v>
      </c>
      <c r="AN28" s="16">
        <f>'Clean Data'!AN27</f>
        <v>74.270694432959488</v>
      </c>
      <c r="AO28" s="16" t="str">
        <f>'Clean Data'!AO27</f>
        <v>Arena, Waste Management 2010, 30, 1212-1219</v>
      </c>
      <c r="AP28" s="16"/>
      <c r="AQ28" s="16"/>
      <c r="AR28" s="16"/>
      <c r="AS28" s="16"/>
      <c r="AT28" s="16"/>
    </row>
    <row r="29" spans="1:46" x14ac:dyDescent="0.3">
      <c r="A29" s="16">
        <f>'Clean Data'!A28</f>
        <v>27</v>
      </c>
      <c r="B29" s="16" t="str">
        <f>'Clean Data'!B28</f>
        <v>plastics</v>
      </c>
      <c r="C29" s="16" t="str">
        <f>'Clean Data'!C28</f>
        <v>pellets</v>
      </c>
      <c r="D29" s="16">
        <f>'Clean Data'!D28</f>
        <v>1.5</v>
      </c>
      <c r="E29" s="16">
        <f>'Clean Data'!E28</f>
        <v>25.400000000000002</v>
      </c>
      <c r="F29" s="16">
        <f>'Clean Data'!F28</f>
        <v>61.132181613617384</v>
      </c>
      <c r="G29" s="16">
        <f>'Clean Data'!G28</f>
        <v>8.7331688019453413</v>
      </c>
      <c r="H29" s="16">
        <f>'Clean Data'!H28</f>
        <v>0.56708888324320395</v>
      </c>
      <c r="I29" s="16">
        <f>'Clean Data'!I28</f>
        <v>0.11341777664864079</v>
      </c>
      <c r="J29" s="16">
        <f>'Clean Data'!J28</f>
        <v>29.828875258592529</v>
      </c>
      <c r="K29" s="16">
        <f>'Clean Data'!K28</f>
        <v>6.2304000000000004</v>
      </c>
      <c r="L29" s="16">
        <f>'Clean Data'!L28</f>
        <v>5.6</v>
      </c>
      <c r="M29" s="16" t="str">
        <f>'Clean Data'!M28</f>
        <v>NaN</v>
      </c>
      <c r="N29" s="16" t="str">
        <f>'Clean Data'!N28</f>
        <v>NaN</v>
      </c>
      <c r="O29" s="16" t="str">
        <f>'Clean Data'!O28</f>
        <v>NaN</v>
      </c>
      <c r="P29" s="16" t="str">
        <f>'Clean Data'!P28</f>
        <v>NaN</v>
      </c>
      <c r="Q29" s="16" t="str">
        <f>'Clean Data'!Q28</f>
        <v>NaN</v>
      </c>
      <c r="R29" s="16">
        <f>'Clean Data'!R28</f>
        <v>915</v>
      </c>
      <c r="S29" s="16" t="str">
        <f>'Clean Data'!S28</f>
        <v>continuous</v>
      </c>
      <c r="T29" s="16" t="str">
        <f>'Clean Data'!T28</f>
        <v>NaN</v>
      </c>
      <c r="U29" s="16" t="str">
        <f>'Clean Data'!U28</f>
        <v>NaN</v>
      </c>
      <c r="V29" s="16" t="str">
        <f>'Clean Data'!V28</f>
        <v>NaN</v>
      </c>
      <c r="W29" s="16">
        <f>'Clean Data'!W28</f>
        <v>0.31</v>
      </c>
      <c r="X29" s="16" t="str">
        <f>'Clean Data'!X28</f>
        <v>air</v>
      </c>
      <c r="Y29" s="16" t="str">
        <f>'Clean Data'!Y28</f>
        <v>fluidised bed</v>
      </c>
      <c r="Z29" s="16" t="str">
        <f>'Clean Data'!Z28</f>
        <v>olivine</v>
      </c>
      <c r="AA29" s="16">
        <f>'Clean Data'!AA28</f>
        <v>1</v>
      </c>
      <c r="AB29" s="16" t="str">
        <f>'Clean Data'!AB28</f>
        <v>pilot</v>
      </c>
      <c r="AC29" s="16">
        <f>'Clean Data'!AC28</f>
        <v>60.699999999999996</v>
      </c>
      <c r="AD29" s="16">
        <f>'Clean Data'!AD28</f>
        <v>7.9</v>
      </c>
      <c r="AE29" s="16">
        <f>'Clean Data'!AE28</f>
        <v>10.9</v>
      </c>
      <c r="AF29" s="16">
        <f>'Clean Data'!AF28</f>
        <v>14.1</v>
      </c>
      <c r="AG29" s="16">
        <f>'Clean Data'!AG28</f>
        <v>4.9000000000000004</v>
      </c>
      <c r="AH29" s="16">
        <f>'Clean Data'!AH28</f>
        <v>1.5</v>
      </c>
      <c r="AI29" s="16">
        <f>'Clean Data'!AI28</f>
        <v>5</v>
      </c>
      <c r="AJ29" s="16">
        <f>'Clean Data'!AJ28</f>
        <v>14</v>
      </c>
      <c r="AK29" s="16">
        <f>'Clean Data'!AK28</f>
        <v>2.7359999999999998</v>
      </c>
      <c r="AL29" s="16" t="str">
        <f>'Clean Data'!AL28</f>
        <v>NaN</v>
      </c>
      <c r="AM29" s="16">
        <f>'Clean Data'!AM28</f>
        <v>54</v>
      </c>
      <c r="AN29" s="16">
        <f>'Clean Data'!AN28</f>
        <v>75.507174470425454</v>
      </c>
      <c r="AO29" s="16" t="str">
        <f>'Clean Data'!AO28</f>
        <v>Arena, Waste Management 2010, 30, 1212-1219</v>
      </c>
      <c r="AP29" s="16"/>
      <c r="AQ29" s="16"/>
      <c r="AR29" s="16"/>
      <c r="AS29" s="16"/>
      <c r="AT29" s="16"/>
    </row>
    <row r="30" spans="1:46" x14ac:dyDescent="0.3">
      <c r="A30" s="16">
        <f>'Clean Data'!A29</f>
        <v>28</v>
      </c>
      <c r="B30" s="16" t="str">
        <f>'Clean Data'!B29</f>
        <v>municipal solid waste</v>
      </c>
      <c r="C30" s="16" t="str">
        <f>'Clean Data'!C29</f>
        <v>pellets</v>
      </c>
      <c r="D30" s="16">
        <f>'Clean Data'!D29</f>
        <v>2</v>
      </c>
      <c r="E30" s="16">
        <f>'Clean Data'!E29</f>
        <v>27.3</v>
      </c>
      <c r="F30" s="16">
        <f>'Clean Data'!F29</f>
        <v>69.614497464218388</v>
      </c>
      <c r="G30" s="16">
        <f>'Clean Data'!G29</f>
        <v>10.172541002693887</v>
      </c>
      <c r="H30" s="16">
        <f>'Clean Data'!H29</f>
        <v>0.61280367486107745</v>
      </c>
      <c r="I30" s="16">
        <f>'Clean Data'!I29</f>
        <v>0.73536440983329288</v>
      </c>
      <c r="J30" s="16">
        <f>'Clean Data'!J29</f>
        <v>19.242035390637831</v>
      </c>
      <c r="K30" s="16">
        <f>'Clean Data'!K29</f>
        <v>16.5078</v>
      </c>
      <c r="L30" s="16">
        <f>'Clean Data'!L29</f>
        <v>1.9</v>
      </c>
      <c r="M30" s="16" t="str">
        <f>'Clean Data'!M29</f>
        <v>NaN</v>
      </c>
      <c r="N30" s="16" t="str">
        <f>'Clean Data'!N29</f>
        <v>NaN</v>
      </c>
      <c r="O30" s="16" t="str">
        <f>'Clean Data'!O29</f>
        <v>NaN</v>
      </c>
      <c r="P30" s="16" t="str">
        <f>'Clean Data'!P29</f>
        <v>NaN</v>
      </c>
      <c r="Q30" s="16" t="str">
        <f>'Clean Data'!Q29</f>
        <v>NaN</v>
      </c>
      <c r="R30" s="16">
        <f>'Clean Data'!R29</f>
        <v>899</v>
      </c>
      <c r="S30" s="16" t="str">
        <f>'Clean Data'!S29</f>
        <v>continuous</v>
      </c>
      <c r="T30" s="16" t="str">
        <f>'Clean Data'!T29</f>
        <v>NaN</v>
      </c>
      <c r="U30" s="16" t="str">
        <f>'Clean Data'!U29</f>
        <v>NaN</v>
      </c>
      <c r="V30" s="16" t="str">
        <f>'Clean Data'!V29</f>
        <v>NaN</v>
      </c>
      <c r="W30" s="16">
        <f>'Clean Data'!W29</f>
        <v>0.34</v>
      </c>
      <c r="X30" s="16" t="str">
        <f>'Clean Data'!X29</f>
        <v>air</v>
      </c>
      <c r="Y30" s="16" t="str">
        <f>'Clean Data'!Y29</f>
        <v>fluidised bed</v>
      </c>
      <c r="Z30" s="16" t="str">
        <f>'Clean Data'!Z29</f>
        <v>olivine</v>
      </c>
      <c r="AA30" s="16">
        <f>'Clean Data'!AA29</f>
        <v>1</v>
      </c>
      <c r="AB30" s="16" t="str">
        <f>'Clean Data'!AB29</f>
        <v>pilot</v>
      </c>
      <c r="AC30" s="16">
        <f>'Clean Data'!AC29</f>
        <v>64.7</v>
      </c>
      <c r="AD30" s="16">
        <f>'Clean Data'!AD29</f>
        <v>5.9</v>
      </c>
      <c r="AE30" s="16">
        <f>'Clean Data'!AE29</f>
        <v>7.6</v>
      </c>
      <c r="AF30" s="16">
        <f>'Clean Data'!AF29</f>
        <v>13.4</v>
      </c>
      <c r="AG30" s="16">
        <f>'Clean Data'!AG29</f>
        <v>6.6</v>
      </c>
      <c r="AH30" s="16">
        <f>'Clean Data'!AH29</f>
        <v>1.8</v>
      </c>
      <c r="AI30" s="16">
        <f>'Clean Data'!AI29</f>
        <v>5.2</v>
      </c>
      <c r="AJ30" s="16">
        <f>'Clean Data'!AJ29</f>
        <v>15</v>
      </c>
      <c r="AK30" s="16">
        <f>'Clean Data'!AK29</f>
        <v>2.4923076923076923</v>
      </c>
      <c r="AL30" s="16" t="str">
        <f>'Clean Data'!AL29</f>
        <v>NaN</v>
      </c>
      <c r="AM30" s="16">
        <f>'Clean Data'!AM29</f>
        <v>48</v>
      </c>
      <c r="AN30" s="16">
        <f>'Clean Data'!AN29</f>
        <v>57.360775497833927</v>
      </c>
      <c r="AO30" s="16" t="str">
        <f>'Clean Data'!AO29</f>
        <v>Arena, Waste Management 2010, 30, 1212-1219</v>
      </c>
      <c r="AP30" s="16"/>
      <c r="AQ30" s="16"/>
      <c r="AR30" s="16"/>
      <c r="AS30" s="16"/>
      <c r="AT30" s="16"/>
    </row>
    <row r="31" spans="1:46" x14ac:dyDescent="0.3">
      <c r="A31" s="16">
        <f>'Clean Data'!A30</f>
        <v>29</v>
      </c>
      <c r="B31" s="16" t="str">
        <f>'Clean Data'!B30</f>
        <v>municipal solid waste</v>
      </c>
      <c r="C31" s="16" t="str">
        <f>'Clean Data'!C30</f>
        <v>pellets</v>
      </c>
      <c r="D31" s="16">
        <f>'Clean Data'!D30</f>
        <v>2</v>
      </c>
      <c r="E31" s="16">
        <f>'Clean Data'!E30</f>
        <v>27.3</v>
      </c>
      <c r="F31" s="16">
        <f>'Clean Data'!F30</f>
        <v>69.614497464218388</v>
      </c>
      <c r="G31" s="16">
        <f>'Clean Data'!G30</f>
        <v>10.172541002693887</v>
      </c>
      <c r="H31" s="16">
        <f>'Clean Data'!H30</f>
        <v>0.61280367486107745</v>
      </c>
      <c r="I31" s="16">
        <f>'Clean Data'!I30</f>
        <v>0.73536440983329288</v>
      </c>
      <c r="J31" s="16">
        <f>'Clean Data'!J30</f>
        <v>19.242035390637831</v>
      </c>
      <c r="K31" s="16">
        <f>'Clean Data'!K30</f>
        <v>16.5078</v>
      </c>
      <c r="L31" s="16">
        <f>'Clean Data'!L30</f>
        <v>1.9</v>
      </c>
      <c r="M31" s="16" t="str">
        <f>'Clean Data'!M30</f>
        <v>NaN</v>
      </c>
      <c r="N31" s="16" t="str">
        <f>'Clean Data'!N30</f>
        <v>NaN</v>
      </c>
      <c r="O31" s="16" t="str">
        <f>'Clean Data'!O30</f>
        <v>NaN</v>
      </c>
      <c r="P31" s="16" t="str">
        <f>'Clean Data'!P30</f>
        <v>NaN</v>
      </c>
      <c r="Q31" s="16" t="str">
        <f>'Clean Data'!Q30</f>
        <v>NaN</v>
      </c>
      <c r="R31" s="16">
        <f>'Clean Data'!R30</f>
        <v>896</v>
      </c>
      <c r="S31" s="16" t="str">
        <f>'Clean Data'!S30</f>
        <v>continuous</v>
      </c>
      <c r="T31" s="16" t="str">
        <f>'Clean Data'!T30</f>
        <v>NaN</v>
      </c>
      <c r="U31" s="16" t="str">
        <f>'Clean Data'!U30</f>
        <v>NaN</v>
      </c>
      <c r="V31" s="16" t="str">
        <f>'Clean Data'!V30</f>
        <v>NaN</v>
      </c>
      <c r="W31" s="16">
        <f>'Clean Data'!W30</f>
        <v>0.28000000000000003</v>
      </c>
      <c r="X31" s="16" t="str">
        <f>'Clean Data'!X30</f>
        <v>air</v>
      </c>
      <c r="Y31" s="16" t="str">
        <f>'Clean Data'!Y30</f>
        <v>fluidised bed</v>
      </c>
      <c r="Z31" s="16" t="str">
        <f>'Clean Data'!Z30</f>
        <v>olivine</v>
      </c>
      <c r="AA31" s="16">
        <f>'Clean Data'!AA30</f>
        <v>1</v>
      </c>
      <c r="AB31" s="16" t="str">
        <f>'Clean Data'!AB30</f>
        <v>pilot</v>
      </c>
      <c r="AC31" s="16">
        <f>'Clean Data'!AC30</f>
        <v>62.3</v>
      </c>
      <c r="AD31" s="16">
        <f>'Clean Data'!AD30</f>
        <v>7.9</v>
      </c>
      <c r="AE31" s="16">
        <f>'Clean Data'!AE30</f>
        <v>8.6999999999999993</v>
      </c>
      <c r="AF31" s="16">
        <f>'Clean Data'!AF30</f>
        <v>12.3</v>
      </c>
      <c r="AG31" s="16">
        <f>'Clean Data'!AG30</f>
        <v>7</v>
      </c>
      <c r="AH31" s="16">
        <f>'Clean Data'!AH30</f>
        <v>1.8</v>
      </c>
      <c r="AI31" s="16">
        <f>'Clean Data'!AI30</f>
        <v>5.7</v>
      </c>
      <c r="AJ31" s="16">
        <f>'Clean Data'!AJ30</f>
        <v>43</v>
      </c>
      <c r="AK31" s="16">
        <f>'Clean Data'!AK30</f>
        <v>2.2105263157894735</v>
      </c>
      <c r="AL31" s="16" t="str">
        <f>'Clean Data'!AL30</f>
        <v>NaN</v>
      </c>
      <c r="AM31" s="16">
        <f>'Clean Data'!AM30</f>
        <v>46</v>
      </c>
      <c r="AN31" s="16">
        <f>'Clean Data'!AN30</f>
        <v>51.321773536045214</v>
      </c>
      <c r="AO31" s="16" t="str">
        <f>'Clean Data'!AO30</f>
        <v>Arena, Waste Management 2010, 30, 1212-1219</v>
      </c>
      <c r="AP31" s="16"/>
      <c r="AQ31" s="16"/>
      <c r="AR31" s="16"/>
      <c r="AS31" s="16"/>
      <c r="AT31" s="16"/>
    </row>
    <row r="32" spans="1:46" x14ac:dyDescent="0.3">
      <c r="A32" s="16">
        <f>'Clean Data'!A31</f>
        <v>30</v>
      </c>
      <c r="B32" s="16" t="str">
        <f>'Clean Data'!B31</f>
        <v>municipal solid waste</v>
      </c>
      <c r="C32" s="16" t="str">
        <f>'Clean Data'!C31</f>
        <v>pellets</v>
      </c>
      <c r="D32" s="16">
        <f>'Clean Data'!D31</f>
        <v>2</v>
      </c>
      <c r="E32" s="16">
        <f>'Clean Data'!E31</f>
        <v>27.3</v>
      </c>
      <c r="F32" s="16">
        <f>'Clean Data'!F31</f>
        <v>69.614497464218388</v>
      </c>
      <c r="G32" s="16">
        <f>'Clean Data'!G31</f>
        <v>10.172541002693887</v>
      </c>
      <c r="H32" s="16">
        <f>'Clean Data'!H31</f>
        <v>0.61280367486107745</v>
      </c>
      <c r="I32" s="16">
        <f>'Clean Data'!I31</f>
        <v>0.73536440983329288</v>
      </c>
      <c r="J32" s="16">
        <f>'Clean Data'!J31</f>
        <v>19.242035390637831</v>
      </c>
      <c r="K32" s="16">
        <f>'Clean Data'!K31</f>
        <v>16.5078</v>
      </c>
      <c r="L32" s="16">
        <f>'Clean Data'!L31</f>
        <v>1.9</v>
      </c>
      <c r="M32" s="16" t="str">
        <f>'Clean Data'!M31</f>
        <v>NaN</v>
      </c>
      <c r="N32" s="16" t="str">
        <f>'Clean Data'!N31</f>
        <v>NaN</v>
      </c>
      <c r="O32" s="16" t="str">
        <f>'Clean Data'!O31</f>
        <v>NaN</v>
      </c>
      <c r="P32" s="16" t="str">
        <f>'Clean Data'!P31</f>
        <v>NaN</v>
      </c>
      <c r="Q32" s="16" t="str">
        <f>'Clean Data'!Q31</f>
        <v>NaN</v>
      </c>
      <c r="R32" s="16">
        <f>'Clean Data'!R31</f>
        <v>869</v>
      </c>
      <c r="S32" s="16" t="str">
        <f>'Clean Data'!S31</f>
        <v>continuous</v>
      </c>
      <c r="T32" s="16" t="str">
        <f>'Clean Data'!T31</f>
        <v>NaN</v>
      </c>
      <c r="U32" s="16" t="str">
        <f>'Clean Data'!U31</f>
        <v>NaN</v>
      </c>
      <c r="V32" s="16" t="str">
        <f>'Clean Data'!V31</f>
        <v>NaN</v>
      </c>
      <c r="W32" s="16">
        <f>'Clean Data'!W31</f>
        <v>0.23</v>
      </c>
      <c r="X32" s="16" t="str">
        <f>'Clean Data'!X31</f>
        <v>air</v>
      </c>
      <c r="Y32" s="16" t="str">
        <f>'Clean Data'!Y31</f>
        <v>fluidised bed</v>
      </c>
      <c r="Z32" s="16" t="str">
        <f>'Clean Data'!Z31</f>
        <v>olivine</v>
      </c>
      <c r="AA32" s="16">
        <f>'Clean Data'!AA31</f>
        <v>1</v>
      </c>
      <c r="AB32" s="16" t="str">
        <f>'Clean Data'!AB31</f>
        <v>pilot</v>
      </c>
      <c r="AC32" s="16">
        <f>'Clean Data'!AC31</f>
        <v>57.900000000000006</v>
      </c>
      <c r="AD32" s="16">
        <f>'Clean Data'!AD31</f>
        <v>9.1999999999999993</v>
      </c>
      <c r="AE32" s="16">
        <f>'Clean Data'!AE31</f>
        <v>9.1</v>
      </c>
      <c r="AF32" s="16">
        <f>'Clean Data'!AF31</f>
        <v>12.8</v>
      </c>
      <c r="AG32" s="16">
        <f>'Clean Data'!AG31</f>
        <v>8.3000000000000007</v>
      </c>
      <c r="AH32" s="16">
        <f>'Clean Data'!AH31</f>
        <v>2.7</v>
      </c>
      <c r="AI32" s="16">
        <f>'Clean Data'!AI31</f>
        <v>6.9</v>
      </c>
      <c r="AJ32" s="16">
        <f>'Clean Data'!AJ31</f>
        <v>54</v>
      </c>
      <c r="AK32" s="16">
        <f>'Clean Data'!AK31</f>
        <v>1.9304347826086956</v>
      </c>
      <c r="AL32" s="16" t="str">
        <f>'Clean Data'!AL31</f>
        <v>NaN</v>
      </c>
      <c r="AM32" s="16">
        <f>'Clean Data'!AM31</f>
        <v>49</v>
      </c>
      <c r="AN32" s="16">
        <f>'Clean Data'!AN31</f>
        <v>50.410132355830861</v>
      </c>
      <c r="AO32" s="16" t="str">
        <f>'Clean Data'!AO31</f>
        <v>Arena, Waste Management 2010, 30, 1212-1219</v>
      </c>
      <c r="AP32" s="16"/>
      <c r="AQ32" s="16"/>
      <c r="AR32" s="16"/>
      <c r="AS32" s="16"/>
      <c r="AT32" s="16"/>
    </row>
    <row r="33" spans="1:46" x14ac:dyDescent="0.3">
      <c r="A33" s="16">
        <f>'Clean Data'!A32</f>
        <v>31</v>
      </c>
      <c r="B33" s="16" t="str">
        <f>'Clean Data'!B32</f>
        <v>herbaceous biomass</v>
      </c>
      <c r="C33" s="16" t="str">
        <f>'Clean Data'!C32</f>
        <v>fibres</v>
      </c>
      <c r="D33" s="16">
        <f>'Clean Data'!D32</f>
        <v>4</v>
      </c>
      <c r="E33" s="16">
        <f>'Clean Data'!E32</f>
        <v>13.959800867678959</v>
      </c>
      <c r="F33" s="16">
        <f>'Clean Data'!F32</f>
        <v>43.52</v>
      </c>
      <c r="G33" s="16">
        <f>'Clean Data'!G32</f>
        <v>5.72</v>
      </c>
      <c r="H33" s="16">
        <f>'Clean Data'!H32</f>
        <v>1.2</v>
      </c>
      <c r="I33" s="16">
        <f>'Clean Data'!I32</f>
        <v>0.66</v>
      </c>
      <c r="J33" s="16">
        <f>'Clean Data'!J32</f>
        <v>48.9</v>
      </c>
      <c r="K33" s="16">
        <f>'Clean Data'!K32</f>
        <v>4.8806941431670285</v>
      </c>
      <c r="L33" s="16">
        <f>'Clean Data'!L32</f>
        <v>7.8</v>
      </c>
      <c r="M33" s="16">
        <f>'Clean Data'!M32</f>
        <v>86.052060737527128</v>
      </c>
      <c r="N33" s="16">
        <f>'Clean Data'!N32</f>
        <v>9.0672451193058574</v>
      </c>
      <c r="O33" s="16" t="str">
        <f>'Clean Data'!O32</f>
        <v>NaN</v>
      </c>
      <c r="P33" s="16" t="str">
        <f>'Clean Data'!P32</f>
        <v>NaN</v>
      </c>
      <c r="Q33" s="16" t="str">
        <f>'Clean Data'!Q32</f>
        <v>NaN</v>
      </c>
      <c r="R33" s="16">
        <f>'Clean Data'!R32</f>
        <v>650</v>
      </c>
      <c r="S33" s="16" t="str">
        <f>'Clean Data'!S32</f>
        <v>continuous</v>
      </c>
      <c r="T33" s="16" t="str">
        <f>'Clean Data'!T32</f>
        <v>atmospheric</v>
      </c>
      <c r="U33" s="16" t="str">
        <f>'Clean Data'!U32</f>
        <v>NaN</v>
      </c>
      <c r="V33" s="16" t="str">
        <f>'Clean Data'!V32</f>
        <v>NaN</v>
      </c>
      <c r="W33" s="16">
        <f>'Clean Data'!W32</f>
        <v>0.25</v>
      </c>
      <c r="X33" s="16" t="str">
        <f>'Clean Data'!X32</f>
        <v>air</v>
      </c>
      <c r="Y33" s="16" t="str">
        <f>'Clean Data'!Y32</f>
        <v>fluidised bed</v>
      </c>
      <c r="Z33" s="16" t="str">
        <f>'Clean Data'!Z32</f>
        <v>silica</v>
      </c>
      <c r="AA33" s="16">
        <f>'Clean Data'!AA32</f>
        <v>0</v>
      </c>
      <c r="AB33" s="16" t="str">
        <f>'Clean Data'!AB32</f>
        <v>pilot</v>
      </c>
      <c r="AC33" s="16">
        <f>'Clean Data'!AC32</f>
        <v>62</v>
      </c>
      <c r="AD33" s="16">
        <f>'Clean Data'!AD32</f>
        <v>7.25</v>
      </c>
      <c r="AE33" s="16">
        <f>'Clean Data'!AE32</f>
        <v>11.5</v>
      </c>
      <c r="AF33" s="16">
        <f>'Clean Data'!AF32</f>
        <v>17</v>
      </c>
      <c r="AG33" s="16">
        <f>'Clean Data'!AG32</f>
        <v>2.25</v>
      </c>
      <c r="AH33" s="16" t="str">
        <f>'Clean Data'!AH32</f>
        <v>NaN</v>
      </c>
      <c r="AI33" s="16">
        <f>'Clean Data'!AI32</f>
        <v>3.27</v>
      </c>
      <c r="AJ33" s="16" t="str">
        <f>'Clean Data'!AJ32</f>
        <v>NaN</v>
      </c>
      <c r="AK33" s="16">
        <f>'Clean Data'!AK32</f>
        <v>1.3</v>
      </c>
      <c r="AL33" s="16" t="str">
        <f>'Clean Data'!AL32</f>
        <v>NaN</v>
      </c>
      <c r="AM33" s="16">
        <f>'Clean Data'!AM32</f>
        <v>28</v>
      </c>
      <c r="AN33" s="16">
        <f>'Clean Data'!AN32</f>
        <v>50</v>
      </c>
      <c r="AO33" s="16" t="str">
        <f>'Clean Data'!AO32</f>
        <v>Lahijani, Bioresource Technology 2011, 102, 2068-2076</v>
      </c>
      <c r="AP33" s="16"/>
      <c r="AQ33" s="16"/>
      <c r="AR33" s="16"/>
      <c r="AS33" s="16"/>
      <c r="AT33" s="16"/>
    </row>
    <row r="34" spans="1:46" x14ac:dyDescent="0.3">
      <c r="A34" s="16">
        <f>'Clean Data'!A33</f>
        <v>32</v>
      </c>
      <c r="B34" s="16" t="str">
        <f>'Clean Data'!B33</f>
        <v>herbaceous biomass</v>
      </c>
      <c r="C34" s="16" t="str">
        <f>'Clean Data'!C33</f>
        <v>fibres</v>
      </c>
      <c r="D34" s="16">
        <f>'Clean Data'!D33</f>
        <v>4</v>
      </c>
      <c r="E34" s="16">
        <f>'Clean Data'!E33</f>
        <v>13.959800867678959</v>
      </c>
      <c r="F34" s="16">
        <f>'Clean Data'!F33</f>
        <v>43.52</v>
      </c>
      <c r="G34" s="16">
        <f>'Clean Data'!G33</f>
        <v>5.72</v>
      </c>
      <c r="H34" s="16">
        <f>'Clean Data'!H33</f>
        <v>1.2</v>
      </c>
      <c r="I34" s="16">
        <f>'Clean Data'!I33</f>
        <v>0.66</v>
      </c>
      <c r="J34" s="16">
        <f>'Clean Data'!J33</f>
        <v>48.9</v>
      </c>
      <c r="K34" s="16">
        <f>'Clean Data'!K33</f>
        <v>4.8806941431670285</v>
      </c>
      <c r="L34" s="16">
        <f>'Clean Data'!L33</f>
        <v>7.8</v>
      </c>
      <c r="M34" s="16">
        <f>'Clean Data'!M33</f>
        <v>86.052060737527128</v>
      </c>
      <c r="N34" s="16">
        <f>'Clean Data'!N33</f>
        <v>9.0672451193058574</v>
      </c>
      <c r="O34" s="16" t="str">
        <f>'Clean Data'!O33</f>
        <v>NaN</v>
      </c>
      <c r="P34" s="16" t="str">
        <f>'Clean Data'!P33</f>
        <v>NaN</v>
      </c>
      <c r="Q34" s="16" t="str">
        <f>'Clean Data'!Q33</f>
        <v>NaN</v>
      </c>
      <c r="R34" s="16">
        <f>'Clean Data'!R33</f>
        <v>750</v>
      </c>
      <c r="S34" s="16" t="str">
        <f>'Clean Data'!S33</f>
        <v>continuous</v>
      </c>
      <c r="T34" s="16" t="str">
        <f>'Clean Data'!T33</f>
        <v>atmospheric</v>
      </c>
      <c r="U34" s="16" t="str">
        <f>'Clean Data'!U33</f>
        <v>NaN</v>
      </c>
      <c r="V34" s="16" t="str">
        <f>'Clean Data'!V33</f>
        <v>NaN</v>
      </c>
      <c r="W34" s="16">
        <f>'Clean Data'!W33</f>
        <v>0.25</v>
      </c>
      <c r="X34" s="16" t="str">
        <f>'Clean Data'!X33</f>
        <v>air</v>
      </c>
      <c r="Y34" s="16" t="str">
        <f>'Clean Data'!Y33</f>
        <v>fluidised bed</v>
      </c>
      <c r="Z34" s="16" t="str">
        <f>'Clean Data'!Z33</f>
        <v>silica</v>
      </c>
      <c r="AA34" s="16">
        <f>'Clean Data'!AA33</f>
        <v>0</v>
      </c>
      <c r="AB34" s="16" t="str">
        <f>'Clean Data'!AB33</f>
        <v>pilot</v>
      </c>
      <c r="AC34" s="16">
        <f>'Clean Data'!AC33</f>
        <v>57.4</v>
      </c>
      <c r="AD34" s="16">
        <f>'Clean Data'!AD33</f>
        <v>6.5</v>
      </c>
      <c r="AE34" s="16">
        <f>'Clean Data'!AE33</f>
        <v>13.75</v>
      </c>
      <c r="AF34" s="16">
        <f>'Clean Data'!AF33</f>
        <v>18.75</v>
      </c>
      <c r="AG34" s="16">
        <f>'Clean Data'!AG33</f>
        <v>3.6</v>
      </c>
      <c r="AH34" s="16" t="str">
        <f>'Clean Data'!AH33</f>
        <v>NaN</v>
      </c>
      <c r="AI34" s="16">
        <f>'Clean Data'!AI33</f>
        <v>3.45</v>
      </c>
      <c r="AJ34" s="16" t="str">
        <f>'Clean Data'!AJ33</f>
        <v>NaN</v>
      </c>
      <c r="AK34" s="16">
        <f>'Clean Data'!AK33</f>
        <v>1.5</v>
      </c>
      <c r="AL34" s="16" t="str">
        <f>'Clean Data'!AL33</f>
        <v>NaN</v>
      </c>
      <c r="AM34" s="16">
        <f>'Clean Data'!AM33</f>
        <v>37</v>
      </c>
      <c r="AN34" s="16">
        <f>'Clean Data'!AN33</f>
        <v>64</v>
      </c>
      <c r="AO34" s="16" t="str">
        <f>'Clean Data'!AO33</f>
        <v>Lahijani, Bioresource Technology 2011, 102, 2068-2076</v>
      </c>
      <c r="AP34" s="16"/>
      <c r="AQ34" s="16"/>
      <c r="AR34" s="16"/>
      <c r="AS34" s="16"/>
      <c r="AT34" s="16"/>
    </row>
    <row r="35" spans="1:46" x14ac:dyDescent="0.3">
      <c r="A35" s="16">
        <f>'Clean Data'!A34</f>
        <v>33</v>
      </c>
      <c r="B35" s="16" t="str">
        <f>'Clean Data'!B34</f>
        <v>herbaceous biomass</v>
      </c>
      <c r="C35" s="16" t="str">
        <f>'Clean Data'!C34</f>
        <v>fibres</v>
      </c>
      <c r="D35" s="16">
        <f>'Clean Data'!D34</f>
        <v>4</v>
      </c>
      <c r="E35" s="16">
        <f>'Clean Data'!E34</f>
        <v>13.959800867678959</v>
      </c>
      <c r="F35" s="16">
        <f>'Clean Data'!F34</f>
        <v>43.52</v>
      </c>
      <c r="G35" s="16">
        <f>'Clean Data'!G34</f>
        <v>5.72</v>
      </c>
      <c r="H35" s="16">
        <f>'Clean Data'!H34</f>
        <v>1.2</v>
      </c>
      <c r="I35" s="16">
        <f>'Clean Data'!I34</f>
        <v>0.66</v>
      </c>
      <c r="J35" s="16">
        <f>'Clean Data'!J34</f>
        <v>48.9</v>
      </c>
      <c r="K35" s="16">
        <f>'Clean Data'!K34</f>
        <v>4.8806941431670285</v>
      </c>
      <c r="L35" s="16">
        <f>'Clean Data'!L34</f>
        <v>7.8</v>
      </c>
      <c r="M35" s="16">
        <f>'Clean Data'!M34</f>
        <v>86.052060737527128</v>
      </c>
      <c r="N35" s="16">
        <f>'Clean Data'!N34</f>
        <v>9.0672451193058574</v>
      </c>
      <c r="O35" s="16" t="str">
        <f>'Clean Data'!O34</f>
        <v>NaN</v>
      </c>
      <c r="P35" s="16" t="str">
        <f>'Clean Data'!P34</f>
        <v>NaN</v>
      </c>
      <c r="Q35" s="16" t="str">
        <f>'Clean Data'!Q34</f>
        <v>NaN</v>
      </c>
      <c r="R35" s="16">
        <f>'Clean Data'!R34</f>
        <v>850</v>
      </c>
      <c r="S35" s="16" t="str">
        <f>'Clean Data'!S34</f>
        <v>continuous</v>
      </c>
      <c r="T35" s="16" t="str">
        <f>'Clean Data'!T34</f>
        <v>atmospheric</v>
      </c>
      <c r="U35" s="16" t="str">
        <f>'Clean Data'!U34</f>
        <v>NaN</v>
      </c>
      <c r="V35" s="16" t="str">
        <f>'Clean Data'!V34</f>
        <v>NaN</v>
      </c>
      <c r="W35" s="16">
        <f>'Clean Data'!W34</f>
        <v>0.25</v>
      </c>
      <c r="X35" s="16" t="str">
        <f>'Clean Data'!X34</f>
        <v>air</v>
      </c>
      <c r="Y35" s="16" t="str">
        <f>'Clean Data'!Y34</f>
        <v>fluidised bed</v>
      </c>
      <c r="Z35" s="16" t="str">
        <f>'Clean Data'!Z34</f>
        <v>silica</v>
      </c>
      <c r="AA35" s="16">
        <f>'Clean Data'!AA34</f>
        <v>0</v>
      </c>
      <c r="AB35" s="16" t="str">
        <f>'Clean Data'!AB34</f>
        <v>pilot</v>
      </c>
      <c r="AC35" s="16">
        <f>'Clean Data'!AC34</f>
        <v>53</v>
      </c>
      <c r="AD35" s="16">
        <f>'Clean Data'!AD34</f>
        <v>7.25</v>
      </c>
      <c r="AE35" s="16">
        <f>'Clean Data'!AE34</f>
        <v>17.25</v>
      </c>
      <c r="AF35" s="16">
        <f>'Clean Data'!AF34</f>
        <v>19</v>
      </c>
      <c r="AG35" s="16">
        <f>'Clean Data'!AG34</f>
        <v>3.5</v>
      </c>
      <c r="AH35" s="16" t="str">
        <f>'Clean Data'!AH34</f>
        <v>NaN</v>
      </c>
      <c r="AI35" s="16">
        <f>'Clean Data'!AI34</f>
        <v>4.45</v>
      </c>
      <c r="AJ35" s="16" t="str">
        <f>'Clean Data'!AJ34</f>
        <v>NaN</v>
      </c>
      <c r="AK35" s="16">
        <f>'Clean Data'!AK34</f>
        <v>1.75</v>
      </c>
      <c r="AL35" s="16" t="str">
        <f>'Clean Data'!AL34</f>
        <v>NaN</v>
      </c>
      <c r="AM35" s="16">
        <f>'Clean Data'!AM34</f>
        <v>50</v>
      </c>
      <c r="AN35" s="16">
        <f>'Clean Data'!AN34</f>
        <v>75</v>
      </c>
      <c r="AO35" s="16" t="str">
        <f>'Clean Data'!AO34</f>
        <v>Lahijani, Bioresource Technology 2011, 102, 2068-2076</v>
      </c>
      <c r="AP35" s="16"/>
      <c r="AQ35" s="16"/>
      <c r="AR35" s="16"/>
      <c r="AS35" s="16"/>
      <c r="AT35" s="16"/>
    </row>
    <row r="36" spans="1:46" x14ac:dyDescent="0.3">
      <c r="A36" s="16">
        <f>'Clean Data'!A35</f>
        <v>34</v>
      </c>
      <c r="B36" s="16" t="str">
        <f>'Clean Data'!B35</f>
        <v>herbaceous biomass</v>
      </c>
      <c r="C36" s="16" t="str">
        <f>'Clean Data'!C35</f>
        <v>fibres</v>
      </c>
      <c r="D36" s="16">
        <f>'Clean Data'!D35</f>
        <v>4</v>
      </c>
      <c r="E36" s="16">
        <f>'Clean Data'!E35</f>
        <v>13.959800867678959</v>
      </c>
      <c r="F36" s="16">
        <f>'Clean Data'!F35</f>
        <v>43.52</v>
      </c>
      <c r="G36" s="16">
        <f>'Clean Data'!G35</f>
        <v>5.72</v>
      </c>
      <c r="H36" s="16">
        <f>'Clean Data'!H35</f>
        <v>1.2</v>
      </c>
      <c r="I36" s="16">
        <f>'Clean Data'!I35</f>
        <v>0.66</v>
      </c>
      <c r="J36" s="16">
        <f>'Clean Data'!J35</f>
        <v>48.9</v>
      </c>
      <c r="K36" s="16">
        <f>'Clean Data'!K35</f>
        <v>4.8806941431670285</v>
      </c>
      <c r="L36" s="16">
        <f>'Clean Data'!L35</f>
        <v>7.8</v>
      </c>
      <c r="M36" s="16">
        <f>'Clean Data'!M35</f>
        <v>86.052060737527128</v>
      </c>
      <c r="N36" s="16">
        <f>'Clean Data'!N35</f>
        <v>9.0672451193058574</v>
      </c>
      <c r="O36" s="16" t="str">
        <f>'Clean Data'!O35</f>
        <v>NaN</v>
      </c>
      <c r="P36" s="16" t="str">
        <f>'Clean Data'!P35</f>
        <v>NaN</v>
      </c>
      <c r="Q36" s="16" t="str">
        <f>'Clean Data'!Q35</f>
        <v>NaN</v>
      </c>
      <c r="R36" s="16">
        <f>'Clean Data'!R35</f>
        <v>950</v>
      </c>
      <c r="S36" s="16" t="str">
        <f>'Clean Data'!S35</f>
        <v>continuous</v>
      </c>
      <c r="T36" s="16" t="str">
        <f>'Clean Data'!T35</f>
        <v>atmospheric</v>
      </c>
      <c r="U36" s="16" t="str">
        <f>'Clean Data'!U35</f>
        <v>NaN</v>
      </c>
      <c r="V36" s="16" t="str">
        <f>'Clean Data'!V35</f>
        <v>NaN</v>
      </c>
      <c r="W36" s="16">
        <f>'Clean Data'!W35</f>
        <v>0.25</v>
      </c>
      <c r="X36" s="16" t="str">
        <f>'Clean Data'!X35</f>
        <v>air</v>
      </c>
      <c r="Y36" s="16" t="str">
        <f>'Clean Data'!Y35</f>
        <v>fluidised bed</v>
      </c>
      <c r="Z36" s="16" t="str">
        <f>'Clean Data'!Z35</f>
        <v>silica</v>
      </c>
      <c r="AA36" s="16">
        <f>'Clean Data'!AA35</f>
        <v>0</v>
      </c>
      <c r="AB36" s="16" t="str">
        <f>'Clean Data'!AB35</f>
        <v>pilot</v>
      </c>
      <c r="AC36" s="16">
        <f>'Clean Data'!AC35</f>
        <v>51.75</v>
      </c>
      <c r="AD36" s="16">
        <f>'Clean Data'!AD35</f>
        <v>9.5</v>
      </c>
      <c r="AE36" s="16">
        <f>'Clean Data'!AE35</f>
        <v>18.75</v>
      </c>
      <c r="AF36" s="16">
        <f>'Clean Data'!AF35</f>
        <v>17</v>
      </c>
      <c r="AG36" s="16">
        <f>'Clean Data'!AG35</f>
        <v>3</v>
      </c>
      <c r="AH36" s="16" t="str">
        <f>'Clean Data'!AH35</f>
        <v>NaN</v>
      </c>
      <c r="AI36" s="16">
        <f>'Clean Data'!AI35</f>
        <v>4.95</v>
      </c>
      <c r="AJ36" s="16" t="str">
        <f>'Clean Data'!AJ35</f>
        <v>NaN</v>
      </c>
      <c r="AK36" s="16">
        <f>'Clean Data'!AK35</f>
        <v>1.9</v>
      </c>
      <c r="AL36" s="16" t="str">
        <f>'Clean Data'!AL35</f>
        <v>NaN</v>
      </c>
      <c r="AM36" s="16">
        <f>'Clean Data'!AM35</f>
        <v>63</v>
      </c>
      <c r="AN36" s="16">
        <f>'Clean Data'!AN35</f>
        <v>82</v>
      </c>
      <c r="AO36" s="16" t="str">
        <f>'Clean Data'!AO35</f>
        <v>Lahijani, Bioresource Technology 2011, 102, 2068-2076</v>
      </c>
      <c r="AP36" s="16"/>
      <c r="AQ36" s="16"/>
      <c r="AR36" s="16"/>
      <c r="AS36" s="16"/>
      <c r="AT36" s="16"/>
    </row>
    <row r="37" spans="1:46" x14ac:dyDescent="0.3">
      <c r="A37" s="16">
        <f>'Clean Data'!A36</f>
        <v>35</v>
      </c>
      <c r="B37" s="16" t="str">
        <f>'Clean Data'!B36</f>
        <v>herbaceous biomass</v>
      </c>
      <c r="C37" s="16" t="str">
        <f>'Clean Data'!C36</f>
        <v>fibres</v>
      </c>
      <c r="D37" s="16">
        <f>'Clean Data'!D36</f>
        <v>4</v>
      </c>
      <c r="E37" s="16">
        <f>'Clean Data'!E36</f>
        <v>13.959800867678959</v>
      </c>
      <c r="F37" s="16">
        <f>'Clean Data'!F36</f>
        <v>43.52</v>
      </c>
      <c r="G37" s="16">
        <f>'Clean Data'!G36</f>
        <v>5.72</v>
      </c>
      <c r="H37" s="16">
        <f>'Clean Data'!H36</f>
        <v>1.2</v>
      </c>
      <c r="I37" s="16">
        <f>'Clean Data'!I36</f>
        <v>0.66</v>
      </c>
      <c r="J37" s="16">
        <f>'Clean Data'!J36</f>
        <v>48.9</v>
      </c>
      <c r="K37" s="16">
        <f>'Clean Data'!K36</f>
        <v>4.8806941431670285</v>
      </c>
      <c r="L37" s="16">
        <f>'Clean Data'!L36</f>
        <v>7.8</v>
      </c>
      <c r="M37" s="16">
        <f>'Clean Data'!M36</f>
        <v>86.052060737527128</v>
      </c>
      <c r="N37" s="16">
        <f>'Clean Data'!N36</f>
        <v>9.0672451193058574</v>
      </c>
      <c r="O37" s="16" t="str">
        <f>'Clean Data'!O36</f>
        <v>NaN</v>
      </c>
      <c r="P37" s="16" t="str">
        <f>'Clean Data'!P36</f>
        <v>NaN</v>
      </c>
      <c r="Q37" s="16" t="str">
        <f>'Clean Data'!Q36</f>
        <v>NaN</v>
      </c>
      <c r="R37" s="16">
        <f>'Clean Data'!R36</f>
        <v>1050</v>
      </c>
      <c r="S37" s="16" t="str">
        <f>'Clean Data'!S36</f>
        <v>continuous</v>
      </c>
      <c r="T37" s="16" t="str">
        <f>'Clean Data'!T36</f>
        <v>atmospheric</v>
      </c>
      <c r="U37" s="16" t="str">
        <f>'Clean Data'!U36</f>
        <v>NaN</v>
      </c>
      <c r="V37" s="16" t="str">
        <f>'Clean Data'!V36</f>
        <v>NaN</v>
      </c>
      <c r="W37" s="16">
        <f>'Clean Data'!W36</f>
        <v>0.25</v>
      </c>
      <c r="X37" s="16" t="str">
        <f>'Clean Data'!X36</f>
        <v>air</v>
      </c>
      <c r="Y37" s="16" t="str">
        <f>'Clean Data'!Y36</f>
        <v>fluidised bed</v>
      </c>
      <c r="Z37" s="16" t="str">
        <f>'Clean Data'!Z36</f>
        <v>silica</v>
      </c>
      <c r="AA37" s="16">
        <f>'Clean Data'!AA36</f>
        <v>0</v>
      </c>
      <c r="AB37" s="16" t="str">
        <f>'Clean Data'!AB36</f>
        <v>pilot</v>
      </c>
      <c r="AC37" s="16">
        <f>'Clean Data'!AC36</f>
        <v>50.75</v>
      </c>
      <c r="AD37" s="16">
        <f>'Clean Data'!AD36</f>
        <v>12.25</v>
      </c>
      <c r="AE37" s="16">
        <f>'Clean Data'!AE36</f>
        <v>20</v>
      </c>
      <c r="AF37" s="16">
        <f>'Clean Data'!AF36</f>
        <v>14</v>
      </c>
      <c r="AG37" s="16">
        <f>'Clean Data'!AG36</f>
        <v>3</v>
      </c>
      <c r="AH37" s="16" t="str">
        <f>'Clean Data'!AH36</f>
        <v>NaN</v>
      </c>
      <c r="AI37" s="16">
        <f>'Clean Data'!AI36</f>
        <v>5.37</v>
      </c>
      <c r="AJ37" s="16" t="str">
        <f>'Clean Data'!AJ36</f>
        <v>NaN</v>
      </c>
      <c r="AK37" s="16">
        <f>'Clean Data'!AK36</f>
        <v>2</v>
      </c>
      <c r="AL37" s="16" t="str">
        <f>'Clean Data'!AL36</f>
        <v>NaN</v>
      </c>
      <c r="AM37" s="16">
        <f>'Clean Data'!AM36</f>
        <v>71</v>
      </c>
      <c r="AN37" s="16">
        <f>'Clean Data'!AN36</f>
        <v>89</v>
      </c>
      <c r="AO37" s="16" t="str">
        <f>'Clean Data'!AO36</f>
        <v>Lahijani, Bioresource Technology 2011, 102, 2068-2076</v>
      </c>
      <c r="AP37" s="16"/>
      <c r="AQ37" s="16"/>
      <c r="AR37" s="16"/>
      <c r="AS37" s="16"/>
      <c r="AT37" s="16"/>
    </row>
    <row r="38" spans="1:46" x14ac:dyDescent="0.3">
      <c r="A38" s="16">
        <f>'Clean Data'!A37</f>
        <v>36</v>
      </c>
      <c r="B38" s="16" t="str">
        <f>'Clean Data'!B37</f>
        <v>herbaceous biomass</v>
      </c>
      <c r="C38" s="16" t="str">
        <f>'Clean Data'!C37</f>
        <v>fibres</v>
      </c>
      <c r="D38" s="16">
        <f>'Clean Data'!D37</f>
        <v>4</v>
      </c>
      <c r="E38" s="16">
        <f>'Clean Data'!E37</f>
        <v>13.959800867678959</v>
      </c>
      <c r="F38" s="16">
        <f>'Clean Data'!F37</f>
        <v>43.52</v>
      </c>
      <c r="G38" s="16">
        <f>'Clean Data'!G37</f>
        <v>5.72</v>
      </c>
      <c r="H38" s="16">
        <f>'Clean Data'!H37</f>
        <v>1.2</v>
      </c>
      <c r="I38" s="16">
        <f>'Clean Data'!I37</f>
        <v>0.66</v>
      </c>
      <c r="J38" s="16">
        <f>'Clean Data'!J37</f>
        <v>48.9</v>
      </c>
      <c r="K38" s="16">
        <f>'Clean Data'!K37</f>
        <v>4.8806941431670285</v>
      </c>
      <c r="L38" s="16">
        <f>'Clean Data'!L37</f>
        <v>7.8</v>
      </c>
      <c r="M38" s="16">
        <f>'Clean Data'!M37</f>
        <v>86.052060737527128</v>
      </c>
      <c r="N38" s="16">
        <f>'Clean Data'!N37</f>
        <v>9.0672451193058574</v>
      </c>
      <c r="O38" s="16" t="str">
        <f>'Clean Data'!O37</f>
        <v>NaN</v>
      </c>
      <c r="P38" s="16" t="str">
        <f>'Clean Data'!P37</f>
        <v>NaN</v>
      </c>
      <c r="Q38" s="16" t="str">
        <f>'Clean Data'!Q37</f>
        <v>NaN</v>
      </c>
      <c r="R38" s="16">
        <f>'Clean Data'!R37</f>
        <v>770</v>
      </c>
      <c r="S38" s="16" t="str">
        <f>'Clean Data'!S37</f>
        <v>continuous</v>
      </c>
      <c r="T38" s="16" t="str">
        <f>'Clean Data'!T37</f>
        <v>atmospheric</v>
      </c>
      <c r="U38" s="16" t="str">
        <f>'Clean Data'!U37</f>
        <v>NaN</v>
      </c>
      <c r="V38" s="16" t="str">
        <f>'Clean Data'!V37</f>
        <v>NaN</v>
      </c>
      <c r="W38" s="16">
        <f>'Clean Data'!W37</f>
        <v>0.17</v>
      </c>
      <c r="X38" s="16" t="str">
        <f>'Clean Data'!X37</f>
        <v>air</v>
      </c>
      <c r="Y38" s="16" t="str">
        <f>'Clean Data'!Y37</f>
        <v>fluidised bed</v>
      </c>
      <c r="Z38" s="16" t="str">
        <f>'Clean Data'!Z37</f>
        <v>silica</v>
      </c>
      <c r="AA38" s="16">
        <f>'Clean Data'!AA37</f>
        <v>0</v>
      </c>
      <c r="AB38" s="16" t="str">
        <f>'Clean Data'!AB37</f>
        <v>pilot</v>
      </c>
      <c r="AC38" s="16">
        <f>'Clean Data'!AC37</f>
        <v>55.75</v>
      </c>
      <c r="AD38" s="16">
        <f>'Clean Data'!AD37</f>
        <v>7.5</v>
      </c>
      <c r="AE38" s="16">
        <f>'Clean Data'!AE37</f>
        <v>15.75</v>
      </c>
      <c r="AF38" s="16">
        <f>'Clean Data'!AF37</f>
        <v>18</v>
      </c>
      <c r="AG38" s="16">
        <f>'Clean Data'!AG37</f>
        <v>3</v>
      </c>
      <c r="AH38" s="16" t="str">
        <f>'Clean Data'!AH37</f>
        <v>NaN</v>
      </c>
      <c r="AI38" s="16">
        <f>'Clean Data'!AI37</f>
        <v>4.25</v>
      </c>
      <c r="AJ38" s="16" t="str">
        <f>'Clean Data'!AJ37</f>
        <v>NaN</v>
      </c>
      <c r="AK38" s="16">
        <f>'Clean Data'!AK37</f>
        <v>1.2</v>
      </c>
      <c r="AL38" s="16" t="str">
        <f>'Clean Data'!AL37</f>
        <v>NaN</v>
      </c>
      <c r="AM38" s="16">
        <f>'Clean Data'!AM37</f>
        <v>29</v>
      </c>
      <c r="AN38" s="16">
        <f>'Clean Data'!AN37</f>
        <v>47</v>
      </c>
      <c r="AO38" s="16" t="str">
        <f>'Clean Data'!AO37</f>
        <v>Lahijani, Bioresource Technology 2011, 102, 2068-2076</v>
      </c>
      <c r="AP38" s="16"/>
      <c r="AQ38" s="16"/>
      <c r="AR38" s="16"/>
      <c r="AS38" s="16"/>
      <c r="AT38" s="16"/>
    </row>
    <row r="39" spans="1:46" x14ac:dyDescent="0.3">
      <c r="A39" s="16">
        <f>'Clean Data'!A38</f>
        <v>37</v>
      </c>
      <c r="B39" s="16" t="str">
        <f>'Clean Data'!B38</f>
        <v>herbaceous biomass</v>
      </c>
      <c r="C39" s="16" t="str">
        <f>'Clean Data'!C38</f>
        <v>fibres</v>
      </c>
      <c r="D39" s="16">
        <f>'Clean Data'!D38</f>
        <v>4</v>
      </c>
      <c r="E39" s="16">
        <f>'Clean Data'!E38</f>
        <v>13.959800867678959</v>
      </c>
      <c r="F39" s="16">
        <f>'Clean Data'!F38</f>
        <v>43.52</v>
      </c>
      <c r="G39" s="16">
        <f>'Clean Data'!G38</f>
        <v>5.72</v>
      </c>
      <c r="H39" s="16">
        <f>'Clean Data'!H38</f>
        <v>1.2</v>
      </c>
      <c r="I39" s="16">
        <f>'Clean Data'!I38</f>
        <v>0.66</v>
      </c>
      <c r="J39" s="16">
        <f>'Clean Data'!J38</f>
        <v>48.9</v>
      </c>
      <c r="K39" s="16">
        <f>'Clean Data'!K38</f>
        <v>4.8806941431670285</v>
      </c>
      <c r="L39" s="16">
        <f>'Clean Data'!L38</f>
        <v>7.8</v>
      </c>
      <c r="M39" s="16">
        <f>'Clean Data'!M38</f>
        <v>86.052060737527128</v>
      </c>
      <c r="N39" s="16">
        <f>'Clean Data'!N38</f>
        <v>9.0672451193058574</v>
      </c>
      <c r="O39" s="16" t="str">
        <f>'Clean Data'!O38</f>
        <v>NaN</v>
      </c>
      <c r="P39" s="16" t="str">
        <f>'Clean Data'!P38</f>
        <v>NaN</v>
      </c>
      <c r="Q39" s="16" t="str">
        <f>'Clean Data'!Q38</f>
        <v>NaN</v>
      </c>
      <c r="R39" s="16">
        <f>'Clean Data'!R38</f>
        <v>770</v>
      </c>
      <c r="S39" s="16" t="str">
        <f>'Clean Data'!S38</f>
        <v>continuous</v>
      </c>
      <c r="T39" s="16" t="str">
        <f>'Clean Data'!T38</f>
        <v>atmospheric</v>
      </c>
      <c r="U39" s="16" t="str">
        <f>'Clean Data'!U38</f>
        <v>NaN</v>
      </c>
      <c r="V39" s="16" t="str">
        <f>'Clean Data'!V38</f>
        <v>NaN</v>
      </c>
      <c r="W39" s="16">
        <f>'Clean Data'!W38</f>
        <v>0.21</v>
      </c>
      <c r="X39" s="16" t="str">
        <f>'Clean Data'!X38</f>
        <v>air</v>
      </c>
      <c r="Y39" s="16" t="str">
        <f>'Clean Data'!Y38</f>
        <v>fluidised bed</v>
      </c>
      <c r="Z39" s="16" t="str">
        <f>'Clean Data'!Z38</f>
        <v>silica</v>
      </c>
      <c r="AA39" s="16">
        <f>'Clean Data'!AA38</f>
        <v>0</v>
      </c>
      <c r="AB39" s="16" t="str">
        <f>'Clean Data'!AB38</f>
        <v>pilot</v>
      </c>
      <c r="AC39" s="16">
        <f>'Clean Data'!AC38</f>
        <v>54.28</v>
      </c>
      <c r="AD39" s="16">
        <f>'Clean Data'!AD38</f>
        <v>5.55</v>
      </c>
      <c r="AE39" s="16">
        <f>'Clean Data'!AE38</f>
        <v>16.62</v>
      </c>
      <c r="AF39" s="16">
        <f>'Clean Data'!AF38</f>
        <v>19.239999999999998</v>
      </c>
      <c r="AG39" s="16">
        <f>'Clean Data'!AG38</f>
        <v>4.3099999999999996</v>
      </c>
      <c r="AH39" s="16" t="str">
        <f>'Clean Data'!AH38</f>
        <v>NaN</v>
      </c>
      <c r="AI39" s="16">
        <f>'Clean Data'!AI38</f>
        <v>4.53</v>
      </c>
      <c r="AJ39" s="16" t="str">
        <f>'Clean Data'!AJ38</f>
        <v>NaN</v>
      </c>
      <c r="AK39" s="16">
        <f>'Clean Data'!AK38</f>
        <v>1.3</v>
      </c>
      <c r="AL39" s="16" t="str">
        <f>'Clean Data'!AL38</f>
        <v>NaN</v>
      </c>
      <c r="AM39" s="16">
        <f>'Clean Data'!AM38</f>
        <v>36</v>
      </c>
      <c r="AN39" s="16">
        <f>'Clean Data'!AN38</f>
        <v>59</v>
      </c>
      <c r="AO39" s="16" t="str">
        <f>'Clean Data'!AO38</f>
        <v>Lahijani, Bioresource Technology 2011, 102, 2068-2076</v>
      </c>
      <c r="AP39" s="16"/>
      <c r="AQ39" s="16"/>
      <c r="AR39" s="16"/>
      <c r="AS39" s="16"/>
      <c r="AT39" s="16"/>
    </row>
    <row r="40" spans="1:46" x14ac:dyDescent="0.3">
      <c r="A40" s="16">
        <f>'Clean Data'!A39</f>
        <v>38</v>
      </c>
      <c r="B40" s="16" t="str">
        <f>'Clean Data'!B39</f>
        <v>herbaceous biomass</v>
      </c>
      <c r="C40" s="16" t="str">
        <f>'Clean Data'!C39</f>
        <v>fibres</v>
      </c>
      <c r="D40" s="16">
        <f>'Clean Data'!D39</f>
        <v>4</v>
      </c>
      <c r="E40" s="16">
        <f>'Clean Data'!E39</f>
        <v>13.959800867678959</v>
      </c>
      <c r="F40" s="16">
        <f>'Clean Data'!F39</f>
        <v>43.52</v>
      </c>
      <c r="G40" s="16">
        <f>'Clean Data'!G39</f>
        <v>5.72</v>
      </c>
      <c r="H40" s="16">
        <f>'Clean Data'!H39</f>
        <v>1.2</v>
      </c>
      <c r="I40" s="16">
        <f>'Clean Data'!I39</f>
        <v>0.66</v>
      </c>
      <c r="J40" s="16">
        <f>'Clean Data'!J39</f>
        <v>48.9</v>
      </c>
      <c r="K40" s="16">
        <f>'Clean Data'!K39</f>
        <v>4.8806941431670285</v>
      </c>
      <c r="L40" s="16">
        <f>'Clean Data'!L39</f>
        <v>7.8</v>
      </c>
      <c r="M40" s="16">
        <f>'Clean Data'!M39</f>
        <v>86.052060737527128</v>
      </c>
      <c r="N40" s="16">
        <f>'Clean Data'!N39</f>
        <v>9.0672451193058574</v>
      </c>
      <c r="O40" s="16" t="str">
        <f>'Clean Data'!O39</f>
        <v>NaN</v>
      </c>
      <c r="P40" s="16" t="str">
        <f>'Clean Data'!P39</f>
        <v>NaN</v>
      </c>
      <c r="Q40" s="16" t="str">
        <f>'Clean Data'!Q39</f>
        <v>NaN</v>
      </c>
      <c r="R40" s="16">
        <f>'Clean Data'!R39</f>
        <v>770</v>
      </c>
      <c r="S40" s="16" t="str">
        <f>'Clean Data'!S39</f>
        <v>continuous</v>
      </c>
      <c r="T40" s="16" t="str">
        <f>'Clean Data'!T39</f>
        <v>atmospheric</v>
      </c>
      <c r="U40" s="16" t="str">
        <f>'Clean Data'!U39</f>
        <v>NaN</v>
      </c>
      <c r="V40" s="16" t="str">
        <f>'Clean Data'!V39</f>
        <v>NaN</v>
      </c>
      <c r="W40" s="16">
        <f>'Clean Data'!W39</f>
        <v>0.28000000000000003</v>
      </c>
      <c r="X40" s="16" t="str">
        <f>'Clean Data'!X39</f>
        <v>air</v>
      </c>
      <c r="Y40" s="16" t="str">
        <f>'Clean Data'!Y39</f>
        <v>fluidised bed</v>
      </c>
      <c r="Z40" s="16" t="str">
        <f>'Clean Data'!Z39</f>
        <v>silica</v>
      </c>
      <c r="AA40" s="16">
        <f>'Clean Data'!AA39</f>
        <v>0</v>
      </c>
      <c r="AB40" s="16" t="str">
        <f>'Clean Data'!AB39</f>
        <v>pilot</v>
      </c>
      <c r="AC40" s="16">
        <f>'Clean Data'!AC39</f>
        <v>57.5</v>
      </c>
      <c r="AD40" s="16">
        <f>'Clean Data'!AD39</f>
        <v>5</v>
      </c>
      <c r="AE40" s="16">
        <f>'Clean Data'!AE39</f>
        <v>14.75</v>
      </c>
      <c r="AF40" s="16">
        <f>'Clean Data'!AF39</f>
        <v>19.75</v>
      </c>
      <c r="AG40" s="16">
        <f>'Clean Data'!AG39</f>
        <v>3</v>
      </c>
      <c r="AH40" s="16" t="str">
        <f>'Clean Data'!AH39</f>
        <v>NaN</v>
      </c>
      <c r="AI40" s="16">
        <f>'Clean Data'!AI39</f>
        <v>3.8</v>
      </c>
      <c r="AJ40" s="16" t="str">
        <f>'Clean Data'!AJ39</f>
        <v>NaN</v>
      </c>
      <c r="AK40" s="16">
        <f>'Clean Data'!AK39</f>
        <v>1.65</v>
      </c>
      <c r="AL40" s="16" t="str">
        <f>'Clean Data'!AL39</f>
        <v>NaN</v>
      </c>
      <c r="AM40" s="16">
        <f>'Clean Data'!AM39</f>
        <v>38</v>
      </c>
      <c r="AN40" s="16">
        <f>'Clean Data'!AN39</f>
        <v>67</v>
      </c>
      <c r="AO40" s="16" t="str">
        <f>'Clean Data'!AO39</f>
        <v>Lahijani, Bioresource Technology 2011, 102, 2068-2076</v>
      </c>
      <c r="AP40" s="16"/>
      <c r="AQ40" s="16"/>
      <c r="AR40" s="16"/>
      <c r="AS40" s="16"/>
      <c r="AT40" s="16"/>
    </row>
    <row r="41" spans="1:46" x14ac:dyDescent="0.3">
      <c r="A41" s="16">
        <f>'Clean Data'!A40</f>
        <v>39</v>
      </c>
      <c r="B41" s="16" t="str">
        <f>'Clean Data'!B40</f>
        <v>herbaceous biomass</v>
      </c>
      <c r="C41" s="16" t="str">
        <f>'Clean Data'!C40</f>
        <v>fibres</v>
      </c>
      <c r="D41" s="16">
        <f>'Clean Data'!D40</f>
        <v>4</v>
      </c>
      <c r="E41" s="16">
        <f>'Clean Data'!E40</f>
        <v>13.959800867678959</v>
      </c>
      <c r="F41" s="16">
        <f>'Clean Data'!F40</f>
        <v>43.52</v>
      </c>
      <c r="G41" s="16">
        <f>'Clean Data'!G40</f>
        <v>5.72</v>
      </c>
      <c r="H41" s="16">
        <f>'Clean Data'!H40</f>
        <v>1.2</v>
      </c>
      <c r="I41" s="16">
        <f>'Clean Data'!I40</f>
        <v>0.66</v>
      </c>
      <c r="J41" s="16">
        <f>'Clean Data'!J40</f>
        <v>48.9</v>
      </c>
      <c r="K41" s="16">
        <f>'Clean Data'!K40</f>
        <v>4.8806941431670285</v>
      </c>
      <c r="L41" s="16">
        <f>'Clean Data'!L40</f>
        <v>7.8</v>
      </c>
      <c r="M41" s="16">
        <f>'Clean Data'!M40</f>
        <v>86.052060737527128</v>
      </c>
      <c r="N41" s="16">
        <f>'Clean Data'!N40</f>
        <v>9.0672451193058574</v>
      </c>
      <c r="O41" s="16" t="str">
        <f>'Clean Data'!O40</f>
        <v>NaN</v>
      </c>
      <c r="P41" s="16" t="str">
        <f>'Clean Data'!P40</f>
        <v>NaN</v>
      </c>
      <c r="Q41" s="16" t="str">
        <f>'Clean Data'!Q40</f>
        <v>NaN</v>
      </c>
      <c r="R41" s="16">
        <f>'Clean Data'!R40</f>
        <v>770</v>
      </c>
      <c r="S41" s="16" t="str">
        <f>'Clean Data'!S40</f>
        <v>continuous</v>
      </c>
      <c r="T41" s="16" t="str">
        <f>'Clean Data'!T40</f>
        <v>atmospheric</v>
      </c>
      <c r="U41" s="16" t="str">
        <f>'Clean Data'!U40</f>
        <v>NaN</v>
      </c>
      <c r="V41" s="16" t="str">
        <f>'Clean Data'!V40</f>
        <v>NaN</v>
      </c>
      <c r="W41" s="16">
        <f>'Clean Data'!W40</f>
        <v>0.32</v>
      </c>
      <c r="X41" s="16" t="str">
        <f>'Clean Data'!X40</f>
        <v>air</v>
      </c>
      <c r="Y41" s="16" t="str">
        <f>'Clean Data'!Y40</f>
        <v>fluidised bed</v>
      </c>
      <c r="Z41" s="16" t="str">
        <f>'Clean Data'!Z40</f>
        <v>silica</v>
      </c>
      <c r="AA41" s="16">
        <f>'Clean Data'!AA40</f>
        <v>0</v>
      </c>
      <c r="AB41" s="16" t="str">
        <f>'Clean Data'!AB40</f>
        <v>pilot</v>
      </c>
      <c r="AC41" s="16">
        <f>'Clean Data'!AC40</f>
        <v>58.5</v>
      </c>
      <c r="AD41" s="16">
        <f>'Clean Data'!AD40</f>
        <v>4</v>
      </c>
      <c r="AE41" s="16">
        <f>'Clean Data'!AE40</f>
        <v>13.75</v>
      </c>
      <c r="AF41" s="16">
        <f>'Clean Data'!AF40</f>
        <v>21</v>
      </c>
      <c r="AG41" s="16">
        <f>'Clean Data'!AG40</f>
        <v>2.75</v>
      </c>
      <c r="AH41" s="16" t="str">
        <f>'Clean Data'!AH40</f>
        <v>NaN</v>
      </c>
      <c r="AI41" s="16">
        <f>'Clean Data'!AI40</f>
        <v>3.35</v>
      </c>
      <c r="AJ41" s="16" t="str">
        <f>'Clean Data'!AJ40</f>
        <v>NaN</v>
      </c>
      <c r="AK41" s="16">
        <f>'Clean Data'!AK40</f>
        <v>1.76</v>
      </c>
      <c r="AL41" s="16" t="str">
        <f>'Clean Data'!AL40</f>
        <v>NaN</v>
      </c>
      <c r="AM41" s="16">
        <f>'Clean Data'!AM40</f>
        <v>39</v>
      </c>
      <c r="AN41" s="16">
        <f>'Clean Data'!AN40</f>
        <v>71</v>
      </c>
      <c r="AO41" s="16" t="str">
        <f>'Clean Data'!AO40</f>
        <v>Lahijani, Bioresource Technology 2011, 102, 2068-2076</v>
      </c>
      <c r="AP41" s="16"/>
      <c r="AQ41" s="16"/>
      <c r="AR41" s="16"/>
      <c r="AS41" s="16"/>
      <c r="AT41" s="16"/>
    </row>
    <row r="42" spans="1:46" x14ac:dyDescent="0.3">
      <c r="A42" s="16">
        <f>'Clean Data'!A41</f>
        <v>40</v>
      </c>
      <c r="B42" s="16" t="str">
        <f>'Clean Data'!B41</f>
        <v>woody biomass</v>
      </c>
      <c r="C42" s="16" t="str">
        <f>'Clean Data'!C41</f>
        <v>fibres</v>
      </c>
      <c r="D42" s="16">
        <f>'Clean Data'!D41</f>
        <v>4</v>
      </c>
      <c r="E42" s="16">
        <f>'Clean Data'!E41</f>
        <v>15.733292857142859</v>
      </c>
      <c r="F42" s="16">
        <f>'Clean Data'!F41</f>
        <v>44.96</v>
      </c>
      <c r="G42" s="16">
        <f>'Clean Data'!G41</f>
        <v>5.83</v>
      </c>
      <c r="H42" s="16">
        <f>'Clean Data'!H41</f>
        <v>3.1</v>
      </c>
      <c r="I42" s="16">
        <f>'Clean Data'!I41</f>
        <v>0.61</v>
      </c>
      <c r="J42" s="16">
        <f>'Clean Data'!J41</f>
        <v>45.5</v>
      </c>
      <c r="K42" s="16">
        <f>'Clean Data'!K41</f>
        <v>0.46838407494145201</v>
      </c>
      <c r="L42" s="16">
        <f>'Clean Data'!L41</f>
        <v>14.6</v>
      </c>
      <c r="M42" s="16">
        <f>'Clean Data'!M41</f>
        <v>89.110070257611227</v>
      </c>
      <c r="N42" s="16">
        <f>'Clean Data'!N41</f>
        <v>10.421545667447306</v>
      </c>
      <c r="O42" s="16" t="str">
        <f>'Clean Data'!O41</f>
        <v>NaN</v>
      </c>
      <c r="P42" s="16" t="str">
        <f>'Clean Data'!P41</f>
        <v>NaN</v>
      </c>
      <c r="Q42" s="16" t="str">
        <f>'Clean Data'!Q41</f>
        <v>NaN</v>
      </c>
      <c r="R42" s="16">
        <f>'Clean Data'!R41</f>
        <v>650</v>
      </c>
      <c r="S42" s="16" t="str">
        <f>'Clean Data'!S41</f>
        <v>continuous</v>
      </c>
      <c r="T42" s="16" t="str">
        <f>'Clean Data'!T41</f>
        <v>atmospheric</v>
      </c>
      <c r="U42" s="16" t="str">
        <f>'Clean Data'!U41</f>
        <v>NaN</v>
      </c>
      <c r="V42" s="16" t="str">
        <f>'Clean Data'!V41</f>
        <v>NaN</v>
      </c>
      <c r="W42" s="16">
        <f>'Clean Data'!W41</f>
        <v>0.25</v>
      </c>
      <c r="X42" s="16" t="str">
        <f>'Clean Data'!X41</f>
        <v>air</v>
      </c>
      <c r="Y42" s="16" t="str">
        <f>'Clean Data'!Y41</f>
        <v>fluidised bed</v>
      </c>
      <c r="Z42" s="16" t="str">
        <f>'Clean Data'!Z41</f>
        <v>silica</v>
      </c>
      <c r="AA42" s="16">
        <f>'Clean Data'!AA41</f>
        <v>0</v>
      </c>
      <c r="AB42" s="16" t="str">
        <f>'Clean Data'!AB41</f>
        <v>pilot</v>
      </c>
      <c r="AC42" s="16">
        <f>'Clean Data'!AC41</f>
        <v>61</v>
      </c>
      <c r="AD42" s="16">
        <f>'Clean Data'!AD41</f>
        <v>6</v>
      </c>
      <c r="AE42" s="16">
        <f>'Clean Data'!AE41</f>
        <v>15</v>
      </c>
      <c r="AF42" s="16">
        <f>'Clean Data'!AF41</f>
        <v>15</v>
      </c>
      <c r="AG42" s="16">
        <f>'Clean Data'!AG41</f>
        <v>3</v>
      </c>
      <c r="AH42" s="16" t="str">
        <f>'Clean Data'!AH41</f>
        <v>NaN</v>
      </c>
      <c r="AI42" s="16">
        <f>'Clean Data'!AI41</f>
        <v>3.86</v>
      </c>
      <c r="AJ42" s="16" t="str">
        <f>'Clean Data'!AJ41</f>
        <v>NaN</v>
      </c>
      <c r="AK42" s="16">
        <f>'Clean Data'!AK41</f>
        <v>1.2</v>
      </c>
      <c r="AL42" s="16" t="str">
        <f>'Clean Data'!AL41</f>
        <v>NaN</v>
      </c>
      <c r="AM42" s="16">
        <f>'Clean Data'!AM41</f>
        <v>30</v>
      </c>
      <c r="AN42" s="16">
        <f>'Clean Data'!AN41</f>
        <v>52</v>
      </c>
      <c r="AO42" s="16" t="str">
        <f>'Clean Data'!AO41</f>
        <v>Lahijani, Bioresource Technology 2011, 102, 2068-2076</v>
      </c>
      <c r="AP42" s="16"/>
      <c r="AQ42" s="16"/>
      <c r="AR42" s="16"/>
      <c r="AS42" s="16"/>
      <c r="AT42" s="16"/>
    </row>
    <row r="43" spans="1:46" x14ac:dyDescent="0.3">
      <c r="A43" s="16">
        <f>'Clean Data'!A42</f>
        <v>41</v>
      </c>
      <c r="B43" s="16" t="str">
        <f>'Clean Data'!B42</f>
        <v>woody biomass</v>
      </c>
      <c r="C43" s="16" t="str">
        <f>'Clean Data'!C42</f>
        <v>fibres</v>
      </c>
      <c r="D43" s="16">
        <f>'Clean Data'!D42</f>
        <v>4</v>
      </c>
      <c r="E43" s="16">
        <f>'Clean Data'!E42</f>
        <v>15.733292857142859</v>
      </c>
      <c r="F43" s="16">
        <f>'Clean Data'!F42</f>
        <v>44.96</v>
      </c>
      <c r="G43" s="16">
        <f>'Clean Data'!G42</f>
        <v>5.83</v>
      </c>
      <c r="H43" s="16">
        <f>'Clean Data'!H42</f>
        <v>3.1</v>
      </c>
      <c r="I43" s="16">
        <f>'Clean Data'!I42</f>
        <v>0.61</v>
      </c>
      <c r="J43" s="16">
        <f>'Clean Data'!J42</f>
        <v>45.5</v>
      </c>
      <c r="K43" s="16">
        <f>'Clean Data'!K42</f>
        <v>0.46838407494145201</v>
      </c>
      <c r="L43" s="16">
        <f>'Clean Data'!L42</f>
        <v>14.6</v>
      </c>
      <c r="M43" s="16">
        <f>'Clean Data'!M42</f>
        <v>89.110070257611227</v>
      </c>
      <c r="N43" s="16">
        <f>'Clean Data'!N42</f>
        <v>10.421545667447306</v>
      </c>
      <c r="O43" s="16" t="str">
        <f>'Clean Data'!O42</f>
        <v>NaN</v>
      </c>
      <c r="P43" s="16" t="str">
        <f>'Clean Data'!P42</f>
        <v>NaN</v>
      </c>
      <c r="Q43" s="16" t="str">
        <f>'Clean Data'!Q42</f>
        <v>NaN</v>
      </c>
      <c r="R43" s="16">
        <f>'Clean Data'!R42</f>
        <v>750</v>
      </c>
      <c r="S43" s="16" t="str">
        <f>'Clean Data'!S42</f>
        <v>continuous</v>
      </c>
      <c r="T43" s="16" t="str">
        <f>'Clean Data'!T42</f>
        <v>atmospheric</v>
      </c>
      <c r="U43" s="16" t="str">
        <f>'Clean Data'!U42</f>
        <v>NaN</v>
      </c>
      <c r="V43" s="16" t="str">
        <f>'Clean Data'!V42</f>
        <v>NaN</v>
      </c>
      <c r="W43" s="16">
        <f>'Clean Data'!W42</f>
        <v>0.25</v>
      </c>
      <c r="X43" s="16" t="str">
        <f>'Clean Data'!X42</f>
        <v>air</v>
      </c>
      <c r="Y43" s="16" t="str">
        <f>'Clean Data'!Y42</f>
        <v>fluidised bed</v>
      </c>
      <c r="Z43" s="16" t="str">
        <f>'Clean Data'!Z42</f>
        <v>silica</v>
      </c>
      <c r="AA43" s="16">
        <f>'Clean Data'!AA42</f>
        <v>0</v>
      </c>
      <c r="AB43" s="16" t="str">
        <f>'Clean Data'!AB42</f>
        <v>pilot</v>
      </c>
      <c r="AC43" s="16">
        <f>'Clean Data'!AC42</f>
        <v>59.75</v>
      </c>
      <c r="AD43" s="16">
        <f>'Clean Data'!AD42</f>
        <v>6</v>
      </c>
      <c r="AE43" s="16">
        <f>'Clean Data'!AE42</f>
        <v>14.5</v>
      </c>
      <c r="AF43" s="16">
        <f>'Clean Data'!AF42</f>
        <v>17.5</v>
      </c>
      <c r="AG43" s="16">
        <f>'Clean Data'!AG42</f>
        <v>2.25</v>
      </c>
      <c r="AH43" s="16" t="str">
        <f>'Clean Data'!AH42</f>
        <v>NaN</v>
      </c>
      <c r="AI43" s="16">
        <f>'Clean Data'!AI42</f>
        <v>3.5</v>
      </c>
      <c r="AJ43" s="16" t="str">
        <f>'Clean Data'!AJ42</f>
        <v>NaN</v>
      </c>
      <c r="AK43" s="16">
        <f>'Clean Data'!AK42</f>
        <v>1.7</v>
      </c>
      <c r="AL43" s="16" t="str">
        <f>'Clean Data'!AL42</f>
        <v>NaN</v>
      </c>
      <c r="AM43" s="16">
        <f>'Clean Data'!AM42</f>
        <v>35</v>
      </c>
      <c r="AN43" s="16">
        <f>'Clean Data'!AN42</f>
        <v>70</v>
      </c>
      <c r="AO43" s="16" t="str">
        <f>'Clean Data'!AO42</f>
        <v>Lahijani, Bioresource Technology 2011, 102, 2068-2076</v>
      </c>
      <c r="AP43" s="16"/>
      <c r="AQ43" s="16"/>
      <c r="AR43" s="16"/>
      <c r="AS43" s="16"/>
      <c r="AT43" s="16"/>
    </row>
    <row r="44" spans="1:46" x14ac:dyDescent="0.3">
      <c r="A44" s="16">
        <f>'Clean Data'!A43</f>
        <v>42</v>
      </c>
      <c r="B44" s="16" t="str">
        <f>'Clean Data'!B43</f>
        <v>woody biomass</v>
      </c>
      <c r="C44" s="16" t="str">
        <f>'Clean Data'!C43</f>
        <v>fibres</v>
      </c>
      <c r="D44" s="16">
        <f>'Clean Data'!D43</f>
        <v>4</v>
      </c>
      <c r="E44" s="16">
        <f>'Clean Data'!E43</f>
        <v>15.733292857142859</v>
      </c>
      <c r="F44" s="16">
        <f>'Clean Data'!F43</f>
        <v>44.96</v>
      </c>
      <c r="G44" s="16">
        <f>'Clean Data'!G43</f>
        <v>5.83</v>
      </c>
      <c r="H44" s="16">
        <f>'Clean Data'!H43</f>
        <v>3.1</v>
      </c>
      <c r="I44" s="16">
        <f>'Clean Data'!I43</f>
        <v>0.61</v>
      </c>
      <c r="J44" s="16">
        <f>'Clean Data'!J43</f>
        <v>45.5</v>
      </c>
      <c r="K44" s="16">
        <f>'Clean Data'!K43</f>
        <v>0.46838407494145201</v>
      </c>
      <c r="L44" s="16">
        <f>'Clean Data'!L43</f>
        <v>14.6</v>
      </c>
      <c r="M44" s="16">
        <f>'Clean Data'!M43</f>
        <v>89.110070257611227</v>
      </c>
      <c r="N44" s="16">
        <f>'Clean Data'!N43</f>
        <v>10.421545667447306</v>
      </c>
      <c r="O44" s="16" t="str">
        <f>'Clean Data'!O43</f>
        <v>NaN</v>
      </c>
      <c r="P44" s="16" t="str">
        <f>'Clean Data'!P43</f>
        <v>NaN</v>
      </c>
      <c r="Q44" s="16" t="str">
        <f>'Clean Data'!Q43</f>
        <v>NaN</v>
      </c>
      <c r="R44" s="16">
        <f>'Clean Data'!R43</f>
        <v>850</v>
      </c>
      <c r="S44" s="16" t="str">
        <f>'Clean Data'!S43</f>
        <v>continuous</v>
      </c>
      <c r="T44" s="16" t="str">
        <f>'Clean Data'!T43</f>
        <v>atmospheric</v>
      </c>
      <c r="U44" s="16" t="str">
        <f>'Clean Data'!U43</f>
        <v>NaN</v>
      </c>
      <c r="V44" s="16" t="str">
        <f>'Clean Data'!V43</f>
        <v>NaN</v>
      </c>
      <c r="W44" s="16">
        <f>'Clean Data'!W43</f>
        <v>0.25</v>
      </c>
      <c r="X44" s="16" t="str">
        <f>'Clean Data'!X43</f>
        <v>air</v>
      </c>
      <c r="Y44" s="16" t="str">
        <f>'Clean Data'!Y43</f>
        <v>fluidised bed</v>
      </c>
      <c r="Z44" s="16" t="str">
        <f>'Clean Data'!Z43</f>
        <v>silica</v>
      </c>
      <c r="AA44" s="16">
        <f>'Clean Data'!AA43</f>
        <v>0</v>
      </c>
      <c r="AB44" s="16" t="str">
        <f>'Clean Data'!AB43</f>
        <v>pilot</v>
      </c>
      <c r="AC44" s="16">
        <f>'Clean Data'!AC43</f>
        <v>55.25</v>
      </c>
      <c r="AD44" s="16">
        <f>'Clean Data'!AD43</f>
        <v>8</v>
      </c>
      <c r="AE44" s="16">
        <f>'Clean Data'!AE43</f>
        <v>15</v>
      </c>
      <c r="AF44" s="16">
        <f>'Clean Data'!AF43</f>
        <v>19</v>
      </c>
      <c r="AG44" s="16">
        <f>'Clean Data'!AG43</f>
        <v>2.75</v>
      </c>
      <c r="AH44" s="16" t="str">
        <f>'Clean Data'!AH43</f>
        <v>NaN</v>
      </c>
      <c r="AI44" s="16">
        <f>'Clean Data'!AI43</f>
        <v>4</v>
      </c>
      <c r="AJ44" s="16" t="str">
        <f>'Clean Data'!AJ43</f>
        <v>NaN</v>
      </c>
      <c r="AK44" s="16">
        <f>'Clean Data'!AK43</f>
        <v>1.75</v>
      </c>
      <c r="AL44" s="16" t="str">
        <f>'Clean Data'!AL43</f>
        <v>NaN</v>
      </c>
      <c r="AM44" s="16">
        <f>'Clean Data'!AM43</f>
        <v>43</v>
      </c>
      <c r="AN44" s="16">
        <f>'Clean Data'!AN43</f>
        <v>79</v>
      </c>
      <c r="AO44" s="16" t="str">
        <f>'Clean Data'!AO43</f>
        <v>Lahijani, Bioresource Technology 2011, 102, 2068-2076</v>
      </c>
      <c r="AP44" s="16"/>
      <c r="AQ44" s="16"/>
      <c r="AR44" s="16"/>
      <c r="AS44" s="16"/>
      <c r="AT44" s="16"/>
    </row>
    <row r="45" spans="1:46" x14ac:dyDescent="0.3">
      <c r="A45" s="16">
        <f>'Clean Data'!A44</f>
        <v>43</v>
      </c>
      <c r="B45" s="16" t="str">
        <f>'Clean Data'!B44</f>
        <v>woody biomass</v>
      </c>
      <c r="C45" s="16" t="str">
        <f>'Clean Data'!C44</f>
        <v>fibres</v>
      </c>
      <c r="D45" s="16">
        <f>'Clean Data'!D44</f>
        <v>4</v>
      </c>
      <c r="E45" s="16">
        <f>'Clean Data'!E44</f>
        <v>15.733292857142859</v>
      </c>
      <c r="F45" s="16">
        <f>'Clean Data'!F44</f>
        <v>44.96</v>
      </c>
      <c r="G45" s="16">
        <f>'Clean Data'!G44</f>
        <v>5.83</v>
      </c>
      <c r="H45" s="16">
        <f>'Clean Data'!H44</f>
        <v>3.1</v>
      </c>
      <c r="I45" s="16">
        <f>'Clean Data'!I44</f>
        <v>0.61</v>
      </c>
      <c r="J45" s="16">
        <f>'Clean Data'!J44</f>
        <v>45.5</v>
      </c>
      <c r="K45" s="16">
        <f>'Clean Data'!K44</f>
        <v>0.46838407494145201</v>
      </c>
      <c r="L45" s="16">
        <f>'Clean Data'!L44</f>
        <v>14.6</v>
      </c>
      <c r="M45" s="16">
        <f>'Clean Data'!M44</f>
        <v>89.110070257611227</v>
      </c>
      <c r="N45" s="16">
        <f>'Clean Data'!N44</f>
        <v>10.421545667447306</v>
      </c>
      <c r="O45" s="16" t="str">
        <f>'Clean Data'!O44</f>
        <v>NaN</v>
      </c>
      <c r="P45" s="16" t="str">
        <f>'Clean Data'!P44</f>
        <v>NaN</v>
      </c>
      <c r="Q45" s="16" t="str">
        <f>'Clean Data'!Q44</f>
        <v>NaN</v>
      </c>
      <c r="R45" s="16">
        <f>'Clean Data'!R44</f>
        <v>950</v>
      </c>
      <c r="S45" s="16" t="str">
        <f>'Clean Data'!S44</f>
        <v>continuous</v>
      </c>
      <c r="T45" s="16" t="str">
        <f>'Clean Data'!T44</f>
        <v>atmospheric</v>
      </c>
      <c r="U45" s="16" t="str">
        <f>'Clean Data'!U44</f>
        <v>NaN</v>
      </c>
      <c r="V45" s="16" t="str">
        <f>'Clean Data'!V44</f>
        <v>NaN</v>
      </c>
      <c r="W45" s="16">
        <f>'Clean Data'!W44</f>
        <v>0.25</v>
      </c>
      <c r="X45" s="16" t="str">
        <f>'Clean Data'!X44</f>
        <v>air</v>
      </c>
      <c r="Y45" s="16" t="str">
        <f>'Clean Data'!Y44</f>
        <v>fluidised bed</v>
      </c>
      <c r="Z45" s="16" t="str">
        <f>'Clean Data'!Z44</f>
        <v>silica</v>
      </c>
      <c r="AA45" s="16">
        <f>'Clean Data'!AA44</f>
        <v>0</v>
      </c>
      <c r="AB45" s="16" t="str">
        <f>'Clean Data'!AB44</f>
        <v>pilot</v>
      </c>
      <c r="AC45" s="16">
        <f>'Clean Data'!AC44</f>
        <v>50</v>
      </c>
      <c r="AD45" s="16">
        <f>'Clean Data'!AD44</f>
        <v>14.5</v>
      </c>
      <c r="AE45" s="16">
        <f>'Clean Data'!AE44</f>
        <v>16</v>
      </c>
      <c r="AF45" s="16">
        <f>'Clean Data'!AF44</f>
        <v>16.75</v>
      </c>
      <c r="AG45" s="16">
        <f>'Clean Data'!AG44</f>
        <v>2.75</v>
      </c>
      <c r="AH45" s="16" t="str">
        <f>'Clean Data'!AH44</f>
        <v>NaN</v>
      </c>
      <c r="AI45" s="16">
        <f>'Clean Data'!AI44</f>
        <v>5.0999999999999996</v>
      </c>
      <c r="AJ45" s="16" t="str">
        <f>'Clean Data'!AJ44</f>
        <v>NaN</v>
      </c>
      <c r="AK45" s="16">
        <f>'Clean Data'!AK44</f>
        <v>1.8</v>
      </c>
      <c r="AL45" s="16" t="str">
        <f>'Clean Data'!AL44</f>
        <v>NaN</v>
      </c>
      <c r="AM45" s="16">
        <f>'Clean Data'!AM44</f>
        <v>58</v>
      </c>
      <c r="AN45" s="16">
        <f>'Clean Data'!AN44</f>
        <v>82</v>
      </c>
      <c r="AO45" s="16" t="str">
        <f>'Clean Data'!AO44</f>
        <v>Lahijani, Bioresource Technology 2011, 102, 2068-2076</v>
      </c>
      <c r="AP45" s="16"/>
      <c r="AQ45" s="16"/>
      <c r="AR45" s="16"/>
      <c r="AS45" s="16"/>
      <c r="AT45" s="16"/>
    </row>
    <row r="46" spans="1:46" x14ac:dyDescent="0.3">
      <c r="A46" s="16">
        <f>'Clean Data'!A45</f>
        <v>44</v>
      </c>
      <c r="B46" s="16" t="str">
        <f>'Clean Data'!B45</f>
        <v>woody biomass</v>
      </c>
      <c r="C46" s="16" t="str">
        <f>'Clean Data'!C45</f>
        <v>fibres</v>
      </c>
      <c r="D46" s="16">
        <f>'Clean Data'!D45</f>
        <v>4</v>
      </c>
      <c r="E46" s="16">
        <f>'Clean Data'!E45</f>
        <v>15.733292857142859</v>
      </c>
      <c r="F46" s="16">
        <f>'Clean Data'!F45</f>
        <v>44.96</v>
      </c>
      <c r="G46" s="16">
        <f>'Clean Data'!G45</f>
        <v>5.83</v>
      </c>
      <c r="H46" s="16">
        <f>'Clean Data'!H45</f>
        <v>3.1</v>
      </c>
      <c r="I46" s="16">
        <f>'Clean Data'!I45</f>
        <v>0.61</v>
      </c>
      <c r="J46" s="16">
        <f>'Clean Data'!J45</f>
        <v>45.5</v>
      </c>
      <c r="K46" s="16">
        <f>'Clean Data'!K45</f>
        <v>0.46838407494145201</v>
      </c>
      <c r="L46" s="16">
        <f>'Clean Data'!L45</f>
        <v>14.6</v>
      </c>
      <c r="M46" s="16">
        <f>'Clean Data'!M45</f>
        <v>89.110070257611227</v>
      </c>
      <c r="N46" s="16">
        <f>'Clean Data'!N45</f>
        <v>10.421545667447306</v>
      </c>
      <c r="O46" s="16" t="str">
        <f>'Clean Data'!O45</f>
        <v>NaN</v>
      </c>
      <c r="P46" s="16" t="str">
        <f>'Clean Data'!P45</f>
        <v>NaN</v>
      </c>
      <c r="Q46" s="16" t="str">
        <f>'Clean Data'!Q45</f>
        <v>NaN</v>
      </c>
      <c r="R46" s="16">
        <f>'Clean Data'!R45</f>
        <v>1050</v>
      </c>
      <c r="S46" s="16" t="str">
        <f>'Clean Data'!S45</f>
        <v>continuous</v>
      </c>
      <c r="T46" s="16" t="str">
        <f>'Clean Data'!T45</f>
        <v>atmospheric</v>
      </c>
      <c r="U46" s="16" t="str">
        <f>'Clean Data'!U45</f>
        <v>NaN</v>
      </c>
      <c r="V46" s="16" t="str">
        <f>'Clean Data'!V45</f>
        <v>NaN</v>
      </c>
      <c r="W46" s="16">
        <f>'Clean Data'!W45</f>
        <v>0.25</v>
      </c>
      <c r="X46" s="16" t="str">
        <f>'Clean Data'!X45</f>
        <v>air</v>
      </c>
      <c r="Y46" s="16" t="str">
        <f>'Clean Data'!Y45</f>
        <v>fluidised bed</v>
      </c>
      <c r="Z46" s="16" t="str">
        <f>'Clean Data'!Z45</f>
        <v>silica</v>
      </c>
      <c r="AA46" s="16">
        <f>'Clean Data'!AA45</f>
        <v>0</v>
      </c>
      <c r="AB46" s="16" t="str">
        <f>'Clean Data'!AB45</f>
        <v>pilot</v>
      </c>
      <c r="AC46" s="16">
        <f>'Clean Data'!AC45</f>
        <v>46.7</v>
      </c>
      <c r="AD46" s="16">
        <f>'Clean Data'!AD45</f>
        <v>19.5</v>
      </c>
      <c r="AE46" s="16">
        <f>'Clean Data'!AE45</f>
        <v>17.8</v>
      </c>
      <c r="AF46" s="16">
        <f>'Clean Data'!AF45</f>
        <v>13.25</v>
      </c>
      <c r="AG46" s="16">
        <f>'Clean Data'!AG45</f>
        <v>2.75</v>
      </c>
      <c r="AH46" s="16" t="str">
        <f>'Clean Data'!AH45</f>
        <v>NaN</v>
      </c>
      <c r="AI46" s="16">
        <f>'Clean Data'!AI45</f>
        <v>5.87</v>
      </c>
      <c r="AJ46" s="16" t="str">
        <f>'Clean Data'!AJ45</f>
        <v>NaN</v>
      </c>
      <c r="AK46" s="16">
        <f>'Clean Data'!AK45</f>
        <v>2</v>
      </c>
      <c r="AL46" s="16" t="str">
        <f>'Clean Data'!AL45</f>
        <v>NaN</v>
      </c>
      <c r="AM46" s="16">
        <f>'Clean Data'!AM45</f>
        <v>72</v>
      </c>
      <c r="AN46" s="16">
        <f>'Clean Data'!AN45</f>
        <v>84</v>
      </c>
      <c r="AO46" s="16" t="str">
        <f>'Clean Data'!AO45</f>
        <v>Lahijani, Bioresource Technology 2011, 102, 2068-2076</v>
      </c>
      <c r="AP46" s="16"/>
      <c r="AQ46" s="16"/>
      <c r="AR46" s="16"/>
      <c r="AS46" s="16"/>
      <c r="AT46" s="16"/>
    </row>
    <row r="47" spans="1:46" x14ac:dyDescent="0.3">
      <c r="A47" s="16">
        <f>'Clean Data'!A46</f>
        <v>45</v>
      </c>
      <c r="B47" s="16" t="str">
        <f>'Clean Data'!B46</f>
        <v>woody biomass</v>
      </c>
      <c r="C47" s="16" t="str">
        <f>'Clean Data'!C46</f>
        <v>dust</v>
      </c>
      <c r="D47" s="16">
        <f>'Clean Data'!D46</f>
        <v>0.375</v>
      </c>
      <c r="E47" s="16">
        <f>'Clean Data'!E46</f>
        <v>18.978196850678732</v>
      </c>
      <c r="F47" s="16">
        <f>'Clean Data'!F46</f>
        <v>50.819507290095522</v>
      </c>
      <c r="G47" s="16">
        <f>'Clean Data'!G46</f>
        <v>7.1191553544494717</v>
      </c>
      <c r="H47" s="16">
        <f>'Clean Data'!H46</f>
        <v>0.15082956259426847</v>
      </c>
      <c r="I47" s="16">
        <f>'Clean Data'!I46</f>
        <v>0.57315233785822017</v>
      </c>
      <c r="J47" s="16">
        <f>'Clean Data'!J46</f>
        <v>41.337355455002509</v>
      </c>
      <c r="K47" s="16">
        <f>'Clean Data'!K46</f>
        <v>0.55000000000000004</v>
      </c>
      <c r="L47" s="16">
        <f>'Clean Data'!L46</f>
        <v>8</v>
      </c>
      <c r="M47" s="16">
        <f>'Clean Data'!M46</f>
        <v>82.29</v>
      </c>
      <c r="N47" s="16">
        <f>'Clean Data'!N46</f>
        <v>17.16</v>
      </c>
      <c r="O47" s="16" t="str">
        <f>'Clean Data'!O46</f>
        <v>NaN</v>
      </c>
      <c r="P47" s="16" t="str">
        <f>'Clean Data'!P46</f>
        <v>NaN</v>
      </c>
      <c r="Q47" s="16" t="str">
        <f>'Clean Data'!Q46</f>
        <v>NaN</v>
      </c>
      <c r="R47" s="16">
        <f>'Clean Data'!R46</f>
        <v>700</v>
      </c>
      <c r="S47" s="16" t="str">
        <f>'Clean Data'!S46</f>
        <v>continuous</v>
      </c>
      <c r="T47" s="16" t="str">
        <f>'Clean Data'!T46</f>
        <v>atmospheric</v>
      </c>
      <c r="U47" s="16" t="str">
        <f>'Clean Data'!U46</f>
        <v>NaN</v>
      </c>
      <c r="V47" s="16">
        <f>'Clean Data'!V46</f>
        <v>2.7</v>
      </c>
      <c r="W47" s="16">
        <f>'Clean Data'!W46</f>
        <v>0.22</v>
      </c>
      <c r="X47" s="16" t="str">
        <f>'Clean Data'!X46</f>
        <v>air + steam</v>
      </c>
      <c r="Y47" s="16" t="str">
        <f>'Clean Data'!Y46</f>
        <v>fluidised bed</v>
      </c>
      <c r="Z47" s="16" t="str">
        <f>'Clean Data'!Z46</f>
        <v>silica</v>
      </c>
      <c r="AA47" s="16">
        <f>'Clean Data'!AA46</f>
        <v>0</v>
      </c>
      <c r="AB47" s="16" t="str">
        <f>'Clean Data'!AB46</f>
        <v>lab</v>
      </c>
      <c r="AC47" s="16">
        <f>'Clean Data'!AC46</f>
        <v>1.5</v>
      </c>
      <c r="AD47" s="16">
        <f>'Clean Data'!AD46</f>
        <v>22</v>
      </c>
      <c r="AE47" s="16">
        <f>'Clean Data'!AE46</f>
        <v>42.5</v>
      </c>
      <c r="AF47" s="16">
        <f>'Clean Data'!AF46</f>
        <v>21</v>
      </c>
      <c r="AG47" s="16">
        <f>'Clean Data'!AG46</f>
        <v>8.5</v>
      </c>
      <c r="AH47" s="16">
        <f>'Clean Data'!AH46</f>
        <v>4.5</v>
      </c>
      <c r="AI47" s="16">
        <f>'Clean Data'!AI46</f>
        <v>7.9450000000000003</v>
      </c>
      <c r="AJ47" s="16" t="str">
        <f>'Clean Data'!AJ46</f>
        <v>NaN</v>
      </c>
      <c r="AK47" s="16">
        <f>'Clean Data'!AK46</f>
        <v>1.43</v>
      </c>
      <c r="AL47" s="16" t="str">
        <f>'Clean Data'!AL46</f>
        <v>NaN</v>
      </c>
      <c r="AM47" s="16">
        <f>'Clean Data'!AM46</f>
        <v>59.865276397919096</v>
      </c>
      <c r="AN47" s="16">
        <f>'Clean Data'!AN46</f>
        <v>78.17</v>
      </c>
      <c r="AO47" s="16" t="str">
        <f>'Clean Data'!AO46</f>
        <v>Lv, Bioresource Technology 2004, 95, 95-101</v>
      </c>
      <c r="AP47" s="16"/>
      <c r="AQ47" s="16"/>
      <c r="AR47" s="16"/>
      <c r="AS47" s="16"/>
      <c r="AT47" s="16"/>
    </row>
    <row r="48" spans="1:46" x14ac:dyDescent="0.3">
      <c r="A48" s="16">
        <f>'Clean Data'!A47</f>
        <v>46</v>
      </c>
      <c r="B48" s="16" t="str">
        <f>'Clean Data'!B47</f>
        <v>woody biomass</v>
      </c>
      <c r="C48" s="16" t="str">
        <f>'Clean Data'!C47</f>
        <v>dust</v>
      </c>
      <c r="D48" s="16">
        <f>'Clean Data'!D47</f>
        <v>0.375</v>
      </c>
      <c r="E48" s="16">
        <f>'Clean Data'!E47</f>
        <v>18.978196850678732</v>
      </c>
      <c r="F48" s="16">
        <f>'Clean Data'!F47</f>
        <v>50.819507290095522</v>
      </c>
      <c r="G48" s="16">
        <f>'Clean Data'!G47</f>
        <v>7.1191553544494717</v>
      </c>
      <c r="H48" s="16">
        <f>'Clean Data'!H47</f>
        <v>0.15082956259426847</v>
      </c>
      <c r="I48" s="16">
        <f>'Clean Data'!I47</f>
        <v>0.57315233785822017</v>
      </c>
      <c r="J48" s="16">
        <f>'Clean Data'!J47</f>
        <v>41.337355455002509</v>
      </c>
      <c r="K48" s="16">
        <f>'Clean Data'!K47</f>
        <v>0.55000000000000004</v>
      </c>
      <c r="L48" s="16">
        <f>'Clean Data'!L47</f>
        <v>8</v>
      </c>
      <c r="M48" s="16">
        <f>'Clean Data'!M47</f>
        <v>82.29</v>
      </c>
      <c r="N48" s="16">
        <f>'Clean Data'!N47</f>
        <v>17.16</v>
      </c>
      <c r="O48" s="16" t="str">
        <f>'Clean Data'!O47</f>
        <v>NaN</v>
      </c>
      <c r="P48" s="16" t="str">
        <f>'Clean Data'!P47</f>
        <v>NaN</v>
      </c>
      <c r="Q48" s="16" t="str">
        <f>'Clean Data'!Q47</f>
        <v>NaN</v>
      </c>
      <c r="R48" s="16">
        <f>'Clean Data'!R47</f>
        <v>750</v>
      </c>
      <c r="S48" s="16" t="str">
        <f>'Clean Data'!S47</f>
        <v>continuous</v>
      </c>
      <c r="T48" s="16" t="str">
        <f>'Clean Data'!T47</f>
        <v>atmospheric</v>
      </c>
      <c r="U48" s="16" t="str">
        <f>'Clean Data'!U47</f>
        <v>NaN</v>
      </c>
      <c r="V48" s="16">
        <f>'Clean Data'!V47</f>
        <v>2.7</v>
      </c>
      <c r="W48" s="16">
        <f>'Clean Data'!W47</f>
        <v>0.22</v>
      </c>
      <c r="X48" s="16" t="str">
        <f>'Clean Data'!X47</f>
        <v>air + steam</v>
      </c>
      <c r="Y48" s="16" t="str">
        <f>'Clean Data'!Y47</f>
        <v>fluidised bed</v>
      </c>
      <c r="Z48" s="16" t="str">
        <f>'Clean Data'!Z47</f>
        <v>silica</v>
      </c>
      <c r="AA48" s="16">
        <f>'Clean Data'!AA47</f>
        <v>0</v>
      </c>
      <c r="AB48" s="16" t="str">
        <f>'Clean Data'!AB47</f>
        <v>lab</v>
      </c>
      <c r="AC48" s="16">
        <f>'Clean Data'!AC47</f>
        <v>2.5</v>
      </c>
      <c r="AD48" s="16">
        <f>'Clean Data'!AD47</f>
        <v>28</v>
      </c>
      <c r="AE48" s="16">
        <f>'Clean Data'!AE47</f>
        <v>39</v>
      </c>
      <c r="AF48" s="16">
        <f>'Clean Data'!AF47</f>
        <v>19</v>
      </c>
      <c r="AG48" s="16">
        <f>'Clean Data'!AG47</f>
        <v>8</v>
      </c>
      <c r="AH48" s="16">
        <f>'Clean Data'!AH47</f>
        <v>3.5</v>
      </c>
      <c r="AI48" s="16">
        <f>'Clean Data'!AI47</f>
        <v>7.6509999999999998</v>
      </c>
      <c r="AJ48" s="16" t="str">
        <f>'Clean Data'!AJ47</f>
        <v>NaN</v>
      </c>
      <c r="AK48" s="16">
        <f>'Clean Data'!AK47</f>
        <v>1.51</v>
      </c>
      <c r="AL48" s="16" t="str">
        <f>'Clean Data'!AL47</f>
        <v>NaN</v>
      </c>
      <c r="AM48" s="16">
        <f>'Clean Data'!AM47</f>
        <v>60.875172129889783</v>
      </c>
      <c r="AN48" s="16">
        <f>'Clean Data'!AN47</f>
        <v>80.66</v>
      </c>
      <c r="AO48" s="16" t="str">
        <f>'Clean Data'!AO47</f>
        <v>Lv, Bioresource Technology 2004, 95, 95-101</v>
      </c>
      <c r="AP48" s="16"/>
      <c r="AQ48" s="16"/>
      <c r="AR48" s="16"/>
      <c r="AS48" s="16"/>
      <c r="AT48" s="16"/>
    </row>
    <row r="49" spans="1:46" x14ac:dyDescent="0.3">
      <c r="A49" s="16">
        <f>'Clean Data'!A48</f>
        <v>47</v>
      </c>
      <c r="B49" s="16" t="str">
        <f>'Clean Data'!B48</f>
        <v>woody biomass</v>
      </c>
      <c r="C49" s="16" t="str">
        <f>'Clean Data'!C48</f>
        <v>dust</v>
      </c>
      <c r="D49" s="16">
        <f>'Clean Data'!D48</f>
        <v>0.375</v>
      </c>
      <c r="E49" s="16">
        <f>'Clean Data'!E48</f>
        <v>18.978196850678732</v>
      </c>
      <c r="F49" s="16">
        <f>'Clean Data'!F48</f>
        <v>50.819507290095522</v>
      </c>
      <c r="G49" s="16">
        <f>'Clean Data'!G48</f>
        <v>7.1191553544494717</v>
      </c>
      <c r="H49" s="16">
        <f>'Clean Data'!H48</f>
        <v>0.15082956259426847</v>
      </c>
      <c r="I49" s="16">
        <f>'Clean Data'!I48</f>
        <v>0.57315233785822017</v>
      </c>
      <c r="J49" s="16">
        <f>'Clean Data'!J48</f>
        <v>41.337355455002509</v>
      </c>
      <c r="K49" s="16">
        <f>'Clean Data'!K48</f>
        <v>0.55000000000000004</v>
      </c>
      <c r="L49" s="16">
        <f>'Clean Data'!L48</f>
        <v>8</v>
      </c>
      <c r="M49" s="16">
        <f>'Clean Data'!M48</f>
        <v>82.29</v>
      </c>
      <c r="N49" s="16">
        <f>'Clean Data'!N48</f>
        <v>17.16</v>
      </c>
      <c r="O49" s="16" t="str">
        <f>'Clean Data'!O48</f>
        <v>NaN</v>
      </c>
      <c r="P49" s="16" t="str">
        <f>'Clean Data'!P48</f>
        <v>NaN</v>
      </c>
      <c r="Q49" s="16" t="str">
        <f>'Clean Data'!Q48</f>
        <v>NaN</v>
      </c>
      <c r="R49" s="16">
        <f>'Clean Data'!R48</f>
        <v>800</v>
      </c>
      <c r="S49" s="16" t="str">
        <f>'Clean Data'!S48</f>
        <v>continuous</v>
      </c>
      <c r="T49" s="16" t="str">
        <f>'Clean Data'!T48</f>
        <v>atmospheric</v>
      </c>
      <c r="U49" s="16" t="str">
        <f>'Clean Data'!U48</f>
        <v>NaN</v>
      </c>
      <c r="V49" s="16">
        <f>'Clean Data'!V48</f>
        <v>2.7</v>
      </c>
      <c r="W49" s="16">
        <f>'Clean Data'!W48</f>
        <v>0.22</v>
      </c>
      <c r="X49" s="16" t="str">
        <f>'Clean Data'!X48</f>
        <v>air + steam</v>
      </c>
      <c r="Y49" s="16" t="str">
        <f>'Clean Data'!Y48</f>
        <v>fluidised bed</v>
      </c>
      <c r="Z49" s="16" t="str">
        <f>'Clean Data'!Z48</f>
        <v>silica</v>
      </c>
      <c r="AA49" s="16">
        <f>'Clean Data'!AA48</f>
        <v>0</v>
      </c>
      <c r="AB49" s="16" t="str">
        <f>'Clean Data'!AB48</f>
        <v>lab</v>
      </c>
      <c r="AC49" s="16">
        <f>'Clean Data'!AC48</f>
        <v>1.5</v>
      </c>
      <c r="AD49" s="16">
        <f>'Clean Data'!AD48</f>
        <v>32</v>
      </c>
      <c r="AE49" s="16">
        <f>'Clean Data'!AE48</f>
        <v>37.5</v>
      </c>
      <c r="AF49" s="16">
        <f>'Clean Data'!AF48</f>
        <v>18</v>
      </c>
      <c r="AG49" s="16">
        <f>'Clean Data'!AG48</f>
        <v>7.5</v>
      </c>
      <c r="AH49" s="16">
        <f>'Clean Data'!AH48</f>
        <v>3.5</v>
      </c>
      <c r="AI49" s="16">
        <f>'Clean Data'!AI48</f>
        <v>8.56</v>
      </c>
      <c r="AJ49" s="16" t="str">
        <f>'Clean Data'!AJ48</f>
        <v>NaN</v>
      </c>
      <c r="AK49" s="16">
        <f>'Clean Data'!AK48</f>
        <v>2.23</v>
      </c>
      <c r="AL49" s="16" t="str">
        <f>'Clean Data'!AL48</f>
        <v>NaN</v>
      </c>
      <c r="AM49" s="16">
        <f>'Clean Data'!AM48</f>
        <v>100.58279061067552</v>
      </c>
      <c r="AN49" s="16">
        <f>'Clean Data'!AN48</f>
        <v>85.9</v>
      </c>
      <c r="AO49" s="16" t="str">
        <f>'Clean Data'!AO48</f>
        <v>Lv, Bioresource Technology 2004, 95, 95-101</v>
      </c>
      <c r="AP49" s="16"/>
      <c r="AQ49" s="16"/>
      <c r="AR49" s="16"/>
      <c r="AS49" s="16"/>
      <c r="AT49" s="16"/>
    </row>
    <row r="50" spans="1:46" x14ac:dyDescent="0.3">
      <c r="A50" s="16">
        <f>'Clean Data'!A49</f>
        <v>48</v>
      </c>
      <c r="B50" s="16" t="str">
        <f>'Clean Data'!B49</f>
        <v>woody biomass</v>
      </c>
      <c r="C50" s="16" t="str">
        <f>'Clean Data'!C49</f>
        <v>dust</v>
      </c>
      <c r="D50" s="16">
        <f>'Clean Data'!D49</f>
        <v>0.375</v>
      </c>
      <c r="E50" s="16">
        <f>'Clean Data'!E49</f>
        <v>18.978196850678732</v>
      </c>
      <c r="F50" s="16">
        <f>'Clean Data'!F49</f>
        <v>50.819507290095522</v>
      </c>
      <c r="G50" s="16">
        <f>'Clean Data'!G49</f>
        <v>7.1191553544494717</v>
      </c>
      <c r="H50" s="16">
        <f>'Clean Data'!H49</f>
        <v>0.15082956259426847</v>
      </c>
      <c r="I50" s="16">
        <f>'Clean Data'!I49</f>
        <v>0.57315233785822017</v>
      </c>
      <c r="J50" s="16">
        <f>'Clean Data'!J49</f>
        <v>41.337355455002509</v>
      </c>
      <c r="K50" s="16">
        <f>'Clean Data'!K49</f>
        <v>0.55000000000000004</v>
      </c>
      <c r="L50" s="16">
        <f>'Clean Data'!L49</f>
        <v>8</v>
      </c>
      <c r="M50" s="16">
        <f>'Clean Data'!M49</f>
        <v>82.29</v>
      </c>
      <c r="N50" s="16">
        <f>'Clean Data'!N49</f>
        <v>17.16</v>
      </c>
      <c r="O50" s="16" t="str">
        <f>'Clean Data'!O49</f>
        <v>NaN</v>
      </c>
      <c r="P50" s="16" t="str">
        <f>'Clean Data'!P49</f>
        <v>NaN</v>
      </c>
      <c r="Q50" s="16" t="str">
        <f>'Clean Data'!Q49</f>
        <v>NaN</v>
      </c>
      <c r="R50" s="16">
        <f>'Clean Data'!R49</f>
        <v>850</v>
      </c>
      <c r="S50" s="16" t="str">
        <f>'Clean Data'!S49</f>
        <v>continuous</v>
      </c>
      <c r="T50" s="16" t="str">
        <f>'Clean Data'!T49</f>
        <v>atmospheric</v>
      </c>
      <c r="U50" s="16" t="str">
        <f>'Clean Data'!U49</f>
        <v>NaN</v>
      </c>
      <c r="V50" s="16">
        <f>'Clean Data'!V49</f>
        <v>2.7</v>
      </c>
      <c r="W50" s="16">
        <f>'Clean Data'!W49</f>
        <v>0.22</v>
      </c>
      <c r="X50" s="16" t="str">
        <f>'Clean Data'!X49</f>
        <v>air + steam</v>
      </c>
      <c r="Y50" s="16" t="str">
        <f>'Clean Data'!Y49</f>
        <v>fluidised bed</v>
      </c>
      <c r="Z50" s="16" t="str">
        <f>'Clean Data'!Z49</f>
        <v>silica</v>
      </c>
      <c r="AA50" s="16">
        <f>'Clean Data'!AA49</f>
        <v>0</v>
      </c>
      <c r="AB50" s="16" t="str">
        <f>'Clean Data'!AB49</f>
        <v>lab</v>
      </c>
      <c r="AC50" s="16">
        <f>'Clean Data'!AC49</f>
        <v>1</v>
      </c>
      <c r="AD50" s="16">
        <f>'Clean Data'!AD49</f>
        <v>36.5</v>
      </c>
      <c r="AE50" s="16">
        <f>'Clean Data'!AE49</f>
        <v>34</v>
      </c>
      <c r="AF50" s="16">
        <f>'Clean Data'!AF49</f>
        <v>18.5</v>
      </c>
      <c r="AG50" s="16">
        <f>'Clean Data'!AG49</f>
        <v>7.5</v>
      </c>
      <c r="AH50" s="16">
        <f>'Clean Data'!AH49</f>
        <v>2.5</v>
      </c>
      <c r="AI50" s="16">
        <f>'Clean Data'!AI49</f>
        <v>8.2230000000000008</v>
      </c>
      <c r="AJ50" s="16" t="str">
        <f>'Clean Data'!AJ49</f>
        <v>NaN</v>
      </c>
      <c r="AK50" s="16">
        <f>'Clean Data'!AK49</f>
        <v>2.4500000000000002</v>
      </c>
      <c r="AL50" s="16" t="str">
        <f>'Clean Data'!AL49</f>
        <v>NaN</v>
      </c>
      <c r="AM50" s="16">
        <f>'Clean Data'!AM49</f>
        <v>106.15523781585969</v>
      </c>
      <c r="AN50" s="16">
        <f>'Clean Data'!AN49</f>
        <v>92.35</v>
      </c>
      <c r="AO50" s="16" t="str">
        <f>'Clean Data'!AO49</f>
        <v>Lv, Bioresource Technology 2004, 95, 95-101</v>
      </c>
      <c r="AP50" s="16"/>
      <c r="AQ50" s="16"/>
      <c r="AR50" s="16"/>
      <c r="AS50" s="16"/>
      <c r="AT50" s="16"/>
    </row>
    <row r="51" spans="1:46" x14ac:dyDescent="0.3">
      <c r="A51" s="16">
        <f>'Clean Data'!A50</f>
        <v>49</v>
      </c>
      <c r="B51" s="16" t="str">
        <f>'Clean Data'!B50</f>
        <v>woody biomass</v>
      </c>
      <c r="C51" s="16" t="str">
        <f>'Clean Data'!C50</f>
        <v>dust</v>
      </c>
      <c r="D51" s="16">
        <f>'Clean Data'!D50</f>
        <v>0.375</v>
      </c>
      <c r="E51" s="16">
        <f>'Clean Data'!E50</f>
        <v>18.978196850678732</v>
      </c>
      <c r="F51" s="16">
        <f>'Clean Data'!F50</f>
        <v>50.819507290095522</v>
      </c>
      <c r="G51" s="16">
        <f>'Clean Data'!G50</f>
        <v>7.1191553544494717</v>
      </c>
      <c r="H51" s="16">
        <f>'Clean Data'!H50</f>
        <v>0.15082956259426847</v>
      </c>
      <c r="I51" s="16">
        <f>'Clean Data'!I50</f>
        <v>0.57315233785822017</v>
      </c>
      <c r="J51" s="16">
        <f>'Clean Data'!J50</f>
        <v>41.337355455002509</v>
      </c>
      <c r="K51" s="16">
        <f>'Clean Data'!K50</f>
        <v>0.55000000000000004</v>
      </c>
      <c r="L51" s="16">
        <f>'Clean Data'!L50</f>
        <v>8</v>
      </c>
      <c r="M51" s="16">
        <f>'Clean Data'!M50</f>
        <v>82.29</v>
      </c>
      <c r="N51" s="16">
        <f>'Clean Data'!N50</f>
        <v>17.16</v>
      </c>
      <c r="O51" s="16" t="str">
        <f>'Clean Data'!O50</f>
        <v>NaN</v>
      </c>
      <c r="P51" s="16" t="str">
        <f>'Clean Data'!P50</f>
        <v>NaN</v>
      </c>
      <c r="Q51" s="16" t="str">
        <f>'Clean Data'!Q50</f>
        <v>NaN</v>
      </c>
      <c r="R51" s="16">
        <f>'Clean Data'!R50</f>
        <v>900</v>
      </c>
      <c r="S51" s="16" t="str">
        <f>'Clean Data'!S50</f>
        <v>continuous</v>
      </c>
      <c r="T51" s="16" t="str">
        <f>'Clean Data'!T50</f>
        <v>atmospheric</v>
      </c>
      <c r="U51" s="16" t="str">
        <f>'Clean Data'!U50</f>
        <v>NaN</v>
      </c>
      <c r="V51" s="16">
        <f>'Clean Data'!V50</f>
        <v>2.7</v>
      </c>
      <c r="W51" s="16">
        <f>'Clean Data'!W50</f>
        <v>0.22</v>
      </c>
      <c r="X51" s="16" t="str">
        <f>'Clean Data'!X50</f>
        <v>air + steam</v>
      </c>
      <c r="Y51" s="16" t="str">
        <f>'Clean Data'!Y50</f>
        <v>fluidised bed</v>
      </c>
      <c r="Z51" s="16" t="str">
        <f>'Clean Data'!Z50</f>
        <v>silica</v>
      </c>
      <c r="AA51" s="16">
        <f>'Clean Data'!AA50</f>
        <v>0</v>
      </c>
      <c r="AB51" s="16" t="str">
        <f>'Clean Data'!AB50</f>
        <v>lab</v>
      </c>
      <c r="AC51" s="16">
        <f>'Clean Data'!AC50</f>
        <v>1</v>
      </c>
      <c r="AD51" s="16">
        <f>'Clean Data'!AD50</f>
        <v>39</v>
      </c>
      <c r="AE51" s="16">
        <f>'Clean Data'!AE50</f>
        <v>33.5</v>
      </c>
      <c r="AF51" s="16">
        <f>'Clean Data'!AF50</f>
        <v>19</v>
      </c>
      <c r="AG51" s="16">
        <f>'Clean Data'!AG50</f>
        <v>6.5</v>
      </c>
      <c r="AH51" s="16">
        <f>'Clean Data'!AH50</f>
        <v>1</v>
      </c>
      <c r="AI51" s="16">
        <f>'Clean Data'!AI50</f>
        <v>7.3620000000000001</v>
      </c>
      <c r="AJ51" s="16" t="str">
        <f>'Clean Data'!AJ50</f>
        <v>NaN</v>
      </c>
      <c r="AK51" s="16">
        <f>'Clean Data'!AK50</f>
        <v>2.5299999999999998</v>
      </c>
      <c r="AL51" s="16" t="str">
        <f>'Clean Data'!AL50</f>
        <v>NaN</v>
      </c>
      <c r="AM51" s="16">
        <f>'Clean Data'!AM50</f>
        <v>98.14346508548239</v>
      </c>
      <c r="AN51" s="16">
        <f>'Clean Data'!AN50</f>
        <v>92.59</v>
      </c>
      <c r="AO51" s="16" t="str">
        <f>'Clean Data'!AO50</f>
        <v>Lv, Bioresource Technology 2004, 95, 95-101</v>
      </c>
      <c r="AP51" s="16"/>
      <c r="AQ51" s="16"/>
      <c r="AR51" s="16"/>
      <c r="AS51" s="16"/>
      <c r="AT51" s="16"/>
    </row>
    <row r="52" spans="1:46" x14ac:dyDescent="0.3">
      <c r="A52" s="16">
        <f>'Clean Data'!A51</f>
        <v>50</v>
      </c>
      <c r="B52" s="16" t="str">
        <f>'Clean Data'!B51</f>
        <v>woody biomass</v>
      </c>
      <c r="C52" s="16" t="str">
        <f>'Clean Data'!C51</f>
        <v>dust</v>
      </c>
      <c r="D52" s="16">
        <f>'Clean Data'!D51</f>
        <v>0.375</v>
      </c>
      <c r="E52" s="16">
        <f>'Clean Data'!E51</f>
        <v>18.978196850678732</v>
      </c>
      <c r="F52" s="16">
        <f>'Clean Data'!F51</f>
        <v>50.819507290095522</v>
      </c>
      <c r="G52" s="16">
        <f>'Clean Data'!G51</f>
        <v>7.1191553544494717</v>
      </c>
      <c r="H52" s="16">
        <f>'Clean Data'!H51</f>
        <v>0.15082956259426847</v>
      </c>
      <c r="I52" s="16">
        <f>'Clean Data'!I51</f>
        <v>0.57315233785822017</v>
      </c>
      <c r="J52" s="16">
        <f>'Clean Data'!J51</f>
        <v>41.337355455002509</v>
      </c>
      <c r="K52" s="16">
        <f>'Clean Data'!K51</f>
        <v>0.55000000000000004</v>
      </c>
      <c r="L52" s="16">
        <f>'Clean Data'!L51</f>
        <v>8</v>
      </c>
      <c r="M52" s="16">
        <f>'Clean Data'!M51</f>
        <v>82.29</v>
      </c>
      <c r="N52" s="16">
        <f>'Clean Data'!N51</f>
        <v>17.16</v>
      </c>
      <c r="O52" s="16" t="str">
        <f>'Clean Data'!O51</f>
        <v>NaN</v>
      </c>
      <c r="P52" s="16" t="str">
        <f>'Clean Data'!P51</f>
        <v>NaN</v>
      </c>
      <c r="Q52" s="16" t="str">
        <f>'Clean Data'!Q51</f>
        <v>NaN</v>
      </c>
      <c r="R52" s="16">
        <f>'Clean Data'!R51</f>
        <v>800</v>
      </c>
      <c r="S52" s="16" t="str">
        <f>'Clean Data'!S51</f>
        <v>continuous</v>
      </c>
      <c r="T52" s="16" t="str">
        <f>'Clean Data'!T51</f>
        <v>atmospheric</v>
      </c>
      <c r="U52" s="16" t="str">
        <f>'Clean Data'!U51</f>
        <v>NaN</v>
      </c>
      <c r="V52" s="16">
        <f>'Clean Data'!V51</f>
        <v>1.56</v>
      </c>
      <c r="W52" s="16">
        <f>'Clean Data'!W51</f>
        <v>0.19</v>
      </c>
      <c r="X52" s="16" t="str">
        <f>'Clean Data'!X51</f>
        <v>air + steam</v>
      </c>
      <c r="Y52" s="16" t="str">
        <f>'Clean Data'!Y51</f>
        <v>fluidised bed</v>
      </c>
      <c r="Z52" s="16" t="str">
        <f>'Clean Data'!Z51</f>
        <v>silica</v>
      </c>
      <c r="AA52" s="16">
        <f>'Clean Data'!AA51</f>
        <v>0</v>
      </c>
      <c r="AB52" s="16" t="str">
        <f>'Clean Data'!AB51</f>
        <v>lab</v>
      </c>
      <c r="AC52" s="16">
        <f>'Clean Data'!AC51</f>
        <v>1.5</v>
      </c>
      <c r="AD52" s="16">
        <f>'Clean Data'!AD51</f>
        <v>32.5</v>
      </c>
      <c r="AE52" s="16">
        <f>'Clean Data'!AE51</f>
        <v>37.5</v>
      </c>
      <c r="AF52" s="16">
        <f>'Clean Data'!AF51</f>
        <v>17.75</v>
      </c>
      <c r="AG52" s="16">
        <f>'Clean Data'!AG51</f>
        <v>7.75</v>
      </c>
      <c r="AH52" s="16">
        <f>'Clean Data'!AH51</f>
        <v>3</v>
      </c>
      <c r="AI52" s="16">
        <f>'Clean Data'!AI51</f>
        <v>8.8170000000000002</v>
      </c>
      <c r="AJ52" s="16" t="str">
        <f>'Clean Data'!AJ51</f>
        <v>NaN</v>
      </c>
      <c r="AK52" s="16">
        <f>'Clean Data'!AK51</f>
        <v>2.13</v>
      </c>
      <c r="AL52" s="16" t="str">
        <f>'Clean Data'!AL51</f>
        <v>NaN</v>
      </c>
      <c r="AM52" s="16">
        <f>'Clean Data'!AM51</f>
        <v>98.956766798044612</v>
      </c>
      <c r="AN52" s="16">
        <f>'Clean Data'!AN51</f>
        <v>76.260000000000005</v>
      </c>
      <c r="AO52" s="16" t="str">
        <f>'Clean Data'!AO51</f>
        <v>Lv, Bioresource Technology 2004, 95, 95-101</v>
      </c>
      <c r="AP52" s="16"/>
      <c r="AQ52" s="16"/>
      <c r="AR52" s="16"/>
      <c r="AS52" s="16"/>
      <c r="AT52" s="16"/>
    </row>
    <row r="53" spans="1:46" x14ac:dyDescent="0.3">
      <c r="A53" s="16">
        <f>'Clean Data'!A52</f>
        <v>51</v>
      </c>
      <c r="B53" s="16" t="str">
        <f>'Clean Data'!B52</f>
        <v>woody biomass</v>
      </c>
      <c r="C53" s="16" t="str">
        <f>'Clean Data'!C52</f>
        <v>dust</v>
      </c>
      <c r="D53" s="16">
        <f>'Clean Data'!D52</f>
        <v>0.375</v>
      </c>
      <c r="E53" s="16">
        <f>'Clean Data'!E52</f>
        <v>18.978196850678732</v>
      </c>
      <c r="F53" s="16">
        <f>'Clean Data'!F52</f>
        <v>50.819507290095522</v>
      </c>
      <c r="G53" s="16">
        <f>'Clean Data'!G52</f>
        <v>7.1191553544494717</v>
      </c>
      <c r="H53" s="16">
        <f>'Clean Data'!H52</f>
        <v>0.15082956259426847</v>
      </c>
      <c r="I53" s="16">
        <f>'Clean Data'!I52</f>
        <v>0.57315233785822017</v>
      </c>
      <c r="J53" s="16">
        <f>'Clean Data'!J52</f>
        <v>41.337355455002509</v>
      </c>
      <c r="K53" s="16">
        <f>'Clean Data'!K52</f>
        <v>0.55000000000000004</v>
      </c>
      <c r="L53" s="16">
        <f>'Clean Data'!L52</f>
        <v>8</v>
      </c>
      <c r="M53" s="16">
        <f>'Clean Data'!M52</f>
        <v>82.29</v>
      </c>
      <c r="N53" s="16">
        <f>'Clean Data'!N52</f>
        <v>17.16</v>
      </c>
      <c r="O53" s="16" t="str">
        <f>'Clean Data'!O52</f>
        <v>NaN</v>
      </c>
      <c r="P53" s="16" t="str">
        <f>'Clean Data'!P52</f>
        <v>NaN</v>
      </c>
      <c r="Q53" s="16" t="str">
        <f>'Clean Data'!Q52</f>
        <v>NaN</v>
      </c>
      <c r="R53" s="16">
        <f>'Clean Data'!R52</f>
        <v>800</v>
      </c>
      <c r="S53" s="16" t="str">
        <f>'Clean Data'!S52</f>
        <v>continuous</v>
      </c>
      <c r="T53" s="16" t="str">
        <f>'Clean Data'!T52</f>
        <v>atmospheric</v>
      </c>
      <c r="U53" s="16" t="str">
        <f>'Clean Data'!U52</f>
        <v>NaN</v>
      </c>
      <c r="V53" s="16">
        <f>'Clean Data'!V52</f>
        <v>1.56</v>
      </c>
      <c r="W53" s="16">
        <f>'Clean Data'!W52</f>
        <v>0.21</v>
      </c>
      <c r="X53" s="16" t="str">
        <f>'Clean Data'!X52</f>
        <v>air + steam</v>
      </c>
      <c r="Y53" s="16" t="str">
        <f>'Clean Data'!Y52</f>
        <v>fluidised bed</v>
      </c>
      <c r="Z53" s="16" t="str">
        <f>'Clean Data'!Z52</f>
        <v>silica</v>
      </c>
      <c r="AA53" s="16">
        <f>'Clean Data'!AA52</f>
        <v>0</v>
      </c>
      <c r="AB53" s="16" t="str">
        <f>'Clean Data'!AB52</f>
        <v>lab</v>
      </c>
      <c r="AC53" s="16">
        <f>'Clean Data'!AC52</f>
        <v>0.75</v>
      </c>
      <c r="AD53" s="16">
        <f>'Clean Data'!AD52</f>
        <v>32</v>
      </c>
      <c r="AE53" s="16">
        <f>'Clean Data'!AE52</f>
        <v>39</v>
      </c>
      <c r="AF53" s="16">
        <f>'Clean Data'!AF52</f>
        <v>17.5</v>
      </c>
      <c r="AG53" s="16">
        <f>'Clean Data'!AG52</f>
        <v>7.75</v>
      </c>
      <c r="AH53" s="16">
        <f>'Clean Data'!AH52</f>
        <v>3</v>
      </c>
      <c r="AI53" s="16">
        <f>'Clean Data'!AI52</f>
        <v>8.8390000000000004</v>
      </c>
      <c r="AJ53" s="16" t="str">
        <f>'Clean Data'!AJ52</f>
        <v>NaN</v>
      </c>
      <c r="AK53" s="16">
        <f>'Clean Data'!AK52</f>
        <v>2.25</v>
      </c>
      <c r="AL53" s="16" t="str">
        <f>'Clean Data'!AL52</f>
        <v>NaN</v>
      </c>
      <c r="AM53" s="16">
        <f>'Clean Data'!AM52</f>
        <v>104.79262153553192</v>
      </c>
      <c r="AN53" s="16">
        <f>'Clean Data'!AN52</f>
        <v>84.49</v>
      </c>
      <c r="AO53" s="16" t="str">
        <f>'Clean Data'!AO52</f>
        <v>Lv, Bioresource Technology 2004, 95, 95-101</v>
      </c>
      <c r="AP53" s="16"/>
      <c r="AQ53" s="16"/>
      <c r="AR53" s="16"/>
      <c r="AS53" s="16"/>
      <c r="AT53" s="16"/>
    </row>
    <row r="54" spans="1:46" x14ac:dyDescent="0.3">
      <c r="A54" s="16">
        <f>'Clean Data'!A53</f>
        <v>52</v>
      </c>
      <c r="B54" s="16" t="str">
        <f>'Clean Data'!B53</f>
        <v>woody biomass</v>
      </c>
      <c r="C54" s="16" t="str">
        <f>'Clean Data'!C53</f>
        <v>dust</v>
      </c>
      <c r="D54" s="16">
        <f>'Clean Data'!D53</f>
        <v>0.375</v>
      </c>
      <c r="E54" s="16">
        <f>'Clean Data'!E53</f>
        <v>18.978196850678732</v>
      </c>
      <c r="F54" s="16">
        <f>'Clean Data'!F53</f>
        <v>50.819507290095522</v>
      </c>
      <c r="G54" s="16">
        <f>'Clean Data'!G53</f>
        <v>7.1191553544494717</v>
      </c>
      <c r="H54" s="16">
        <f>'Clean Data'!H53</f>
        <v>0.15082956259426847</v>
      </c>
      <c r="I54" s="16">
        <f>'Clean Data'!I53</f>
        <v>0.57315233785822017</v>
      </c>
      <c r="J54" s="16">
        <f>'Clean Data'!J53</f>
        <v>41.337355455002509</v>
      </c>
      <c r="K54" s="16">
        <f>'Clean Data'!K53</f>
        <v>0.55000000000000004</v>
      </c>
      <c r="L54" s="16">
        <f>'Clean Data'!L53</f>
        <v>8</v>
      </c>
      <c r="M54" s="16">
        <f>'Clean Data'!M53</f>
        <v>82.29</v>
      </c>
      <c r="N54" s="16">
        <f>'Clean Data'!N53</f>
        <v>17.16</v>
      </c>
      <c r="O54" s="16" t="str">
        <f>'Clean Data'!O53</f>
        <v>NaN</v>
      </c>
      <c r="P54" s="16" t="str">
        <f>'Clean Data'!P53</f>
        <v>NaN</v>
      </c>
      <c r="Q54" s="16" t="str">
        <f>'Clean Data'!Q53</f>
        <v>NaN</v>
      </c>
      <c r="R54" s="16">
        <f>'Clean Data'!R53</f>
        <v>800</v>
      </c>
      <c r="S54" s="16" t="str">
        <f>'Clean Data'!S53</f>
        <v>continuous</v>
      </c>
      <c r="T54" s="16" t="str">
        <f>'Clean Data'!T53</f>
        <v>atmospheric</v>
      </c>
      <c r="U54" s="16" t="str">
        <f>'Clean Data'!U53</f>
        <v>NaN</v>
      </c>
      <c r="V54" s="16">
        <f>'Clean Data'!V53</f>
        <v>1.56</v>
      </c>
      <c r="W54" s="16">
        <f>'Clean Data'!W53</f>
        <v>0.23</v>
      </c>
      <c r="X54" s="16" t="str">
        <f>'Clean Data'!X53</f>
        <v>air + steam</v>
      </c>
      <c r="Y54" s="16" t="str">
        <f>'Clean Data'!Y53</f>
        <v>fluidised bed</v>
      </c>
      <c r="Z54" s="16" t="str">
        <f>'Clean Data'!Z53</f>
        <v>silica</v>
      </c>
      <c r="AA54" s="16">
        <f>'Clean Data'!AA53</f>
        <v>0</v>
      </c>
      <c r="AB54" s="16" t="str">
        <f>'Clean Data'!AB53</f>
        <v>lab</v>
      </c>
      <c r="AC54" s="16">
        <f>'Clean Data'!AC53</f>
        <v>0</v>
      </c>
      <c r="AD54" s="16">
        <f>'Clean Data'!AD53</f>
        <v>32</v>
      </c>
      <c r="AE54" s="16">
        <f>'Clean Data'!AE53</f>
        <v>40</v>
      </c>
      <c r="AF54" s="16">
        <f>'Clean Data'!AF53</f>
        <v>17.5</v>
      </c>
      <c r="AG54" s="16">
        <f>'Clean Data'!AG53</f>
        <v>7.5</v>
      </c>
      <c r="AH54" s="16">
        <f>'Clean Data'!AH53</f>
        <v>3</v>
      </c>
      <c r="AI54" s="16">
        <f>'Clean Data'!AI53</f>
        <v>8.7080000000000002</v>
      </c>
      <c r="AJ54" s="16" t="str">
        <f>'Clean Data'!AJ53</f>
        <v>NaN</v>
      </c>
      <c r="AK54" s="16">
        <f>'Clean Data'!AK53</f>
        <v>2.37</v>
      </c>
      <c r="AL54" s="16" t="str">
        <f>'Clean Data'!AL53</f>
        <v>NaN</v>
      </c>
      <c r="AM54" s="16">
        <f>'Clean Data'!AM53</f>
        <v>108.74563143369392</v>
      </c>
      <c r="AN54" s="16">
        <f>'Clean Data'!AN53</f>
        <v>90.6</v>
      </c>
      <c r="AO54" s="16" t="str">
        <f>'Clean Data'!AO53</f>
        <v>Lv, Bioresource Technology 2004, 95, 95-101</v>
      </c>
      <c r="AP54" s="16"/>
      <c r="AQ54" s="16"/>
      <c r="AR54" s="16"/>
      <c r="AS54" s="16"/>
      <c r="AT54" s="16"/>
    </row>
    <row r="55" spans="1:46" x14ac:dyDescent="0.3">
      <c r="A55" s="16">
        <f>'Clean Data'!A54</f>
        <v>53</v>
      </c>
      <c r="B55" s="16" t="str">
        <f>'Clean Data'!B54</f>
        <v>woody biomass</v>
      </c>
      <c r="C55" s="16" t="str">
        <f>'Clean Data'!C54</f>
        <v>dust</v>
      </c>
      <c r="D55" s="16">
        <f>'Clean Data'!D54</f>
        <v>0.375</v>
      </c>
      <c r="E55" s="16">
        <f>'Clean Data'!E54</f>
        <v>18.978196850678732</v>
      </c>
      <c r="F55" s="16">
        <f>'Clean Data'!F54</f>
        <v>50.819507290095522</v>
      </c>
      <c r="G55" s="16">
        <f>'Clean Data'!G54</f>
        <v>7.1191553544494717</v>
      </c>
      <c r="H55" s="16">
        <f>'Clean Data'!H54</f>
        <v>0.15082956259426847</v>
      </c>
      <c r="I55" s="16">
        <f>'Clean Data'!I54</f>
        <v>0.57315233785822017</v>
      </c>
      <c r="J55" s="16">
        <f>'Clean Data'!J54</f>
        <v>41.337355455002509</v>
      </c>
      <c r="K55" s="16">
        <f>'Clean Data'!K54</f>
        <v>0.55000000000000004</v>
      </c>
      <c r="L55" s="16">
        <f>'Clean Data'!L54</f>
        <v>8</v>
      </c>
      <c r="M55" s="16">
        <f>'Clean Data'!M54</f>
        <v>82.29</v>
      </c>
      <c r="N55" s="16">
        <f>'Clean Data'!N54</f>
        <v>17.16</v>
      </c>
      <c r="O55" s="16" t="str">
        <f>'Clean Data'!O54</f>
        <v>NaN</v>
      </c>
      <c r="P55" s="16" t="str">
        <f>'Clean Data'!P54</f>
        <v>NaN</v>
      </c>
      <c r="Q55" s="16" t="str">
        <f>'Clean Data'!Q54</f>
        <v>NaN</v>
      </c>
      <c r="R55" s="16">
        <f>'Clean Data'!R54</f>
        <v>800</v>
      </c>
      <c r="S55" s="16" t="str">
        <f>'Clean Data'!S54</f>
        <v>continuous</v>
      </c>
      <c r="T55" s="16" t="str">
        <f>'Clean Data'!T54</f>
        <v>atmospheric</v>
      </c>
      <c r="U55" s="16" t="str">
        <f>'Clean Data'!U54</f>
        <v>NaN</v>
      </c>
      <c r="V55" s="16">
        <f>'Clean Data'!V54</f>
        <v>1.56</v>
      </c>
      <c r="W55" s="16">
        <f>'Clean Data'!W54</f>
        <v>0.25</v>
      </c>
      <c r="X55" s="16" t="str">
        <f>'Clean Data'!X54</f>
        <v>air + steam</v>
      </c>
      <c r="Y55" s="16" t="str">
        <f>'Clean Data'!Y54</f>
        <v>fluidised bed</v>
      </c>
      <c r="Z55" s="16" t="str">
        <f>'Clean Data'!Z54</f>
        <v>silica</v>
      </c>
      <c r="AA55" s="16">
        <f>'Clean Data'!AA54</f>
        <v>0</v>
      </c>
      <c r="AB55" s="16" t="str">
        <f>'Clean Data'!AB54</f>
        <v>lab</v>
      </c>
      <c r="AC55" s="16">
        <f>'Clean Data'!AC54</f>
        <v>0.5</v>
      </c>
      <c r="AD55" s="16">
        <f>'Clean Data'!AD54</f>
        <v>32</v>
      </c>
      <c r="AE55" s="16">
        <f>'Clean Data'!AE54</f>
        <v>39</v>
      </c>
      <c r="AF55" s="16">
        <f>'Clean Data'!AF54</f>
        <v>18.25</v>
      </c>
      <c r="AG55" s="16">
        <f>'Clean Data'!AG54</f>
        <v>7.5</v>
      </c>
      <c r="AH55" s="16">
        <f>'Clean Data'!AH54</f>
        <v>2.75</v>
      </c>
      <c r="AI55" s="16">
        <f>'Clean Data'!AI54</f>
        <v>8.1639999999999997</v>
      </c>
      <c r="AJ55" s="16" t="str">
        <f>'Clean Data'!AJ54</f>
        <v>NaN</v>
      </c>
      <c r="AK55" s="16">
        <f>'Clean Data'!AK54</f>
        <v>2.1800000000000002</v>
      </c>
      <c r="AL55" s="16" t="str">
        <f>'Clean Data'!AL54</f>
        <v>NaN</v>
      </c>
      <c r="AM55" s="16">
        <f>'Clean Data'!AM54</f>
        <v>93.778772240754236</v>
      </c>
      <c r="AN55" s="16">
        <f>'Clean Data'!AN54</f>
        <v>84</v>
      </c>
      <c r="AO55" s="16" t="str">
        <f>'Clean Data'!AO54</f>
        <v>Lv, Bioresource Technology 2004, 95, 95-101</v>
      </c>
      <c r="AP55" s="16"/>
      <c r="AQ55" s="16"/>
      <c r="AR55" s="16"/>
      <c r="AS55" s="16"/>
      <c r="AT55" s="16"/>
    </row>
    <row r="56" spans="1:46" x14ac:dyDescent="0.3">
      <c r="A56" s="16">
        <f>'Clean Data'!A55</f>
        <v>54</v>
      </c>
      <c r="B56" s="16" t="str">
        <f>'Clean Data'!B55</f>
        <v>woody biomass</v>
      </c>
      <c r="C56" s="16" t="str">
        <f>'Clean Data'!C55</f>
        <v>dust</v>
      </c>
      <c r="D56" s="16">
        <f>'Clean Data'!D55</f>
        <v>0.375</v>
      </c>
      <c r="E56" s="16">
        <f>'Clean Data'!E55</f>
        <v>18.978196850678732</v>
      </c>
      <c r="F56" s="16">
        <f>'Clean Data'!F55</f>
        <v>50.819507290095522</v>
      </c>
      <c r="G56" s="16">
        <f>'Clean Data'!G55</f>
        <v>7.1191553544494717</v>
      </c>
      <c r="H56" s="16">
        <f>'Clean Data'!H55</f>
        <v>0.15082956259426847</v>
      </c>
      <c r="I56" s="16">
        <f>'Clean Data'!I55</f>
        <v>0.57315233785822017</v>
      </c>
      <c r="J56" s="16">
        <f>'Clean Data'!J55</f>
        <v>41.337355455002509</v>
      </c>
      <c r="K56" s="16">
        <f>'Clean Data'!K55</f>
        <v>0.55000000000000004</v>
      </c>
      <c r="L56" s="16">
        <f>'Clean Data'!L55</f>
        <v>8</v>
      </c>
      <c r="M56" s="16">
        <f>'Clean Data'!M55</f>
        <v>82.29</v>
      </c>
      <c r="N56" s="16">
        <f>'Clean Data'!N55</f>
        <v>17.16</v>
      </c>
      <c r="O56" s="16" t="str">
        <f>'Clean Data'!O55</f>
        <v>NaN</v>
      </c>
      <c r="P56" s="16" t="str">
        <f>'Clean Data'!P55</f>
        <v>NaN</v>
      </c>
      <c r="Q56" s="16" t="str">
        <f>'Clean Data'!Q55</f>
        <v>NaN</v>
      </c>
      <c r="R56" s="16">
        <f>'Clean Data'!R55</f>
        <v>800</v>
      </c>
      <c r="S56" s="16" t="str">
        <f>'Clean Data'!S55</f>
        <v>continuous</v>
      </c>
      <c r="T56" s="16" t="str">
        <f>'Clean Data'!T55</f>
        <v>atmospheric</v>
      </c>
      <c r="U56" s="16" t="str">
        <f>'Clean Data'!U55</f>
        <v>NaN</v>
      </c>
      <c r="V56" s="16">
        <f>'Clean Data'!V55</f>
        <v>1.56</v>
      </c>
      <c r="W56" s="16">
        <f>'Clean Data'!W55</f>
        <v>0.27</v>
      </c>
      <c r="X56" s="16" t="str">
        <f>'Clean Data'!X55</f>
        <v>air + steam</v>
      </c>
      <c r="Y56" s="16" t="str">
        <f>'Clean Data'!Y55</f>
        <v>fluidised bed</v>
      </c>
      <c r="Z56" s="16" t="str">
        <f>'Clean Data'!Z55</f>
        <v>silica</v>
      </c>
      <c r="AA56" s="16">
        <f>'Clean Data'!AA55</f>
        <v>0</v>
      </c>
      <c r="AB56" s="16" t="str">
        <f>'Clean Data'!AB55</f>
        <v>lab</v>
      </c>
      <c r="AC56" s="16">
        <f>'Clean Data'!AC55</f>
        <v>0.5</v>
      </c>
      <c r="AD56" s="16">
        <f>'Clean Data'!AD55</f>
        <v>32.5</v>
      </c>
      <c r="AE56" s="16">
        <f>'Clean Data'!AE55</f>
        <v>37.5</v>
      </c>
      <c r="AF56" s="16">
        <f>'Clean Data'!AF55</f>
        <v>19.75</v>
      </c>
      <c r="AG56" s="16">
        <f>'Clean Data'!AG55</f>
        <v>7.25</v>
      </c>
      <c r="AH56" s="16">
        <f>'Clean Data'!AH55</f>
        <v>2.5</v>
      </c>
      <c r="AI56" s="16">
        <f>'Clean Data'!AI55</f>
        <v>7.2770000000000001</v>
      </c>
      <c r="AJ56" s="16" t="str">
        <f>'Clean Data'!AJ55</f>
        <v>NaN</v>
      </c>
      <c r="AK56" s="16">
        <f>'Clean Data'!AK55</f>
        <v>1.88</v>
      </c>
      <c r="AL56" s="16" t="str">
        <f>'Clean Data'!AL55</f>
        <v>NaN</v>
      </c>
      <c r="AM56" s="16">
        <f>'Clean Data'!AM55</f>
        <v>72.0867219770182</v>
      </c>
      <c r="AN56" s="16">
        <f>'Clean Data'!AN55</f>
        <v>70.599999999999994</v>
      </c>
      <c r="AO56" s="16" t="str">
        <f>'Clean Data'!AO55</f>
        <v>Lv, Bioresource Technology 2004, 95, 95-101</v>
      </c>
      <c r="AP56" s="16"/>
      <c r="AQ56" s="16"/>
      <c r="AR56" s="16"/>
      <c r="AS56" s="16"/>
      <c r="AT56" s="16"/>
    </row>
    <row r="57" spans="1:46" x14ac:dyDescent="0.3">
      <c r="A57" s="16">
        <f>'Clean Data'!A56</f>
        <v>55</v>
      </c>
      <c r="B57" s="16" t="str">
        <f>'Clean Data'!B56</f>
        <v>woody biomass</v>
      </c>
      <c r="C57" s="16" t="str">
        <f>'Clean Data'!C56</f>
        <v>dust</v>
      </c>
      <c r="D57" s="16">
        <f>'Clean Data'!D56</f>
        <v>0.375</v>
      </c>
      <c r="E57" s="16">
        <f>'Clean Data'!E56</f>
        <v>18.978196850678732</v>
      </c>
      <c r="F57" s="16">
        <f>'Clean Data'!F56</f>
        <v>50.819507290095522</v>
      </c>
      <c r="G57" s="16">
        <f>'Clean Data'!G56</f>
        <v>7.1191553544494717</v>
      </c>
      <c r="H57" s="16">
        <f>'Clean Data'!H56</f>
        <v>0.15082956259426847</v>
      </c>
      <c r="I57" s="16">
        <f>'Clean Data'!I56</f>
        <v>0.57315233785822017</v>
      </c>
      <c r="J57" s="16">
        <f>'Clean Data'!J56</f>
        <v>41.337355455002509</v>
      </c>
      <c r="K57" s="16">
        <f>'Clean Data'!K56</f>
        <v>0.55000000000000004</v>
      </c>
      <c r="L57" s="16">
        <f>'Clean Data'!L56</f>
        <v>8</v>
      </c>
      <c r="M57" s="16">
        <f>'Clean Data'!M56</f>
        <v>82.29</v>
      </c>
      <c r="N57" s="16">
        <f>'Clean Data'!N56</f>
        <v>17.16</v>
      </c>
      <c r="O57" s="16" t="str">
        <f>'Clean Data'!O56</f>
        <v>NaN</v>
      </c>
      <c r="P57" s="16" t="str">
        <f>'Clean Data'!P56</f>
        <v>NaN</v>
      </c>
      <c r="Q57" s="16" t="str">
        <f>'Clean Data'!Q56</f>
        <v>NaN</v>
      </c>
      <c r="R57" s="16">
        <f>'Clean Data'!R56</f>
        <v>800</v>
      </c>
      <c r="S57" s="16" t="str">
        <f>'Clean Data'!S56</f>
        <v>continuous</v>
      </c>
      <c r="T57" s="16" t="str">
        <f>'Clean Data'!T56</f>
        <v>atmospheric</v>
      </c>
      <c r="U57" s="16" t="str">
        <f>'Clean Data'!U56</f>
        <v>NaN</v>
      </c>
      <c r="V57" s="16">
        <f>'Clean Data'!V56</f>
        <v>0</v>
      </c>
      <c r="W57" s="16">
        <f>'Clean Data'!W56</f>
        <v>0.22</v>
      </c>
      <c r="X57" s="16" t="str">
        <f>'Clean Data'!X56</f>
        <v>air + steam</v>
      </c>
      <c r="Y57" s="16" t="str">
        <f>'Clean Data'!Y56</f>
        <v>fluidised bed</v>
      </c>
      <c r="Z57" s="16" t="str">
        <f>'Clean Data'!Z56</f>
        <v>silica</v>
      </c>
      <c r="AA57" s="16">
        <f>'Clean Data'!AA56</f>
        <v>0</v>
      </c>
      <c r="AB57" s="16" t="str">
        <f>'Clean Data'!AB56</f>
        <v>lab</v>
      </c>
      <c r="AC57" s="16">
        <f>'Clean Data'!AC56</f>
        <v>0</v>
      </c>
      <c r="AD57" s="16">
        <f>'Clean Data'!AD56</f>
        <v>33</v>
      </c>
      <c r="AE57" s="16">
        <f>'Clean Data'!AE56</f>
        <v>43</v>
      </c>
      <c r="AF57" s="16">
        <f>'Clean Data'!AF56</f>
        <v>16</v>
      </c>
      <c r="AG57" s="16">
        <f>'Clean Data'!AG56</f>
        <v>6</v>
      </c>
      <c r="AH57" s="16">
        <f>'Clean Data'!AH56</f>
        <v>2</v>
      </c>
      <c r="AI57" s="16">
        <f>'Clean Data'!AI56</f>
        <v>6.7409999999999997</v>
      </c>
      <c r="AJ57" s="16" t="str">
        <f>'Clean Data'!AJ56</f>
        <v>NaN</v>
      </c>
      <c r="AK57" s="16">
        <f>'Clean Data'!AK56</f>
        <v>1.46</v>
      </c>
      <c r="AL57" s="16" t="str">
        <f>'Clean Data'!AL56</f>
        <v>NaN</v>
      </c>
      <c r="AM57" s="16">
        <f>'Clean Data'!AM56</f>
        <v>51.858772872028766</v>
      </c>
      <c r="AN57" s="16">
        <f>'Clean Data'!AN56</f>
        <v>68.67</v>
      </c>
      <c r="AO57" s="16" t="str">
        <f>'Clean Data'!AO56</f>
        <v>Lv, Bioresource Technology 2004, 95, 95-101</v>
      </c>
      <c r="AP57" s="16"/>
      <c r="AQ57" s="16"/>
      <c r="AR57" s="16"/>
      <c r="AS57" s="16"/>
      <c r="AT57" s="16"/>
    </row>
    <row r="58" spans="1:46" x14ac:dyDescent="0.3">
      <c r="A58" s="16">
        <f>'Clean Data'!A57</f>
        <v>56</v>
      </c>
      <c r="B58" s="16" t="str">
        <f>'Clean Data'!B57</f>
        <v>woody biomass</v>
      </c>
      <c r="C58" s="16" t="str">
        <f>'Clean Data'!C57</f>
        <v>dust</v>
      </c>
      <c r="D58" s="16">
        <f>'Clean Data'!D57</f>
        <v>0.375</v>
      </c>
      <c r="E58" s="16">
        <f>'Clean Data'!E57</f>
        <v>18.978196850678732</v>
      </c>
      <c r="F58" s="16">
        <f>'Clean Data'!F57</f>
        <v>50.819507290095522</v>
      </c>
      <c r="G58" s="16">
        <f>'Clean Data'!G57</f>
        <v>7.1191553544494717</v>
      </c>
      <c r="H58" s="16">
        <f>'Clean Data'!H57</f>
        <v>0.15082956259426847</v>
      </c>
      <c r="I58" s="16">
        <f>'Clean Data'!I57</f>
        <v>0.57315233785822017</v>
      </c>
      <c r="J58" s="16">
        <f>'Clean Data'!J57</f>
        <v>41.337355455002509</v>
      </c>
      <c r="K58" s="16">
        <f>'Clean Data'!K57</f>
        <v>0.55000000000000004</v>
      </c>
      <c r="L58" s="16">
        <f>'Clean Data'!L57</f>
        <v>8</v>
      </c>
      <c r="M58" s="16">
        <f>'Clean Data'!M57</f>
        <v>82.29</v>
      </c>
      <c r="N58" s="16">
        <f>'Clean Data'!N57</f>
        <v>17.16</v>
      </c>
      <c r="O58" s="16" t="str">
        <f>'Clean Data'!O57</f>
        <v>NaN</v>
      </c>
      <c r="P58" s="16" t="str">
        <f>'Clean Data'!P57</f>
        <v>NaN</v>
      </c>
      <c r="Q58" s="16" t="str">
        <f>'Clean Data'!Q57</f>
        <v>NaN</v>
      </c>
      <c r="R58" s="16">
        <f>'Clean Data'!R57</f>
        <v>800</v>
      </c>
      <c r="S58" s="16" t="str">
        <f>'Clean Data'!S57</f>
        <v>continuous</v>
      </c>
      <c r="T58" s="16" t="str">
        <f>'Clean Data'!T57</f>
        <v>atmospheric</v>
      </c>
      <c r="U58" s="16" t="str">
        <f>'Clean Data'!U57</f>
        <v>NaN</v>
      </c>
      <c r="V58" s="16">
        <f>'Clean Data'!V57</f>
        <v>1.35</v>
      </c>
      <c r="W58" s="16">
        <f>'Clean Data'!W57</f>
        <v>0.22</v>
      </c>
      <c r="X58" s="16" t="str">
        <f>'Clean Data'!X57</f>
        <v>air + steam</v>
      </c>
      <c r="Y58" s="16" t="str">
        <f>'Clean Data'!Y57</f>
        <v>fluidised bed</v>
      </c>
      <c r="Z58" s="16" t="str">
        <f>'Clean Data'!Z57</f>
        <v>silica</v>
      </c>
      <c r="AA58" s="16">
        <f>'Clean Data'!AA57</f>
        <v>0</v>
      </c>
      <c r="AB58" s="16" t="str">
        <f>'Clean Data'!AB57</f>
        <v>lab</v>
      </c>
      <c r="AC58" s="16">
        <f>'Clean Data'!AC57</f>
        <v>1.25</v>
      </c>
      <c r="AD58" s="16">
        <f>'Clean Data'!AD57</f>
        <v>30</v>
      </c>
      <c r="AE58" s="16">
        <f>'Clean Data'!AE57</f>
        <v>40.5</v>
      </c>
      <c r="AF58" s="16">
        <f>'Clean Data'!AF57</f>
        <v>17</v>
      </c>
      <c r="AG58" s="16">
        <f>'Clean Data'!AG57</f>
        <v>8</v>
      </c>
      <c r="AH58" s="16">
        <f>'Clean Data'!AH57</f>
        <v>3.25</v>
      </c>
      <c r="AI58" s="16">
        <f>'Clean Data'!AI57</f>
        <v>9.1430000000000007</v>
      </c>
      <c r="AJ58" s="16" t="str">
        <f>'Clean Data'!AJ57</f>
        <v>NaN</v>
      </c>
      <c r="AK58" s="16">
        <f>'Clean Data'!AK57</f>
        <v>2.39</v>
      </c>
      <c r="AL58" s="16" t="str">
        <f>'Clean Data'!AL57</f>
        <v>NaN</v>
      </c>
      <c r="AM58" s="16">
        <f>'Clean Data'!AM57</f>
        <v>115.14144453201042</v>
      </c>
      <c r="AN58" s="16">
        <f>'Clean Data'!AN57</f>
        <v>92.09</v>
      </c>
      <c r="AO58" s="16" t="str">
        <f>'Clean Data'!AO57</f>
        <v>Lv, Bioresource Technology 2004, 95, 95-101</v>
      </c>
      <c r="AP58" s="16"/>
      <c r="AQ58" s="16"/>
      <c r="AR58" s="16"/>
      <c r="AS58" s="16"/>
      <c r="AT58" s="16"/>
    </row>
    <row r="59" spans="1:46" x14ac:dyDescent="0.3">
      <c r="A59" s="16">
        <f>'Clean Data'!A58</f>
        <v>57</v>
      </c>
      <c r="B59" s="16" t="str">
        <f>'Clean Data'!B58</f>
        <v>woody biomass</v>
      </c>
      <c r="C59" s="16" t="str">
        <f>'Clean Data'!C58</f>
        <v>dust</v>
      </c>
      <c r="D59" s="16">
        <f>'Clean Data'!D58</f>
        <v>0.375</v>
      </c>
      <c r="E59" s="16">
        <f>'Clean Data'!E58</f>
        <v>18.978196850678732</v>
      </c>
      <c r="F59" s="16">
        <f>'Clean Data'!F58</f>
        <v>50.819507290095522</v>
      </c>
      <c r="G59" s="16">
        <f>'Clean Data'!G58</f>
        <v>7.1191553544494717</v>
      </c>
      <c r="H59" s="16">
        <f>'Clean Data'!H58</f>
        <v>0.15082956259426847</v>
      </c>
      <c r="I59" s="16">
        <f>'Clean Data'!I58</f>
        <v>0.57315233785822017</v>
      </c>
      <c r="J59" s="16">
        <f>'Clean Data'!J58</f>
        <v>41.337355455002509</v>
      </c>
      <c r="K59" s="16">
        <f>'Clean Data'!K58</f>
        <v>0.55000000000000004</v>
      </c>
      <c r="L59" s="16">
        <f>'Clean Data'!L58</f>
        <v>8</v>
      </c>
      <c r="M59" s="16">
        <f>'Clean Data'!M58</f>
        <v>82.29</v>
      </c>
      <c r="N59" s="16">
        <f>'Clean Data'!N58</f>
        <v>17.16</v>
      </c>
      <c r="O59" s="16" t="str">
        <f>'Clean Data'!O58</f>
        <v>NaN</v>
      </c>
      <c r="P59" s="16" t="str">
        <f>'Clean Data'!P58</f>
        <v>NaN</v>
      </c>
      <c r="Q59" s="16" t="str">
        <f>'Clean Data'!Q58</f>
        <v>NaN</v>
      </c>
      <c r="R59" s="16">
        <f>'Clean Data'!R58</f>
        <v>800</v>
      </c>
      <c r="S59" s="16" t="str">
        <f>'Clean Data'!S58</f>
        <v>continuous</v>
      </c>
      <c r="T59" s="16" t="str">
        <f>'Clean Data'!T58</f>
        <v>atmospheric</v>
      </c>
      <c r="U59" s="16" t="str">
        <f>'Clean Data'!U58</f>
        <v>NaN</v>
      </c>
      <c r="V59" s="16">
        <f>'Clean Data'!V58</f>
        <v>2.02</v>
      </c>
      <c r="W59" s="16">
        <f>'Clean Data'!W58</f>
        <v>0.22</v>
      </c>
      <c r="X59" s="16" t="str">
        <f>'Clean Data'!X58</f>
        <v>air + steam</v>
      </c>
      <c r="Y59" s="16" t="str">
        <f>'Clean Data'!Y58</f>
        <v>fluidised bed</v>
      </c>
      <c r="Z59" s="16" t="str">
        <f>'Clean Data'!Z58</f>
        <v>silica</v>
      </c>
      <c r="AA59" s="16">
        <f>'Clean Data'!AA58</f>
        <v>0</v>
      </c>
      <c r="AB59" s="16" t="str">
        <f>'Clean Data'!AB58</f>
        <v>lab</v>
      </c>
      <c r="AC59" s="16">
        <f>'Clean Data'!AC58</f>
        <v>1.75</v>
      </c>
      <c r="AD59" s="16">
        <f>'Clean Data'!AD58</f>
        <v>31</v>
      </c>
      <c r="AE59" s="16">
        <f>'Clean Data'!AE58</f>
        <v>39</v>
      </c>
      <c r="AF59" s="16">
        <f>'Clean Data'!AF58</f>
        <v>17.5</v>
      </c>
      <c r="AG59" s="16">
        <f>'Clean Data'!AG58</f>
        <v>7.75</v>
      </c>
      <c r="AH59" s="16">
        <f>'Clean Data'!AH58</f>
        <v>3</v>
      </c>
      <c r="AI59" s="16">
        <f>'Clean Data'!AI58</f>
        <v>8.9049999999999994</v>
      </c>
      <c r="AJ59" s="16" t="str">
        <f>'Clean Data'!AJ58</f>
        <v>NaN</v>
      </c>
      <c r="AK59" s="16">
        <f>'Clean Data'!AK58</f>
        <v>2.34</v>
      </c>
      <c r="AL59" s="16" t="str">
        <f>'Clean Data'!AL58</f>
        <v>NaN</v>
      </c>
      <c r="AM59" s="16">
        <f>'Clean Data'!AM58</f>
        <v>109.79810233791925</v>
      </c>
      <c r="AN59" s="16">
        <f>'Clean Data'!AN58</f>
        <v>88.7</v>
      </c>
      <c r="AO59" s="16" t="str">
        <f>'Clean Data'!AO58</f>
        <v>Lv, Bioresource Technology 2004, 95, 95-101</v>
      </c>
      <c r="AP59" s="16"/>
      <c r="AQ59" s="16"/>
      <c r="AR59" s="16"/>
      <c r="AS59" s="16"/>
      <c r="AT59" s="16"/>
    </row>
    <row r="60" spans="1:46" x14ac:dyDescent="0.3">
      <c r="A60" s="16">
        <f>'Clean Data'!A59</f>
        <v>58</v>
      </c>
      <c r="B60" s="16" t="str">
        <f>'Clean Data'!B59</f>
        <v>woody biomass</v>
      </c>
      <c r="C60" s="16" t="str">
        <f>'Clean Data'!C59</f>
        <v>dust</v>
      </c>
      <c r="D60" s="16">
        <f>'Clean Data'!D59</f>
        <v>0.375</v>
      </c>
      <c r="E60" s="16">
        <f>'Clean Data'!E59</f>
        <v>18.978196850678732</v>
      </c>
      <c r="F60" s="16">
        <f>'Clean Data'!F59</f>
        <v>50.819507290095522</v>
      </c>
      <c r="G60" s="16">
        <f>'Clean Data'!G59</f>
        <v>7.1191553544494717</v>
      </c>
      <c r="H60" s="16">
        <f>'Clean Data'!H59</f>
        <v>0.15082956259426847</v>
      </c>
      <c r="I60" s="16">
        <f>'Clean Data'!I59</f>
        <v>0.57315233785822017</v>
      </c>
      <c r="J60" s="16">
        <f>'Clean Data'!J59</f>
        <v>41.337355455002509</v>
      </c>
      <c r="K60" s="16">
        <f>'Clean Data'!K59</f>
        <v>0.55000000000000004</v>
      </c>
      <c r="L60" s="16">
        <f>'Clean Data'!L59</f>
        <v>8</v>
      </c>
      <c r="M60" s="16">
        <f>'Clean Data'!M59</f>
        <v>82.29</v>
      </c>
      <c r="N60" s="16">
        <f>'Clean Data'!N59</f>
        <v>17.16</v>
      </c>
      <c r="O60" s="16" t="str">
        <f>'Clean Data'!O59</f>
        <v>NaN</v>
      </c>
      <c r="P60" s="16" t="str">
        <f>'Clean Data'!P59</f>
        <v>NaN</v>
      </c>
      <c r="Q60" s="16" t="str">
        <f>'Clean Data'!Q59</f>
        <v>NaN</v>
      </c>
      <c r="R60" s="16">
        <f>'Clean Data'!R59</f>
        <v>800</v>
      </c>
      <c r="S60" s="16" t="str">
        <f>'Clean Data'!S59</f>
        <v>continuous</v>
      </c>
      <c r="T60" s="16" t="str">
        <f>'Clean Data'!T59</f>
        <v>atmospheric</v>
      </c>
      <c r="U60" s="16" t="str">
        <f>'Clean Data'!U59</f>
        <v>NaN</v>
      </c>
      <c r="V60" s="16">
        <f>'Clean Data'!V59</f>
        <v>2.7</v>
      </c>
      <c r="W60" s="16">
        <f>'Clean Data'!W59</f>
        <v>0.22</v>
      </c>
      <c r="X60" s="16" t="str">
        <f>'Clean Data'!X59</f>
        <v>air + steam</v>
      </c>
      <c r="Y60" s="16" t="str">
        <f>'Clean Data'!Y59</f>
        <v>fluidised bed</v>
      </c>
      <c r="Z60" s="16" t="str">
        <f>'Clean Data'!Z59</f>
        <v>silica</v>
      </c>
      <c r="AA60" s="16">
        <f>'Clean Data'!AA59</f>
        <v>0</v>
      </c>
      <c r="AB60" s="16" t="str">
        <f>'Clean Data'!AB59</f>
        <v>lab</v>
      </c>
      <c r="AC60" s="16">
        <f>'Clean Data'!AC59</f>
        <v>1</v>
      </c>
      <c r="AD60" s="16">
        <f>'Clean Data'!AD59</f>
        <v>32.5</v>
      </c>
      <c r="AE60" s="16">
        <f>'Clean Data'!AE59</f>
        <v>37.5</v>
      </c>
      <c r="AF60" s="16">
        <f>'Clean Data'!AF59</f>
        <v>18.5</v>
      </c>
      <c r="AG60" s="16">
        <f>'Clean Data'!AG59</f>
        <v>7.5</v>
      </c>
      <c r="AH60" s="16">
        <f>'Clean Data'!AH59</f>
        <v>3</v>
      </c>
      <c r="AI60" s="16">
        <f>'Clean Data'!AI59</f>
        <v>8.56</v>
      </c>
      <c r="AJ60" s="16" t="str">
        <f>'Clean Data'!AJ59</f>
        <v>NaN</v>
      </c>
      <c r="AK60" s="16">
        <f>'Clean Data'!AK59</f>
        <v>2.23</v>
      </c>
      <c r="AL60" s="16" t="str">
        <f>'Clean Data'!AL59</f>
        <v>NaN</v>
      </c>
      <c r="AM60" s="16">
        <f>'Clean Data'!AM59</f>
        <v>100.58279061067552</v>
      </c>
      <c r="AN60" s="16">
        <f>'Clean Data'!AN59</f>
        <v>85.9</v>
      </c>
      <c r="AO60" s="16" t="str">
        <f>'Clean Data'!AO59</f>
        <v>Lv, Bioresource Technology 2004, 95, 95-101</v>
      </c>
      <c r="AP60" s="16"/>
      <c r="AQ60" s="16"/>
      <c r="AR60" s="16"/>
      <c r="AS60" s="16"/>
      <c r="AT60" s="16"/>
    </row>
    <row r="61" spans="1:46" x14ac:dyDescent="0.3">
      <c r="A61" s="16">
        <f>'Clean Data'!A60</f>
        <v>59</v>
      </c>
      <c r="B61" s="16" t="str">
        <f>'Clean Data'!B60</f>
        <v>woody biomass</v>
      </c>
      <c r="C61" s="16" t="str">
        <f>'Clean Data'!C60</f>
        <v>dust</v>
      </c>
      <c r="D61" s="16">
        <f>'Clean Data'!D60</f>
        <v>0.375</v>
      </c>
      <c r="E61" s="16">
        <f>'Clean Data'!E60</f>
        <v>18.978196850678732</v>
      </c>
      <c r="F61" s="16">
        <f>'Clean Data'!F60</f>
        <v>50.819507290095522</v>
      </c>
      <c r="G61" s="16">
        <f>'Clean Data'!G60</f>
        <v>7.1191553544494717</v>
      </c>
      <c r="H61" s="16">
        <f>'Clean Data'!H60</f>
        <v>0.15082956259426847</v>
      </c>
      <c r="I61" s="16">
        <f>'Clean Data'!I60</f>
        <v>0.57315233785822017</v>
      </c>
      <c r="J61" s="16">
        <f>'Clean Data'!J60</f>
        <v>41.337355455002509</v>
      </c>
      <c r="K61" s="16">
        <f>'Clean Data'!K60</f>
        <v>0.55000000000000004</v>
      </c>
      <c r="L61" s="16">
        <f>'Clean Data'!L60</f>
        <v>8</v>
      </c>
      <c r="M61" s="16">
        <f>'Clean Data'!M60</f>
        <v>82.29</v>
      </c>
      <c r="N61" s="16">
        <f>'Clean Data'!N60</f>
        <v>17.16</v>
      </c>
      <c r="O61" s="16" t="str">
        <f>'Clean Data'!O60</f>
        <v>NaN</v>
      </c>
      <c r="P61" s="16" t="str">
        <f>'Clean Data'!P60</f>
        <v>NaN</v>
      </c>
      <c r="Q61" s="16" t="str">
        <f>'Clean Data'!Q60</f>
        <v>NaN</v>
      </c>
      <c r="R61" s="16">
        <f>'Clean Data'!R60</f>
        <v>800</v>
      </c>
      <c r="S61" s="16" t="str">
        <f>'Clean Data'!S60</f>
        <v>continuous</v>
      </c>
      <c r="T61" s="16" t="str">
        <f>'Clean Data'!T60</f>
        <v>atmospheric</v>
      </c>
      <c r="U61" s="16" t="str">
        <f>'Clean Data'!U60</f>
        <v>NaN</v>
      </c>
      <c r="V61" s="16">
        <f>'Clean Data'!V60</f>
        <v>4.04</v>
      </c>
      <c r="W61" s="16">
        <f>'Clean Data'!W60</f>
        <v>0.22</v>
      </c>
      <c r="X61" s="16" t="str">
        <f>'Clean Data'!X60</f>
        <v>air + steam</v>
      </c>
      <c r="Y61" s="16" t="str">
        <f>'Clean Data'!Y60</f>
        <v>fluidised bed</v>
      </c>
      <c r="Z61" s="16" t="str">
        <f>'Clean Data'!Z60</f>
        <v>silica</v>
      </c>
      <c r="AA61" s="16">
        <f>'Clean Data'!AA60</f>
        <v>0</v>
      </c>
      <c r="AB61" s="16" t="str">
        <f>'Clean Data'!AB60</f>
        <v>lab</v>
      </c>
      <c r="AC61" s="16">
        <f>'Clean Data'!AC60</f>
        <v>0.5</v>
      </c>
      <c r="AD61" s="16">
        <f>'Clean Data'!AD60</f>
        <v>32.5</v>
      </c>
      <c r="AE61" s="16">
        <f>'Clean Data'!AE60</f>
        <v>37.5</v>
      </c>
      <c r="AF61" s="16">
        <f>'Clean Data'!AF60</f>
        <v>19</v>
      </c>
      <c r="AG61" s="16">
        <f>'Clean Data'!AG60</f>
        <v>7.5</v>
      </c>
      <c r="AH61" s="16">
        <f>'Clean Data'!AH60</f>
        <v>3</v>
      </c>
      <c r="AI61" s="16">
        <f>'Clean Data'!AI60</f>
        <v>8.1</v>
      </c>
      <c r="AJ61" s="16" t="str">
        <f>'Clean Data'!AJ60</f>
        <v>NaN</v>
      </c>
      <c r="AK61" s="16">
        <f>'Clean Data'!AK60</f>
        <v>1.95</v>
      </c>
      <c r="AL61" s="16" t="str">
        <f>'Clean Data'!AL60</f>
        <v>NaN</v>
      </c>
      <c r="AM61" s="16">
        <f>'Clean Data'!AM60</f>
        <v>83.227084871527765</v>
      </c>
      <c r="AN61" s="16">
        <f>'Clean Data'!AN60</f>
        <v>75.099999999999994</v>
      </c>
      <c r="AO61" s="16" t="str">
        <f>'Clean Data'!AO60</f>
        <v>Lv, Bioresource Technology 2004, 95, 95-101</v>
      </c>
      <c r="AP61" s="16"/>
      <c r="AQ61" s="16"/>
      <c r="AR61" s="16"/>
      <c r="AS61" s="16"/>
      <c r="AT61" s="16"/>
    </row>
    <row r="62" spans="1:46" x14ac:dyDescent="0.3">
      <c r="A62" s="16">
        <f>'Clean Data'!A61</f>
        <v>60</v>
      </c>
      <c r="B62" s="16" t="str">
        <f>'Clean Data'!B61</f>
        <v>woody biomass</v>
      </c>
      <c r="C62" s="16" t="str">
        <f>'Clean Data'!C61</f>
        <v>dust</v>
      </c>
      <c r="D62" s="16">
        <f>'Clean Data'!D61</f>
        <v>0.75</v>
      </c>
      <c r="E62" s="16">
        <f>'Clean Data'!E61</f>
        <v>18.978196850678732</v>
      </c>
      <c r="F62" s="16">
        <f>'Clean Data'!F61</f>
        <v>50.819507290095522</v>
      </c>
      <c r="G62" s="16">
        <f>'Clean Data'!G61</f>
        <v>7.1191553544494717</v>
      </c>
      <c r="H62" s="16">
        <f>'Clean Data'!H61</f>
        <v>0.15082956259426847</v>
      </c>
      <c r="I62" s="16">
        <f>'Clean Data'!I61</f>
        <v>0.57315233785822017</v>
      </c>
      <c r="J62" s="16">
        <f>'Clean Data'!J61</f>
        <v>41.337355455002509</v>
      </c>
      <c r="K62" s="16">
        <f>'Clean Data'!K61</f>
        <v>0.55000000000000004</v>
      </c>
      <c r="L62" s="16">
        <f>'Clean Data'!L61</f>
        <v>8</v>
      </c>
      <c r="M62" s="16">
        <f>'Clean Data'!M61</f>
        <v>82.29</v>
      </c>
      <c r="N62" s="16">
        <f>'Clean Data'!N61</f>
        <v>17.16</v>
      </c>
      <c r="O62" s="16" t="str">
        <f>'Clean Data'!O61</f>
        <v>NaN</v>
      </c>
      <c r="P62" s="16" t="str">
        <f>'Clean Data'!P61</f>
        <v>NaN</v>
      </c>
      <c r="Q62" s="16" t="str">
        <f>'Clean Data'!Q61</f>
        <v>NaN</v>
      </c>
      <c r="R62" s="16">
        <f>'Clean Data'!R61</f>
        <v>800</v>
      </c>
      <c r="S62" s="16" t="str">
        <f>'Clean Data'!S61</f>
        <v>continuous</v>
      </c>
      <c r="T62" s="16" t="str">
        <f>'Clean Data'!T61</f>
        <v>atmospheric</v>
      </c>
      <c r="U62" s="16" t="str">
        <f>'Clean Data'!U61</f>
        <v>NaN</v>
      </c>
      <c r="V62" s="16">
        <f>'Clean Data'!V61</f>
        <v>1.56</v>
      </c>
      <c r="W62" s="16">
        <f>'Clean Data'!W61</f>
        <v>0.23</v>
      </c>
      <c r="X62" s="16" t="str">
        <f>'Clean Data'!X61</f>
        <v>air + steam</v>
      </c>
      <c r="Y62" s="16" t="str">
        <f>'Clean Data'!Y61</f>
        <v>fluidised bed</v>
      </c>
      <c r="Z62" s="16" t="str">
        <f>'Clean Data'!Z61</f>
        <v>silica</v>
      </c>
      <c r="AA62" s="16">
        <f>'Clean Data'!AA61</f>
        <v>0</v>
      </c>
      <c r="AB62" s="16" t="str">
        <f>'Clean Data'!AB61</f>
        <v>lab</v>
      </c>
      <c r="AC62" s="16">
        <f>'Clean Data'!AC61</f>
        <v>0</v>
      </c>
      <c r="AD62" s="16">
        <f>'Clean Data'!AD61</f>
        <v>32.25</v>
      </c>
      <c r="AE62" s="16">
        <f>'Clean Data'!AE61</f>
        <v>37.5</v>
      </c>
      <c r="AF62" s="16">
        <f>'Clean Data'!AF61</f>
        <v>21.25</v>
      </c>
      <c r="AG62" s="16">
        <f>'Clean Data'!AG61</f>
        <v>6.5</v>
      </c>
      <c r="AH62" s="16">
        <f>'Clean Data'!AH61</f>
        <v>2.5</v>
      </c>
      <c r="AI62" s="16">
        <f>'Clean Data'!AI61</f>
        <v>6.976</v>
      </c>
      <c r="AJ62" s="16" t="str">
        <f>'Clean Data'!AJ61</f>
        <v>NaN</v>
      </c>
      <c r="AK62" s="16">
        <f>'Clean Data'!AK61</f>
        <v>1.53</v>
      </c>
      <c r="AL62" s="16" t="str">
        <f>'Clean Data'!AL61</f>
        <v>NaN</v>
      </c>
      <c r="AM62" s="16">
        <f>'Clean Data'!AM61</f>
        <v>56.239694866576762</v>
      </c>
      <c r="AN62" s="16">
        <f>'Clean Data'!AN61</f>
        <v>77.62</v>
      </c>
      <c r="AO62" s="16" t="str">
        <f>'Clean Data'!AO61</f>
        <v>Lv, Bioresource Technology 2004, 95, 95-101</v>
      </c>
      <c r="AP62" s="16"/>
      <c r="AQ62" s="16"/>
      <c r="AR62" s="16"/>
      <c r="AS62" s="16"/>
      <c r="AT62" s="16"/>
    </row>
    <row r="63" spans="1:46" x14ac:dyDescent="0.3">
      <c r="A63" s="16">
        <f>'Clean Data'!A62</f>
        <v>61</v>
      </c>
      <c r="B63" s="16" t="str">
        <f>'Clean Data'!B62</f>
        <v>woody biomass</v>
      </c>
      <c r="C63" s="16" t="str">
        <f>'Clean Data'!C62</f>
        <v>dust</v>
      </c>
      <c r="D63" s="16">
        <f>'Clean Data'!D62</f>
        <v>0.53</v>
      </c>
      <c r="E63" s="16">
        <f>'Clean Data'!E62</f>
        <v>18.978196850678732</v>
      </c>
      <c r="F63" s="16">
        <f>'Clean Data'!F62</f>
        <v>50.819507290095522</v>
      </c>
      <c r="G63" s="16">
        <f>'Clean Data'!G62</f>
        <v>7.1191553544494717</v>
      </c>
      <c r="H63" s="16">
        <f>'Clean Data'!H62</f>
        <v>0.15082956259426847</v>
      </c>
      <c r="I63" s="16">
        <f>'Clean Data'!I62</f>
        <v>0.57315233785822017</v>
      </c>
      <c r="J63" s="16">
        <f>'Clean Data'!J62</f>
        <v>41.337355455002509</v>
      </c>
      <c r="K63" s="16">
        <f>'Clean Data'!K62</f>
        <v>0.55000000000000004</v>
      </c>
      <c r="L63" s="16">
        <f>'Clean Data'!L62</f>
        <v>8</v>
      </c>
      <c r="M63" s="16">
        <f>'Clean Data'!M62</f>
        <v>82.29</v>
      </c>
      <c r="N63" s="16">
        <f>'Clean Data'!N62</f>
        <v>17.16</v>
      </c>
      <c r="O63" s="16" t="str">
        <f>'Clean Data'!O62</f>
        <v>NaN</v>
      </c>
      <c r="P63" s="16" t="str">
        <f>'Clean Data'!P62</f>
        <v>NaN</v>
      </c>
      <c r="Q63" s="16" t="str">
        <f>'Clean Data'!Q62</f>
        <v>NaN</v>
      </c>
      <c r="R63" s="16">
        <f>'Clean Data'!R62</f>
        <v>800</v>
      </c>
      <c r="S63" s="16" t="str">
        <f>'Clean Data'!S62</f>
        <v>continuous</v>
      </c>
      <c r="T63" s="16" t="str">
        <f>'Clean Data'!T62</f>
        <v>atmospheric</v>
      </c>
      <c r="U63" s="16" t="str">
        <f>'Clean Data'!U62</f>
        <v>NaN</v>
      </c>
      <c r="V63" s="16">
        <f>'Clean Data'!V62</f>
        <v>1.56</v>
      </c>
      <c r="W63" s="16">
        <f>'Clean Data'!W62</f>
        <v>0.23</v>
      </c>
      <c r="X63" s="16" t="str">
        <f>'Clean Data'!X62</f>
        <v>air + steam</v>
      </c>
      <c r="Y63" s="16" t="str">
        <f>'Clean Data'!Y62</f>
        <v>fluidised bed</v>
      </c>
      <c r="Z63" s="16" t="str">
        <f>'Clean Data'!Z62</f>
        <v>silica</v>
      </c>
      <c r="AA63" s="16">
        <f>'Clean Data'!AA62</f>
        <v>0</v>
      </c>
      <c r="AB63" s="16" t="str">
        <f>'Clean Data'!AB62</f>
        <v>lab</v>
      </c>
      <c r="AC63" s="16">
        <f>'Clean Data'!AC62</f>
        <v>0.25</v>
      </c>
      <c r="AD63" s="16">
        <f>'Clean Data'!AD62</f>
        <v>32.25</v>
      </c>
      <c r="AE63" s="16">
        <f>'Clean Data'!AE62</f>
        <v>37.5</v>
      </c>
      <c r="AF63" s="16">
        <f>'Clean Data'!AF62</f>
        <v>19.5</v>
      </c>
      <c r="AG63" s="16">
        <f>'Clean Data'!AG62</f>
        <v>7.5</v>
      </c>
      <c r="AH63" s="16">
        <f>'Clean Data'!AH62</f>
        <v>3</v>
      </c>
      <c r="AI63" s="16">
        <f>'Clean Data'!AI62</f>
        <v>7.9370000000000003</v>
      </c>
      <c r="AJ63" s="16" t="str">
        <f>'Clean Data'!AJ62</f>
        <v>NaN</v>
      </c>
      <c r="AK63" s="16">
        <f>'Clean Data'!AK62</f>
        <v>1.93</v>
      </c>
      <c r="AL63" s="16" t="str">
        <f>'Clean Data'!AL62</f>
        <v>NaN</v>
      </c>
      <c r="AM63" s="16">
        <f>'Clean Data'!AM62</f>
        <v>80.715834705087673</v>
      </c>
      <c r="AN63" s="16">
        <f>'Clean Data'!AN62</f>
        <v>84.4</v>
      </c>
      <c r="AO63" s="16" t="str">
        <f>'Clean Data'!AO62</f>
        <v>Lv, Bioresource Technology 2004, 95, 95-101</v>
      </c>
      <c r="AP63" s="16"/>
      <c r="AQ63" s="16"/>
      <c r="AR63" s="16"/>
      <c r="AS63" s="16"/>
      <c r="AT63" s="16"/>
    </row>
    <row r="64" spans="1:46" x14ac:dyDescent="0.3">
      <c r="A64" s="16">
        <f>'Clean Data'!A63</f>
        <v>62</v>
      </c>
      <c r="B64" s="16" t="str">
        <f>'Clean Data'!B63</f>
        <v>woody biomass</v>
      </c>
      <c r="C64" s="16" t="str">
        <f>'Clean Data'!C63</f>
        <v>dust</v>
      </c>
      <c r="D64" s="16">
        <f>'Clean Data'!D63</f>
        <v>0.38</v>
      </c>
      <c r="E64" s="16">
        <f>'Clean Data'!E63</f>
        <v>18.978196850678732</v>
      </c>
      <c r="F64" s="16">
        <f>'Clean Data'!F63</f>
        <v>50.819507290095522</v>
      </c>
      <c r="G64" s="16">
        <f>'Clean Data'!G63</f>
        <v>7.1191553544494717</v>
      </c>
      <c r="H64" s="16">
        <f>'Clean Data'!H63</f>
        <v>0.15082956259426847</v>
      </c>
      <c r="I64" s="16">
        <f>'Clean Data'!I63</f>
        <v>0.57315233785822017</v>
      </c>
      <c r="J64" s="16">
        <f>'Clean Data'!J63</f>
        <v>41.337355455002509</v>
      </c>
      <c r="K64" s="16">
        <f>'Clean Data'!K63</f>
        <v>0.55000000000000004</v>
      </c>
      <c r="L64" s="16">
        <f>'Clean Data'!L63</f>
        <v>8</v>
      </c>
      <c r="M64" s="16">
        <f>'Clean Data'!M63</f>
        <v>82.29</v>
      </c>
      <c r="N64" s="16">
        <f>'Clean Data'!N63</f>
        <v>17.16</v>
      </c>
      <c r="O64" s="16" t="str">
        <f>'Clean Data'!O63</f>
        <v>NaN</v>
      </c>
      <c r="P64" s="16" t="str">
        <f>'Clean Data'!P63</f>
        <v>NaN</v>
      </c>
      <c r="Q64" s="16" t="str">
        <f>'Clean Data'!Q63</f>
        <v>NaN</v>
      </c>
      <c r="R64" s="16">
        <f>'Clean Data'!R63</f>
        <v>800</v>
      </c>
      <c r="S64" s="16" t="str">
        <f>'Clean Data'!S63</f>
        <v>continuous</v>
      </c>
      <c r="T64" s="16" t="str">
        <f>'Clean Data'!T63</f>
        <v>atmospheric</v>
      </c>
      <c r="U64" s="16" t="str">
        <f>'Clean Data'!U63</f>
        <v>NaN</v>
      </c>
      <c r="V64" s="16">
        <f>'Clean Data'!V63</f>
        <v>1.56</v>
      </c>
      <c r="W64" s="16">
        <f>'Clean Data'!W63</f>
        <v>0.23</v>
      </c>
      <c r="X64" s="16" t="str">
        <f>'Clean Data'!X63</f>
        <v>air + steam</v>
      </c>
      <c r="Y64" s="16" t="str">
        <f>'Clean Data'!Y63</f>
        <v>fluidised bed</v>
      </c>
      <c r="Z64" s="16" t="str">
        <f>'Clean Data'!Z63</f>
        <v>silica</v>
      </c>
      <c r="AA64" s="16">
        <f>'Clean Data'!AA63</f>
        <v>0</v>
      </c>
      <c r="AB64" s="16" t="str">
        <f>'Clean Data'!AB63</f>
        <v>lab</v>
      </c>
      <c r="AC64" s="16">
        <f>'Clean Data'!AC63</f>
        <v>0.25</v>
      </c>
      <c r="AD64" s="16">
        <f>'Clean Data'!AD63</f>
        <v>32.25</v>
      </c>
      <c r="AE64" s="16">
        <f>'Clean Data'!AE63</f>
        <v>40</v>
      </c>
      <c r="AF64" s="16">
        <f>'Clean Data'!AF63</f>
        <v>17</v>
      </c>
      <c r="AG64" s="16">
        <f>'Clean Data'!AG63</f>
        <v>7.5</v>
      </c>
      <c r="AH64" s="16">
        <f>'Clean Data'!AH63</f>
        <v>3</v>
      </c>
      <c r="AI64" s="16">
        <f>'Clean Data'!AI63</f>
        <v>8.7080000000000002</v>
      </c>
      <c r="AJ64" s="16" t="str">
        <f>'Clean Data'!AJ63</f>
        <v>NaN</v>
      </c>
      <c r="AK64" s="16">
        <f>'Clean Data'!AK63</f>
        <v>2.37</v>
      </c>
      <c r="AL64" s="16" t="str">
        <f>'Clean Data'!AL63</f>
        <v>NaN</v>
      </c>
      <c r="AM64" s="16">
        <f>'Clean Data'!AM63</f>
        <v>108.74563143369392</v>
      </c>
      <c r="AN64" s="16">
        <f>'Clean Data'!AN63</f>
        <v>90.6</v>
      </c>
      <c r="AO64" s="16" t="str">
        <f>'Clean Data'!AO63</f>
        <v>Lv, Bioresource Technology 2004, 95, 95-101</v>
      </c>
      <c r="AP64" s="16"/>
      <c r="AQ64" s="16"/>
      <c r="AR64" s="16"/>
      <c r="AS64" s="16"/>
      <c r="AT64" s="16"/>
    </row>
    <row r="65" spans="1:46" x14ac:dyDescent="0.3">
      <c r="A65" s="16">
        <f>'Clean Data'!A64</f>
        <v>63</v>
      </c>
      <c r="B65" s="16" t="str">
        <f>'Clean Data'!B64</f>
        <v>woody biomass</v>
      </c>
      <c r="C65" s="16" t="str">
        <f>'Clean Data'!C64</f>
        <v>dust</v>
      </c>
      <c r="D65" s="16">
        <f>'Clean Data'!D64</f>
        <v>0.25</v>
      </c>
      <c r="E65" s="16">
        <f>'Clean Data'!E64</f>
        <v>18.978196850678732</v>
      </c>
      <c r="F65" s="16">
        <f>'Clean Data'!F64</f>
        <v>50.819507290095522</v>
      </c>
      <c r="G65" s="16">
        <f>'Clean Data'!G64</f>
        <v>7.1191553544494717</v>
      </c>
      <c r="H65" s="16">
        <f>'Clean Data'!H64</f>
        <v>0.15082956259426847</v>
      </c>
      <c r="I65" s="16">
        <f>'Clean Data'!I64</f>
        <v>0.57315233785822017</v>
      </c>
      <c r="J65" s="16">
        <f>'Clean Data'!J64</f>
        <v>41.337355455002509</v>
      </c>
      <c r="K65" s="16">
        <f>'Clean Data'!K64</f>
        <v>0.55000000000000004</v>
      </c>
      <c r="L65" s="16">
        <f>'Clean Data'!L64</f>
        <v>8</v>
      </c>
      <c r="M65" s="16">
        <f>'Clean Data'!M64</f>
        <v>82.29</v>
      </c>
      <c r="N65" s="16">
        <f>'Clean Data'!N64</f>
        <v>17.16</v>
      </c>
      <c r="O65" s="16" t="str">
        <f>'Clean Data'!O64</f>
        <v>NaN</v>
      </c>
      <c r="P65" s="16" t="str">
        <f>'Clean Data'!P64</f>
        <v>NaN</v>
      </c>
      <c r="Q65" s="16" t="str">
        <f>'Clean Data'!Q64</f>
        <v>NaN</v>
      </c>
      <c r="R65" s="16">
        <f>'Clean Data'!R64</f>
        <v>800</v>
      </c>
      <c r="S65" s="16" t="str">
        <f>'Clean Data'!S64</f>
        <v>continuous</v>
      </c>
      <c r="T65" s="16" t="str">
        <f>'Clean Data'!T64</f>
        <v>atmospheric</v>
      </c>
      <c r="U65" s="16" t="str">
        <f>'Clean Data'!U64</f>
        <v>NaN</v>
      </c>
      <c r="V65" s="16">
        <f>'Clean Data'!V64</f>
        <v>1.56</v>
      </c>
      <c r="W65" s="16">
        <f>'Clean Data'!W64</f>
        <v>0.23</v>
      </c>
      <c r="X65" s="16" t="str">
        <f>'Clean Data'!X64</f>
        <v>air + steam</v>
      </c>
      <c r="Y65" s="16" t="str">
        <f>'Clean Data'!Y64</f>
        <v>fluidised bed</v>
      </c>
      <c r="Z65" s="16" t="str">
        <f>'Clean Data'!Z64</f>
        <v>silica</v>
      </c>
      <c r="AA65" s="16">
        <f>'Clean Data'!AA64</f>
        <v>0</v>
      </c>
      <c r="AB65" s="16" t="str">
        <f>'Clean Data'!AB64</f>
        <v>lab</v>
      </c>
      <c r="AC65" s="16">
        <f>'Clean Data'!AC64</f>
        <v>0.25</v>
      </c>
      <c r="AD65" s="16">
        <f>'Clean Data'!AD64</f>
        <v>30.5</v>
      </c>
      <c r="AE65" s="16">
        <f>'Clean Data'!AE64</f>
        <v>41</v>
      </c>
      <c r="AF65" s="16">
        <f>'Clean Data'!AF64</f>
        <v>17</v>
      </c>
      <c r="AG65" s="16">
        <f>'Clean Data'!AG64</f>
        <v>7.75</v>
      </c>
      <c r="AH65" s="16">
        <f>'Clean Data'!AH64</f>
        <v>3.5</v>
      </c>
      <c r="AI65" s="16">
        <f>'Clean Data'!AI64</f>
        <v>8.7370000000000001</v>
      </c>
      <c r="AJ65" s="16" t="str">
        <f>'Clean Data'!AJ64</f>
        <v>NaN</v>
      </c>
      <c r="AK65" s="16">
        <f>'Clean Data'!AK64</f>
        <v>2.57</v>
      </c>
      <c r="AL65" s="16" t="str">
        <f>'Clean Data'!AL64</f>
        <v>NaN</v>
      </c>
      <c r="AM65" s="16">
        <f>'Clean Data'!AM64</f>
        <v>118.31519177859595</v>
      </c>
      <c r="AN65" s="16">
        <f>'Clean Data'!AN64</f>
        <v>95.1</v>
      </c>
      <c r="AO65" s="16" t="str">
        <f>'Clean Data'!AO64</f>
        <v>Lv, Bioresource Technology 2004, 95, 95-101</v>
      </c>
      <c r="AP65" s="16"/>
      <c r="AQ65" s="16"/>
      <c r="AR65" s="16"/>
      <c r="AS65" s="16"/>
      <c r="AT65" s="16"/>
    </row>
    <row r="66" spans="1:46" x14ac:dyDescent="0.3">
      <c r="A66" s="16">
        <f>'Clean Data'!A65</f>
        <v>64</v>
      </c>
      <c r="B66" s="16" t="str">
        <f>'Clean Data'!B65</f>
        <v>sewage sludge</v>
      </c>
      <c r="C66" s="16" t="str">
        <f>'Clean Data'!C65</f>
        <v>other</v>
      </c>
      <c r="D66" s="16">
        <f>'Clean Data'!D65</f>
        <v>3.5</v>
      </c>
      <c r="E66" s="16">
        <f>'Clean Data'!E65</f>
        <v>11.5</v>
      </c>
      <c r="F66" s="16">
        <f>'Clean Data'!F65</f>
        <v>48.75</v>
      </c>
      <c r="G66" s="16">
        <f>'Clean Data'!G65</f>
        <v>8.5714285714285712</v>
      </c>
      <c r="H66" s="16">
        <f>'Clean Data'!H65</f>
        <v>7.3214285714285712</v>
      </c>
      <c r="I66" s="16">
        <f>'Clean Data'!I65</f>
        <v>1.6071428571428572</v>
      </c>
      <c r="J66" s="16">
        <f>'Clean Data'!J65</f>
        <v>33.75</v>
      </c>
      <c r="K66" s="16">
        <f>'Clean Data'!K65</f>
        <v>44</v>
      </c>
      <c r="L66" s="16">
        <f>'Clean Data'!L65</f>
        <v>6.95</v>
      </c>
      <c r="M66" s="16">
        <f>'Clean Data'!M65</f>
        <v>56</v>
      </c>
      <c r="N66" s="16" t="str">
        <f>'Clean Data'!N65</f>
        <v>NaN</v>
      </c>
      <c r="O66" s="16" t="str">
        <f>'Clean Data'!O65</f>
        <v>NaN</v>
      </c>
      <c r="P66" s="16" t="str">
        <f>'Clean Data'!P65</f>
        <v>NaN</v>
      </c>
      <c r="Q66" s="16" t="str">
        <f>'Clean Data'!Q65</f>
        <v>NaN</v>
      </c>
      <c r="R66" s="16">
        <f>'Clean Data'!R65</f>
        <v>750</v>
      </c>
      <c r="S66" s="16" t="str">
        <f>'Clean Data'!S65</f>
        <v>continuous</v>
      </c>
      <c r="T66" s="16" t="str">
        <f>'Clean Data'!T65</f>
        <v>NaN</v>
      </c>
      <c r="U66" s="16">
        <f>'Clean Data'!U65</f>
        <v>80</v>
      </c>
      <c r="V66" s="16" t="str">
        <f>'Clean Data'!V65</f>
        <v>NaN</v>
      </c>
      <c r="W66" s="16">
        <f>'Clean Data'!W65</f>
        <v>0.2</v>
      </c>
      <c r="X66" s="16" t="str">
        <f>'Clean Data'!X65</f>
        <v>air</v>
      </c>
      <c r="Y66" s="16" t="str">
        <f>'Clean Data'!Y65</f>
        <v>fluidised bed</v>
      </c>
      <c r="Z66" s="16" t="str">
        <f>'Clean Data'!Z65</f>
        <v>silica</v>
      </c>
      <c r="AA66" s="16">
        <f>'Clean Data'!AA65</f>
        <v>0</v>
      </c>
      <c r="AB66" s="16" t="str">
        <f>'Clean Data'!AB65</f>
        <v>lab</v>
      </c>
      <c r="AC66" s="16">
        <f>'Clean Data'!AC65</f>
        <v>60.9</v>
      </c>
      <c r="AD66" s="16">
        <f>'Clean Data'!AD65</f>
        <v>9.8000000000000007</v>
      </c>
      <c r="AE66" s="16">
        <f>'Clean Data'!AE65</f>
        <v>7.2</v>
      </c>
      <c r="AF66" s="16">
        <f>'Clean Data'!AF65</f>
        <v>14.2</v>
      </c>
      <c r="AG66" s="16">
        <f>'Clean Data'!AG65</f>
        <v>3.7</v>
      </c>
      <c r="AH66" s="16">
        <f>'Clean Data'!AH65</f>
        <v>2.6</v>
      </c>
      <c r="AI66" s="16">
        <f>'Clean Data'!AI65</f>
        <v>3.4</v>
      </c>
      <c r="AJ66" s="16">
        <f>'Clean Data'!AJ65</f>
        <v>17.3</v>
      </c>
      <c r="AK66" s="16">
        <f>'Clean Data'!AK65</f>
        <v>0.96805000000000008</v>
      </c>
      <c r="AL66" s="16">
        <f>'Clean Data'!AL65</f>
        <v>44.479350000000004</v>
      </c>
      <c r="AM66" s="16">
        <f>'Clean Data'!AM65</f>
        <v>28.620608695652173</v>
      </c>
      <c r="AN66" s="16">
        <f>'Clean Data'!AN65</f>
        <v>54</v>
      </c>
      <c r="AO66" s="16" t="str">
        <f>'Clean Data'!AO65</f>
        <v>de Andres, Fuel Processing Technology 2011, 92, 433-440</v>
      </c>
      <c r="AP66" s="16"/>
      <c r="AQ66" s="16"/>
      <c r="AR66" s="16"/>
      <c r="AS66" s="16"/>
      <c r="AT66" s="16"/>
    </row>
    <row r="67" spans="1:46" x14ac:dyDescent="0.3">
      <c r="A67" s="16">
        <f>'Clean Data'!A66</f>
        <v>65</v>
      </c>
      <c r="B67" s="16" t="str">
        <f>'Clean Data'!B66</f>
        <v>sewage sludge</v>
      </c>
      <c r="C67" s="16" t="str">
        <f>'Clean Data'!C66</f>
        <v>other</v>
      </c>
      <c r="D67" s="16">
        <f>'Clean Data'!D66</f>
        <v>3.5</v>
      </c>
      <c r="E67" s="16">
        <f>'Clean Data'!E66</f>
        <v>11.5</v>
      </c>
      <c r="F67" s="16">
        <f>'Clean Data'!F66</f>
        <v>48.75</v>
      </c>
      <c r="G67" s="16">
        <f>'Clean Data'!G66</f>
        <v>8.5714285714285712</v>
      </c>
      <c r="H67" s="16">
        <f>'Clean Data'!H66</f>
        <v>7.3214285714285712</v>
      </c>
      <c r="I67" s="16">
        <f>'Clean Data'!I66</f>
        <v>1.6071428571428572</v>
      </c>
      <c r="J67" s="16">
        <f>'Clean Data'!J66</f>
        <v>33.75</v>
      </c>
      <c r="K67" s="16">
        <f>'Clean Data'!K66</f>
        <v>44</v>
      </c>
      <c r="L67" s="16">
        <f>'Clean Data'!L66</f>
        <v>6.95</v>
      </c>
      <c r="M67" s="16">
        <f>'Clean Data'!M66</f>
        <v>56</v>
      </c>
      <c r="N67" s="16" t="str">
        <f>'Clean Data'!N66</f>
        <v>NaN</v>
      </c>
      <c r="O67" s="16" t="str">
        <f>'Clean Data'!O66</f>
        <v>NaN</v>
      </c>
      <c r="P67" s="16" t="str">
        <f>'Clean Data'!P66</f>
        <v>NaN</v>
      </c>
      <c r="Q67" s="16" t="str">
        <f>'Clean Data'!Q66</f>
        <v>NaN</v>
      </c>
      <c r="R67" s="16">
        <f>'Clean Data'!R66</f>
        <v>800</v>
      </c>
      <c r="S67" s="16" t="str">
        <f>'Clean Data'!S66</f>
        <v>continuous</v>
      </c>
      <c r="T67" s="16" t="str">
        <f>'Clean Data'!T66</f>
        <v>NaN</v>
      </c>
      <c r="U67" s="16">
        <f>'Clean Data'!U66</f>
        <v>80</v>
      </c>
      <c r="V67" s="16" t="str">
        <f>'Clean Data'!V66</f>
        <v>NaN</v>
      </c>
      <c r="W67" s="16">
        <f>'Clean Data'!W66</f>
        <v>0.2</v>
      </c>
      <c r="X67" s="16" t="str">
        <f>'Clean Data'!X66</f>
        <v>air</v>
      </c>
      <c r="Y67" s="16" t="str">
        <f>'Clean Data'!Y66</f>
        <v>fluidised bed</v>
      </c>
      <c r="Z67" s="16" t="str">
        <f>'Clean Data'!Z66</f>
        <v>silica</v>
      </c>
      <c r="AA67" s="16">
        <f>'Clean Data'!AA66</f>
        <v>0</v>
      </c>
      <c r="AB67" s="16" t="str">
        <f>'Clean Data'!AB66</f>
        <v>lab</v>
      </c>
      <c r="AC67" s="16">
        <f>'Clean Data'!AC66</f>
        <v>52.2</v>
      </c>
      <c r="AD67" s="16">
        <f>'Clean Data'!AD66</f>
        <v>14</v>
      </c>
      <c r="AE67" s="16">
        <f>'Clean Data'!AE66</f>
        <v>10.7</v>
      </c>
      <c r="AF67" s="16">
        <f>'Clean Data'!AF66</f>
        <v>13.6</v>
      </c>
      <c r="AG67" s="16">
        <f>'Clean Data'!AG66</f>
        <v>4.9000000000000004</v>
      </c>
      <c r="AH67" s="16">
        <f>'Clean Data'!AH66</f>
        <v>3.2</v>
      </c>
      <c r="AI67" s="16">
        <f>'Clean Data'!AI66</f>
        <v>4.8</v>
      </c>
      <c r="AJ67" s="16">
        <f>'Clean Data'!AJ66</f>
        <v>14.1</v>
      </c>
      <c r="AK67" s="16">
        <f>'Clean Data'!AK66</f>
        <v>1.0190000000000001</v>
      </c>
      <c r="AL67" s="16">
        <f>'Clean Data'!AL66</f>
        <v>35.563100000000006</v>
      </c>
      <c r="AM67" s="16">
        <f>'Clean Data'!AM66</f>
        <v>42.532173913043486</v>
      </c>
      <c r="AN67" s="16">
        <f>'Clean Data'!AN66</f>
        <v>67.3</v>
      </c>
      <c r="AO67" s="16" t="str">
        <f>'Clean Data'!AO66</f>
        <v>de Andres, Fuel Processing Technology 2011, 92, 433-440</v>
      </c>
      <c r="AP67" s="16"/>
      <c r="AQ67" s="16"/>
      <c r="AR67" s="16"/>
      <c r="AS67" s="16"/>
      <c r="AT67" s="16"/>
    </row>
    <row r="68" spans="1:46" x14ac:dyDescent="0.3">
      <c r="A68" s="16">
        <f>'Clean Data'!A67</f>
        <v>66</v>
      </c>
      <c r="B68" s="16" t="str">
        <f>'Clean Data'!B67</f>
        <v>sewage sludge</v>
      </c>
      <c r="C68" s="16" t="str">
        <f>'Clean Data'!C67</f>
        <v>other</v>
      </c>
      <c r="D68" s="16">
        <f>'Clean Data'!D67</f>
        <v>3.5</v>
      </c>
      <c r="E68" s="16">
        <f>'Clean Data'!E67</f>
        <v>11.5</v>
      </c>
      <c r="F68" s="16">
        <f>'Clean Data'!F67</f>
        <v>48.75</v>
      </c>
      <c r="G68" s="16">
        <f>'Clean Data'!G67</f>
        <v>8.5714285714285712</v>
      </c>
      <c r="H68" s="16">
        <f>'Clean Data'!H67</f>
        <v>7.3214285714285712</v>
      </c>
      <c r="I68" s="16">
        <f>'Clean Data'!I67</f>
        <v>1.6071428571428572</v>
      </c>
      <c r="J68" s="16">
        <f>'Clean Data'!J67</f>
        <v>33.75</v>
      </c>
      <c r="K68" s="16">
        <f>'Clean Data'!K67</f>
        <v>44</v>
      </c>
      <c r="L68" s="16">
        <f>'Clean Data'!L67</f>
        <v>6.95</v>
      </c>
      <c r="M68" s="16">
        <f>'Clean Data'!M67</f>
        <v>56</v>
      </c>
      <c r="N68" s="16" t="str">
        <f>'Clean Data'!N67</f>
        <v>NaN</v>
      </c>
      <c r="O68" s="16" t="str">
        <f>'Clean Data'!O67</f>
        <v>NaN</v>
      </c>
      <c r="P68" s="16" t="str">
        <f>'Clean Data'!P67</f>
        <v>NaN</v>
      </c>
      <c r="Q68" s="16" t="str">
        <f>'Clean Data'!Q67</f>
        <v>NaN</v>
      </c>
      <c r="R68" s="16">
        <f>'Clean Data'!R67</f>
        <v>850</v>
      </c>
      <c r="S68" s="16" t="str">
        <f>'Clean Data'!S67</f>
        <v>continuous</v>
      </c>
      <c r="T68" s="16" t="str">
        <f>'Clean Data'!T67</f>
        <v>NaN</v>
      </c>
      <c r="U68" s="16">
        <f>'Clean Data'!U67</f>
        <v>80</v>
      </c>
      <c r="V68" s="16" t="str">
        <f>'Clean Data'!V67</f>
        <v>NaN</v>
      </c>
      <c r="W68" s="16">
        <f>'Clean Data'!W67</f>
        <v>0.2</v>
      </c>
      <c r="X68" s="16" t="str">
        <f>'Clean Data'!X67</f>
        <v>air</v>
      </c>
      <c r="Y68" s="16" t="str">
        <f>'Clean Data'!Y67</f>
        <v>fluidised bed</v>
      </c>
      <c r="Z68" s="16" t="str">
        <f>'Clean Data'!Z67</f>
        <v>silica</v>
      </c>
      <c r="AA68" s="16">
        <f>'Clean Data'!AA67</f>
        <v>0</v>
      </c>
      <c r="AB68" s="16" t="str">
        <f>'Clean Data'!AB67</f>
        <v>lab</v>
      </c>
      <c r="AC68" s="16">
        <f>'Clean Data'!AC67</f>
        <v>47.7</v>
      </c>
      <c r="AD68" s="16">
        <f>'Clean Data'!AD67</f>
        <v>16.399999999999999</v>
      </c>
      <c r="AE68" s="16">
        <f>'Clean Data'!AE67</f>
        <v>12.6</v>
      </c>
      <c r="AF68" s="16">
        <f>'Clean Data'!AF67</f>
        <v>13</v>
      </c>
      <c r="AG68" s="16">
        <f>'Clean Data'!AG67</f>
        <v>5.7</v>
      </c>
      <c r="AH68" s="16">
        <f>'Clean Data'!AH67</f>
        <v>3.3</v>
      </c>
      <c r="AI68" s="16">
        <f>'Clean Data'!AI67</f>
        <v>5.6</v>
      </c>
      <c r="AJ68" s="16">
        <f>'Clean Data'!AJ67</f>
        <v>10.199999999999999</v>
      </c>
      <c r="AK68" s="16">
        <f>'Clean Data'!AK67</f>
        <v>1.0190000000000001</v>
      </c>
      <c r="AL68" s="16">
        <f>'Clean Data'!AL67</f>
        <v>36.225450000000002</v>
      </c>
      <c r="AM68" s="16">
        <f>'Clean Data'!AM67</f>
        <v>49.62086956521739</v>
      </c>
      <c r="AN68" s="16">
        <f>'Clean Data'!AN67</f>
        <v>72.8</v>
      </c>
      <c r="AO68" s="16" t="str">
        <f>'Clean Data'!AO67</f>
        <v>de Andres, Fuel Processing Technology 2011, 92, 433-440</v>
      </c>
      <c r="AP68" s="16"/>
      <c r="AQ68" s="16"/>
      <c r="AR68" s="16"/>
      <c r="AS68" s="16"/>
      <c r="AT68" s="16"/>
    </row>
    <row r="69" spans="1:46" x14ac:dyDescent="0.3">
      <c r="A69" s="16">
        <f>'Clean Data'!A68</f>
        <v>67</v>
      </c>
      <c r="B69" s="16" t="str">
        <f>'Clean Data'!B68</f>
        <v>sewage sludge</v>
      </c>
      <c r="C69" s="16" t="str">
        <f>'Clean Data'!C68</f>
        <v>other</v>
      </c>
      <c r="D69" s="16">
        <f>'Clean Data'!D68</f>
        <v>3.5</v>
      </c>
      <c r="E69" s="16">
        <f>'Clean Data'!E68</f>
        <v>11.5</v>
      </c>
      <c r="F69" s="16">
        <f>'Clean Data'!F68</f>
        <v>48.75</v>
      </c>
      <c r="G69" s="16">
        <f>'Clean Data'!G68</f>
        <v>8.5714285714285712</v>
      </c>
      <c r="H69" s="16">
        <f>'Clean Data'!H68</f>
        <v>7.3214285714285712</v>
      </c>
      <c r="I69" s="16">
        <f>'Clean Data'!I68</f>
        <v>1.6071428571428572</v>
      </c>
      <c r="J69" s="16">
        <f>'Clean Data'!J68</f>
        <v>33.75</v>
      </c>
      <c r="K69" s="16">
        <f>'Clean Data'!K68</f>
        <v>44</v>
      </c>
      <c r="L69" s="16">
        <f>'Clean Data'!L68</f>
        <v>6.95</v>
      </c>
      <c r="M69" s="16">
        <f>'Clean Data'!M68</f>
        <v>56</v>
      </c>
      <c r="N69" s="16" t="str">
        <f>'Clean Data'!N68</f>
        <v>NaN</v>
      </c>
      <c r="O69" s="16" t="str">
        <f>'Clean Data'!O68</f>
        <v>NaN</v>
      </c>
      <c r="P69" s="16" t="str">
        <f>'Clean Data'!P68</f>
        <v>NaN</v>
      </c>
      <c r="Q69" s="16" t="str">
        <f>'Clean Data'!Q68</f>
        <v>NaN</v>
      </c>
      <c r="R69" s="16">
        <f>'Clean Data'!R68</f>
        <v>750</v>
      </c>
      <c r="S69" s="16" t="str">
        <f>'Clean Data'!S68</f>
        <v>continuous</v>
      </c>
      <c r="T69" s="16" t="str">
        <f>'Clean Data'!T68</f>
        <v>NaN</v>
      </c>
      <c r="U69" s="16">
        <f>'Clean Data'!U68</f>
        <v>80</v>
      </c>
      <c r="V69" s="16" t="str">
        <f>'Clean Data'!V68</f>
        <v>NaN</v>
      </c>
      <c r="W69" s="16">
        <f>'Clean Data'!W68</f>
        <v>0.3</v>
      </c>
      <c r="X69" s="16" t="str">
        <f>'Clean Data'!X68</f>
        <v>air</v>
      </c>
      <c r="Y69" s="16" t="str">
        <f>'Clean Data'!Y68</f>
        <v>fluidised bed</v>
      </c>
      <c r="Z69" s="16" t="str">
        <f>'Clean Data'!Z68</f>
        <v>silica</v>
      </c>
      <c r="AA69" s="16">
        <f>'Clean Data'!AA68</f>
        <v>0</v>
      </c>
      <c r="AB69" s="16" t="str">
        <f>'Clean Data'!AB68</f>
        <v>lab</v>
      </c>
      <c r="AC69" s="16">
        <f>'Clean Data'!AC68</f>
        <v>65.099999999999994</v>
      </c>
      <c r="AD69" s="16">
        <f>'Clean Data'!AD68</f>
        <v>7.6</v>
      </c>
      <c r="AE69" s="16">
        <f>'Clean Data'!AE68</f>
        <v>6.9</v>
      </c>
      <c r="AF69" s="16">
        <f>'Clean Data'!AF68</f>
        <v>14.1</v>
      </c>
      <c r="AG69" s="16">
        <f>'Clean Data'!AG68</f>
        <v>2.7</v>
      </c>
      <c r="AH69" s="16">
        <f>'Clean Data'!AH68</f>
        <v>2.1</v>
      </c>
      <c r="AI69" s="16">
        <f>'Clean Data'!AI68</f>
        <v>2.8</v>
      </c>
      <c r="AJ69" s="16">
        <f>'Clean Data'!AJ68</f>
        <v>11.8</v>
      </c>
      <c r="AK69" s="16">
        <f>'Clean Data'!AK68</f>
        <v>1.2737500000000002</v>
      </c>
      <c r="AL69" s="16">
        <f>'Clean Data'!AL68</f>
        <v>44.988850000000006</v>
      </c>
      <c r="AM69" s="16">
        <f>'Clean Data'!AM68</f>
        <v>31.013043478260869</v>
      </c>
      <c r="AN69" s="16">
        <f>'Clean Data'!AN68</f>
        <v>66.2</v>
      </c>
      <c r="AO69" s="16" t="str">
        <f>'Clean Data'!AO68</f>
        <v>de Andres, Fuel Processing Technology 2011, 92, 433-440</v>
      </c>
      <c r="AP69" s="16"/>
      <c r="AQ69" s="16"/>
      <c r="AR69" s="16"/>
      <c r="AS69" s="16"/>
      <c r="AT69" s="16"/>
    </row>
    <row r="70" spans="1:46" x14ac:dyDescent="0.3">
      <c r="A70" s="16">
        <f>'Clean Data'!A69</f>
        <v>68</v>
      </c>
      <c r="B70" s="16" t="str">
        <f>'Clean Data'!B69</f>
        <v>sewage sludge</v>
      </c>
      <c r="C70" s="16" t="str">
        <f>'Clean Data'!C69</f>
        <v>other</v>
      </c>
      <c r="D70" s="16">
        <f>'Clean Data'!D69</f>
        <v>3.5</v>
      </c>
      <c r="E70" s="16">
        <f>'Clean Data'!E69</f>
        <v>11.5</v>
      </c>
      <c r="F70" s="16">
        <f>'Clean Data'!F69</f>
        <v>48.75</v>
      </c>
      <c r="G70" s="16">
        <f>'Clean Data'!G69</f>
        <v>8.5714285714285712</v>
      </c>
      <c r="H70" s="16">
        <f>'Clean Data'!H69</f>
        <v>7.3214285714285712</v>
      </c>
      <c r="I70" s="16">
        <f>'Clean Data'!I69</f>
        <v>1.6071428571428572</v>
      </c>
      <c r="J70" s="16">
        <f>'Clean Data'!J69</f>
        <v>33.75</v>
      </c>
      <c r="K70" s="16">
        <f>'Clean Data'!K69</f>
        <v>44</v>
      </c>
      <c r="L70" s="16">
        <f>'Clean Data'!L69</f>
        <v>6.95</v>
      </c>
      <c r="M70" s="16">
        <f>'Clean Data'!M69</f>
        <v>56</v>
      </c>
      <c r="N70" s="16" t="str">
        <f>'Clean Data'!N69</f>
        <v>NaN</v>
      </c>
      <c r="O70" s="16" t="str">
        <f>'Clean Data'!O69</f>
        <v>NaN</v>
      </c>
      <c r="P70" s="16" t="str">
        <f>'Clean Data'!P69</f>
        <v>NaN</v>
      </c>
      <c r="Q70" s="16" t="str">
        <f>'Clean Data'!Q69</f>
        <v>NaN</v>
      </c>
      <c r="R70" s="16">
        <f>'Clean Data'!R69</f>
        <v>800</v>
      </c>
      <c r="S70" s="16" t="str">
        <f>'Clean Data'!S69</f>
        <v>continuous</v>
      </c>
      <c r="T70" s="16" t="str">
        <f>'Clean Data'!T69</f>
        <v>NaN</v>
      </c>
      <c r="U70" s="16">
        <f>'Clean Data'!U69</f>
        <v>80</v>
      </c>
      <c r="V70" s="16" t="str">
        <f>'Clean Data'!V69</f>
        <v>NaN</v>
      </c>
      <c r="W70" s="16">
        <f>'Clean Data'!W69</f>
        <v>0.3</v>
      </c>
      <c r="X70" s="16" t="str">
        <f>'Clean Data'!X69</f>
        <v>air</v>
      </c>
      <c r="Y70" s="16" t="str">
        <f>'Clean Data'!Y69</f>
        <v>fluidised bed</v>
      </c>
      <c r="Z70" s="16" t="str">
        <f>'Clean Data'!Z69</f>
        <v>silica</v>
      </c>
      <c r="AA70" s="16">
        <f>'Clean Data'!AA69</f>
        <v>0</v>
      </c>
      <c r="AB70" s="16" t="str">
        <f>'Clean Data'!AB69</f>
        <v>lab</v>
      </c>
      <c r="AC70" s="16">
        <f>'Clean Data'!AC69</f>
        <v>60.8</v>
      </c>
      <c r="AD70" s="16">
        <f>'Clean Data'!AD69</f>
        <v>10.4</v>
      </c>
      <c r="AE70" s="16">
        <f>'Clean Data'!AE69</f>
        <v>8</v>
      </c>
      <c r="AF70" s="16">
        <f>'Clean Data'!AF69</f>
        <v>14.1</v>
      </c>
      <c r="AG70" s="16">
        <f>'Clean Data'!AG69</f>
        <v>3</v>
      </c>
      <c r="AH70" s="16">
        <f>'Clean Data'!AH69</f>
        <v>2.2000000000000002</v>
      </c>
      <c r="AI70" s="16">
        <f>'Clean Data'!AI69</f>
        <v>3.3</v>
      </c>
      <c r="AJ70" s="16">
        <f>'Clean Data'!AJ69</f>
        <v>7.6</v>
      </c>
      <c r="AK70" s="16">
        <f>'Clean Data'!AK69</f>
        <v>1.2737500000000002</v>
      </c>
      <c r="AL70" s="16">
        <f>'Clean Data'!AL69</f>
        <v>28.532000000000004</v>
      </c>
      <c r="AM70" s="16">
        <f>'Clean Data'!AM69</f>
        <v>36.551086956521743</v>
      </c>
      <c r="AN70" s="16">
        <f>'Clean Data'!AN69</f>
        <v>71.3</v>
      </c>
      <c r="AO70" s="16" t="str">
        <f>'Clean Data'!AO69</f>
        <v>de Andres, Fuel Processing Technology 2011, 92, 433-440</v>
      </c>
      <c r="AP70" s="16"/>
      <c r="AQ70" s="16"/>
      <c r="AR70" s="16"/>
      <c r="AS70" s="16"/>
      <c r="AT70" s="16"/>
    </row>
    <row r="71" spans="1:46" x14ac:dyDescent="0.3">
      <c r="A71" s="16">
        <f>'Clean Data'!A70</f>
        <v>69</v>
      </c>
      <c r="B71" s="16" t="str">
        <f>'Clean Data'!B70</f>
        <v>sewage sludge</v>
      </c>
      <c r="C71" s="16" t="str">
        <f>'Clean Data'!C70</f>
        <v>other</v>
      </c>
      <c r="D71" s="16">
        <f>'Clean Data'!D70</f>
        <v>3.5</v>
      </c>
      <c r="E71" s="16">
        <f>'Clean Data'!E70</f>
        <v>11.5</v>
      </c>
      <c r="F71" s="16">
        <f>'Clean Data'!F70</f>
        <v>48.75</v>
      </c>
      <c r="G71" s="16">
        <f>'Clean Data'!G70</f>
        <v>8.5714285714285712</v>
      </c>
      <c r="H71" s="16">
        <f>'Clean Data'!H70</f>
        <v>7.3214285714285712</v>
      </c>
      <c r="I71" s="16">
        <f>'Clean Data'!I70</f>
        <v>1.6071428571428572</v>
      </c>
      <c r="J71" s="16">
        <f>'Clean Data'!J70</f>
        <v>33.75</v>
      </c>
      <c r="K71" s="16">
        <f>'Clean Data'!K70</f>
        <v>44</v>
      </c>
      <c r="L71" s="16">
        <f>'Clean Data'!L70</f>
        <v>6.95</v>
      </c>
      <c r="M71" s="16">
        <f>'Clean Data'!M70</f>
        <v>56</v>
      </c>
      <c r="N71" s="16" t="str">
        <f>'Clean Data'!N70</f>
        <v>NaN</v>
      </c>
      <c r="O71" s="16" t="str">
        <f>'Clean Data'!O70</f>
        <v>NaN</v>
      </c>
      <c r="P71" s="16" t="str">
        <f>'Clean Data'!P70</f>
        <v>NaN</v>
      </c>
      <c r="Q71" s="16" t="str">
        <f>'Clean Data'!Q70</f>
        <v>NaN</v>
      </c>
      <c r="R71" s="16">
        <f>'Clean Data'!R70</f>
        <v>850</v>
      </c>
      <c r="S71" s="16" t="str">
        <f>'Clean Data'!S70</f>
        <v>continuous</v>
      </c>
      <c r="T71" s="16" t="str">
        <f>'Clean Data'!T70</f>
        <v>NaN</v>
      </c>
      <c r="U71" s="16">
        <f>'Clean Data'!U70</f>
        <v>80</v>
      </c>
      <c r="V71" s="16" t="str">
        <f>'Clean Data'!V70</f>
        <v>NaN</v>
      </c>
      <c r="W71" s="16">
        <f>'Clean Data'!W70</f>
        <v>0.3</v>
      </c>
      <c r="X71" s="16" t="str">
        <f>'Clean Data'!X70</f>
        <v>air</v>
      </c>
      <c r="Y71" s="16" t="str">
        <f>'Clean Data'!Y70</f>
        <v>fluidised bed</v>
      </c>
      <c r="Z71" s="16" t="str">
        <f>'Clean Data'!Z70</f>
        <v>silica</v>
      </c>
      <c r="AA71" s="16">
        <f>'Clean Data'!AA70</f>
        <v>0</v>
      </c>
      <c r="AB71" s="16" t="str">
        <f>'Clean Data'!AB70</f>
        <v>lab</v>
      </c>
      <c r="AC71" s="16">
        <f>'Clean Data'!AC70</f>
        <v>57.7</v>
      </c>
      <c r="AD71" s="16">
        <f>'Clean Data'!AD70</f>
        <v>12.1</v>
      </c>
      <c r="AE71" s="16">
        <f>'Clean Data'!AE70</f>
        <v>10.1</v>
      </c>
      <c r="AF71" s="16">
        <f>'Clean Data'!AF70</f>
        <v>13.1</v>
      </c>
      <c r="AG71" s="16">
        <f>'Clean Data'!AG70</f>
        <v>3.3</v>
      </c>
      <c r="AH71" s="16">
        <f>'Clean Data'!AH70</f>
        <v>2.4</v>
      </c>
      <c r="AI71" s="16">
        <f>'Clean Data'!AI70</f>
        <v>3.9</v>
      </c>
      <c r="AJ71" s="16">
        <f>'Clean Data'!AJ70</f>
        <v>4.3</v>
      </c>
      <c r="AK71" s="16">
        <f>'Clean Data'!AK70</f>
        <v>1.3247000000000002</v>
      </c>
      <c r="AL71" s="16">
        <f>'Clean Data'!AL70</f>
        <v>19.055300000000003</v>
      </c>
      <c r="AM71" s="16">
        <f>'Clean Data'!AM70</f>
        <v>44.924608695652175</v>
      </c>
      <c r="AN71" s="16">
        <f>'Clean Data'!AN70</f>
        <v>77.900000000000006</v>
      </c>
      <c r="AO71" s="16" t="str">
        <f>'Clean Data'!AO70</f>
        <v>de Andres, Fuel Processing Technology 2011, 92, 433-440</v>
      </c>
      <c r="AP71" s="16"/>
      <c r="AQ71" s="16"/>
      <c r="AR71" s="16"/>
      <c r="AS71" s="16"/>
      <c r="AT71" s="16"/>
    </row>
    <row r="72" spans="1:46" x14ac:dyDescent="0.3">
      <c r="A72" s="16">
        <f>'Clean Data'!A71</f>
        <v>70</v>
      </c>
      <c r="B72" s="16" t="str">
        <f>'Clean Data'!B71</f>
        <v>sewage sludge</v>
      </c>
      <c r="C72" s="16" t="str">
        <f>'Clean Data'!C71</f>
        <v>other</v>
      </c>
      <c r="D72" s="16">
        <f>'Clean Data'!D71</f>
        <v>3.5</v>
      </c>
      <c r="E72" s="16">
        <f>'Clean Data'!E71</f>
        <v>11.5</v>
      </c>
      <c r="F72" s="16">
        <f>'Clean Data'!F71</f>
        <v>48.75</v>
      </c>
      <c r="G72" s="16">
        <f>'Clean Data'!G71</f>
        <v>8.5714285714285712</v>
      </c>
      <c r="H72" s="16">
        <f>'Clean Data'!H71</f>
        <v>7.3214285714285712</v>
      </c>
      <c r="I72" s="16">
        <f>'Clean Data'!I71</f>
        <v>1.6071428571428572</v>
      </c>
      <c r="J72" s="16">
        <f>'Clean Data'!J71</f>
        <v>33.75</v>
      </c>
      <c r="K72" s="16">
        <f>'Clean Data'!K71</f>
        <v>44</v>
      </c>
      <c r="L72" s="16">
        <f>'Clean Data'!L71</f>
        <v>6.95</v>
      </c>
      <c r="M72" s="16">
        <f>'Clean Data'!M71</f>
        <v>56</v>
      </c>
      <c r="N72" s="16" t="str">
        <f>'Clean Data'!N71</f>
        <v>NaN</v>
      </c>
      <c r="O72" s="16" t="str">
        <f>'Clean Data'!O71</f>
        <v>NaN</v>
      </c>
      <c r="P72" s="16" t="str">
        <f>'Clean Data'!P71</f>
        <v>NaN</v>
      </c>
      <c r="Q72" s="16" t="str">
        <f>'Clean Data'!Q71</f>
        <v>NaN</v>
      </c>
      <c r="R72" s="16">
        <f>'Clean Data'!R71</f>
        <v>750</v>
      </c>
      <c r="S72" s="16" t="str">
        <f>'Clean Data'!S71</f>
        <v>continuous</v>
      </c>
      <c r="T72" s="16" t="str">
        <f>'Clean Data'!T71</f>
        <v>NaN</v>
      </c>
      <c r="U72" s="16">
        <f>'Clean Data'!U71</f>
        <v>80</v>
      </c>
      <c r="V72" s="16" t="str">
        <f>'Clean Data'!V71</f>
        <v>NaN</v>
      </c>
      <c r="W72" s="16">
        <f>'Clean Data'!W71</f>
        <v>0.4</v>
      </c>
      <c r="X72" s="16" t="str">
        <f>'Clean Data'!X71</f>
        <v>air</v>
      </c>
      <c r="Y72" s="16" t="str">
        <f>'Clean Data'!Y71</f>
        <v>fluidised bed</v>
      </c>
      <c r="Z72" s="16" t="str">
        <f>'Clean Data'!Z71</f>
        <v>silica</v>
      </c>
      <c r="AA72" s="16">
        <f>'Clean Data'!AA71</f>
        <v>0</v>
      </c>
      <c r="AB72" s="16" t="str">
        <f>'Clean Data'!AB71</f>
        <v>lab</v>
      </c>
      <c r="AC72" s="16">
        <f>'Clean Data'!AC71</f>
        <v>74.900000000000006</v>
      </c>
      <c r="AD72" s="16">
        <f>'Clean Data'!AD71</f>
        <v>3.2</v>
      </c>
      <c r="AE72" s="16">
        <f>'Clean Data'!AE71</f>
        <v>4.3</v>
      </c>
      <c r="AF72" s="16">
        <f>'Clean Data'!AF71</f>
        <v>14.1</v>
      </c>
      <c r="AG72" s="16">
        <f>'Clean Data'!AG71</f>
        <v>1</v>
      </c>
      <c r="AH72" s="16">
        <f>'Clean Data'!AH71</f>
        <v>0.8</v>
      </c>
      <c r="AI72" s="16">
        <f>'Clean Data'!AI71</f>
        <v>1.3</v>
      </c>
      <c r="AJ72" s="16">
        <f>'Clean Data'!AJ71</f>
        <v>6.6</v>
      </c>
      <c r="AK72" s="16">
        <f>'Clean Data'!AK71</f>
        <v>1.4775500000000001</v>
      </c>
      <c r="AL72" s="16">
        <f>'Clean Data'!AL71</f>
        <v>23.131300000000003</v>
      </c>
      <c r="AM72" s="16">
        <f>'Clean Data'!AM71</f>
        <v>16.702739130434782</v>
      </c>
      <c r="AN72" s="16">
        <f>'Clean Data'!AN71</f>
        <v>61.6</v>
      </c>
      <c r="AO72" s="16" t="str">
        <f>'Clean Data'!AO71</f>
        <v>de Andres, Fuel Processing Technology 2011, 92, 433-440</v>
      </c>
      <c r="AP72" s="16"/>
      <c r="AQ72" s="16"/>
      <c r="AR72" s="16"/>
      <c r="AS72" s="16"/>
      <c r="AT72" s="16"/>
    </row>
    <row r="73" spans="1:46" x14ac:dyDescent="0.3">
      <c r="A73" s="16">
        <f>'Clean Data'!A72</f>
        <v>71</v>
      </c>
      <c r="B73" s="16" t="str">
        <f>'Clean Data'!B72</f>
        <v>sewage sludge</v>
      </c>
      <c r="C73" s="16" t="str">
        <f>'Clean Data'!C72</f>
        <v>other</v>
      </c>
      <c r="D73" s="16">
        <f>'Clean Data'!D72</f>
        <v>3.5</v>
      </c>
      <c r="E73" s="16">
        <f>'Clean Data'!E72</f>
        <v>11.5</v>
      </c>
      <c r="F73" s="16">
        <f>'Clean Data'!F72</f>
        <v>48.75</v>
      </c>
      <c r="G73" s="16">
        <f>'Clean Data'!G72</f>
        <v>8.5714285714285712</v>
      </c>
      <c r="H73" s="16">
        <f>'Clean Data'!H72</f>
        <v>7.3214285714285712</v>
      </c>
      <c r="I73" s="16">
        <f>'Clean Data'!I72</f>
        <v>1.6071428571428572</v>
      </c>
      <c r="J73" s="16">
        <f>'Clean Data'!J72</f>
        <v>33.75</v>
      </c>
      <c r="K73" s="16">
        <f>'Clean Data'!K72</f>
        <v>44</v>
      </c>
      <c r="L73" s="16">
        <f>'Clean Data'!L72</f>
        <v>6.95</v>
      </c>
      <c r="M73" s="16">
        <f>'Clean Data'!M72</f>
        <v>56</v>
      </c>
      <c r="N73" s="16" t="str">
        <f>'Clean Data'!N72</f>
        <v>NaN</v>
      </c>
      <c r="O73" s="16" t="str">
        <f>'Clean Data'!O72</f>
        <v>NaN</v>
      </c>
      <c r="P73" s="16" t="str">
        <f>'Clean Data'!P72</f>
        <v>NaN</v>
      </c>
      <c r="Q73" s="16" t="str">
        <f>'Clean Data'!Q72</f>
        <v>NaN</v>
      </c>
      <c r="R73" s="16">
        <f>'Clean Data'!R72</f>
        <v>800</v>
      </c>
      <c r="S73" s="16" t="str">
        <f>'Clean Data'!S72</f>
        <v>continuous</v>
      </c>
      <c r="T73" s="16" t="str">
        <f>'Clean Data'!T72</f>
        <v>NaN</v>
      </c>
      <c r="U73" s="16">
        <f>'Clean Data'!U72</f>
        <v>80</v>
      </c>
      <c r="V73" s="16" t="str">
        <f>'Clean Data'!V72</f>
        <v>NaN</v>
      </c>
      <c r="W73" s="16">
        <f>'Clean Data'!W72</f>
        <v>0.4</v>
      </c>
      <c r="X73" s="16" t="str">
        <f>'Clean Data'!X72</f>
        <v>air</v>
      </c>
      <c r="Y73" s="16" t="str">
        <f>'Clean Data'!Y72</f>
        <v>fluidised bed</v>
      </c>
      <c r="Z73" s="16" t="str">
        <f>'Clean Data'!Z72</f>
        <v>silica</v>
      </c>
      <c r="AA73" s="16">
        <f>'Clean Data'!AA72</f>
        <v>0</v>
      </c>
      <c r="AB73" s="16" t="str">
        <f>'Clean Data'!AB72</f>
        <v>lab</v>
      </c>
      <c r="AC73" s="16">
        <f>'Clean Data'!AC72</f>
        <v>65.3</v>
      </c>
      <c r="AD73" s="16">
        <f>'Clean Data'!AD72</f>
        <v>8.5</v>
      </c>
      <c r="AE73" s="16">
        <f>'Clean Data'!AE72</f>
        <v>6.9</v>
      </c>
      <c r="AF73" s="16">
        <f>'Clean Data'!AF72</f>
        <v>13.8</v>
      </c>
      <c r="AG73" s="16">
        <f>'Clean Data'!AG72</f>
        <v>2.4</v>
      </c>
      <c r="AH73" s="16">
        <f>'Clean Data'!AH72</f>
        <v>1.5</v>
      </c>
      <c r="AI73" s="16">
        <f>'Clean Data'!AI72</f>
        <v>2.7</v>
      </c>
      <c r="AJ73" s="16">
        <f>'Clean Data'!AJ72</f>
        <v>4.8</v>
      </c>
      <c r="AK73" s="16">
        <f>'Clean Data'!AK72</f>
        <v>1.5794500000000002</v>
      </c>
      <c r="AL73" s="16">
        <f>'Clean Data'!AL72</f>
        <v>19.666700000000002</v>
      </c>
      <c r="AM73" s="16">
        <f>'Clean Data'!AM72</f>
        <v>37.082739130434796</v>
      </c>
      <c r="AN73" s="16">
        <f>'Clean Data'!AN72</f>
        <v>79.5</v>
      </c>
      <c r="AO73" s="16" t="str">
        <f>'Clean Data'!AO72</f>
        <v>de Andres, Fuel Processing Technology 2011, 92, 433-440</v>
      </c>
      <c r="AP73" s="16"/>
      <c r="AQ73" s="16"/>
      <c r="AR73" s="16"/>
      <c r="AS73" s="16"/>
      <c r="AT73" s="16"/>
    </row>
    <row r="74" spans="1:46" x14ac:dyDescent="0.3">
      <c r="A74" s="16">
        <f>'Clean Data'!A73</f>
        <v>72</v>
      </c>
      <c r="B74" s="16" t="str">
        <f>'Clean Data'!B73</f>
        <v>sewage sludge</v>
      </c>
      <c r="C74" s="16" t="str">
        <f>'Clean Data'!C73</f>
        <v>other</v>
      </c>
      <c r="D74" s="16">
        <f>'Clean Data'!D73</f>
        <v>3.5</v>
      </c>
      <c r="E74" s="16">
        <f>'Clean Data'!E73</f>
        <v>11.5</v>
      </c>
      <c r="F74" s="16">
        <f>'Clean Data'!F73</f>
        <v>48.75</v>
      </c>
      <c r="G74" s="16">
        <f>'Clean Data'!G73</f>
        <v>8.5714285714285712</v>
      </c>
      <c r="H74" s="16">
        <f>'Clean Data'!H73</f>
        <v>7.3214285714285712</v>
      </c>
      <c r="I74" s="16">
        <f>'Clean Data'!I73</f>
        <v>1.6071428571428572</v>
      </c>
      <c r="J74" s="16">
        <f>'Clean Data'!J73</f>
        <v>33.75</v>
      </c>
      <c r="K74" s="16">
        <f>'Clean Data'!K73</f>
        <v>44</v>
      </c>
      <c r="L74" s="16">
        <f>'Clean Data'!L73</f>
        <v>6.95</v>
      </c>
      <c r="M74" s="16">
        <f>'Clean Data'!M73</f>
        <v>56</v>
      </c>
      <c r="N74" s="16" t="str">
        <f>'Clean Data'!N73</f>
        <v>NaN</v>
      </c>
      <c r="O74" s="16" t="str">
        <f>'Clean Data'!O73</f>
        <v>NaN</v>
      </c>
      <c r="P74" s="16" t="str">
        <f>'Clean Data'!P73</f>
        <v>NaN</v>
      </c>
      <c r="Q74" s="16" t="str">
        <f>'Clean Data'!Q73</f>
        <v>NaN</v>
      </c>
      <c r="R74" s="16">
        <f>'Clean Data'!R73</f>
        <v>850</v>
      </c>
      <c r="S74" s="16" t="str">
        <f>'Clean Data'!S73</f>
        <v>continuous</v>
      </c>
      <c r="T74" s="16" t="str">
        <f>'Clean Data'!T73</f>
        <v>NaN</v>
      </c>
      <c r="U74" s="16">
        <f>'Clean Data'!U73</f>
        <v>80</v>
      </c>
      <c r="V74" s="16" t="str">
        <f>'Clean Data'!V73</f>
        <v>NaN</v>
      </c>
      <c r="W74" s="16">
        <f>'Clean Data'!W73</f>
        <v>0.4</v>
      </c>
      <c r="X74" s="16" t="str">
        <f>'Clean Data'!X73</f>
        <v>air</v>
      </c>
      <c r="Y74" s="16" t="str">
        <f>'Clean Data'!Y73</f>
        <v>fluidised bed</v>
      </c>
      <c r="Z74" s="16" t="str">
        <f>'Clean Data'!Z73</f>
        <v>silica</v>
      </c>
      <c r="AA74" s="16">
        <f>'Clean Data'!AA73</f>
        <v>0</v>
      </c>
      <c r="AB74" s="16" t="str">
        <f>'Clean Data'!AB73</f>
        <v>lab</v>
      </c>
      <c r="AC74" s="16">
        <f>'Clean Data'!AC73</f>
        <v>63.3</v>
      </c>
      <c r="AD74" s="16">
        <f>'Clean Data'!AD73</f>
        <v>9.6999999999999993</v>
      </c>
      <c r="AE74" s="16">
        <f>'Clean Data'!AE73</f>
        <v>8.1999999999999993</v>
      </c>
      <c r="AF74" s="16">
        <f>'Clean Data'!AF73</f>
        <v>13.9</v>
      </c>
      <c r="AG74" s="16">
        <f>'Clean Data'!AG73</f>
        <v>2.1</v>
      </c>
      <c r="AH74" s="16">
        <f>'Clean Data'!AH73</f>
        <v>1.4</v>
      </c>
      <c r="AI74" s="16">
        <f>'Clean Data'!AI73</f>
        <v>2.9</v>
      </c>
      <c r="AJ74" s="16">
        <f>'Clean Data'!AJ73</f>
        <v>3</v>
      </c>
      <c r="AK74" s="16">
        <f>'Clean Data'!AK73</f>
        <v>1.5794500000000002</v>
      </c>
      <c r="AL74" s="16">
        <f>'Clean Data'!AL73</f>
        <v>6.5216000000000012</v>
      </c>
      <c r="AM74" s="16">
        <f>'Clean Data'!AM73</f>
        <v>39.829608695652176</v>
      </c>
      <c r="AN74" s="16">
        <f>'Clean Data'!AN73</f>
        <v>89.1</v>
      </c>
      <c r="AO74" s="16" t="str">
        <f>'Clean Data'!AO73</f>
        <v>de Andres, Fuel Processing Technology 2011, 92, 433-440</v>
      </c>
      <c r="AP74" s="16"/>
      <c r="AQ74" s="16"/>
      <c r="AR74" s="16"/>
      <c r="AS74" s="16"/>
      <c r="AT74" s="16"/>
    </row>
    <row r="75" spans="1:46" x14ac:dyDescent="0.3">
      <c r="A75" s="16">
        <f>'Clean Data'!A74</f>
        <v>73</v>
      </c>
      <c r="B75" s="16" t="str">
        <f>'Clean Data'!B74</f>
        <v>sewage sludge</v>
      </c>
      <c r="C75" s="16" t="str">
        <f>'Clean Data'!C74</f>
        <v>other</v>
      </c>
      <c r="D75" s="16">
        <f>'Clean Data'!D74</f>
        <v>3.5</v>
      </c>
      <c r="E75" s="16">
        <f>'Clean Data'!E74</f>
        <v>11.5</v>
      </c>
      <c r="F75" s="16">
        <f>'Clean Data'!F74</f>
        <v>48.75</v>
      </c>
      <c r="G75" s="16">
        <f>'Clean Data'!G74</f>
        <v>8.5714285714285712</v>
      </c>
      <c r="H75" s="16">
        <f>'Clean Data'!H74</f>
        <v>7.3214285714285712</v>
      </c>
      <c r="I75" s="16">
        <f>'Clean Data'!I74</f>
        <v>1.6071428571428572</v>
      </c>
      <c r="J75" s="16">
        <f>'Clean Data'!J74</f>
        <v>33.75</v>
      </c>
      <c r="K75" s="16">
        <f>'Clean Data'!K74</f>
        <v>44</v>
      </c>
      <c r="L75" s="16">
        <f>'Clean Data'!L74</f>
        <v>6.95</v>
      </c>
      <c r="M75" s="16">
        <f>'Clean Data'!M74</f>
        <v>56</v>
      </c>
      <c r="N75" s="16" t="str">
        <f>'Clean Data'!N74</f>
        <v>NaN</v>
      </c>
      <c r="O75" s="16" t="str">
        <f>'Clean Data'!O74</f>
        <v>NaN</v>
      </c>
      <c r="P75" s="16" t="str">
        <f>'Clean Data'!P74</f>
        <v>NaN</v>
      </c>
      <c r="Q75" s="16" t="str">
        <f>'Clean Data'!Q74</f>
        <v>NaN</v>
      </c>
      <c r="R75" s="16">
        <f>'Clean Data'!R74</f>
        <v>750</v>
      </c>
      <c r="S75" s="16" t="str">
        <f>'Clean Data'!S74</f>
        <v>continuous</v>
      </c>
      <c r="T75" s="16" t="str">
        <f>'Clean Data'!T74</f>
        <v>NaN</v>
      </c>
      <c r="U75" s="16">
        <f>'Clean Data'!U74</f>
        <v>80</v>
      </c>
      <c r="V75" s="16">
        <f>'Clean Data'!V74</f>
        <v>0.5</v>
      </c>
      <c r="W75" s="16">
        <f>'Clean Data'!W74</f>
        <v>0.3</v>
      </c>
      <c r="X75" s="16" t="str">
        <f>'Clean Data'!X74</f>
        <v>air + steam</v>
      </c>
      <c r="Y75" s="16" t="str">
        <f>'Clean Data'!Y74</f>
        <v>fluidised bed</v>
      </c>
      <c r="Z75" s="16" t="str">
        <f>'Clean Data'!Z74</f>
        <v>silica</v>
      </c>
      <c r="AA75" s="16">
        <f>'Clean Data'!AA74</f>
        <v>0</v>
      </c>
      <c r="AB75" s="16" t="str">
        <f>'Clean Data'!AB74</f>
        <v>lab</v>
      </c>
      <c r="AC75" s="16">
        <f>'Clean Data'!AC74</f>
        <v>60.8</v>
      </c>
      <c r="AD75" s="16">
        <f>'Clean Data'!AD74</f>
        <v>9.9</v>
      </c>
      <c r="AE75" s="16">
        <f>'Clean Data'!AE74</f>
        <v>7.7</v>
      </c>
      <c r="AF75" s="16">
        <f>'Clean Data'!AF74</f>
        <v>14.8</v>
      </c>
      <c r="AG75" s="16">
        <f>'Clean Data'!AG74</f>
        <v>2.8</v>
      </c>
      <c r="AH75" s="16">
        <f>'Clean Data'!AH74</f>
        <v>1.9</v>
      </c>
      <c r="AI75" s="16">
        <f>'Clean Data'!AI74</f>
        <v>3.2</v>
      </c>
      <c r="AJ75" s="16">
        <f>'Clean Data'!AJ74</f>
        <v>11.2</v>
      </c>
      <c r="AK75" s="16">
        <f>'Clean Data'!AK74</f>
        <v>1.2228000000000001</v>
      </c>
      <c r="AL75" s="16">
        <f>'Clean Data'!AL74</f>
        <v>18.953400000000006</v>
      </c>
      <c r="AM75" s="16">
        <f>'Clean Data'!AM74</f>
        <v>34.025739130434786</v>
      </c>
      <c r="AN75" s="16">
        <f>'Clean Data'!AN74</f>
        <v>72.2</v>
      </c>
      <c r="AO75" s="16" t="str">
        <f>'Clean Data'!AO74</f>
        <v>de Andres, Fuel Processing Technology 2011, 92, 433-440</v>
      </c>
      <c r="AP75" s="16"/>
      <c r="AQ75" s="16"/>
      <c r="AR75" s="16"/>
      <c r="AS75" s="16"/>
      <c r="AT75" s="16"/>
    </row>
    <row r="76" spans="1:46" x14ac:dyDescent="0.3">
      <c r="A76" s="16">
        <f>'Clean Data'!A75</f>
        <v>74</v>
      </c>
      <c r="B76" s="16" t="str">
        <f>'Clean Data'!B75</f>
        <v>sewage sludge</v>
      </c>
      <c r="C76" s="16" t="str">
        <f>'Clean Data'!C75</f>
        <v>other</v>
      </c>
      <c r="D76" s="16">
        <f>'Clean Data'!D75</f>
        <v>3.5</v>
      </c>
      <c r="E76" s="16">
        <f>'Clean Data'!E75</f>
        <v>11.5</v>
      </c>
      <c r="F76" s="16">
        <f>'Clean Data'!F75</f>
        <v>48.75</v>
      </c>
      <c r="G76" s="16">
        <f>'Clean Data'!G75</f>
        <v>8.5714285714285712</v>
      </c>
      <c r="H76" s="16">
        <f>'Clean Data'!H75</f>
        <v>7.3214285714285712</v>
      </c>
      <c r="I76" s="16">
        <f>'Clean Data'!I75</f>
        <v>1.6071428571428572</v>
      </c>
      <c r="J76" s="16">
        <f>'Clean Data'!J75</f>
        <v>33.75</v>
      </c>
      <c r="K76" s="16">
        <f>'Clean Data'!K75</f>
        <v>44</v>
      </c>
      <c r="L76" s="16">
        <f>'Clean Data'!L75</f>
        <v>6.95</v>
      </c>
      <c r="M76" s="16">
        <f>'Clean Data'!M75</f>
        <v>56</v>
      </c>
      <c r="N76" s="16" t="str">
        <f>'Clean Data'!N75</f>
        <v>NaN</v>
      </c>
      <c r="O76" s="16" t="str">
        <f>'Clean Data'!O75</f>
        <v>NaN</v>
      </c>
      <c r="P76" s="16" t="str">
        <f>'Clean Data'!P75</f>
        <v>NaN</v>
      </c>
      <c r="Q76" s="16" t="str">
        <f>'Clean Data'!Q75</f>
        <v>NaN</v>
      </c>
      <c r="R76" s="16">
        <f>'Clean Data'!R75</f>
        <v>800</v>
      </c>
      <c r="S76" s="16" t="str">
        <f>'Clean Data'!S75</f>
        <v>continuous</v>
      </c>
      <c r="T76" s="16" t="str">
        <f>'Clean Data'!T75</f>
        <v>NaN</v>
      </c>
      <c r="U76" s="16">
        <f>'Clean Data'!U75</f>
        <v>80</v>
      </c>
      <c r="V76" s="16">
        <f>'Clean Data'!V75</f>
        <v>0.5</v>
      </c>
      <c r="W76" s="16">
        <f>'Clean Data'!W75</f>
        <v>0.3</v>
      </c>
      <c r="X76" s="16" t="str">
        <f>'Clean Data'!X75</f>
        <v>air + steam</v>
      </c>
      <c r="Y76" s="16" t="str">
        <f>'Clean Data'!Y75</f>
        <v>fluidised bed</v>
      </c>
      <c r="Z76" s="16" t="str">
        <f>'Clean Data'!Z75</f>
        <v>silica</v>
      </c>
      <c r="AA76" s="16">
        <f>'Clean Data'!AA75</f>
        <v>0</v>
      </c>
      <c r="AB76" s="16" t="str">
        <f>'Clean Data'!AB75</f>
        <v>lab</v>
      </c>
      <c r="AC76" s="16">
        <f>'Clean Data'!AC75</f>
        <v>59.2</v>
      </c>
      <c r="AD76" s="16">
        <f>'Clean Data'!AD75</f>
        <v>11</v>
      </c>
      <c r="AE76" s="16">
        <f>'Clean Data'!AE75</f>
        <v>8.4</v>
      </c>
      <c r="AF76" s="16">
        <f>'Clean Data'!AF75</f>
        <v>14.8</v>
      </c>
      <c r="AG76" s="16">
        <f>'Clean Data'!AG75</f>
        <v>3.1</v>
      </c>
      <c r="AH76" s="16">
        <f>'Clean Data'!AH75</f>
        <v>2</v>
      </c>
      <c r="AI76" s="16">
        <f>'Clean Data'!AI75</f>
        <v>3.5</v>
      </c>
      <c r="AJ76" s="16">
        <f>'Clean Data'!AJ75</f>
        <v>7.2</v>
      </c>
      <c r="AK76" s="16">
        <f>'Clean Data'!AK75</f>
        <v>1.3247000000000002</v>
      </c>
      <c r="AL76" s="16">
        <f>'Clean Data'!AL75</f>
        <v>8.4067500000000006</v>
      </c>
      <c r="AM76" s="16">
        <f>'Clean Data'!AM75</f>
        <v>40.316956521739137</v>
      </c>
      <c r="AN76" s="16">
        <f>'Clean Data'!AN75</f>
        <v>79.7</v>
      </c>
      <c r="AO76" s="16" t="str">
        <f>'Clean Data'!AO75</f>
        <v>de Andres, Fuel Processing Technology 2011, 92, 433-440</v>
      </c>
      <c r="AP76" s="16"/>
      <c r="AQ76" s="16"/>
      <c r="AR76" s="16"/>
      <c r="AS76" s="16"/>
      <c r="AT76" s="16"/>
    </row>
    <row r="77" spans="1:46" x14ac:dyDescent="0.3">
      <c r="A77" s="16">
        <f>'Clean Data'!A76</f>
        <v>75</v>
      </c>
      <c r="B77" s="16" t="str">
        <f>'Clean Data'!B76</f>
        <v>sewage sludge</v>
      </c>
      <c r="C77" s="16" t="str">
        <f>'Clean Data'!C76</f>
        <v>other</v>
      </c>
      <c r="D77" s="16">
        <f>'Clean Data'!D76</f>
        <v>3.5</v>
      </c>
      <c r="E77" s="16">
        <f>'Clean Data'!E76</f>
        <v>11.5</v>
      </c>
      <c r="F77" s="16">
        <f>'Clean Data'!F76</f>
        <v>48.75</v>
      </c>
      <c r="G77" s="16">
        <f>'Clean Data'!G76</f>
        <v>8.5714285714285712</v>
      </c>
      <c r="H77" s="16">
        <f>'Clean Data'!H76</f>
        <v>7.3214285714285712</v>
      </c>
      <c r="I77" s="16">
        <f>'Clean Data'!I76</f>
        <v>1.6071428571428572</v>
      </c>
      <c r="J77" s="16">
        <f>'Clean Data'!J76</f>
        <v>33.75</v>
      </c>
      <c r="K77" s="16">
        <f>'Clean Data'!K76</f>
        <v>44</v>
      </c>
      <c r="L77" s="16">
        <f>'Clean Data'!L76</f>
        <v>6.95</v>
      </c>
      <c r="M77" s="16">
        <f>'Clean Data'!M76</f>
        <v>56</v>
      </c>
      <c r="N77" s="16" t="str">
        <f>'Clean Data'!N76</f>
        <v>NaN</v>
      </c>
      <c r="O77" s="16" t="str">
        <f>'Clean Data'!O76</f>
        <v>NaN</v>
      </c>
      <c r="P77" s="16" t="str">
        <f>'Clean Data'!P76</f>
        <v>NaN</v>
      </c>
      <c r="Q77" s="16" t="str">
        <f>'Clean Data'!Q76</f>
        <v>NaN</v>
      </c>
      <c r="R77" s="16">
        <f>'Clean Data'!R76</f>
        <v>850</v>
      </c>
      <c r="S77" s="16" t="str">
        <f>'Clean Data'!S76</f>
        <v>continuous</v>
      </c>
      <c r="T77" s="16" t="str">
        <f>'Clean Data'!T76</f>
        <v>NaN</v>
      </c>
      <c r="U77" s="16">
        <f>'Clean Data'!U76</f>
        <v>80</v>
      </c>
      <c r="V77" s="16">
        <f>'Clean Data'!V76</f>
        <v>0.5</v>
      </c>
      <c r="W77" s="16">
        <f>'Clean Data'!W76</f>
        <v>0.3</v>
      </c>
      <c r="X77" s="16" t="str">
        <f>'Clean Data'!X76</f>
        <v>air + steam</v>
      </c>
      <c r="Y77" s="16" t="str">
        <f>'Clean Data'!Y76</f>
        <v>fluidised bed</v>
      </c>
      <c r="Z77" s="16" t="str">
        <f>'Clean Data'!Z76</f>
        <v>silica</v>
      </c>
      <c r="AA77" s="16">
        <f>'Clean Data'!AA76</f>
        <v>0</v>
      </c>
      <c r="AB77" s="16" t="str">
        <f>'Clean Data'!AB76</f>
        <v>lab</v>
      </c>
      <c r="AC77" s="16">
        <f>'Clean Data'!AC76</f>
        <v>53.8</v>
      </c>
      <c r="AD77" s="16">
        <f>'Clean Data'!AD76</f>
        <v>15.5</v>
      </c>
      <c r="AE77" s="16">
        <f>'Clean Data'!AE76</f>
        <v>10.4</v>
      </c>
      <c r="AF77" s="16">
        <f>'Clean Data'!AF76</f>
        <v>14.1</v>
      </c>
      <c r="AG77" s="16">
        <f>'Clean Data'!AG76</f>
        <v>3.2</v>
      </c>
      <c r="AH77" s="16">
        <f>'Clean Data'!AH76</f>
        <v>1.5</v>
      </c>
      <c r="AI77" s="16">
        <f>'Clean Data'!AI76</f>
        <v>4.2</v>
      </c>
      <c r="AJ77" s="16">
        <f>'Clean Data'!AJ76</f>
        <v>4</v>
      </c>
      <c r="AK77" s="16">
        <f>'Clean Data'!AK76</f>
        <v>1.4266000000000001</v>
      </c>
      <c r="AL77" s="16">
        <f>'Clean Data'!AL76</f>
        <v>6.7254000000000005</v>
      </c>
      <c r="AM77" s="16">
        <f>'Clean Data'!AM76</f>
        <v>52.101913043478262</v>
      </c>
      <c r="AN77" s="16">
        <f>'Clean Data'!AN76</f>
        <v>86.7</v>
      </c>
      <c r="AO77" s="16" t="str">
        <f>'Clean Data'!AO76</f>
        <v>de Andres, Fuel Processing Technology 2011, 92, 433-440</v>
      </c>
      <c r="AP77" s="16"/>
      <c r="AQ77" s="16"/>
      <c r="AR77" s="16"/>
      <c r="AS77" s="16"/>
      <c r="AT77" s="16"/>
    </row>
    <row r="78" spans="1:46" x14ac:dyDescent="0.3">
      <c r="A78" s="16">
        <f>'Clean Data'!A77</f>
        <v>76</v>
      </c>
      <c r="B78" s="16" t="str">
        <f>'Clean Data'!B77</f>
        <v>sewage sludge</v>
      </c>
      <c r="C78" s="16" t="str">
        <f>'Clean Data'!C77</f>
        <v>other</v>
      </c>
      <c r="D78" s="16">
        <f>'Clean Data'!D77</f>
        <v>3.5</v>
      </c>
      <c r="E78" s="16">
        <f>'Clean Data'!E77</f>
        <v>11.5</v>
      </c>
      <c r="F78" s="16">
        <f>'Clean Data'!F77</f>
        <v>48.75</v>
      </c>
      <c r="G78" s="16">
        <f>'Clean Data'!G77</f>
        <v>8.5714285714285712</v>
      </c>
      <c r="H78" s="16">
        <f>'Clean Data'!H77</f>
        <v>7.3214285714285712</v>
      </c>
      <c r="I78" s="16">
        <f>'Clean Data'!I77</f>
        <v>1.6071428571428572</v>
      </c>
      <c r="J78" s="16">
        <f>'Clean Data'!J77</f>
        <v>33.75</v>
      </c>
      <c r="K78" s="16">
        <f>'Clean Data'!K77</f>
        <v>44</v>
      </c>
      <c r="L78" s="16">
        <f>'Clean Data'!L77</f>
        <v>6.95</v>
      </c>
      <c r="M78" s="16">
        <f>'Clean Data'!M77</f>
        <v>56</v>
      </c>
      <c r="N78" s="16" t="str">
        <f>'Clean Data'!N77</f>
        <v>NaN</v>
      </c>
      <c r="O78" s="16" t="str">
        <f>'Clean Data'!O77</f>
        <v>NaN</v>
      </c>
      <c r="P78" s="16" t="str">
        <f>'Clean Data'!P77</f>
        <v>NaN</v>
      </c>
      <c r="Q78" s="16" t="str">
        <f>'Clean Data'!Q77</f>
        <v>NaN</v>
      </c>
      <c r="R78" s="16">
        <f>'Clean Data'!R77</f>
        <v>750</v>
      </c>
      <c r="S78" s="16" t="str">
        <f>'Clean Data'!S77</f>
        <v>continuous</v>
      </c>
      <c r="T78" s="16" t="str">
        <f>'Clean Data'!T77</f>
        <v>NaN</v>
      </c>
      <c r="U78" s="16">
        <f>'Clean Data'!U77</f>
        <v>80</v>
      </c>
      <c r="V78" s="16">
        <f>'Clean Data'!V77</f>
        <v>1</v>
      </c>
      <c r="W78" s="16">
        <f>'Clean Data'!W77</f>
        <v>0.3</v>
      </c>
      <c r="X78" s="16" t="str">
        <f>'Clean Data'!X77</f>
        <v>air + steam</v>
      </c>
      <c r="Y78" s="16" t="str">
        <f>'Clean Data'!Y77</f>
        <v>fluidised bed</v>
      </c>
      <c r="Z78" s="16" t="str">
        <f>'Clean Data'!Z77</f>
        <v>silica</v>
      </c>
      <c r="AA78" s="16">
        <f>'Clean Data'!AA77</f>
        <v>0</v>
      </c>
      <c r="AB78" s="16" t="str">
        <f>'Clean Data'!AB77</f>
        <v>lab</v>
      </c>
      <c r="AC78" s="16">
        <f>'Clean Data'!AC77</f>
        <v>60.4</v>
      </c>
      <c r="AD78" s="16">
        <f>'Clean Data'!AD77</f>
        <v>10</v>
      </c>
      <c r="AE78" s="16">
        <f>'Clean Data'!AE77</f>
        <v>7.8</v>
      </c>
      <c r="AF78" s="16">
        <f>'Clean Data'!AF77</f>
        <v>15.6</v>
      </c>
      <c r="AG78" s="16">
        <f>'Clean Data'!AG77</f>
        <v>2.9</v>
      </c>
      <c r="AH78" s="16">
        <f>'Clean Data'!AH77</f>
        <v>1.8</v>
      </c>
      <c r="AI78" s="16">
        <f>'Clean Data'!AI77</f>
        <v>3.2</v>
      </c>
      <c r="AJ78" s="16">
        <f>'Clean Data'!AJ77</f>
        <v>10.9</v>
      </c>
      <c r="AK78" s="16">
        <f>'Clean Data'!AK77</f>
        <v>1.2737500000000002</v>
      </c>
      <c r="AL78" s="16">
        <f>'Clean Data'!AL77</f>
        <v>17.679650000000002</v>
      </c>
      <c r="AM78" s="16">
        <f>'Clean Data'!AM77</f>
        <v>35.443478260869568</v>
      </c>
      <c r="AN78" s="16">
        <f>'Clean Data'!AN77</f>
        <v>74.7</v>
      </c>
      <c r="AO78" s="16" t="str">
        <f>'Clean Data'!AO77</f>
        <v>de Andres, Fuel Processing Technology 2011, 92, 433-440</v>
      </c>
      <c r="AP78" s="16"/>
      <c r="AQ78" s="16"/>
      <c r="AR78" s="16"/>
      <c r="AS78" s="16"/>
      <c r="AT78" s="16"/>
    </row>
    <row r="79" spans="1:46" x14ac:dyDescent="0.3">
      <c r="A79" s="16">
        <f>'Clean Data'!A78</f>
        <v>77</v>
      </c>
      <c r="B79" s="16" t="str">
        <f>'Clean Data'!B78</f>
        <v>sewage sludge</v>
      </c>
      <c r="C79" s="16" t="str">
        <f>'Clean Data'!C78</f>
        <v>other</v>
      </c>
      <c r="D79" s="16">
        <f>'Clean Data'!D78</f>
        <v>3.5</v>
      </c>
      <c r="E79" s="16">
        <f>'Clean Data'!E78</f>
        <v>11.5</v>
      </c>
      <c r="F79" s="16">
        <f>'Clean Data'!F78</f>
        <v>48.75</v>
      </c>
      <c r="G79" s="16">
        <f>'Clean Data'!G78</f>
        <v>8.5714285714285712</v>
      </c>
      <c r="H79" s="16">
        <f>'Clean Data'!H78</f>
        <v>7.3214285714285712</v>
      </c>
      <c r="I79" s="16">
        <f>'Clean Data'!I78</f>
        <v>1.6071428571428572</v>
      </c>
      <c r="J79" s="16">
        <f>'Clean Data'!J78</f>
        <v>33.75</v>
      </c>
      <c r="K79" s="16">
        <f>'Clean Data'!K78</f>
        <v>44</v>
      </c>
      <c r="L79" s="16">
        <f>'Clean Data'!L78</f>
        <v>6.95</v>
      </c>
      <c r="M79" s="16">
        <f>'Clean Data'!M78</f>
        <v>56</v>
      </c>
      <c r="N79" s="16" t="str">
        <f>'Clean Data'!N78</f>
        <v>NaN</v>
      </c>
      <c r="O79" s="16" t="str">
        <f>'Clean Data'!O78</f>
        <v>NaN</v>
      </c>
      <c r="P79" s="16" t="str">
        <f>'Clean Data'!P78</f>
        <v>NaN</v>
      </c>
      <c r="Q79" s="16" t="str">
        <f>'Clean Data'!Q78</f>
        <v>NaN</v>
      </c>
      <c r="R79" s="16">
        <f>'Clean Data'!R78</f>
        <v>800</v>
      </c>
      <c r="S79" s="16" t="str">
        <f>'Clean Data'!S78</f>
        <v>continuous</v>
      </c>
      <c r="T79" s="16" t="str">
        <f>'Clean Data'!T78</f>
        <v>NaN</v>
      </c>
      <c r="U79" s="16">
        <f>'Clean Data'!U78</f>
        <v>80</v>
      </c>
      <c r="V79" s="16">
        <f>'Clean Data'!V78</f>
        <v>1</v>
      </c>
      <c r="W79" s="16">
        <f>'Clean Data'!W78</f>
        <v>0.3</v>
      </c>
      <c r="X79" s="16" t="str">
        <f>'Clean Data'!X78</f>
        <v>air + steam</v>
      </c>
      <c r="Y79" s="16" t="str">
        <f>'Clean Data'!Y78</f>
        <v>fluidised bed</v>
      </c>
      <c r="Z79" s="16" t="str">
        <f>'Clean Data'!Z78</f>
        <v>silica</v>
      </c>
      <c r="AA79" s="16">
        <f>'Clean Data'!AA78</f>
        <v>0</v>
      </c>
      <c r="AB79" s="16" t="str">
        <f>'Clean Data'!AB78</f>
        <v>lab</v>
      </c>
      <c r="AC79" s="16">
        <f>'Clean Data'!AC78</f>
        <v>58.5</v>
      </c>
      <c r="AD79" s="16">
        <f>'Clean Data'!AD78</f>
        <v>12</v>
      </c>
      <c r="AE79" s="16">
        <f>'Clean Data'!AE78</f>
        <v>8.6</v>
      </c>
      <c r="AF79" s="16">
        <f>'Clean Data'!AF78</f>
        <v>15.2</v>
      </c>
      <c r="AG79" s="16">
        <f>'Clean Data'!AG78</f>
        <v>2.7</v>
      </c>
      <c r="AH79" s="16">
        <f>'Clean Data'!AH78</f>
        <v>1.6</v>
      </c>
      <c r="AI79" s="16">
        <f>'Clean Data'!AI78</f>
        <v>3.5</v>
      </c>
      <c r="AJ79" s="16">
        <f>'Clean Data'!AJ78</f>
        <v>6.9</v>
      </c>
      <c r="AK79" s="16">
        <f>'Clean Data'!AK78</f>
        <v>1.3247000000000002</v>
      </c>
      <c r="AL79" s="16">
        <f>'Clean Data'!AL78</f>
        <v>7.5915500000000016</v>
      </c>
      <c r="AM79" s="16">
        <f>'Clean Data'!AM78</f>
        <v>40.316956521739137</v>
      </c>
      <c r="AN79" s="16">
        <f>'Clean Data'!AN78</f>
        <v>79.8</v>
      </c>
      <c r="AO79" s="16" t="str">
        <f>'Clean Data'!AO78</f>
        <v>de Andres, Fuel Processing Technology 2011, 92, 433-440</v>
      </c>
      <c r="AP79" s="16"/>
      <c r="AQ79" s="16"/>
      <c r="AR79" s="16"/>
      <c r="AS79" s="16"/>
      <c r="AT79" s="16"/>
    </row>
    <row r="80" spans="1:46" x14ac:dyDescent="0.3">
      <c r="A80" s="16">
        <f>'Clean Data'!A79</f>
        <v>78</v>
      </c>
      <c r="B80" s="16" t="str">
        <f>'Clean Data'!B79</f>
        <v>sewage sludge</v>
      </c>
      <c r="C80" s="16" t="str">
        <f>'Clean Data'!C79</f>
        <v>other</v>
      </c>
      <c r="D80" s="16">
        <f>'Clean Data'!D79</f>
        <v>3.5</v>
      </c>
      <c r="E80" s="16">
        <f>'Clean Data'!E79</f>
        <v>11.5</v>
      </c>
      <c r="F80" s="16">
        <f>'Clean Data'!F79</f>
        <v>48.75</v>
      </c>
      <c r="G80" s="16">
        <f>'Clean Data'!G79</f>
        <v>8.5714285714285712</v>
      </c>
      <c r="H80" s="16">
        <f>'Clean Data'!H79</f>
        <v>7.3214285714285712</v>
      </c>
      <c r="I80" s="16">
        <f>'Clean Data'!I79</f>
        <v>1.6071428571428572</v>
      </c>
      <c r="J80" s="16">
        <f>'Clean Data'!J79</f>
        <v>33.75</v>
      </c>
      <c r="K80" s="16">
        <f>'Clean Data'!K79</f>
        <v>44</v>
      </c>
      <c r="L80" s="16">
        <f>'Clean Data'!L79</f>
        <v>6.95</v>
      </c>
      <c r="M80" s="16">
        <f>'Clean Data'!M79</f>
        <v>56</v>
      </c>
      <c r="N80" s="16" t="str">
        <f>'Clean Data'!N79</f>
        <v>NaN</v>
      </c>
      <c r="O80" s="16" t="str">
        <f>'Clean Data'!O79</f>
        <v>NaN</v>
      </c>
      <c r="P80" s="16" t="str">
        <f>'Clean Data'!P79</f>
        <v>NaN</v>
      </c>
      <c r="Q80" s="16" t="str">
        <f>'Clean Data'!Q79</f>
        <v>NaN</v>
      </c>
      <c r="R80" s="16">
        <f>'Clean Data'!R79</f>
        <v>850</v>
      </c>
      <c r="S80" s="16" t="str">
        <f>'Clean Data'!S79</f>
        <v>continuous</v>
      </c>
      <c r="T80" s="16" t="str">
        <f>'Clean Data'!T79</f>
        <v>NaN</v>
      </c>
      <c r="U80" s="16">
        <f>'Clean Data'!U79</f>
        <v>80</v>
      </c>
      <c r="V80" s="16">
        <f>'Clean Data'!V79</f>
        <v>1</v>
      </c>
      <c r="W80" s="16">
        <f>'Clean Data'!W79</f>
        <v>0.3</v>
      </c>
      <c r="X80" s="16" t="str">
        <f>'Clean Data'!X79</f>
        <v>air + steam</v>
      </c>
      <c r="Y80" s="16" t="str">
        <f>'Clean Data'!Y79</f>
        <v>fluidised bed</v>
      </c>
      <c r="Z80" s="16" t="str">
        <f>'Clean Data'!Z79</f>
        <v>silica</v>
      </c>
      <c r="AA80" s="16">
        <f>'Clean Data'!AA79</f>
        <v>0</v>
      </c>
      <c r="AB80" s="16" t="str">
        <f>'Clean Data'!AB79</f>
        <v>lab</v>
      </c>
      <c r="AC80" s="16">
        <f>'Clean Data'!AC79</f>
        <v>53.1</v>
      </c>
      <c r="AD80" s="16">
        <f>'Clean Data'!AD79</f>
        <v>16.100000000000001</v>
      </c>
      <c r="AE80" s="16">
        <f>'Clean Data'!AE79</f>
        <v>10.1</v>
      </c>
      <c r="AF80" s="16">
        <f>'Clean Data'!AF79</f>
        <v>14.7</v>
      </c>
      <c r="AG80" s="16">
        <f>'Clean Data'!AG79</f>
        <v>3</v>
      </c>
      <c r="AH80" s="16">
        <f>'Clean Data'!AH79</f>
        <v>1.5</v>
      </c>
      <c r="AI80" s="16">
        <f>'Clean Data'!AI79</f>
        <v>4.2</v>
      </c>
      <c r="AJ80" s="16">
        <f>'Clean Data'!AJ79</f>
        <v>3.9</v>
      </c>
      <c r="AK80" s="16">
        <f>'Clean Data'!AK79</f>
        <v>1.4266000000000001</v>
      </c>
      <c r="AL80" s="16">
        <f>'Clean Data'!AL79</f>
        <v>7.5915500000000016</v>
      </c>
      <c r="AM80" s="16">
        <f>'Clean Data'!AM79</f>
        <v>52.101913043478262</v>
      </c>
      <c r="AN80" s="16">
        <f>'Clean Data'!AN79</f>
        <v>87.6</v>
      </c>
      <c r="AO80" s="16" t="str">
        <f>'Clean Data'!AO79</f>
        <v>de Andres, Fuel Processing Technology 2011, 92, 433-440</v>
      </c>
      <c r="AP80" s="16"/>
      <c r="AQ80" s="16"/>
      <c r="AR80" s="16"/>
      <c r="AS80" s="16"/>
      <c r="AT80" s="16"/>
    </row>
    <row r="81" spans="1:46" x14ac:dyDescent="0.3">
      <c r="A81" s="16">
        <f>'Clean Data'!A80</f>
        <v>79</v>
      </c>
      <c r="B81" s="16" t="str">
        <f>'Clean Data'!B80</f>
        <v>sewage sludge</v>
      </c>
      <c r="C81" s="16" t="str">
        <f>'Clean Data'!C80</f>
        <v>other</v>
      </c>
      <c r="D81" s="16">
        <f>'Clean Data'!D80</f>
        <v>3.5</v>
      </c>
      <c r="E81" s="16">
        <f>'Clean Data'!E80</f>
        <v>11.5</v>
      </c>
      <c r="F81" s="16">
        <f>'Clean Data'!F80</f>
        <v>48.75</v>
      </c>
      <c r="G81" s="16">
        <f>'Clean Data'!G80</f>
        <v>8.5714285714285712</v>
      </c>
      <c r="H81" s="16">
        <f>'Clean Data'!H80</f>
        <v>7.3214285714285712</v>
      </c>
      <c r="I81" s="16">
        <f>'Clean Data'!I80</f>
        <v>1.6071428571428572</v>
      </c>
      <c r="J81" s="16">
        <f>'Clean Data'!J80</f>
        <v>33.75</v>
      </c>
      <c r="K81" s="16">
        <f>'Clean Data'!K80</f>
        <v>44</v>
      </c>
      <c r="L81" s="16">
        <f>'Clean Data'!L80</f>
        <v>6.95</v>
      </c>
      <c r="M81" s="16">
        <f>'Clean Data'!M80</f>
        <v>56</v>
      </c>
      <c r="N81" s="16" t="str">
        <f>'Clean Data'!N80</f>
        <v>NaN</v>
      </c>
      <c r="O81" s="16" t="str">
        <f>'Clean Data'!O80</f>
        <v>NaN</v>
      </c>
      <c r="P81" s="16" t="str">
        <f>'Clean Data'!P80</f>
        <v>NaN</v>
      </c>
      <c r="Q81" s="16" t="str">
        <f>'Clean Data'!Q80</f>
        <v>NaN</v>
      </c>
      <c r="R81" s="16">
        <f>'Clean Data'!R80</f>
        <v>750</v>
      </c>
      <c r="S81" s="16" t="str">
        <f>'Clean Data'!S80</f>
        <v>continuous</v>
      </c>
      <c r="T81" s="16" t="str">
        <f>'Clean Data'!T80</f>
        <v>NaN</v>
      </c>
      <c r="U81" s="16">
        <f>'Clean Data'!U80</f>
        <v>80</v>
      </c>
      <c r="V81" s="16" t="str">
        <f>'Clean Data'!V80</f>
        <v>NaN</v>
      </c>
      <c r="W81" s="16">
        <f>'Clean Data'!W80</f>
        <v>0.3</v>
      </c>
      <c r="X81" s="16" t="str">
        <f>'Clean Data'!X80</f>
        <v>air</v>
      </c>
      <c r="Y81" s="16" t="str">
        <f>'Clean Data'!Y80</f>
        <v>fluidised bed</v>
      </c>
      <c r="Z81" s="16" t="str">
        <f>'Clean Data'!Z80</f>
        <v>silica</v>
      </c>
      <c r="AA81" s="16">
        <f>'Clean Data'!AA80</f>
        <v>1</v>
      </c>
      <c r="AB81" s="16" t="str">
        <f>'Clean Data'!AB80</f>
        <v>lab</v>
      </c>
      <c r="AC81" s="16">
        <f>'Clean Data'!AC80</f>
        <v>64.900000000000006</v>
      </c>
      <c r="AD81" s="16">
        <f>'Clean Data'!AD80</f>
        <v>8</v>
      </c>
      <c r="AE81" s="16">
        <f>'Clean Data'!AE80</f>
        <v>7.6</v>
      </c>
      <c r="AF81" s="16">
        <f>'Clean Data'!AF80</f>
        <v>14.2</v>
      </c>
      <c r="AG81" s="16">
        <f>'Clean Data'!AG80</f>
        <v>2.2999999999999998</v>
      </c>
      <c r="AH81" s="16">
        <f>'Clean Data'!AH80</f>
        <v>1.5</v>
      </c>
      <c r="AI81" s="16">
        <f>'Clean Data'!AI80</f>
        <v>2.7</v>
      </c>
      <c r="AJ81" s="16">
        <f>'Clean Data'!AJ80</f>
        <v>7.4</v>
      </c>
      <c r="AK81" s="16">
        <f>'Clean Data'!AK80</f>
        <v>1.2737500000000002</v>
      </c>
      <c r="AL81" s="16">
        <f>'Clean Data'!AL80</f>
        <v>25.271200000000004</v>
      </c>
      <c r="AM81" s="16">
        <f>'Clean Data'!AM80</f>
        <v>29.905434782608701</v>
      </c>
      <c r="AN81" s="16">
        <f>'Clean Data'!AN80</f>
        <v>68.400000000000006</v>
      </c>
      <c r="AO81" s="16" t="str">
        <f>'Clean Data'!AO80</f>
        <v>de Andres, Fuel Processing Technology 2011, 92, 433-440</v>
      </c>
      <c r="AP81" s="16"/>
      <c r="AQ81" s="16"/>
      <c r="AR81" s="16"/>
      <c r="AS81" s="16"/>
      <c r="AT81" s="16"/>
    </row>
    <row r="82" spans="1:46" x14ac:dyDescent="0.3">
      <c r="A82" s="16">
        <f>'Clean Data'!A81</f>
        <v>80</v>
      </c>
      <c r="B82" s="16" t="str">
        <f>'Clean Data'!B81</f>
        <v>sewage sludge</v>
      </c>
      <c r="C82" s="16" t="str">
        <f>'Clean Data'!C81</f>
        <v>other</v>
      </c>
      <c r="D82" s="16">
        <f>'Clean Data'!D81</f>
        <v>3.5</v>
      </c>
      <c r="E82" s="16">
        <f>'Clean Data'!E81</f>
        <v>11.5</v>
      </c>
      <c r="F82" s="16">
        <f>'Clean Data'!F81</f>
        <v>48.75</v>
      </c>
      <c r="G82" s="16">
        <f>'Clean Data'!G81</f>
        <v>8.5714285714285712</v>
      </c>
      <c r="H82" s="16">
        <f>'Clean Data'!H81</f>
        <v>7.3214285714285712</v>
      </c>
      <c r="I82" s="16">
        <f>'Clean Data'!I81</f>
        <v>1.6071428571428572</v>
      </c>
      <c r="J82" s="16">
        <f>'Clean Data'!J81</f>
        <v>33.75</v>
      </c>
      <c r="K82" s="16">
        <f>'Clean Data'!K81</f>
        <v>44</v>
      </c>
      <c r="L82" s="16">
        <f>'Clean Data'!L81</f>
        <v>6.95</v>
      </c>
      <c r="M82" s="16">
        <f>'Clean Data'!M81</f>
        <v>56</v>
      </c>
      <c r="N82" s="16" t="str">
        <f>'Clean Data'!N81</f>
        <v>NaN</v>
      </c>
      <c r="O82" s="16" t="str">
        <f>'Clean Data'!O81</f>
        <v>NaN</v>
      </c>
      <c r="P82" s="16" t="str">
        <f>'Clean Data'!P81</f>
        <v>NaN</v>
      </c>
      <c r="Q82" s="16" t="str">
        <f>'Clean Data'!Q81</f>
        <v>NaN</v>
      </c>
      <c r="R82" s="16">
        <f>'Clean Data'!R81</f>
        <v>800</v>
      </c>
      <c r="S82" s="16" t="str">
        <f>'Clean Data'!S81</f>
        <v>continuous</v>
      </c>
      <c r="T82" s="16" t="str">
        <f>'Clean Data'!T81</f>
        <v>NaN</v>
      </c>
      <c r="U82" s="16">
        <f>'Clean Data'!U81</f>
        <v>80</v>
      </c>
      <c r="V82" s="16" t="str">
        <f>'Clean Data'!V81</f>
        <v>NaN</v>
      </c>
      <c r="W82" s="16">
        <f>'Clean Data'!W81</f>
        <v>0.3</v>
      </c>
      <c r="X82" s="16" t="str">
        <f>'Clean Data'!X81</f>
        <v>air</v>
      </c>
      <c r="Y82" s="16" t="str">
        <f>'Clean Data'!Y81</f>
        <v>fluidised bed</v>
      </c>
      <c r="Z82" s="16" t="str">
        <f>'Clean Data'!Z81</f>
        <v>silica</v>
      </c>
      <c r="AA82" s="16">
        <f>'Clean Data'!AA81</f>
        <v>1</v>
      </c>
      <c r="AB82" s="16" t="str">
        <f>'Clean Data'!AB81</f>
        <v>lab</v>
      </c>
      <c r="AC82" s="16">
        <f>'Clean Data'!AC81</f>
        <v>60.1</v>
      </c>
      <c r="AD82" s="16">
        <f>'Clean Data'!AD81</f>
        <v>12.3</v>
      </c>
      <c r="AE82" s="16">
        <f>'Clean Data'!AE81</f>
        <v>8.5</v>
      </c>
      <c r="AF82" s="16">
        <f>'Clean Data'!AF81</f>
        <v>13.5</v>
      </c>
      <c r="AG82" s="16">
        <f>'Clean Data'!AG81</f>
        <v>2.8</v>
      </c>
      <c r="AH82" s="16">
        <f>'Clean Data'!AH81</f>
        <v>1.3</v>
      </c>
      <c r="AI82" s="16">
        <f>'Clean Data'!AI81</f>
        <v>3.5</v>
      </c>
      <c r="AJ82" s="16">
        <f>'Clean Data'!AJ81</f>
        <v>4.3</v>
      </c>
      <c r="AK82" s="16">
        <f>'Clean Data'!AK81</f>
        <v>1.3756500000000003</v>
      </c>
      <c r="AL82" s="16">
        <f>'Clean Data'!AL81</f>
        <v>29.500050000000002</v>
      </c>
      <c r="AM82" s="16">
        <f>'Clean Data'!AM81</f>
        <v>41.86760869565218</v>
      </c>
      <c r="AN82" s="16">
        <f>'Clean Data'!AN81</f>
        <v>73.099999999999994</v>
      </c>
      <c r="AO82" s="16" t="str">
        <f>'Clean Data'!AO81</f>
        <v>de Andres, Fuel Processing Technology 2011, 92, 433-440</v>
      </c>
      <c r="AP82" s="16"/>
      <c r="AQ82" s="16"/>
      <c r="AR82" s="16"/>
      <c r="AS82" s="16"/>
      <c r="AT82" s="16"/>
    </row>
    <row r="83" spans="1:46" x14ac:dyDescent="0.3">
      <c r="A83" s="16">
        <f>'Clean Data'!A82</f>
        <v>81</v>
      </c>
      <c r="B83" s="16" t="str">
        <f>'Clean Data'!B82</f>
        <v>sewage sludge</v>
      </c>
      <c r="C83" s="16" t="str">
        <f>'Clean Data'!C82</f>
        <v>other</v>
      </c>
      <c r="D83" s="16">
        <f>'Clean Data'!D82</f>
        <v>3.5</v>
      </c>
      <c r="E83" s="16">
        <f>'Clean Data'!E82</f>
        <v>11.5</v>
      </c>
      <c r="F83" s="16">
        <f>'Clean Data'!F82</f>
        <v>48.75</v>
      </c>
      <c r="G83" s="16">
        <f>'Clean Data'!G82</f>
        <v>8.5714285714285712</v>
      </c>
      <c r="H83" s="16">
        <f>'Clean Data'!H82</f>
        <v>7.3214285714285712</v>
      </c>
      <c r="I83" s="16">
        <f>'Clean Data'!I82</f>
        <v>1.6071428571428572</v>
      </c>
      <c r="J83" s="16">
        <f>'Clean Data'!J82</f>
        <v>33.75</v>
      </c>
      <c r="K83" s="16">
        <f>'Clean Data'!K82</f>
        <v>44</v>
      </c>
      <c r="L83" s="16">
        <f>'Clean Data'!L82</f>
        <v>6.95</v>
      </c>
      <c r="M83" s="16">
        <f>'Clean Data'!M82</f>
        <v>56</v>
      </c>
      <c r="N83" s="16" t="str">
        <f>'Clean Data'!N82</f>
        <v>NaN</v>
      </c>
      <c r="O83" s="16" t="str">
        <f>'Clean Data'!O82</f>
        <v>NaN</v>
      </c>
      <c r="P83" s="16" t="str">
        <f>'Clean Data'!P82</f>
        <v>NaN</v>
      </c>
      <c r="Q83" s="16" t="str">
        <f>'Clean Data'!Q82</f>
        <v>NaN</v>
      </c>
      <c r="R83" s="16">
        <f>'Clean Data'!R82</f>
        <v>850</v>
      </c>
      <c r="S83" s="16" t="str">
        <f>'Clean Data'!S82</f>
        <v>continuous</v>
      </c>
      <c r="T83" s="16" t="str">
        <f>'Clean Data'!T82</f>
        <v>NaN</v>
      </c>
      <c r="U83" s="16">
        <f>'Clean Data'!U82</f>
        <v>80</v>
      </c>
      <c r="V83" s="16" t="str">
        <f>'Clean Data'!V82</f>
        <v>NaN</v>
      </c>
      <c r="W83" s="16">
        <f>'Clean Data'!W82</f>
        <v>0.3</v>
      </c>
      <c r="X83" s="16" t="str">
        <f>'Clean Data'!X82</f>
        <v>air</v>
      </c>
      <c r="Y83" s="16" t="str">
        <f>'Clean Data'!Y82</f>
        <v>fluidised bed</v>
      </c>
      <c r="Z83" s="16" t="str">
        <f>'Clean Data'!Z82</f>
        <v>silica</v>
      </c>
      <c r="AA83" s="16">
        <f>'Clean Data'!AA82</f>
        <v>1</v>
      </c>
      <c r="AB83" s="16" t="str">
        <f>'Clean Data'!AB82</f>
        <v>lab</v>
      </c>
      <c r="AC83" s="16">
        <f>'Clean Data'!AC82</f>
        <v>55.1</v>
      </c>
      <c r="AD83" s="16">
        <f>'Clean Data'!AD82</f>
        <v>15</v>
      </c>
      <c r="AE83" s="16">
        <f>'Clean Data'!AE82</f>
        <v>12.2</v>
      </c>
      <c r="AF83" s="16">
        <f>'Clean Data'!AF82</f>
        <v>12.5</v>
      </c>
      <c r="AG83" s="16">
        <f>'Clean Data'!AG82</f>
        <v>2.8</v>
      </c>
      <c r="AH83" s="16">
        <f>'Clean Data'!AH82</f>
        <v>1</v>
      </c>
      <c r="AI83" s="16">
        <f>'Clean Data'!AI82</f>
        <v>4.3</v>
      </c>
      <c r="AJ83" s="16">
        <f>'Clean Data'!AJ82</f>
        <v>2.2999999999999998</v>
      </c>
      <c r="AK83" s="16">
        <f>'Clean Data'!AK82</f>
        <v>1.4266000000000001</v>
      </c>
      <c r="AL83" s="16">
        <f>'Clean Data'!AL82</f>
        <v>9.2728999999999999</v>
      </c>
      <c r="AM83" s="16">
        <f>'Clean Data'!AM82</f>
        <v>53.342434782608692</v>
      </c>
      <c r="AN83" s="16">
        <f>'Clean Data'!AN82</f>
        <v>85.5</v>
      </c>
      <c r="AO83" s="16" t="str">
        <f>'Clean Data'!AO82</f>
        <v>de Andres, Fuel Processing Technology 2011, 92, 433-440</v>
      </c>
      <c r="AP83" s="16"/>
      <c r="AQ83" s="16"/>
      <c r="AR83" s="16"/>
      <c r="AS83" s="16"/>
      <c r="AT83" s="16"/>
    </row>
    <row r="84" spans="1:46" x14ac:dyDescent="0.3">
      <c r="A84" s="16">
        <f>'Clean Data'!A83</f>
        <v>82</v>
      </c>
      <c r="B84" s="16" t="str">
        <f>'Clean Data'!B83</f>
        <v>sewage sludge</v>
      </c>
      <c r="C84" s="16" t="str">
        <f>'Clean Data'!C83</f>
        <v>other</v>
      </c>
      <c r="D84" s="16">
        <f>'Clean Data'!D83</f>
        <v>3.5</v>
      </c>
      <c r="E84" s="16">
        <f>'Clean Data'!E83</f>
        <v>11.5</v>
      </c>
      <c r="F84" s="16">
        <f>'Clean Data'!F83</f>
        <v>48.75</v>
      </c>
      <c r="G84" s="16">
        <f>'Clean Data'!G83</f>
        <v>8.5714285714285712</v>
      </c>
      <c r="H84" s="16">
        <f>'Clean Data'!H83</f>
        <v>7.3214285714285712</v>
      </c>
      <c r="I84" s="16">
        <f>'Clean Data'!I83</f>
        <v>1.6071428571428572</v>
      </c>
      <c r="J84" s="16">
        <f>'Clean Data'!J83</f>
        <v>33.75</v>
      </c>
      <c r="K84" s="16">
        <f>'Clean Data'!K83</f>
        <v>44</v>
      </c>
      <c r="L84" s="16">
        <f>'Clean Data'!L83</f>
        <v>6.95</v>
      </c>
      <c r="M84" s="16">
        <f>'Clean Data'!M83</f>
        <v>56</v>
      </c>
      <c r="N84" s="16" t="str">
        <f>'Clean Data'!N83</f>
        <v>NaN</v>
      </c>
      <c r="O84" s="16" t="str">
        <f>'Clean Data'!O83</f>
        <v>NaN</v>
      </c>
      <c r="P84" s="16" t="str">
        <f>'Clean Data'!P83</f>
        <v>NaN</v>
      </c>
      <c r="Q84" s="16" t="str">
        <f>'Clean Data'!Q83</f>
        <v>NaN</v>
      </c>
      <c r="R84" s="16">
        <f>'Clean Data'!R83</f>
        <v>750</v>
      </c>
      <c r="S84" s="16" t="str">
        <f>'Clean Data'!S83</f>
        <v>continuous</v>
      </c>
      <c r="T84" s="16" t="str">
        <f>'Clean Data'!T83</f>
        <v>NaN</v>
      </c>
      <c r="U84" s="16">
        <f>'Clean Data'!U83</f>
        <v>80</v>
      </c>
      <c r="V84" s="16" t="str">
        <f>'Clean Data'!V83</f>
        <v>NaN</v>
      </c>
      <c r="W84" s="16">
        <f>'Clean Data'!W83</f>
        <v>0.3</v>
      </c>
      <c r="X84" s="16" t="str">
        <f>'Clean Data'!X83</f>
        <v>air</v>
      </c>
      <c r="Y84" s="16" t="str">
        <f>'Clean Data'!Y83</f>
        <v>fluidised bed</v>
      </c>
      <c r="Z84" s="16" t="str">
        <f>'Clean Data'!Z83</f>
        <v>silica</v>
      </c>
      <c r="AA84" s="16">
        <f>'Clean Data'!AA83</f>
        <v>1</v>
      </c>
      <c r="AB84" s="16" t="str">
        <f>'Clean Data'!AB83</f>
        <v>lab</v>
      </c>
      <c r="AC84" s="16">
        <f>'Clean Data'!AC83</f>
        <v>64.400000000000006</v>
      </c>
      <c r="AD84" s="16">
        <f>'Clean Data'!AD83</f>
        <v>8.8000000000000007</v>
      </c>
      <c r="AE84" s="16">
        <f>'Clean Data'!AE83</f>
        <v>7.7</v>
      </c>
      <c r="AF84" s="16">
        <f>'Clean Data'!AF83</f>
        <v>14.1</v>
      </c>
      <c r="AG84" s="16">
        <f>'Clean Data'!AG83</f>
        <v>2.2999999999999998</v>
      </c>
      <c r="AH84" s="16">
        <f>'Clean Data'!AH83</f>
        <v>1.3</v>
      </c>
      <c r="AI84" s="16">
        <f>'Clean Data'!AI83</f>
        <v>2.8</v>
      </c>
      <c r="AJ84" s="16">
        <f>'Clean Data'!AJ83</f>
        <v>4.7</v>
      </c>
      <c r="AK84" s="16">
        <f>'Clean Data'!AK83</f>
        <v>1.2737500000000002</v>
      </c>
      <c r="AL84" s="16">
        <f>'Clean Data'!AL83</f>
        <v>26.137350000000001</v>
      </c>
      <c r="AM84" s="16">
        <f>'Clean Data'!AM83</f>
        <v>31.013043478260869</v>
      </c>
      <c r="AN84" s="16">
        <f>'Clean Data'!AN83</f>
        <v>69.400000000000006</v>
      </c>
      <c r="AO84" s="16" t="str">
        <f>'Clean Data'!AO83</f>
        <v>de Andres, Fuel Processing Technology 2011, 92, 433-440</v>
      </c>
      <c r="AP84" s="16"/>
      <c r="AQ84" s="16"/>
      <c r="AR84" s="16"/>
      <c r="AS84" s="16"/>
      <c r="AT84" s="16"/>
    </row>
    <row r="85" spans="1:46" x14ac:dyDescent="0.3">
      <c r="A85" s="16">
        <f>'Clean Data'!A84</f>
        <v>83</v>
      </c>
      <c r="B85" s="16" t="str">
        <f>'Clean Data'!B84</f>
        <v>sewage sludge</v>
      </c>
      <c r="C85" s="16" t="str">
        <f>'Clean Data'!C84</f>
        <v>other</v>
      </c>
      <c r="D85" s="16">
        <f>'Clean Data'!D84</f>
        <v>3.5</v>
      </c>
      <c r="E85" s="16">
        <f>'Clean Data'!E84</f>
        <v>11.5</v>
      </c>
      <c r="F85" s="16">
        <f>'Clean Data'!F84</f>
        <v>48.75</v>
      </c>
      <c r="G85" s="16">
        <f>'Clean Data'!G84</f>
        <v>8.5714285714285712</v>
      </c>
      <c r="H85" s="16">
        <f>'Clean Data'!H84</f>
        <v>7.3214285714285712</v>
      </c>
      <c r="I85" s="16">
        <f>'Clean Data'!I84</f>
        <v>1.6071428571428572</v>
      </c>
      <c r="J85" s="16">
        <f>'Clean Data'!J84</f>
        <v>33.75</v>
      </c>
      <c r="K85" s="16">
        <f>'Clean Data'!K84</f>
        <v>44</v>
      </c>
      <c r="L85" s="16">
        <f>'Clean Data'!L84</f>
        <v>6.95</v>
      </c>
      <c r="M85" s="16">
        <f>'Clean Data'!M84</f>
        <v>56</v>
      </c>
      <c r="N85" s="16" t="str">
        <f>'Clean Data'!N84</f>
        <v>NaN</v>
      </c>
      <c r="O85" s="16" t="str">
        <f>'Clean Data'!O84</f>
        <v>NaN</v>
      </c>
      <c r="P85" s="16" t="str">
        <f>'Clean Data'!P84</f>
        <v>NaN</v>
      </c>
      <c r="Q85" s="16" t="str">
        <f>'Clean Data'!Q84</f>
        <v>NaN</v>
      </c>
      <c r="R85" s="16">
        <f>'Clean Data'!R84</f>
        <v>800</v>
      </c>
      <c r="S85" s="16" t="str">
        <f>'Clean Data'!S84</f>
        <v>continuous</v>
      </c>
      <c r="T85" s="16" t="str">
        <f>'Clean Data'!T84</f>
        <v>NaN</v>
      </c>
      <c r="U85" s="16">
        <f>'Clean Data'!U84</f>
        <v>80</v>
      </c>
      <c r="V85" s="16" t="str">
        <f>'Clean Data'!V84</f>
        <v>NaN</v>
      </c>
      <c r="W85" s="16">
        <f>'Clean Data'!W84</f>
        <v>0.3</v>
      </c>
      <c r="X85" s="16" t="str">
        <f>'Clean Data'!X84</f>
        <v>air</v>
      </c>
      <c r="Y85" s="16" t="str">
        <f>'Clean Data'!Y84</f>
        <v>fluidised bed</v>
      </c>
      <c r="Z85" s="16" t="str">
        <f>'Clean Data'!Z84</f>
        <v>silica</v>
      </c>
      <c r="AA85" s="16">
        <f>'Clean Data'!AA84</f>
        <v>1</v>
      </c>
      <c r="AB85" s="16" t="str">
        <f>'Clean Data'!AB84</f>
        <v>lab</v>
      </c>
      <c r="AC85" s="16">
        <f>'Clean Data'!AC84</f>
        <v>59.8</v>
      </c>
      <c r="AD85" s="16">
        <f>'Clean Data'!AD84</f>
        <v>12.1</v>
      </c>
      <c r="AE85" s="16">
        <f>'Clean Data'!AE84</f>
        <v>8.3000000000000007</v>
      </c>
      <c r="AF85" s="16">
        <f>'Clean Data'!AF84</f>
        <v>12.6</v>
      </c>
      <c r="AG85" s="16">
        <f>'Clean Data'!AG84</f>
        <v>2.8</v>
      </c>
      <c r="AH85" s="16">
        <f>'Clean Data'!AH84</f>
        <v>1.4</v>
      </c>
      <c r="AI85" s="16">
        <f>'Clean Data'!AI84</f>
        <v>3.5</v>
      </c>
      <c r="AJ85" s="16">
        <f>'Clean Data'!AJ84</f>
        <v>2.6</v>
      </c>
      <c r="AK85" s="16">
        <f>'Clean Data'!AK84</f>
        <v>1.4266000000000001</v>
      </c>
      <c r="AL85" s="16">
        <f>'Clean Data'!AL84</f>
        <v>42.950850000000003</v>
      </c>
      <c r="AM85" s="16">
        <f>'Clean Data'!AM84</f>
        <v>43.418260869565216</v>
      </c>
      <c r="AN85" s="16">
        <f>'Clean Data'!AN84</f>
        <v>71.400000000000006</v>
      </c>
      <c r="AO85" s="16" t="str">
        <f>'Clean Data'!AO84</f>
        <v>de Andres, Fuel Processing Technology 2011, 92, 433-440</v>
      </c>
      <c r="AP85" s="16"/>
      <c r="AQ85" s="16"/>
      <c r="AR85" s="16"/>
      <c r="AS85" s="16"/>
      <c r="AT85" s="16"/>
    </row>
    <row r="86" spans="1:46" x14ac:dyDescent="0.3">
      <c r="A86" s="16">
        <f>'Clean Data'!A85</f>
        <v>84</v>
      </c>
      <c r="B86" s="16" t="str">
        <f>'Clean Data'!B85</f>
        <v>sewage sludge</v>
      </c>
      <c r="C86" s="16" t="str">
        <f>'Clean Data'!C85</f>
        <v>other</v>
      </c>
      <c r="D86" s="16">
        <f>'Clean Data'!D85</f>
        <v>3.5</v>
      </c>
      <c r="E86" s="16">
        <f>'Clean Data'!E85</f>
        <v>11.5</v>
      </c>
      <c r="F86" s="16">
        <f>'Clean Data'!F85</f>
        <v>48.75</v>
      </c>
      <c r="G86" s="16">
        <f>'Clean Data'!G85</f>
        <v>8.5714285714285712</v>
      </c>
      <c r="H86" s="16">
        <f>'Clean Data'!H85</f>
        <v>7.3214285714285712</v>
      </c>
      <c r="I86" s="16">
        <f>'Clean Data'!I85</f>
        <v>1.6071428571428572</v>
      </c>
      <c r="J86" s="16">
        <f>'Clean Data'!J85</f>
        <v>33.75</v>
      </c>
      <c r="K86" s="16">
        <f>'Clean Data'!K85</f>
        <v>44</v>
      </c>
      <c r="L86" s="16">
        <f>'Clean Data'!L85</f>
        <v>6.95</v>
      </c>
      <c r="M86" s="16">
        <f>'Clean Data'!M85</f>
        <v>56</v>
      </c>
      <c r="N86" s="16" t="str">
        <f>'Clean Data'!N85</f>
        <v>NaN</v>
      </c>
      <c r="O86" s="16" t="str">
        <f>'Clean Data'!O85</f>
        <v>NaN</v>
      </c>
      <c r="P86" s="16" t="str">
        <f>'Clean Data'!P85</f>
        <v>NaN</v>
      </c>
      <c r="Q86" s="16" t="str">
        <f>'Clean Data'!Q85</f>
        <v>NaN</v>
      </c>
      <c r="R86" s="16">
        <f>'Clean Data'!R85</f>
        <v>850</v>
      </c>
      <c r="S86" s="16" t="str">
        <f>'Clean Data'!S85</f>
        <v>continuous</v>
      </c>
      <c r="T86" s="16" t="str">
        <f>'Clean Data'!T85</f>
        <v>NaN</v>
      </c>
      <c r="U86" s="16">
        <f>'Clean Data'!U85</f>
        <v>80</v>
      </c>
      <c r="V86" s="16" t="str">
        <f>'Clean Data'!V85</f>
        <v>NaN</v>
      </c>
      <c r="W86" s="16">
        <f>'Clean Data'!W85</f>
        <v>0.3</v>
      </c>
      <c r="X86" s="16" t="str">
        <f>'Clean Data'!X85</f>
        <v>air</v>
      </c>
      <c r="Y86" s="16" t="str">
        <f>'Clean Data'!Y85</f>
        <v>fluidised bed</v>
      </c>
      <c r="Z86" s="16" t="str">
        <f>'Clean Data'!Z85</f>
        <v>silica</v>
      </c>
      <c r="AA86" s="16">
        <f>'Clean Data'!AA85</f>
        <v>1</v>
      </c>
      <c r="AB86" s="16" t="str">
        <f>'Clean Data'!AB85</f>
        <v>lab</v>
      </c>
      <c r="AC86" s="16">
        <f>'Clean Data'!AC85</f>
        <v>56.5</v>
      </c>
      <c r="AD86" s="16">
        <f>'Clean Data'!AD85</f>
        <v>14.2</v>
      </c>
      <c r="AE86" s="16">
        <f>'Clean Data'!AE85</f>
        <v>12.2</v>
      </c>
      <c r="AF86" s="16">
        <f>'Clean Data'!AF85</f>
        <v>12.2</v>
      </c>
      <c r="AG86" s="16">
        <f>'Clean Data'!AG85</f>
        <v>2.5</v>
      </c>
      <c r="AH86" s="16">
        <f>'Clean Data'!AH85</f>
        <v>1</v>
      </c>
      <c r="AI86" s="16">
        <f>'Clean Data'!AI85</f>
        <v>4.0999999999999996</v>
      </c>
      <c r="AJ86" s="16">
        <f>'Clean Data'!AJ85</f>
        <v>1.4</v>
      </c>
      <c r="AK86" s="16">
        <f>'Clean Data'!AK85</f>
        <v>1.4266000000000001</v>
      </c>
      <c r="AL86" s="16">
        <f>'Clean Data'!AL85</f>
        <v>8.4067500000000006</v>
      </c>
      <c r="AM86" s="16">
        <f>'Clean Data'!AM85</f>
        <v>50.861391304347819</v>
      </c>
      <c r="AN86" s="16">
        <f>'Clean Data'!AN85</f>
        <v>83.3</v>
      </c>
      <c r="AO86" s="16" t="str">
        <f>'Clean Data'!AO85</f>
        <v>de Andres, Fuel Processing Technology 2011, 92, 433-440</v>
      </c>
      <c r="AP86" s="16"/>
      <c r="AQ86" s="16"/>
      <c r="AR86" s="16"/>
      <c r="AS86" s="16"/>
      <c r="AT86" s="16"/>
    </row>
    <row r="87" spans="1:46" x14ac:dyDescent="0.3">
      <c r="A87" s="16">
        <f>'Clean Data'!A86</f>
        <v>85</v>
      </c>
      <c r="B87" s="16" t="str">
        <f>'Clean Data'!B86</f>
        <v>sewage sludge</v>
      </c>
      <c r="C87" s="16" t="str">
        <f>'Clean Data'!C86</f>
        <v>other</v>
      </c>
      <c r="D87" s="16">
        <f>'Clean Data'!D86</f>
        <v>3.5</v>
      </c>
      <c r="E87" s="16">
        <f>'Clean Data'!E86</f>
        <v>11.5</v>
      </c>
      <c r="F87" s="16">
        <f>'Clean Data'!F86</f>
        <v>48.75</v>
      </c>
      <c r="G87" s="16">
        <f>'Clean Data'!G86</f>
        <v>8.5714285714285712</v>
      </c>
      <c r="H87" s="16">
        <f>'Clean Data'!H86</f>
        <v>7.3214285714285712</v>
      </c>
      <c r="I87" s="16">
        <f>'Clean Data'!I86</f>
        <v>1.6071428571428572</v>
      </c>
      <c r="J87" s="16">
        <f>'Clean Data'!J86</f>
        <v>33.75</v>
      </c>
      <c r="K87" s="16">
        <f>'Clean Data'!K86</f>
        <v>44</v>
      </c>
      <c r="L87" s="16">
        <f>'Clean Data'!L86</f>
        <v>6.95</v>
      </c>
      <c r="M87" s="16">
        <f>'Clean Data'!M86</f>
        <v>56</v>
      </c>
      <c r="N87" s="16" t="str">
        <f>'Clean Data'!N86</f>
        <v>NaN</v>
      </c>
      <c r="O87" s="16" t="str">
        <f>'Clean Data'!O86</f>
        <v>NaN</v>
      </c>
      <c r="P87" s="16" t="str">
        <f>'Clean Data'!P86</f>
        <v>NaN</v>
      </c>
      <c r="Q87" s="16" t="str">
        <f>'Clean Data'!Q86</f>
        <v>NaN</v>
      </c>
      <c r="R87" s="16">
        <f>'Clean Data'!R86</f>
        <v>800</v>
      </c>
      <c r="S87" s="16" t="str">
        <f>'Clean Data'!S86</f>
        <v>continuous</v>
      </c>
      <c r="T87" s="16" t="str">
        <f>'Clean Data'!T86</f>
        <v>NaN</v>
      </c>
      <c r="U87" s="16">
        <f>'Clean Data'!U86</f>
        <v>80</v>
      </c>
      <c r="V87" s="16">
        <f>'Clean Data'!V86</f>
        <v>0.5</v>
      </c>
      <c r="W87" s="16">
        <f>'Clean Data'!W86</f>
        <v>0.3</v>
      </c>
      <c r="X87" s="16" t="str">
        <f>'Clean Data'!X86</f>
        <v>air + steam</v>
      </c>
      <c r="Y87" s="16" t="str">
        <f>'Clean Data'!Y86</f>
        <v>fluidised bed</v>
      </c>
      <c r="Z87" s="16" t="str">
        <f>'Clean Data'!Z86</f>
        <v>silica</v>
      </c>
      <c r="AA87" s="16">
        <f>'Clean Data'!AA86</f>
        <v>1</v>
      </c>
      <c r="AB87" s="16" t="str">
        <f>'Clean Data'!AB86</f>
        <v>lab</v>
      </c>
      <c r="AC87" s="16">
        <f>'Clean Data'!AC86</f>
        <v>58.2</v>
      </c>
      <c r="AD87" s="16">
        <f>'Clean Data'!AD86</f>
        <v>13.3</v>
      </c>
      <c r="AE87" s="16">
        <f>'Clean Data'!AE86</f>
        <v>8.4</v>
      </c>
      <c r="AF87" s="16">
        <f>'Clean Data'!AF86</f>
        <v>14.9</v>
      </c>
      <c r="AG87" s="16">
        <f>'Clean Data'!AG86</f>
        <v>2.4</v>
      </c>
      <c r="AH87" s="16">
        <f>'Clean Data'!AH86</f>
        <v>1.3</v>
      </c>
      <c r="AI87" s="16">
        <f>'Clean Data'!AI86</f>
        <v>3.5</v>
      </c>
      <c r="AJ87" s="16">
        <f>'Clean Data'!AJ86</f>
        <v>3.4</v>
      </c>
      <c r="AK87" s="16">
        <f>'Clean Data'!AK86</f>
        <v>1.3756500000000003</v>
      </c>
      <c r="AL87" s="16">
        <f>'Clean Data'!AL86</f>
        <v>13.501750000000001</v>
      </c>
      <c r="AM87" s="16">
        <f>'Clean Data'!AM86</f>
        <v>41.86760869565218</v>
      </c>
      <c r="AN87" s="16">
        <f>'Clean Data'!AN86</f>
        <v>79</v>
      </c>
      <c r="AO87" s="16" t="str">
        <f>'Clean Data'!AO86</f>
        <v>de Andres, Fuel Processing Technology 2011, 92, 433-440</v>
      </c>
      <c r="AP87" s="16"/>
      <c r="AQ87" s="16"/>
      <c r="AR87" s="16"/>
      <c r="AS87" s="16"/>
      <c r="AT87" s="16"/>
    </row>
    <row r="88" spans="1:46" x14ac:dyDescent="0.3">
      <c r="A88" s="16">
        <f>'Clean Data'!A87</f>
        <v>86</v>
      </c>
      <c r="B88" s="16" t="str">
        <f>'Clean Data'!B87</f>
        <v>sewage sludge</v>
      </c>
      <c r="C88" s="16" t="str">
        <f>'Clean Data'!C87</f>
        <v>other</v>
      </c>
      <c r="D88" s="16">
        <f>'Clean Data'!D87</f>
        <v>3.5</v>
      </c>
      <c r="E88" s="16">
        <f>'Clean Data'!E87</f>
        <v>11.5</v>
      </c>
      <c r="F88" s="16">
        <f>'Clean Data'!F87</f>
        <v>48.75</v>
      </c>
      <c r="G88" s="16">
        <f>'Clean Data'!G87</f>
        <v>8.5714285714285712</v>
      </c>
      <c r="H88" s="16">
        <f>'Clean Data'!H87</f>
        <v>7.3214285714285712</v>
      </c>
      <c r="I88" s="16">
        <f>'Clean Data'!I87</f>
        <v>1.6071428571428572</v>
      </c>
      <c r="J88" s="16">
        <f>'Clean Data'!J87</f>
        <v>33.75</v>
      </c>
      <c r="K88" s="16">
        <f>'Clean Data'!K87</f>
        <v>44</v>
      </c>
      <c r="L88" s="16">
        <f>'Clean Data'!L87</f>
        <v>6.95</v>
      </c>
      <c r="M88" s="16">
        <f>'Clean Data'!M87</f>
        <v>56</v>
      </c>
      <c r="N88" s="16" t="str">
        <f>'Clean Data'!N87</f>
        <v>NaN</v>
      </c>
      <c r="O88" s="16" t="str">
        <f>'Clean Data'!O87</f>
        <v>NaN</v>
      </c>
      <c r="P88" s="16" t="str">
        <f>'Clean Data'!P87</f>
        <v>NaN</v>
      </c>
      <c r="Q88" s="16" t="str">
        <f>'Clean Data'!Q87</f>
        <v>NaN</v>
      </c>
      <c r="R88" s="16">
        <f>'Clean Data'!R87</f>
        <v>800</v>
      </c>
      <c r="S88" s="16" t="str">
        <f>'Clean Data'!S87</f>
        <v>continuous</v>
      </c>
      <c r="T88" s="16" t="str">
        <f>'Clean Data'!T87</f>
        <v>NaN</v>
      </c>
      <c r="U88" s="16">
        <f>'Clean Data'!U87</f>
        <v>80</v>
      </c>
      <c r="V88" s="16">
        <f>'Clean Data'!V87</f>
        <v>1</v>
      </c>
      <c r="W88" s="16">
        <f>'Clean Data'!W87</f>
        <v>0.3</v>
      </c>
      <c r="X88" s="16" t="str">
        <f>'Clean Data'!X87</f>
        <v>air + steam</v>
      </c>
      <c r="Y88" s="16" t="str">
        <f>'Clean Data'!Y87</f>
        <v>fluidised bed</v>
      </c>
      <c r="Z88" s="16" t="str">
        <f>'Clean Data'!Z87</f>
        <v>silica</v>
      </c>
      <c r="AA88" s="16">
        <f>'Clean Data'!AA87</f>
        <v>1</v>
      </c>
      <c r="AB88" s="16" t="str">
        <f>'Clean Data'!AB87</f>
        <v>lab</v>
      </c>
      <c r="AC88" s="16">
        <f>'Clean Data'!AC87</f>
        <v>56.1</v>
      </c>
      <c r="AD88" s="16">
        <f>'Clean Data'!AD87</f>
        <v>15.2</v>
      </c>
      <c r="AE88" s="16">
        <f>'Clean Data'!AE87</f>
        <v>8.1</v>
      </c>
      <c r="AF88" s="16">
        <f>'Clean Data'!AF87</f>
        <v>15.3</v>
      </c>
      <c r="AG88" s="16">
        <f>'Clean Data'!AG87</f>
        <v>2.6</v>
      </c>
      <c r="AH88" s="16">
        <f>'Clean Data'!AH87</f>
        <v>1.3</v>
      </c>
      <c r="AI88" s="16">
        <f>'Clean Data'!AI87</f>
        <v>3.7</v>
      </c>
      <c r="AJ88" s="16">
        <f>'Clean Data'!AJ87</f>
        <v>3.5</v>
      </c>
      <c r="AK88" s="16">
        <f>'Clean Data'!AK87</f>
        <v>1.3756500000000003</v>
      </c>
      <c r="AL88" s="16">
        <f>'Clean Data'!AL87</f>
        <v>15.183100000000003</v>
      </c>
      <c r="AM88" s="16">
        <f>'Clean Data'!AM87</f>
        <v>44.260043478260876</v>
      </c>
      <c r="AN88" s="16">
        <f>'Clean Data'!AN87</f>
        <v>80.8</v>
      </c>
      <c r="AO88" s="16" t="str">
        <f>'Clean Data'!AO87</f>
        <v>de Andres, Fuel Processing Technology 2011, 92, 433-440</v>
      </c>
      <c r="AP88" s="16"/>
      <c r="AQ88" s="16"/>
      <c r="AR88" s="16"/>
      <c r="AS88" s="16"/>
      <c r="AT88" s="16"/>
    </row>
    <row r="89" spans="1:46" x14ac:dyDescent="0.3">
      <c r="A89" s="16">
        <f>'Clean Data'!A88</f>
        <v>87</v>
      </c>
      <c r="B89" s="16" t="str">
        <f>'Clean Data'!B88</f>
        <v>woody biomass</v>
      </c>
      <c r="C89" s="16" t="str">
        <f>'Clean Data'!C88</f>
        <v>chips</v>
      </c>
      <c r="D89" s="16">
        <f>'Clean Data'!D88</f>
        <v>5</v>
      </c>
      <c r="E89" s="16">
        <f>'Clean Data'!E88</f>
        <v>12.146853999999999</v>
      </c>
      <c r="F89" s="16">
        <f>'Clean Data'!F88</f>
        <v>46.4</v>
      </c>
      <c r="G89" s="16">
        <f>'Clean Data'!G88</f>
        <v>5.7</v>
      </c>
      <c r="H89" s="16">
        <f>'Clean Data'!H88</f>
        <v>0.2</v>
      </c>
      <c r="I89" s="16">
        <f>'Clean Data'!I88</f>
        <v>0</v>
      </c>
      <c r="J89" s="16">
        <f>'Clean Data'!J88</f>
        <v>47.7</v>
      </c>
      <c r="K89" s="16">
        <f>'Clean Data'!K88</f>
        <v>1.095890410958904</v>
      </c>
      <c r="L89" s="16">
        <f>'Clean Data'!L88</f>
        <v>9.5</v>
      </c>
      <c r="M89" s="16">
        <f>'Clean Data'!M88</f>
        <v>88.9</v>
      </c>
      <c r="N89" s="16">
        <f>'Clean Data'!N88</f>
        <v>10</v>
      </c>
      <c r="O89" s="16" t="str">
        <f>'Clean Data'!O88</f>
        <v>NaN</v>
      </c>
      <c r="P89" s="16" t="str">
        <f>'Clean Data'!P88</f>
        <v>NaN</v>
      </c>
      <c r="Q89" s="16" t="str">
        <f>'Clean Data'!Q88</f>
        <v>NaN</v>
      </c>
      <c r="R89" s="16">
        <f>'Clean Data'!R88</f>
        <v>761</v>
      </c>
      <c r="S89" s="16" t="str">
        <f>'Clean Data'!S88</f>
        <v>continuous</v>
      </c>
      <c r="T89" s="16" t="str">
        <f>'Clean Data'!T88</f>
        <v>atmospheric</v>
      </c>
      <c r="U89" s="16" t="str">
        <f>'Clean Data'!U88</f>
        <v>NaN</v>
      </c>
      <c r="V89" s="16" t="str">
        <f>'Clean Data'!V88</f>
        <v>NaN</v>
      </c>
      <c r="W89" s="16">
        <f>'Clean Data'!W88</f>
        <v>0.38</v>
      </c>
      <c r="X89" s="16" t="str">
        <f>'Clean Data'!X88</f>
        <v>air</v>
      </c>
      <c r="Y89" s="16" t="str">
        <f>'Clean Data'!Y88</f>
        <v>fluidised bed</v>
      </c>
      <c r="Z89" s="16" t="str">
        <f>'Clean Data'!Z88</f>
        <v>silica</v>
      </c>
      <c r="AA89" s="16">
        <f>'Clean Data'!AA88</f>
        <v>0</v>
      </c>
      <c r="AB89" s="16" t="str">
        <f>'Clean Data'!AB88</f>
        <v>lab</v>
      </c>
      <c r="AC89" s="16">
        <f>'Clean Data'!AC88</f>
        <v>58.27953084078721</v>
      </c>
      <c r="AD89" s="16">
        <f>'Clean Data'!AD88</f>
        <v>6.4731458655435254</v>
      </c>
      <c r="AE89" s="16">
        <f>'Clean Data'!AE88</f>
        <v>13.196865119430671</v>
      </c>
      <c r="AF89" s="16">
        <f>'Clean Data'!AF88</f>
        <v>15.911410159819891</v>
      </c>
      <c r="AG89" s="16">
        <f>'Clean Data'!AG88</f>
        <v>3.5080274368106847</v>
      </c>
      <c r="AH89" s="16">
        <f>'Clean Data'!AH88</f>
        <v>1.2946291731087052</v>
      </c>
      <c r="AI89" s="16">
        <f>'Clean Data'!AI88</f>
        <v>4.5918176760442533</v>
      </c>
      <c r="AJ89" s="16" t="str">
        <f>'Clean Data'!AJ88</f>
        <v>NaN</v>
      </c>
      <c r="AK89" s="16">
        <f>'Clean Data'!AK88</f>
        <v>1.8824000000000001</v>
      </c>
      <c r="AL89" s="16" t="str">
        <f>'Clean Data'!AL88</f>
        <v>NaN</v>
      </c>
      <c r="AM89" s="16">
        <f>'Clean Data'!AM88</f>
        <v>71.159475477236356</v>
      </c>
      <c r="AN89" s="16">
        <f>'Clean Data'!AN88</f>
        <v>86.4</v>
      </c>
      <c r="AO89" s="16" t="str">
        <f>'Clean Data'!AO88</f>
        <v>Kaewluan, Fuel Processing Technology 2011, 92, 671-677</v>
      </c>
      <c r="AP89" s="16"/>
      <c r="AQ89" s="16"/>
      <c r="AR89" s="16"/>
      <c r="AS89" s="16"/>
      <c r="AT89" s="16"/>
    </row>
    <row r="90" spans="1:46" x14ac:dyDescent="0.3">
      <c r="A90" s="16">
        <f>'Clean Data'!A89</f>
        <v>88</v>
      </c>
      <c r="B90" s="16" t="str">
        <f>'Clean Data'!B89</f>
        <v>woody biomass</v>
      </c>
      <c r="C90" s="16" t="str">
        <f>'Clean Data'!C89</f>
        <v>chips</v>
      </c>
      <c r="D90" s="16">
        <f>'Clean Data'!D89</f>
        <v>5</v>
      </c>
      <c r="E90" s="16">
        <f>'Clean Data'!E89</f>
        <v>12.146853999999999</v>
      </c>
      <c r="F90" s="16">
        <f>'Clean Data'!F89</f>
        <v>46.4</v>
      </c>
      <c r="G90" s="16">
        <f>'Clean Data'!G89</f>
        <v>5.7</v>
      </c>
      <c r="H90" s="16">
        <f>'Clean Data'!H89</f>
        <v>0.2</v>
      </c>
      <c r="I90" s="16">
        <f>'Clean Data'!I89</f>
        <v>0</v>
      </c>
      <c r="J90" s="16">
        <f>'Clean Data'!J89</f>
        <v>47.7</v>
      </c>
      <c r="K90" s="16">
        <f>'Clean Data'!K89</f>
        <v>1.095890410958904</v>
      </c>
      <c r="L90" s="16">
        <f>'Clean Data'!L89</f>
        <v>18.100000000000001</v>
      </c>
      <c r="M90" s="16">
        <f>'Clean Data'!M89</f>
        <v>88.9</v>
      </c>
      <c r="N90" s="16">
        <f>'Clean Data'!N89</f>
        <v>10</v>
      </c>
      <c r="O90" s="16" t="str">
        <f>'Clean Data'!O89</f>
        <v>NaN</v>
      </c>
      <c r="P90" s="16" t="str">
        <f>'Clean Data'!P89</f>
        <v>NaN</v>
      </c>
      <c r="Q90" s="16" t="str">
        <f>'Clean Data'!Q89</f>
        <v>NaN</v>
      </c>
      <c r="R90" s="16">
        <f>'Clean Data'!R89</f>
        <v>730</v>
      </c>
      <c r="S90" s="16" t="str">
        <f>'Clean Data'!S89</f>
        <v>continuous</v>
      </c>
      <c r="T90" s="16" t="str">
        <f>'Clean Data'!T89</f>
        <v>atmospheric</v>
      </c>
      <c r="U90" s="16" t="str">
        <f>'Clean Data'!U89</f>
        <v>NaN</v>
      </c>
      <c r="V90" s="16" t="str">
        <f>'Clean Data'!V89</f>
        <v>NaN</v>
      </c>
      <c r="W90" s="16">
        <f>'Clean Data'!W89</f>
        <v>0.38</v>
      </c>
      <c r="X90" s="16" t="str">
        <f>'Clean Data'!X89</f>
        <v>air</v>
      </c>
      <c r="Y90" s="16" t="str">
        <f>'Clean Data'!Y89</f>
        <v>fluidised bed</v>
      </c>
      <c r="Z90" s="16" t="str">
        <f>'Clean Data'!Z89</f>
        <v>silica</v>
      </c>
      <c r="AA90" s="16">
        <f>'Clean Data'!AA89</f>
        <v>0</v>
      </c>
      <c r="AB90" s="16" t="str">
        <f>'Clean Data'!AB89</f>
        <v>lab</v>
      </c>
      <c r="AC90" s="16">
        <f>'Clean Data'!AC89</f>
        <v>59.916186038031782</v>
      </c>
      <c r="AD90" s="16">
        <f>'Clean Data'!AD89</f>
        <v>5.571650140713583</v>
      </c>
      <c r="AE90" s="16">
        <f>'Clean Data'!AE89</f>
        <v>11.50405460708488</v>
      </c>
      <c r="AF90" s="16">
        <f>'Clean Data'!AF89</f>
        <v>17.556710515342079</v>
      </c>
      <c r="AG90" s="16">
        <f>'Clean Data'!AG89</f>
        <v>3.4872918146912353</v>
      </c>
      <c r="AH90" s="16">
        <f>'Clean Data'!AH89</f>
        <v>1.242598232821015</v>
      </c>
      <c r="AI90" s="16">
        <f>'Clean Data'!AI89</f>
        <v>4.2382765759376859</v>
      </c>
      <c r="AJ90" s="16" t="str">
        <f>'Clean Data'!AJ89</f>
        <v>NaN</v>
      </c>
      <c r="AK90" s="16">
        <f>'Clean Data'!AK89</f>
        <v>1.65438</v>
      </c>
      <c r="AL90" s="16" t="str">
        <f>'Clean Data'!AL89</f>
        <v>NaN</v>
      </c>
      <c r="AM90" s="16">
        <f>'Clean Data'!AM89</f>
        <v>57.724576270528878</v>
      </c>
      <c r="AN90" s="16">
        <f>'Clean Data'!AN89</f>
        <v>83.2</v>
      </c>
      <c r="AO90" s="16" t="str">
        <f>'Clean Data'!AO89</f>
        <v>Kaewluan, Fuel Processing Technology 2011, 92, 671-677</v>
      </c>
      <c r="AP90" s="16"/>
      <c r="AQ90" s="16"/>
      <c r="AR90" s="16"/>
      <c r="AS90" s="16"/>
      <c r="AT90" s="16"/>
    </row>
    <row r="91" spans="1:46" x14ac:dyDescent="0.3">
      <c r="A91" s="16">
        <f>'Clean Data'!A90</f>
        <v>89</v>
      </c>
      <c r="B91" s="16" t="str">
        <f>'Clean Data'!B90</f>
        <v>woody biomass</v>
      </c>
      <c r="C91" s="16" t="str">
        <f>'Clean Data'!C90</f>
        <v>chips</v>
      </c>
      <c r="D91" s="16">
        <f>'Clean Data'!D90</f>
        <v>5</v>
      </c>
      <c r="E91" s="16">
        <f>'Clean Data'!E90</f>
        <v>12.146853999999999</v>
      </c>
      <c r="F91" s="16">
        <f>'Clean Data'!F90</f>
        <v>46.4</v>
      </c>
      <c r="G91" s="16">
        <f>'Clean Data'!G90</f>
        <v>5.7</v>
      </c>
      <c r="H91" s="16">
        <f>'Clean Data'!H90</f>
        <v>0.2</v>
      </c>
      <c r="I91" s="16">
        <f>'Clean Data'!I90</f>
        <v>0</v>
      </c>
      <c r="J91" s="16">
        <f>'Clean Data'!J90</f>
        <v>47.7</v>
      </c>
      <c r="K91" s="16">
        <f>'Clean Data'!K90</f>
        <v>1.095890410958904</v>
      </c>
      <c r="L91" s="16">
        <f>'Clean Data'!L90</f>
        <v>25.5</v>
      </c>
      <c r="M91" s="16">
        <f>'Clean Data'!M90</f>
        <v>88.9</v>
      </c>
      <c r="N91" s="16">
        <f>'Clean Data'!N90</f>
        <v>10</v>
      </c>
      <c r="O91" s="16" t="str">
        <f>'Clean Data'!O90</f>
        <v>NaN</v>
      </c>
      <c r="P91" s="16" t="str">
        <f>'Clean Data'!P90</f>
        <v>NaN</v>
      </c>
      <c r="Q91" s="16" t="str">
        <f>'Clean Data'!Q90</f>
        <v>NaN</v>
      </c>
      <c r="R91" s="16">
        <f>'Clean Data'!R90</f>
        <v>699</v>
      </c>
      <c r="S91" s="16" t="str">
        <f>'Clean Data'!S90</f>
        <v>continuous</v>
      </c>
      <c r="T91" s="16" t="str">
        <f>'Clean Data'!T90</f>
        <v>atmospheric</v>
      </c>
      <c r="U91" s="16" t="str">
        <f>'Clean Data'!U90</f>
        <v>NaN</v>
      </c>
      <c r="V91" s="16" t="str">
        <f>'Clean Data'!V90</f>
        <v>NaN</v>
      </c>
      <c r="W91" s="16">
        <f>'Clean Data'!W90</f>
        <v>0.38</v>
      </c>
      <c r="X91" s="16" t="str">
        <f>'Clean Data'!X90</f>
        <v>air</v>
      </c>
      <c r="Y91" s="16" t="str">
        <f>'Clean Data'!Y90</f>
        <v>fluidised bed</v>
      </c>
      <c r="Z91" s="16" t="str">
        <f>'Clean Data'!Z90</f>
        <v>silica</v>
      </c>
      <c r="AA91" s="16">
        <f>'Clean Data'!AA90</f>
        <v>0</v>
      </c>
      <c r="AB91" s="16" t="str">
        <f>'Clean Data'!AB90</f>
        <v>lab</v>
      </c>
      <c r="AC91" s="16">
        <f>'Clean Data'!AC90</f>
        <v>61.445842000861553</v>
      </c>
      <c r="AD91" s="16">
        <f>'Clean Data'!AD90</f>
        <v>5.4361362778785214</v>
      </c>
      <c r="AE91" s="16">
        <f>'Clean Data'!AE90</f>
        <v>10.409622659767381</v>
      </c>
      <c r="AF91" s="16">
        <f>'Clean Data'!AF90</f>
        <v>17.657804363605408</v>
      </c>
      <c r="AG91" s="16">
        <f>'Clean Data'!AG90</f>
        <v>3.1999951139284915</v>
      </c>
      <c r="AH91" s="16">
        <f>'Clean Data'!AH90</f>
        <v>1.195178897973292</v>
      </c>
      <c r="AI91" s="16">
        <f>'Clean Data'!AI90</f>
        <v>3.9407506964921635</v>
      </c>
      <c r="AJ91" s="16" t="str">
        <f>'Clean Data'!AJ90</f>
        <v>NaN</v>
      </c>
      <c r="AK91" s="16">
        <f>'Clean Data'!AK90</f>
        <v>1.49</v>
      </c>
      <c r="AL91" s="16" t="str">
        <f>'Clean Data'!AL90</f>
        <v>NaN</v>
      </c>
      <c r="AM91" s="16">
        <f>'Clean Data'!AM90</f>
        <v>48.339418072970368</v>
      </c>
      <c r="AN91" s="16">
        <f>'Clean Data'!AN90</f>
        <v>79.599999999999994</v>
      </c>
      <c r="AO91" s="16" t="str">
        <f>'Clean Data'!AO90</f>
        <v>Kaewluan, Fuel Processing Technology 2011, 92, 671-677</v>
      </c>
      <c r="AP91" s="16"/>
      <c r="AQ91" s="16"/>
      <c r="AR91" s="16"/>
      <c r="AS91" s="16"/>
      <c r="AT91" s="16"/>
    </row>
    <row r="92" spans="1:46" x14ac:dyDescent="0.3">
      <c r="A92" s="16">
        <f>'Clean Data'!A91</f>
        <v>90</v>
      </c>
      <c r="B92" s="16" t="str">
        <f>'Clean Data'!B91</f>
        <v>woody biomass</v>
      </c>
      <c r="C92" s="16" t="str">
        <f>'Clean Data'!C91</f>
        <v>chips</v>
      </c>
      <c r="D92" s="16">
        <f>'Clean Data'!D91</f>
        <v>5</v>
      </c>
      <c r="E92" s="16">
        <f>'Clean Data'!E91</f>
        <v>11.529541930000001</v>
      </c>
      <c r="F92" s="16">
        <f>'Clean Data'!F91</f>
        <v>46.4</v>
      </c>
      <c r="G92" s="16">
        <f>'Clean Data'!G91</f>
        <v>5.7</v>
      </c>
      <c r="H92" s="16">
        <f>'Clean Data'!H91</f>
        <v>0.2</v>
      </c>
      <c r="I92" s="16">
        <f>'Clean Data'!I91</f>
        <v>0</v>
      </c>
      <c r="J92" s="16">
        <f>'Clean Data'!J91</f>
        <v>47.7</v>
      </c>
      <c r="K92" s="16">
        <f>'Clean Data'!K91</f>
        <v>1.095890410958904</v>
      </c>
      <c r="L92" s="16">
        <f>'Clean Data'!L91</f>
        <v>27</v>
      </c>
      <c r="M92" s="16">
        <f>'Clean Data'!M91</f>
        <v>88.9</v>
      </c>
      <c r="N92" s="16">
        <f>'Clean Data'!N91</f>
        <v>10</v>
      </c>
      <c r="O92" s="16" t="str">
        <f>'Clean Data'!O91</f>
        <v>NaN</v>
      </c>
      <c r="P92" s="16" t="str">
        <f>'Clean Data'!P91</f>
        <v>NaN</v>
      </c>
      <c r="Q92" s="16" t="str">
        <f>'Clean Data'!Q91</f>
        <v>NaN</v>
      </c>
      <c r="R92" s="16">
        <f>'Clean Data'!R91</f>
        <v>705</v>
      </c>
      <c r="S92" s="16" t="str">
        <f>'Clean Data'!S91</f>
        <v>continuous</v>
      </c>
      <c r="T92" s="16" t="str">
        <f>'Clean Data'!T91</f>
        <v>atmospheric</v>
      </c>
      <c r="U92" s="16" t="str">
        <f>'Clean Data'!U91</f>
        <v>NaN</v>
      </c>
      <c r="V92" s="16" t="str">
        <f>'Clean Data'!V91</f>
        <v>NaN</v>
      </c>
      <c r="W92" s="16">
        <f>'Clean Data'!W91</f>
        <v>0.36</v>
      </c>
      <c r="X92" s="16" t="str">
        <f>'Clean Data'!X91</f>
        <v>air</v>
      </c>
      <c r="Y92" s="16" t="str">
        <f>'Clean Data'!Y91</f>
        <v>fluidised bed</v>
      </c>
      <c r="Z92" s="16" t="str">
        <f>'Clean Data'!Z91</f>
        <v>silica</v>
      </c>
      <c r="AA92" s="16">
        <f>'Clean Data'!AA91</f>
        <v>0</v>
      </c>
      <c r="AB92" s="16" t="str">
        <f>'Clean Data'!AB91</f>
        <v>lab</v>
      </c>
      <c r="AC92" s="16">
        <f>'Clean Data'!AC91</f>
        <v>60.746976104600485</v>
      </c>
      <c r="AD92" s="16">
        <f>'Clean Data'!AD91</f>
        <v>5.3151035364884009</v>
      </c>
      <c r="AE92" s="16">
        <f>'Clean Data'!AE91</f>
        <v>10.925490602781712</v>
      </c>
      <c r="AF92" s="16">
        <f>'Clean Data'!AF91</f>
        <v>17.913867474831275</v>
      </c>
      <c r="AG92" s="16">
        <f>'Clean Data'!AG91</f>
        <v>3.2481188278540225</v>
      </c>
      <c r="AH92" s="16">
        <f>'Clean Data'!AH91</f>
        <v>1.1811341192196445</v>
      </c>
      <c r="AI92" s="16">
        <f>'Clean Data'!AI91</f>
        <v>4.0029604305147437</v>
      </c>
      <c r="AJ92" s="16">
        <f>'Clean Data'!AJ91</f>
        <v>14.75</v>
      </c>
      <c r="AK92" s="16">
        <f>'Clean Data'!AK91</f>
        <v>1.2774999999999999</v>
      </c>
      <c r="AL92" s="16" t="str">
        <f>'Clean Data'!AL91</f>
        <v>NaN</v>
      </c>
      <c r="AM92" s="16">
        <f>'Clean Data'!AM91</f>
        <v>44.353730452000569</v>
      </c>
      <c r="AN92" s="16">
        <f>'Clean Data'!AN91</f>
        <v>71</v>
      </c>
      <c r="AO92" s="16" t="str">
        <f>'Clean Data'!AO91</f>
        <v>Kaewluan, Fuel Processing Technology 2011, 92, 671-677</v>
      </c>
      <c r="AP92" s="16"/>
      <c r="AQ92" s="16"/>
      <c r="AR92" s="16"/>
      <c r="AS92" s="16"/>
      <c r="AT92" s="16"/>
    </row>
    <row r="93" spans="1:46" x14ac:dyDescent="0.3">
      <c r="A93" s="16">
        <f>'Clean Data'!A92</f>
        <v>91</v>
      </c>
      <c r="B93" s="16" t="str">
        <f>'Clean Data'!B92</f>
        <v>woody biomass</v>
      </c>
      <c r="C93" s="16" t="str">
        <f>'Clean Data'!C92</f>
        <v>chips</v>
      </c>
      <c r="D93" s="16">
        <f>'Clean Data'!D92</f>
        <v>5</v>
      </c>
      <c r="E93" s="16">
        <f>'Clean Data'!E92</f>
        <v>11.529541930000001</v>
      </c>
      <c r="F93" s="16">
        <f>'Clean Data'!F92</f>
        <v>46.4</v>
      </c>
      <c r="G93" s="16">
        <f>'Clean Data'!G92</f>
        <v>5.7</v>
      </c>
      <c r="H93" s="16">
        <f>'Clean Data'!H92</f>
        <v>0.2</v>
      </c>
      <c r="I93" s="16">
        <f>'Clean Data'!I92</f>
        <v>0</v>
      </c>
      <c r="J93" s="16">
        <f>'Clean Data'!J92</f>
        <v>47.7</v>
      </c>
      <c r="K93" s="16">
        <f>'Clean Data'!K92</f>
        <v>1.095890410958904</v>
      </c>
      <c r="L93" s="16">
        <f>'Clean Data'!L92</f>
        <v>27</v>
      </c>
      <c r="M93" s="16">
        <f>'Clean Data'!M92</f>
        <v>88.9</v>
      </c>
      <c r="N93" s="16">
        <f>'Clean Data'!N92</f>
        <v>10</v>
      </c>
      <c r="O93" s="16" t="str">
        <f>'Clean Data'!O92</f>
        <v>NaN</v>
      </c>
      <c r="P93" s="16" t="str">
        <f>'Clean Data'!P92</f>
        <v>NaN</v>
      </c>
      <c r="Q93" s="16" t="str">
        <f>'Clean Data'!Q92</f>
        <v>NaN</v>
      </c>
      <c r="R93" s="16">
        <f>'Clean Data'!R92</f>
        <v>730</v>
      </c>
      <c r="S93" s="16" t="str">
        <f>'Clean Data'!S92</f>
        <v>continuous</v>
      </c>
      <c r="T93" s="16" t="str">
        <f>'Clean Data'!T92</f>
        <v>atmospheric</v>
      </c>
      <c r="U93" s="16" t="str">
        <f>'Clean Data'!U92</f>
        <v>NaN</v>
      </c>
      <c r="V93" s="16" t="str">
        <f>'Clean Data'!V92</f>
        <v>NaN</v>
      </c>
      <c r="W93" s="16">
        <f>'Clean Data'!W92</f>
        <v>0.39</v>
      </c>
      <c r="X93" s="16" t="str">
        <f>'Clean Data'!X92</f>
        <v>air</v>
      </c>
      <c r="Y93" s="16" t="str">
        <f>'Clean Data'!Y92</f>
        <v>fluidised bed</v>
      </c>
      <c r="Z93" s="16" t="str">
        <f>'Clean Data'!Z92</f>
        <v>silica</v>
      </c>
      <c r="AA93" s="16">
        <f>'Clean Data'!AA92</f>
        <v>0</v>
      </c>
      <c r="AB93" s="16" t="str">
        <f>'Clean Data'!AB92</f>
        <v>lab</v>
      </c>
      <c r="AC93" s="16">
        <f>'Clean Data'!AC92</f>
        <v>61.378418505018132</v>
      </c>
      <c r="AD93" s="16">
        <f>'Clean Data'!AD92</f>
        <v>5.2998677201197673</v>
      </c>
      <c r="AE93" s="16">
        <f>'Clean Data'!AE92</f>
        <v>10.792457902789344</v>
      </c>
      <c r="AF93" s="16">
        <f>'Clean Data'!AF92</f>
        <v>17.634105323307587</v>
      </c>
      <c r="AG93" s="16">
        <f>'Clean Data'!AG92</f>
        <v>3.0835594007969553</v>
      </c>
      <c r="AH93" s="16">
        <f>'Clean Data'!AH92</f>
        <v>1.1563347752988582</v>
      </c>
      <c r="AI93" s="16">
        <f>'Clean Data'!AI92</f>
        <v>3.9032385957566849</v>
      </c>
      <c r="AJ93" s="16">
        <f>'Clean Data'!AJ92</f>
        <v>11.75</v>
      </c>
      <c r="AK93" s="16">
        <f>'Clean Data'!AK92</f>
        <v>1.46</v>
      </c>
      <c r="AL93" s="16" t="str">
        <f>'Clean Data'!AL92</f>
        <v>NaN</v>
      </c>
      <c r="AM93" s="16">
        <f>'Clean Data'!AM92</f>
        <v>49.427187865778102</v>
      </c>
      <c r="AN93" s="16">
        <f>'Clean Data'!AN92</f>
        <v>75</v>
      </c>
      <c r="AO93" s="16" t="str">
        <f>'Clean Data'!AO92</f>
        <v>Kaewluan, Fuel Processing Technology 2011, 92, 671-677</v>
      </c>
      <c r="AP93" s="16"/>
      <c r="AQ93" s="16"/>
      <c r="AR93" s="16"/>
      <c r="AS93" s="16"/>
      <c r="AT93" s="16"/>
    </row>
    <row r="94" spans="1:46" x14ac:dyDescent="0.3">
      <c r="A94" s="16">
        <f>'Clean Data'!A93</f>
        <v>92</v>
      </c>
      <c r="B94" s="16" t="str">
        <f>'Clean Data'!B93</f>
        <v>woody biomass</v>
      </c>
      <c r="C94" s="16" t="str">
        <f>'Clean Data'!C93</f>
        <v>chips</v>
      </c>
      <c r="D94" s="16">
        <f>'Clean Data'!D93</f>
        <v>5</v>
      </c>
      <c r="E94" s="16">
        <f>'Clean Data'!E93</f>
        <v>11.529541930000001</v>
      </c>
      <c r="F94" s="16">
        <f>'Clean Data'!F93</f>
        <v>46.4</v>
      </c>
      <c r="G94" s="16">
        <f>'Clean Data'!G93</f>
        <v>5.7</v>
      </c>
      <c r="H94" s="16">
        <f>'Clean Data'!H93</f>
        <v>0.2</v>
      </c>
      <c r="I94" s="16">
        <f>'Clean Data'!I93</f>
        <v>0</v>
      </c>
      <c r="J94" s="16">
        <f>'Clean Data'!J93</f>
        <v>47.7</v>
      </c>
      <c r="K94" s="16">
        <f>'Clean Data'!K93</f>
        <v>1.095890410958904</v>
      </c>
      <c r="L94" s="16">
        <f>'Clean Data'!L93</f>
        <v>27</v>
      </c>
      <c r="M94" s="16">
        <f>'Clean Data'!M93</f>
        <v>88.9</v>
      </c>
      <c r="N94" s="16">
        <f>'Clean Data'!N93</f>
        <v>10</v>
      </c>
      <c r="O94" s="16" t="str">
        <f>'Clean Data'!O93</f>
        <v>NaN</v>
      </c>
      <c r="P94" s="16" t="str">
        <f>'Clean Data'!P93</f>
        <v>NaN</v>
      </c>
      <c r="Q94" s="16" t="str">
        <f>'Clean Data'!Q93</f>
        <v>NaN</v>
      </c>
      <c r="R94" s="16">
        <f>'Clean Data'!R93</f>
        <v>740</v>
      </c>
      <c r="S94" s="16" t="str">
        <f>'Clean Data'!S93</f>
        <v>continuous</v>
      </c>
      <c r="T94" s="16" t="str">
        <f>'Clean Data'!T93</f>
        <v>atmospheric</v>
      </c>
      <c r="U94" s="16" t="str">
        <f>'Clean Data'!U93</f>
        <v>NaN</v>
      </c>
      <c r="V94" s="16" t="str">
        <f>'Clean Data'!V93</f>
        <v>NaN</v>
      </c>
      <c r="W94" s="16">
        <f>'Clean Data'!W93</f>
        <v>0.42</v>
      </c>
      <c r="X94" s="16" t="str">
        <f>'Clean Data'!X93</f>
        <v>air</v>
      </c>
      <c r="Y94" s="16" t="str">
        <f>'Clean Data'!Y93</f>
        <v>fluidised bed</v>
      </c>
      <c r="Z94" s="16" t="str">
        <f>'Clean Data'!Z93</f>
        <v>silica</v>
      </c>
      <c r="AA94" s="16">
        <f>'Clean Data'!AA93</f>
        <v>0</v>
      </c>
      <c r="AB94" s="16" t="str">
        <f>'Clean Data'!AB93</f>
        <v>lab</v>
      </c>
      <c r="AC94" s="16">
        <f>'Clean Data'!AC93</f>
        <v>62.252104219888309</v>
      </c>
      <c r="AD94" s="16">
        <f>'Clean Data'!AD93</f>
        <v>5.3683384717224705</v>
      </c>
      <c r="AE94" s="16">
        <f>'Clean Data'!AE93</f>
        <v>10.359951436657399</v>
      </c>
      <c r="AF94" s="16">
        <f>'Clean Data'!AF93</f>
        <v>17.329373312226924</v>
      </c>
      <c r="AG94" s="16">
        <f>'Clean Data'!AG93</f>
        <v>3.0138040543003344</v>
      </c>
      <c r="AH94" s="16">
        <f>'Clean Data'!AH93</f>
        <v>1.03599514366574</v>
      </c>
      <c r="AI94" s="16">
        <f>'Clean Data'!AI93</f>
        <v>3.7519885030327629</v>
      </c>
      <c r="AJ94" s="16">
        <f>'Clean Data'!AJ93</f>
        <v>10</v>
      </c>
      <c r="AK94" s="16">
        <f>'Clean Data'!AK93</f>
        <v>1.6060000000000001</v>
      </c>
      <c r="AL94" s="16" t="str">
        <f>'Clean Data'!AL93</f>
        <v>NaN</v>
      </c>
      <c r="AM94" s="16">
        <f>'Clean Data'!AM93</f>
        <v>52.263078381212125</v>
      </c>
      <c r="AN94" s="16">
        <f>'Clean Data'!AN93</f>
        <v>79</v>
      </c>
      <c r="AO94" s="16" t="str">
        <f>'Clean Data'!AO93</f>
        <v>Kaewluan, Fuel Processing Technology 2011, 92, 671-677</v>
      </c>
      <c r="AP94" s="16"/>
      <c r="AQ94" s="16"/>
      <c r="AR94" s="16"/>
      <c r="AS94" s="16"/>
      <c r="AT94" s="16"/>
    </row>
    <row r="95" spans="1:46" x14ac:dyDescent="0.3">
      <c r="A95" s="16">
        <f>'Clean Data'!A94</f>
        <v>93</v>
      </c>
      <c r="B95" s="16" t="str">
        <f>'Clean Data'!B94</f>
        <v>woody biomass</v>
      </c>
      <c r="C95" s="16" t="str">
        <f>'Clean Data'!C94</f>
        <v>chips</v>
      </c>
      <c r="D95" s="16">
        <f>'Clean Data'!D94</f>
        <v>5</v>
      </c>
      <c r="E95" s="16">
        <f>'Clean Data'!E94</f>
        <v>11.529541930000001</v>
      </c>
      <c r="F95" s="16">
        <f>'Clean Data'!F94</f>
        <v>46.4</v>
      </c>
      <c r="G95" s="16">
        <f>'Clean Data'!G94</f>
        <v>5.7</v>
      </c>
      <c r="H95" s="16">
        <f>'Clean Data'!H94</f>
        <v>0.2</v>
      </c>
      <c r="I95" s="16">
        <f>'Clean Data'!I94</f>
        <v>0</v>
      </c>
      <c r="J95" s="16">
        <f>'Clean Data'!J94</f>
        <v>47.7</v>
      </c>
      <c r="K95" s="16">
        <f>'Clean Data'!K94</f>
        <v>1.095890410958904</v>
      </c>
      <c r="L95" s="16">
        <f>'Clean Data'!L94</f>
        <v>27</v>
      </c>
      <c r="M95" s="16">
        <f>'Clean Data'!M94</f>
        <v>88.9</v>
      </c>
      <c r="N95" s="16">
        <f>'Clean Data'!N94</f>
        <v>10</v>
      </c>
      <c r="O95" s="16" t="str">
        <f>'Clean Data'!O94</f>
        <v>NaN</v>
      </c>
      <c r="P95" s="16" t="str">
        <f>'Clean Data'!P94</f>
        <v>NaN</v>
      </c>
      <c r="Q95" s="16" t="str">
        <f>'Clean Data'!Q94</f>
        <v>NaN</v>
      </c>
      <c r="R95" s="16">
        <f>'Clean Data'!R94</f>
        <v>770</v>
      </c>
      <c r="S95" s="16" t="str">
        <f>'Clean Data'!S94</f>
        <v>continuous</v>
      </c>
      <c r="T95" s="16" t="str">
        <f>'Clean Data'!T94</f>
        <v>atmospheric</v>
      </c>
      <c r="U95" s="16" t="str">
        <f>'Clean Data'!U94</f>
        <v>NaN</v>
      </c>
      <c r="V95" s="16" t="str">
        <f>'Clean Data'!V94</f>
        <v>NaN</v>
      </c>
      <c r="W95" s="16">
        <f>'Clean Data'!W94</f>
        <v>0.49</v>
      </c>
      <c r="X95" s="16" t="str">
        <f>'Clean Data'!X94</f>
        <v>air</v>
      </c>
      <c r="Y95" s="16" t="str">
        <f>'Clean Data'!Y94</f>
        <v>fluidised bed</v>
      </c>
      <c r="Z95" s="16" t="str">
        <f>'Clean Data'!Z94</f>
        <v>silica</v>
      </c>
      <c r="AA95" s="16">
        <f>'Clean Data'!AA94</f>
        <v>0</v>
      </c>
      <c r="AB95" s="16" t="str">
        <f>'Clean Data'!AB94</f>
        <v>lab</v>
      </c>
      <c r="AC95" s="16">
        <f>'Clean Data'!AC94</f>
        <v>62.998795113345764</v>
      </c>
      <c r="AD95" s="16">
        <f>'Clean Data'!AD94</f>
        <v>5.1957559519875556</v>
      </c>
      <c r="AE95" s="16">
        <f>'Clean Data'!AE94</f>
        <v>9.92760512254765</v>
      </c>
      <c r="AF95" s="16">
        <f>'Clean Data'!AF94</f>
        <v>17.442894981672506</v>
      </c>
      <c r="AG95" s="16">
        <f>'Clean Data'!AG94</f>
        <v>2.8762220448502536</v>
      </c>
      <c r="AH95" s="16">
        <f>'Clean Data'!AH94</f>
        <v>0.92781356285492056</v>
      </c>
      <c r="AI95" s="16">
        <f>'Clean Data'!AI94</f>
        <v>3.5551393980813324</v>
      </c>
      <c r="AJ95" s="16">
        <f>'Clean Data'!AJ94</f>
        <v>4.25</v>
      </c>
      <c r="AK95" s="16">
        <f>'Clean Data'!AK94</f>
        <v>1.7885</v>
      </c>
      <c r="AL95" s="16" t="str">
        <f>'Clean Data'!AL94</f>
        <v>NaN</v>
      </c>
      <c r="AM95" s="16">
        <f>'Clean Data'!AM94</f>
        <v>55.148477294869096</v>
      </c>
      <c r="AN95" s="16">
        <f>'Clean Data'!AN94</f>
        <v>86</v>
      </c>
      <c r="AO95" s="16" t="str">
        <f>'Clean Data'!AO94</f>
        <v>Kaewluan, Fuel Processing Technology 2011, 92, 671-677</v>
      </c>
      <c r="AP95" s="16"/>
      <c r="AQ95" s="16"/>
      <c r="AR95" s="16"/>
      <c r="AS95" s="16"/>
      <c r="AT95" s="16"/>
    </row>
    <row r="96" spans="1:46" x14ac:dyDescent="0.3">
      <c r="A96" s="16">
        <f>'Clean Data'!A95</f>
        <v>94</v>
      </c>
      <c r="B96" s="16" t="str">
        <f>'Clean Data'!B95</f>
        <v>other</v>
      </c>
      <c r="C96" s="16" t="str">
        <f>'Clean Data'!C95</f>
        <v>chips</v>
      </c>
      <c r="D96" s="16">
        <f>'Clean Data'!D95</f>
        <v>5</v>
      </c>
      <c r="E96" s="16">
        <f>'Clean Data'!E95</f>
        <v>13.837646354838711</v>
      </c>
      <c r="F96" s="16">
        <f>'Clean Data'!F95</f>
        <v>50.940860215053725</v>
      </c>
      <c r="G96" s="16">
        <f>'Clean Data'!G95</f>
        <v>6.1827956989247266</v>
      </c>
      <c r="H96" s="16">
        <f>'Clean Data'!H95</f>
        <v>0.13440860215053735</v>
      </c>
      <c r="I96" s="16">
        <f>'Clean Data'!I95</f>
        <v>0.53763440860215039</v>
      </c>
      <c r="J96" s="16">
        <f>'Clean Data'!J95</f>
        <v>42.204301075268788</v>
      </c>
      <c r="K96" s="16">
        <f>'Clean Data'!K95</f>
        <v>1.5873015873015874</v>
      </c>
      <c r="L96" s="16">
        <f>'Clean Data'!L95</f>
        <v>24.4</v>
      </c>
      <c r="M96" s="16">
        <f>'Clean Data'!M95</f>
        <v>86.63000000000001</v>
      </c>
      <c r="N96" s="16">
        <f>'Clean Data'!N95</f>
        <v>11.9</v>
      </c>
      <c r="O96" s="16" t="str">
        <f>'Clean Data'!O95</f>
        <v>NaN</v>
      </c>
      <c r="P96" s="16" t="str">
        <f>'Clean Data'!P95</f>
        <v>NaN</v>
      </c>
      <c r="Q96" s="16" t="str">
        <f>'Clean Data'!Q95</f>
        <v>NaN</v>
      </c>
      <c r="R96" s="16">
        <f>'Clean Data'!R95</f>
        <v>725</v>
      </c>
      <c r="S96" s="16" t="str">
        <f>'Clean Data'!S95</f>
        <v>continuous</v>
      </c>
      <c r="T96" s="16" t="str">
        <f>'Clean Data'!T95</f>
        <v>atmospheric</v>
      </c>
      <c r="U96" s="16" t="str">
        <f>'Clean Data'!U95</f>
        <v>NaN</v>
      </c>
      <c r="V96" s="16" t="str">
        <f>'Clean Data'!V95</f>
        <v>NaN</v>
      </c>
      <c r="W96" s="16">
        <f>'Clean Data'!W95</f>
        <v>0.3</v>
      </c>
      <c r="X96" s="16" t="str">
        <f>'Clean Data'!X95</f>
        <v>air</v>
      </c>
      <c r="Y96" s="16" t="str">
        <f>'Clean Data'!Y95</f>
        <v>fluidised bed</v>
      </c>
      <c r="Z96" s="16" t="str">
        <f>'Clean Data'!Z95</f>
        <v>silica</v>
      </c>
      <c r="AA96" s="16">
        <f>'Clean Data'!AA95</f>
        <v>0</v>
      </c>
      <c r="AB96" s="16" t="str">
        <f>'Clean Data'!AB95</f>
        <v>lab</v>
      </c>
      <c r="AC96" s="16">
        <f>'Clean Data'!AC95</f>
        <v>58.202453528229817</v>
      </c>
      <c r="AD96" s="16">
        <f>'Clean Data'!AD95</f>
        <v>5.8254420169714543</v>
      </c>
      <c r="AE96" s="16">
        <f>'Clean Data'!AE95</f>
        <v>13.835424790307204</v>
      </c>
      <c r="AF96" s="16">
        <f>'Clean Data'!AF95</f>
        <v>17.060223049702117</v>
      </c>
      <c r="AG96" s="16">
        <f>'Clean Data'!AG95</f>
        <v>3.2247982593949125</v>
      </c>
      <c r="AH96" s="16">
        <f>'Clean Data'!AH95</f>
        <v>1.1442832533336786</v>
      </c>
      <c r="AI96" s="16">
        <f>'Clean Data'!AI95</f>
        <v>4.3936430153227617</v>
      </c>
      <c r="AJ96" s="16">
        <f>'Clean Data'!AJ95</f>
        <v>17.25</v>
      </c>
      <c r="AK96" s="16">
        <f>'Clean Data'!AK95</f>
        <v>1.3986000000000001</v>
      </c>
      <c r="AL96" s="16" t="str">
        <f>'Clean Data'!AL95</f>
        <v>NaN</v>
      </c>
      <c r="AM96" s="16">
        <f>'Clean Data'!AM95</f>
        <v>44.407473378459805</v>
      </c>
      <c r="AN96" s="16">
        <f>'Clean Data'!AN95</f>
        <v>67</v>
      </c>
      <c r="AO96" s="16" t="str">
        <f>'Clean Data'!AO95</f>
        <v>Kaewluan, Fuel Processing Technology 2011, 92, 671-677</v>
      </c>
      <c r="AP96" s="16"/>
      <c r="AQ96" s="16"/>
      <c r="AR96" s="16"/>
      <c r="AS96" s="16"/>
      <c r="AT96" s="16"/>
    </row>
    <row r="97" spans="1:46" x14ac:dyDescent="0.3">
      <c r="A97" s="16">
        <f>'Clean Data'!A96</f>
        <v>95</v>
      </c>
      <c r="B97" s="16" t="str">
        <f>'Clean Data'!B96</f>
        <v>other</v>
      </c>
      <c r="C97" s="16" t="str">
        <f>'Clean Data'!C96</f>
        <v>chips</v>
      </c>
      <c r="D97" s="16">
        <f>'Clean Data'!D96</f>
        <v>5</v>
      </c>
      <c r="E97" s="16">
        <f>'Clean Data'!E96</f>
        <v>13.86244561904762</v>
      </c>
      <c r="F97" s="16">
        <f>'Clean Data'!F96</f>
        <v>50.940860215053725</v>
      </c>
      <c r="G97" s="16">
        <f>'Clean Data'!G96</f>
        <v>6.1827956989247266</v>
      </c>
      <c r="H97" s="16">
        <f>'Clean Data'!H96</f>
        <v>0.13440860215053735</v>
      </c>
      <c r="I97" s="16">
        <f>'Clean Data'!I96</f>
        <v>0.53763440860215039</v>
      </c>
      <c r="J97" s="16">
        <f>'Clean Data'!J96</f>
        <v>42.204301075268788</v>
      </c>
      <c r="K97" s="16">
        <f>'Clean Data'!K96</f>
        <v>1.5873015873015874</v>
      </c>
      <c r="L97" s="16">
        <f>'Clean Data'!L96</f>
        <v>24.4</v>
      </c>
      <c r="M97" s="16">
        <f>'Clean Data'!M96</f>
        <v>86.63000000000001</v>
      </c>
      <c r="N97" s="16">
        <f>'Clean Data'!N96</f>
        <v>11.9</v>
      </c>
      <c r="O97" s="16" t="str">
        <f>'Clean Data'!O96</f>
        <v>NaN</v>
      </c>
      <c r="P97" s="16" t="str">
        <f>'Clean Data'!P96</f>
        <v>NaN</v>
      </c>
      <c r="Q97" s="16" t="str">
        <f>'Clean Data'!Q96</f>
        <v>NaN</v>
      </c>
      <c r="R97" s="16">
        <f>'Clean Data'!R96</f>
        <v>770</v>
      </c>
      <c r="S97" s="16" t="str">
        <f>'Clean Data'!S96</f>
        <v>continuous</v>
      </c>
      <c r="T97" s="16" t="str">
        <f>'Clean Data'!T96</f>
        <v>atmospheric</v>
      </c>
      <c r="U97" s="16" t="str">
        <f>'Clean Data'!U96</f>
        <v>NaN</v>
      </c>
      <c r="V97" s="16" t="str">
        <f>'Clean Data'!V96</f>
        <v>NaN</v>
      </c>
      <c r="W97" s="16">
        <f>'Clean Data'!W96</f>
        <v>0.38</v>
      </c>
      <c r="X97" s="16" t="str">
        <f>'Clean Data'!X96</f>
        <v>air</v>
      </c>
      <c r="Y97" s="16" t="str">
        <f>'Clean Data'!Y96</f>
        <v>fluidised bed</v>
      </c>
      <c r="Z97" s="16" t="str">
        <f>'Clean Data'!Z96</f>
        <v>silica</v>
      </c>
      <c r="AA97" s="16">
        <f>'Clean Data'!AA96</f>
        <v>0</v>
      </c>
      <c r="AB97" s="16" t="str">
        <f>'Clean Data'!AB96</f>
        <v>lab</v>
      </c>
      <c r="AC97" s="16">
        <f>'Clean Data'!AC96</f>
        <v>60.214284919561408</v>
      </c>
      <c r="AD97" s="16">
        <f>'Clean Data'!AD96</f>
        <v>5.7288268983749715</v>
      </c>
      <c r="AE97" s="16">
        <f>'Clean Data'!AE96</f>
        <v>12.741701205006402</v>
      </c>
      <c r="AF97" s="16">
        <f>'Clean Data'!AF96</f>
        <v>16.297524797101211</v>
      </c>
      <c r="AG97" s="16">
        <f>'Clean Data'!AG96</f>
        <v>3.160732081862053</v>
      </c>
      <c r="AH97" s="16">
        <f>'Clean Data'!AH96</f>
        <v>1.1852745306982699</v>
      </c>
      <c r="AI97" s="16">
        <f>'Clean Data'!AI96</f>
        <v>4.2454069488849218</v>
      </c>
      <c r="AJ97" s="16">
        <f>'Clean Data'!AJ96</f>
        <v>9.5</v>
      </c>
      <c r="AK97" s="16">
        <f>'Clean Data'!AK96</f>
        <v>1.7387999999999999</v>
      </c>
      <c r="AL97" s="16" t="str">
        <f>'Clean Data'!AL96</f>
        <v>NaN</v>
      </c>
      <c r="AM97" s="16">
        <f>'Clean Data'!AM96</f>
        <v>53.251163651657706</v>
      </c>
      <c r="AN97" s="16">
        <f>'Clean Data'!AN96</f>
        <v>80</v>
      </c>
      <c r="AO97" s="16" t="str">
        <f>'Clean Data'!AO96</f>
        <v>Kaewluan, Fuel Processing Technology 2011, 92, 671-677</v>
      </c>
      <c r="AP97" s="16"/>
      <c r="AQ97" s="16"/>
      <c r="AR97" s="16"/>
      <c r="AS97" s="16"/>
      <c r="AT97" s="16"/>
    </row>
    <row r="98" spans="1:46" x14ac:dyDescent="0.3">
      <c r="A98" s="16">
        <f>'Clean Data'!A97</f>
        <v>96</v>
      </c>
      <c r="B98" s="16" t="str">
        <f>'Clean Data'!B97</f>
        <v>other</v>
      </c>
      <c r="C98" s="16" t="str">
        <f>'Clean Data'!C97</f>
        <v>chips</v>
      </c>
      <c r="D98" s="16">
        <f>'Clean Data'!D97</f>
        <v>5</v>
      </c>
      <c r="E98" s="16">
        <f>'Clean Data'!E97</f>
        <v>13.86244561904762</v>
      </c>
      <c r="F98" s="16">
        <f>'Clean Data'!F97</f>
        <v>50.940860215053725</v>
      </c>
      <c r="G98" s="16">
        <f>'Clean Data'!G97</f>
        <v>6.1827956989247266</v>
      </c>
      <c r="H98" s="16">
        <f>'Clean Data'!H97</f>
        <v>0.13440860215053735</v>
      </c>
      <c r="I98" s="16">
        <f>'Clean Data'!I97</f>
        <v>0.53763440860215039</v>
      </c>
      <c r="J98" s="16">
        <f>'Clean Data'!J97</f>
        <v>42.204301075268788</v>
      </c>
      <c r="K98" s="16">
        <f>'Clean Data'!K97</f>
        <v>1.5873015873015874</v>
      </c>
      <c r="L98" s="16">
        <f>'Clean Data'!L97</f>
        <v>24.4</v>
      </c>
      <c r="M98" s="16">
        <f>'Clean Data'!M97</f>
        <v>86.63000000000001</v>
      </c>
      <c r="N98" s="16">
        <f>'Clean Data'!N97</f>
        <v>11.9</v>
      </c>
      <c r="O98" s="16" t="str">
        <f>'Clean Data'!O97</f>
        <v>NaN</v>
      </c>
      <c r="P98" s="16" t="str">
        <f>'Clean Data'!P97</f>
        <v>NaN</v>
      </c>
      <c r="Q98" s="16" t="str">
        <f>'Clean Data'!Q97</f>
        <v>NaN</v>
      </c>
      <c r="R98" s="16">
        <f>'Clean Data'!R97</f>
        <v>785</v>
      </c>
      <c r="S98" s="16" t="str">
        <f>'Clean Data'!S97</f>
        <v>continuous</v>
      </c>
      <c r="T98" s="16" t="str">
        <f>'Clean Data'!T97</f>
        <v>atmospheric</v>
      </c>
      <c r="U98" s="16" t="str">
        <f>'Clean Data'!U97</f>
        <v>NaN</v>
      </c>
      <c r="V98" s="16" t="str">
        <f>'Clean Data'!V97</f>
        <v>NaN</v>
      </c>
      <c r="W98" s="16">
        <f>'Clean Data'!W97</f>
        <v>0.43</v>
      </c>
      <c r="X98" s="16" t="str">
        <f>'Clean Data'!X97</f>
        <v>air</v>
      </c>
      <c r="Y98" s="16" t="str">
        <f>'Clean Data'!Y97</f>
        <v>fluidised bed</v>
      </c>
      <c r="Z98" s="16" t="str">
        <f>'Clean Data'!Z97</f>
        <v>silica</v>
      </c>
      <c r="AA98" s="16">
        <f>'Clean Data'!AA97</f>
        <v>0</v>
      </c>
      <c r="AB98" s="16" t="str">
        <f>'Clean Data'!AB97</f>
        <v>lab</v>
      </c>
      <c r="AC98" s="16">
        <f>'Clean Data'!AC97</f>
        <v>60.312764278195395</v>
      </c>
      <c r="AD98" s="16">
        <f>'Clean Data'!AD97</f>
        <v>6.1239637002286837</v>
      </c>
      <c r="AE98" s="16">
        <f>'Clean Data'!AE97</f>
        <v>12.643021832730186</v>
      </c>
      <c r="AF98" s="16">
        <f>'Clean Data'!AF97</f>
        <v>16.198871723185551</v>
      </c>
      <c r="AG98" s="16">
        <f>'Clean Data'!AG97</f>
        <v>3.1607554581825466</v>
      </c>
      <c r="AH98" s="16">
        <f>'Clean Data'!AH97</f>
        <v>0.8889624726138412</v>
      </c>
      <c r="AI98" s="16">
        <f>'Clean Data'!AI97</f>
        <v>4.088192808111101</v>
      </c>
      <c r="AJ98" s="16">
        <f>'Clean Data'!AJ97</f>
        <v>6.5</v>
      </c>
      <c r="AK98" s="16">
        <f>'Clean Data'!AK97</f>
        <v>1.9656000000000002</v>
      </c>
      <c r="AL98" s="16" t="str">
        <f>'Clean Data'!AL97</f>
        <v>NaN</v>
      </c>
      <c r="AM98" s="16">
        <f>'Clean Data'!AM97</f>
        <v>57.967778590104622</v>
      </c>
      <c r="AN98" s="16">
        <f>'Clean Data'!AN97</f>
        <v>88</v>
      </c>
      <c r="AO98" s="16" t="str">
        <f>'Clean Data'!AO97</f>
        <v>Kaewluan, Fuel Processing Technology 2011, 92, 671-677</v>
      </c>
      <c r="AP98" s="16"/>
      <c r="AQ98" s="16"/>
      <c r="AR98" s="16"/>
      <c r="AS98" s="16"/>
      <c r="AT98" s="16"/>
    </row>
    <row r="99" spans="1:46" x14ac:dyDescent="0.3">
      <c r="A99" s="16">
        <f>'Clean Data'!A98</f>
        <v>97</v>
      </c>
      <c r="B99" s="16" t="str">
        <f>'Clean Data'!B98</f>
        <v>other</v>
      </c>
      <c r="C99" s="16" t="str">
        <f>'Clean Data'!C98</f>
        <v>chips</v>
      </c>
      <c r="D99" s="16">
        <f>'Clean Data'!D98</f>
        <v>5</v>
      </c>
      <c r="E99" s="16">
        <f>'Clean Data'!E98</f>
        <v>13.86244561904762</v>
      </c>
      <c r="F99" s="16">
        <f>'Clean Data'!F98</f>
        <v>50.940860215053725</v>
      </c>
      <c r="G99" s="16">
        <f>'Clean Data'!G98</f>
        <v>6.1827956989247266</v>
      </c>
      <c r="H99" s="16">
        <f>'Clean Data'!H98</f>
        <v>0.13440860215053735</v>
      </c>
      <c r="I99" s="16">
        <f>'Clean Data'!I98</f>
        <v>0.53763440860215039</v>
      </c>
      <c r="J99" s="16">
        <f>'Clean Data'!J98</f>
        <v>42.204301075268788</v>
      </c>
      <c r="K99" s="16">
        <f>'Clean Data'!K98</f>
        <v>1.5873015873015874</v>
      </c>
      <c r="L99" s="16">
        <f>'Clean Data'!L98</f>
        <v>24.4</v>
      </c>
      <c r="M99" s="16">
        <f>'Clean Data'!M98</f>
        <v>86.63000000000001</v>
      </c>
      <c r="N99" s="16">
        <f>'Clean Data'!N98</f>
        <v>11.9</v>
      </c>
      <c r="O99" s="16" t="str">
        <f>'Clean Data'!O98</f>
        <v>NaN</v>
      </c>
      <c r="P99" s="16" t="str">
        <f>'Clean Data'!P98</f>
        <v>NaN</v>
      </c>
      <c r="Q99" s="16" t="str">
        <f>'Clean Data'!Q98</f>
        <v>NaN</v>
      </c>
      <c r="R99" s="16">
        <f>'Clean Data'!R98</f>
        <v>810</v>
      </c>
      <c r="S99" s="16" t="str">
        <f>'Clean Data'!S98</f>
        <v>continuous</v>
      </c>
      <c r="T99" s="16" t="str">
        <f>'Clean Data'!T98</f>
        <v>atmospheric</v>
      </c>
      <c r="U99" s="16" t="str">
        <f>'Clean Data'!U98</f>
        <v>NaN</v>
      </c>
      <c r="V99" s="16" t="str">
        <f>'Clean Data'!V98</f>
        <v>NaN</v>
      </c>
      <c r="W99" s="16">
        <f>'Clean Data'!W98</f>
        <v>0.46</v>
      </c>
      <c r="X99" s="16" t="str">
        <f>'Clean Data'!X98</f>
        <v>air</v>
      </c>
      <c r="Y99" s="16" t="str">
        <f>'Clean Data'!Y98</f>
        <v>fluidised bed</v>
      </c>
      <c r="Z99" s="16" t="str">
        <f>'Clean Data'!Z98</f>
        <v>silica</v>
      </c>
      <c r="AA99" s="16">
        <f>'Clean Data'!AA98</f>
        <v>0</v>
      </c>
      <c r="AB99" s="16" t="str">
        <f>'Clean Data'!AB98</f>
        <v>lab</v>
      </c>
      <c r="AC99" s="16">
        <f>'Clean Data'!AC98</f>
        <v>61.897275980775966</v>
      </c>
      <c r="AD99" s="16">
        <f>'Clean Data'!AD98</f>
        <v>5.4729024098934973</v>
      </c>
      <c r="AE99" s="16">
        <f>'Clean Data'!AE98</f>
        <v>12.361210615449107</v>
      </c>
      <c r="AF99" s="16">
        <f>'Clean Data'!AF98</f>
        <v>15.758184525038175</v>
      </c>
      <c r="AG99" s="16">
        <f>'Clean Data'!AG98</f>
        <v>3.0195323640791711</v>
      </c>
      <c r="AH99" s="16">
        <f>'Clean Data'!AH98</f>
        <v>0.84924347739726691</v>
      </c>
      <c r="AI99" s="16">
        <f>'Clean Data'!AI98</f>
        <v>3.9000794452930325</v>
      </c>
      <c r="AJ99" s="16">
        <f>'Clean Data'!AJ98</f>
        <v>4.25</v>
      </c>
      <c r="AK99" s="16">
        <f>'Clean Data'!AK98</f>
        <v>2.0411999999999999</v>
      </c>
      <c r="AL99" s="16" t="str">
        <f>'Clean Data'!AL98</f>
        <v>NaN</v>
      </c>
      <c r="AM99" s="16">
        <f>'Clean Data'!AM98</f>
        <v>57.427400492692172</v>
      </c>
      <c r="AN99" s="16">
        <f>'Clean Data'!AN98</f>
        <v>92</v>
      </c>
      <c r="AO99" s="16" t="str">
        <f>'Clean Data'!AO98</f>
        <v>Kaewluan, Fuel Processing Technology 2011, 92, 671-677</v>
      </c>
      <c r="AP99" s="16"/>
      <c r="AQ99" s="16"/>
      <c r="AR99" s="16"/>
      <c r="AS99" s="16"/>
      <c r="AT99" s="16"/>
    </row>
    <row r="100" spans="1:46" x14ac:dyDescent="0.3">
      <c r="A100" s="16">
        <f>'Clean Data'!A99</f>
        <v>98</v>
      </c>
      <c r="B100" s="16" t="str">
        <f>'Clean Data'!B99</f>
        <v>other</v>
      </c>
      <c r="C100" s="16" t="str">
        <f>'Clean Data'!C99</f>
        <v>chips</v>
      </c>
      <c r="D100" s="16">
        <f>'Clean Data'!D99</f>
        <v>5</v>
      </c>
      <c r="E100" s="16">
        <f>'Clean Data'!E99</f>
        <v>16.185036945169713</v>
      </c>
      <c r="F100" s="16">
        <f>'Clean Data'!F99</f>
        <v>55.35248041775462</v>
      </c>
      <c r="G100" s="16">
        <f>'Clean Data'!G99</f>
        <v>6.5274151436031334</v>
      </c>
      <c r="H100" s="16">
        <f>'Clean Data'!H99</f>
        <v>0.26109660574412552</v>
      </c>
      <c r="I100" s="16">
        <f>'Clean Data'!I99</f>
        <v>0.91383812010443899</v>
      </c>
      <c r="J100" s="16">
        <f>'Clean Data'!J99</f>
        <v>36.945169712793778</v>
      </c>
      <c r="K100" s="16">
        <f>'Clean Data'!K99</f>
        <v>2.0460358056265986</v>
      </c>
      <c r="L100" s="16">
        <f>'Clean Data'!L99</f>
        <v>21.8</v>
      </c>
      <c r="M100" s="16">
        <f>'Clean Data'!M99</f>
        <v>84.360000000000014</v>
      </c>
      <c r="N100" s="16">
        <f>'Clean Data'!N99</f>
        <v>13.8</v>
      </c>
      <c r="O100" s="16" t="str">
        <f>'Clean Data'!O99</f>
        <v>NaN</v>
      </c>
      <c r="P100" s="16" t="str">
        <f>'Clean Data'!P99</f>
        <v>NaN</v>
      </c>
      <c r="Q100" s="16" t="str">
        <f>'Clean Data'!Q99</f>
        <v>NaN</v>
      </c>
      <c r="R100" s="16">
        <f>'Clean Data'!R99</f>
        <v>745</v>
      </c>
      <c r="S100" s="16" t="str">
        <f>'Clean Data'!S99</f>
        <v>continuous</v>
      </c>
      <c r="T100" s="16" t="str">
        <f>'Clean Data'!T99</f>
        <v>atmospheric</v>
      </c>
      <c r="U100" s="16" t="str">
        <f>'Clean Data'!U99</f>
        <v>NaN</v>
      </c>
      <c r="V100" s="16" t="str">
        <f>'Clean Data'!V99</f>
        <v>NaN</v>
      </c>
      <c r="W100" s="16">
        <f>'Clean Data'!W99</f>
        <v>0.3</v>
      </c>
      <c r="X100" s="16" t="str">
        <f>'Clean Data'!X99</f>
        <v>air</v>
      </c>
      <c r="Y100" s="16" t="str">
        <f>'Clean Data'!Y99</f>
        <v>fluidised bed</v>
      </c>
      <c r="Z100" s="16" t="str">
        <f>'Clean Data'!Z99</f>
        <v>silica</v>
      </c>
      <c r="AA100" s="16">
        <f>'Clean Data'!AA99</f>
        <v>0</v>
      </c>
      <c r="AB100" s="16" t="str">
        <f>'Clean Data'!AB99</f>
        <v>lab</v>
      </c>
      <c r="AC100" s="16">
        <f>'Clean Data'!AC99</f>
        <v>59.279175518737858</v>
      </c>
      <c r="AD100" s="16">
        <f>'Clean Data'!AD99</f>
        <v>5.4863386277149599</v>
      </c>
      <c r="AE100" s="16">
        <f>'Clean Data'!AE99</f>
        <v>14.020643159716009</v>
      </c>
      <c r="AF100" s="16">
        <f>'Clean Data'!AF99</f>
        <v>15.646224975335256</v>
      </c>
      <c r="AG100" s="16">
        <f>'Clean Data'!AG99</f>
        <v>3.6575590851433066</v>
      </c>
      <c r="AH100" s="16">
        <f>'Clean Data'!AH99</f>
        <v>1.2191863617144356</v>
      </c>
      <c r="AI100" s="16">
        <f>'Clean Data'!AI99</f>
        <v>4.5998341359055575</v>
      </c>
      <c r="AJ100" s="16">
        <f>'Clean Data'!AJ99</f>
        <v>15</v>
      </c>
      <c r="AK100" s="16">
        <f>'Clean Data'!AK99</f>
        <v>1.7204000000000002</v>
      </c>
      <c r="AL100" s="16" t="str">
        <f>'Clean Data'!AL99</f>
        <v>NaN</v>
      </c>
      <c r="AM100" s="16">
        <f>'Clean Data'!AM99</f>
        <v>48.894263721613903</v>
      </c>
      <c r="AN100" s="16">
        <f>'Clean Data'!AN99</f>
        <v>74</v>
      </c>
      <c r="AO100" s="16" t="str">
        <f>'Clean Data'!AO99</f>
        <v>Kaewluan, Fuel Processing Technology 2011, 92, 671-677</v>
      </c>
      <c r="AP100" s="16"/>
      <c r="AQ100" s="16"/>
      <c r="AR100" s="16"/>
      <c r="AS100" s="16"/>
      <c r="AT100" s="16"/>
    </row>
    <row r="101" spans="1:46" x14ac:dyDescent="0.3">
      <c r="A101" s="16">
        <f>'Clean Data'!A100</f>
        <v>99</v>
      </c>
      <c r="B101" s="16" t="str">
        <f>'Clean Data'!B100</f>
        <v>other</v>
      </c>
      <c r="C101" s="16" t="str">
        <f>'Clean Data'!C100</f>
        <v>chips</v>
      </c>
      <c r="D101" s="16">
        <f>'Clean Data'!D100</f>
        <v>5</v>
      </c>
      <c r="E101" s="16">
        <f>'Clean Data'!E100</f>
        <v>16.218079667519198</v>
      </c>
      <c r="F101" s="16">
        <f>'Clean Data'!F100</f>
        <v>55.35248041775462</v>
      </c>
      <c r="G101" s="16">
        <f>'Clean Data'!G100</f>
        <v>6.5274151436031334</v>
      </c>
      <c r="H101" s="16">
        <f>'Clean Data'!H100</f>
        <v>0.26109660574412552</v>
      </c>
      <c r="I101" s="16">
        <f>'Clean Data'!I100</f>
        <v>0.91383812010443899</v>
      </c>
      <c r="J101" s="16">
        <f>'Clean Data'!J100</f>
        <v>36.945169712793778</v>
      </c>
      <c r="K101" s="16">
        <f>'Clean Data'!K100</f>
        <v>2.0460358056265986</v>
      </c>
      <c r="L101" s="16">
        <f>'Clean Data'!L100</f>
        <v>21.8</v>
      </c>
      <c r="M101" s="16">
        <f>'Clean Data'!M100</f>
        <v>84.360000000000014</v>
      </c>
      <c r="N101" s="16">
        <f>'Clean Data'!N100</f>
        <v>13.8</v>
      </c>
      <c r="O101" s="16" t="str">
        <f>'Clean Data'!O100</f>
        <v>NaN</v>
      </c>
      <c r="P101" s="16" t="str">
        <f>'Clean Data'!P100</f>
        <v>NaN</v>
      </c>
      <c r="Q101" s="16" t="str">
        <f>'Clean Data'!Q100</f>
        <v>NaN</v>
      </c>
      <c r="R101" s="16">
        <f>'Clean Data'!R100</f>
        <v>770</v>
      </c>
      <c r="S101" s="16" t="str">
        <f>'Clean Data'!S100</f>
        <v>continuous</v>
      </c>
      <c r="T101" s="16" t="str">
        <f>'Clean Data'!T100</f>
        <v>atmospheric</v>
      </c>
      <c r="U101" s="16" t="str">
        <f>'Clean Data'!U100</f>
        <v>NaN</v>
      </c>
      <c r="V101" s="16" t="str">
        <f>'Clean Data'!V100</f>
        <v>NaN</v>
      </c>
      <c r="W101" s="16">
        <f>'Clean Data'!W100</f>
        <v>0.34</v>
      </c>
      <c r="X101" s="16" t="str">
        <f>'Clean Data'!X100</f>
        <v>air</v>
      </c>
      <c r="Y101" s="16" t="str">
        <f>'Clean Data'!Y100</f>
        <v>fluidised bed</v>
      </c>
      <c r="Z101" s="16" t="str">
        <f>'Clean Data'!Z100</f>
        <v>silica</v>
      </c>
      <c r="AA101" s="16">
        <f>'Clean Data'!AA100</f>
        <v>0</v>
      </c>
      <c r="AB101" s="16" t="str">
        <f>'Clean Data'!AB100</f>
        <v>lab</v>
      </c>
      <c r="AC101" s="16">
        <f>'Clean Data'!AC100</f>
        <v>59.416463624786587</v>
      </c>
      <c r="AD101" s="16">
        <f>'Clean Data'!AD100</f>
        <v>6.1211970400020226</v>
      </c>
      <c r="AE101" s="16">
        <f>'Clean Data'!AE100</f>
        <v>13.67067338933785</v>
      </c>
      <c r="AF101" s="16">
        <f>'Clean Data'!AF100</f>
        <v>15.507032501338458</v>
      </c>
      <c r="AG101" s="16">
        <f>'Clean Data'!AG100</f>
        <v>3.4686783226678126</v>
      </c>
      <c r="AH101" s="16">
        <f>'Clean Data'!AH100</f>
        <v>1.1222194573337041</v>
      </c>
      <c r="AI101" s="16">
        <f>'Clean Data'!AI100</f>
        <v>4.4882433199243632</v>
      </c>
      <c r="AJ101" s="16">
        <f>'Clean Data'!AJ100</f>
        <v>12</v>
      </c>
      <c r="AK101" s="16">
        <f>'Clean Data'!AK100</f>
        <v>1.8767999999999998</v>
      </c>
      <c r="AL101" s="16" t="str">
        <f>'Clean Data'!AL100</f>
        <v>NaN</v>
      </c>
      <c r="AM101" s="16">
        <f>'Clean Data'!AM100</f>
        <v>51.939164411088086</v>
      </c>
      <c r="AN101" s="16">
        <f>'Clean Data'!AN100</f>
        <v>80</v>
      </c>
      <c r="AO101" s="16" t="str">
        <f>'Clean Data'!AO100</f>
        <v>Kaewluan, Fuel Processing Technology 2011, 92, 671-677</v>
      </c>
      <c r="AP101" s="16"/>
      <c r="AQ101" s="16"/>
      <c r="AR101" s="16"/>
      <c r="AS101" s="16"/>
      <c r="AT101" s="16"/>
    </row>
    <row r="102" spans="1:46" x14ac:dyDescent="0.3">
      <c r="A102" s="16">
        <f>'Clean Data'!A101</f>
        <v>100</v>
      </c>
      <c r="B102" s="16" t="str">
        <f>'Clean Data'!B101</f>
        <v>other</v>
      </c>
      <c r="C102" s="16" t="str">
        <f>'Clean Data'!C101</f>
        <v>chips</v>
      </c>
      <c r="D102" s="16">
        <f>'Clean Data'!D101</f>
        <v>5</v>
      </c>
      <c r="E102" s="16">
        <f>'Clean Data'!E101</f>
        <v>16.218079667519184</v>
      </c>
      <c r="F102" s="16">
        <f>'Clean Data'!F101</f>
        <v>55.35248041775462</v>
      </c>
      <c r="G102" s="16">
        <f>'Clean Data'!G101</f>
        <v>6.5274151436031334</v>
      </c>
      <c r="H102" s="16">
        <f>'Clean Data'!H101</f>
        <v>0.26109660574412552</v>
      </c>
      <c r="I102" s="16">
        <f>'Clean Data'!I101</f>
        <v>0.91383812010443899</v>
      </c>
      <c r="J102" s="16">
        <f>'Clean Data'!J101</f>
        <v>36.945169712793778</v>
      </c>
      <c r="K102" s="16">
        <f>'Clean Data'!K101</f>
        <v>2.0460358056265986</v>
      </c>
      <c r="L102" s="16">
        <f>'Clean Data'!L101</f>
        <v>21.8</v>
      </c>
      <c r="M102" s="16">
        <f>'Clean Data'!M101</f>
        <v>84.360000000000014</v>
      </c>
      <c r="N102" s="16">
        <f>'Clean Data'!N101</f>
        <v>13.8</v>
      </c>
      <c r="O102" s="16" t="str">
        <f>'Clean Data'!O101</f>
        <v>NaN</v>
      </c>
      <c r="P102" s="16" t="str">
        <f>'Clean Data'!P101</f>
        <v>NaN</v>
      </c>
      <c r="Q102" s="16" t="str">
        <f>'Clean Data'!Q101</f>
        <v>NaN</v>
      </c>
      <c r="R102" s="16">
        <f>'Clean Data'!R101</f>
        <v>775</v>
      </c>
      <c r="S102" s="16" t="str">
        <f>'Clean Data'!S101</f>
        <v>continuous</v>
      </c>
      <c r="T102" s="16" t="str">
        <f>'Clean Data'!T101</f>
        <v>atmospheric</v>
      </c>
      <c r="U102" s="16" t="str">
        <f>'Clean Data'!U101</f>
        <v>NaN</v>
      </c>
      <c r="V102" s="16" t="str">
        <f>'Clean Data'!V101</f>
        <v>NaN</v>
      </c>
      <c r="W102" s="16">
        <f>'Clean Data'!W101</f>
        <v>0.38</v>
      </c>
      <c r="X102" s="16" t="str">
        <f>'Clean Data'!X101</f>
        <v>air</v>
      </c>
      <c r="Y102" s="16" t="str">
        <f>'Clean Data'!Y101</f>
        <v>fluidised bed</v>
      </c>
      <c r="Z102" s="16" t="str">
        <f>'Clean Data'!Z101</f>
        <v>silica</v>
      </c>
      <c r="AA102" s="16">
        <f>'Clean Data'!AA101</f>
        <v>0</v>
      </c>
      <c r="AB102" s="16" t="str">
        <f>'Clean Data'!AB101</f>
        <v>lab</v>
      </c>
      <c r="AC102" s="16">
        <f>'Clean Data'!AC101</f>
        <v>60.473979960454308</v>
      </c>
      <c r="AD102" s="16">
        <f>'Clean Data'!AD101</f>
        <v>6.295831962496079</v>
      </c>
      <c r="AE102" s="16">
        <f>'Clean Data'!AE101</f>
        <v>12.985153422648162</v>
      </c>
      <c r="AF102" s="16">
        <f>'Clean Data'!AF101</f>
        <v>15.050973285342188</v>
      </c>
      <c r="AG102" s="16">
        <f>'Clean Data'!AG101</f>
        <v>3.4430331044900431</v>
      </c>
      <c r="AH102" s="16">
        <f>'Clean Data'!AH101</f>
        <v>1.0820961185540137</v>
      </c>
      <c r="AI102" s="16">
        <f>'Clean Data'!AI101</f>
        <v>4.38505495349282</v>
      </c>
      <c r="AJ102" s="16">
        <f>'Clean Data'!AJ101</f>
        <v>8.5</v>
      </c>
      <c r="AK102" s="16">
        <f>'Clean Data'!AK101</f>
        <v>2.1114000000000002</v>
      </c>
      <c r="AL102" s="16" t="str">
        <f>'Clean Data'!AL101</f>
        <v>NaN</v>
      </c>
      <c r="AM102" s="16">
        <f>'Clean Data'!AM101</f>
        <v>57.088170847670973</v>
      </c>
      <c r="AN102" s="16">
        <f>'Clean Data'!AN101</f>
        <v>86</v>
      </c>
      <c r="AO102" s="16" t="str">
        <f>'Clean Data'!AO101</f>
        <v>Kaewluan, Fuel Processing Technology 2011, 92, 671-677</v>
      </c>
      <c r="AP102" s="16"/>
      <c r="AQ102" s="16"/>
      <c r="AR102" s="16"/>
      <c r="AS102" s="16"/>
      <c r="AT102" s="16"/>
    </row>
    <row r="103" spans="1:46" x14ac:dyDescent="0.3">
      <c r="A103" s="16">
        <f>'Clean Data'!A102</f>
        <v>101</v>
      </c>
      <c r="B103" s="16" t="str">
        <f>'Clean Data'!B102</f>
        <v>other</v>
      </c>
      <c r="C103" s="16" t="str">
        <f>'Clean Data'!C102</f>
        <v>chips</v>
      </c>
      <c r="D103" s="16">
        <f>'Clean Data'!D102</f>
        <v>5</v>
      </c>
      <c r="E103" s="16">
        <f>'Clean Data'!E102</f>
        <v>16.218079667519184</v>
      </c>
      <c r="F103" s="16">
        <f>'Clean Data'!F102</f>
        <v>55.35248041775462</v>
      </c>
      <c r="G103" s="16">
        <f>'Clean Data'!G102</f>
        <v>6.5274151436031334</v>
      </c>
      <c r="H103" s="16">
        <f>'Clean Data'!H102</f>
        <v>0.26109660574412552</v>
      </c>
      <c r="I103" s="16">
        <f>'Clean Data'!I102</f>
        <v>0.91383812010443899</v>
      </c>
      <c r="J103" s="16">
        <f>'Clean Data'!J102</f>
        <v>36.945169712793778</v>
      </c>
      <c r="K103" s="16">
        <f>'Clean Data'!K102</f>
        <v>2.0460358056265986</v>
      </c>
      <c r="L103" s="16">
        <f>'Clean Data'!L102</f>
        <v>21.8</v>
      </c>
      <c r="M103" s="16">
        <f>'Clean Data'!M102</f>
        <v>84.360000000000014</v>
      </c>
      <c r="N103" s="16">
        <f>'Clean Data'!N102</f>
        <v>13.8</v>
      </c>
      <c r="O103" s="16" t="str">
        <f>'Clean Data'!O102</f>
        <v>NaN</v>
      </c>
      <c r="P103" s="16" t="str">
        <f>'Clean Data'!P102</f>
        <v>NaN</v>
      </c>
      <c r="Q103" s="16" t="str">
        <f>'Clean Data'!Q102</f>
        <v>NaN</v>
      </c>
      <c r="R103" s="16">
        <f>'Clean Data'!R102</f>
        <v>790</v>
      </c>
      <c r="S103" s="16" t="str">
        <f>'Clean Data'!S102</f>
        <v>continuous</v>
      </c>
      <c r="T103" s="16" t="str">
        <f>'Clean Data'!T102</f>
        <v>atmospheric</v>
      </c>
      <c r="U103" s="16" t="str">
        <f>'Clean Data'!U102</f>
        <v>NaN</v>
      </c>
      <c r="V103" s="16" t="str">
        <f>'Clean Data'!V102</f>
        <v>NaN</v>
      </c>
      <c r="W103" s="16">
        <f>'Clean Data'!W102</f>
        <v>0.4</v>
      </c>
      <c r="X103" s="16" t="str">
        <f>'Clean Data'!X102</f>
        <v>air</v>
      </c>
      <c r="Y103" s="16" t="str">
        <f>'Clean Data'!Y102</f>
        <v>fluidised bed</v>
      </c>
      <c r="Z103" s="16" t="str">
        <f>'Clean Data'!Z102</f>
        <v>silica</v>
      </c>
      <c r="AA103" s="16">
        <f>'Clean Data'!AA102</f>
        <v>0</v>
      </c>
      <c r="AB103" s="16" t="str">
        <f>'Clean Data'!AB102</f>
        <v>lab</v>
      </c>
      <c r="AC103" s="16">
        <f>'Clean Data'!AC102</f>
        <v>60.684428735733917</v>
      </c>
      <c r="AD103" s="16">
        <f>'Clean Data'!AD102</f>
        <v>6.0817500458695042</v>
      </c>
      <c r="AE103" s="16">
        <f>'Clean Data'!AE102</f>
        <v>12.948242033141524</v>
      </c>
      <c r="AF103" s="16">
        <f>'Clean Data'!AF102</f>
        <v>15.204375114673759</v>
      </c>
      <c r="AG103" s="16">
        <f>'Clean Data'!AG102</f>
        <v>3.4332459936360102</v>
      </c>
      <c r="AH103" s="16">
        <f>'Clean Data'!AH102</f>
        <v>0.98092742675314581</v>
      </c>
      <c r="AI103" s="16">
        <f>'Clean Data'!AI102</f>
        <v>4.2889635164928457</v>
      </c>
      <c r="AJ103" s="16">
        <f>'Clean Data'!AJ102</f>
        <v>7</v>
      </c>
      <c r="AK103" s="16">
        <f>'Clean Data'!AK102</f>
        <v>2.1505000000000001</v>
      </c>
      <c r="AL103" s="16" t="str">
        <f>'Clean Data'!AL102</f>
        <v>NaN</v>
      </c>
      <c r="AM103" s="16">
        <f>'Clean Data'!AM102</f>
        <v>56.871197030127391</v>
      </c>
      <c r="AN103" s="16">
        <f>'Clean Data'!AN102</f>
        <v>88</v>
      </c>
      <c r="AO103" s="16" t="str">
        <f>'Clean Data'!AO102</f>
        <v>Kaewluan, Fuel Processing Technology 2011, 92, 671-677</v>
      </c>
      <c r="AP103" s="16"/>
      <c r="AQ103" s="16"/>
      <c r="AR103" s="16"/>
      <c r="AS103" s="16"/>
      <c r="AT103" s="16"/>
    </row>
    <row r="104" spans="1:46" x14ac:dyDescent="0.3">
      <c r="A104" s="16">
        <f>'Clean Data'!A103</f>
        <v>102</v>
      </c>
      <c r="B104" s="16" t="str">
        <f>'Clean Data'!B103</f>
        <v>other</v>
      </c>
      <c r="C104" s="16" t="str">
        <f>'Clean Data'!C103</f>
        <v>chips</v>
      </c>
      <c r="D104" s="16">
        <f>'Clean Data'!D103</f>
        <v>5</v>
      </c>
      <c r="E104" s="16">
        <f>'Clean Data'!E103</f>
        <v>16.218079667519184</v>
      </c>
      <c r="F104" s="16">
        <f>'Clean Data'!F103</f>
        <v>55.35248041775462</v>
      </c>
      <c r="G104" s="16">
        <f>'Clean Data'!G103</f>
        <v>6.5274151436031334</v>
      </c>
      <c r="H104" s="16">
        <f>'Clean Data'!H103</f>
        <v>0.26109660574412552</v>
      </c>
      <c r="I104" s="16">
        <f>'Clean Data'!I103</f>
        <v>0.91383812010443899</v>
      </c>
      <c r="J104" s="16">
        <f>'Clean Data'!J103</f>
        <v>36.945169712793778</v>
      </c>
      <c r="K104" s="16">
        <f>'Clean Data'!K103</f>
        <v>2.0460358056265986</v>
      </c>
      <c r="L104" s="16">
        <f>'Clean Data'!L103</f>
        <v>21.8</v>
      </c>
      <c r="M104" s="16">
        <f>'Clean Data'!M103</f>
        <v>84.360000000000014</v>
      </c>
      <c r="N104" s="16">
        <f>'Clean Data'!N103</f>
        <v>13.8</v>
      </c>
      <c r="O104" s="16" t="str">
        <f>'Clean Data'!O103</f>
        <v>NaN</v>
      </c>
      <c r="P104" s="16" t="str">
        <f>'Clean Data'!P103</f>
        <v>NaN</v>
      </c>
      <c r="Q104" s="16" t="str">
        <f>'Clean Data'!Q103</f>
        <v>NaN</v>
      </c>
      <c r="R104" s="16">
        <f>'Clean Data'!R103</f>
        <v>825</v>
      </c>
      <c r="S104" s="16" t="str">
        <f>'Clean Data'!S103</f>
        <v>continuous</v>
      </c>
      <c r="T104" s="16" t="str">
        <f>'Clean Data'!T103</f>
        <v>atmospheric</v>
      </c>
      <c r="U104" s="16" t="str">
        <f>'Clean Data'!U103</f>
        <v>NaN</v>
      </c>
      <c r="V104" s="16" t="str">
        <f>'Clean Data'!V103</f>
        <v>NaN</v>
      </c>
      <c r="W104" s="16">
        <f>'Clean Data'!W103</f>
        <v>0.45</v>
      </c>
      <c r="X104" s="16" t="str">
        <f>'Clean Data'!X103</f>
        <v>air</v>
      </c>
      <c r="Y104" s="16" t="str">
        <f>'Clean Data'!Y103</f>
        <v>fluidised bed</v>
      </c>
      <c r="Z104" s="16" t="str">
        <f>'Clean Data'!Z103</f>
        <v>silica</v>
      </c>
      <c r="AA104" s="16">
        <f>'Clean Data'!AA103</f>
        <v>0</v>
      </c>
      <c r="AB104" s="16" t="str">
        <f>'Clean Data'!AB103</f>
        <v>lab</v>
      </c>
      <c r="AC104" s="16">
        <f>'Clean Data'!AC103</f>
        <v>61.60035038174729</v>
      </c>
      <c r="AD104" s="16">
        <f>'Clean Data'!AD103</f>
        <v>5.5568355235994433</v>
      </c>
      <c r="AE104" s="16">
        <f>'Clean Data'!AE103</f>
        <v>12.742398700667689</v>
      </c>
      <c r="AF104" s="16">
        <f>'Clean Data'!AF103</f>
        <v>15.233393935384681</v>
      </c>
      <c r="AG104" s="16">
        <f>'Clean Data'!AG103</f>
        <v>3.3532628159651812</v>
      </c>
      <c r="AH104" s="16">
        <f>'Clean Data'!AH103</f>
        <v>0.86226758124818947</v>
      </c>
      <c r="AI104" s="16">
        <f>'Clean Data'!AI103</f>
        <v>4.0985470512082012</v>
      </c>
      <c r="AJ104" s="16">
        <f>'Clean Data'!AJ103</f>
        <v>3</v>
      </c>
      <c r="AK104" s="16">
        <f>'Clean Data'!AK103</f>
        <v>2.3460000000000001</v>
      </c>
      <c r="AL104" s="16" t="str">
        <f>'Clean Data'!AL103</f>
        <v>NaN</v>
      </c>
      <c r="AM104" s="16">
        <f>'Clean Data'!AM103</f>
        <v>59.286867368097219</v>
      </c>
      <c r="AN104" s="16">
        <f>'Clean Data'!AN103</f>
        <v>95</v>
      </c>
      <c r="AO104" s="16" t="str">
        <f>'Clean Data'!AO103</f>
        <v>Kaewluan, Fuel Processing Technology 2011, 92, 671-677</v>
      </c>
      <c r="AP104" s="16"/>
      <c r="AQ104" s="16"/>
      <c r="AR104" s="16"/>
      <c r="AS104" s="16"/>
      <c r="AT104" s="16"/>
    </row>
    <row r="105" spans="1:46" x14ac:dyDescent="0.3">
      <c r="A105" s="16">
        <f>'Clean Data'!A104</f>
        <v>103</v>
      </c>
      <c r="B105" s="16" t="str">
        <f>'Clean Data'!B104</f>
        <v>woody biomass</v>
      </c>
      <c r="C105" s="16" t="str">
        <f>'Clean Data'!C104</f>
        <v>chips</v>
      </c>
      <c r="D105" s="16">
        <f>'Clean Data'!D104</f>
        <v>11</v>
      </c>
      <c r="E105" s="16">
        <f>'Clean Data'!E104</f>
        <v>20.004999999999999</v>
      </c>
      <c r="F105" s="16">
        <f>'Clean Data'!F104</f>
        <v>50.653266331658287</v>
      </c>
      <c r="G105" s="16">
        <f>'Clean Data'!G104</f>
        <v>5.6281407035175874</v>
      </c>
      <c r="H105" s="16">
        <f>'Clean Data'!H104</f>
        <v>0.12060301507537687</v>
      </c>
      <c r="I105" s="16">
        <f>'Clean Data'!I104</f>
        <v>1.7085427135678392E-2</v>
      </c>
      <c r="J105" s="16">
        <f>'Clean Data'!J104</f>
        <v>43.618090452261299</v>
      </c>
      <c r="K105" s="16">
        <f>'Clean Data'!K104</f>
        <v>0.5</v>
      </c>
      <c r="L105" s="16">
        <f>'Clean Data'!L104</f>
        <v>6.6</v>
      </c>
      <c r="M105" s="16">
        <f>'Clean Data'!M104</f>
        <v>82.2</v>
      </c>
      <c r="N105" s="16" t="str">
        <f>'Clean Data'!N104</f>
        <v>NaN</v>
      </c>
      <c r="O105" s="16">
        <f>'Clean Data'!O104</f>
        <v>40.6</v>
      </c>
      <c r="P105" s="16">
        <f>'Clean Data'!P104</f>
        <v>29.6</v>
      </c>
      <c r="Q105" s="16">
        <f>'Clean Data'!Q104</f>
        <v>26.3</v>
      </c>
      <c r="R105" s="16">
        <f>'Clean Data'!R104</f>
        <v>594</v>
      </c>
      <c r="S105" s="16" t="str">
        <f>'Clean Data'!S104</f>
        <v>batch</v>
      </c>
      <c r="T105" s="16" t="str">
        <f>'Clean Data'!T104</f>
        <v>NaN</v>
      </c>
      <c r="U105" s="16">
        <f>'Clean Data'!U104</f>
        <v>255</v>
      </c>
      <c r="V105" s="16" t="str">
        <f>'Clean Data'!V104</f>
        <v>NaN</v>
      </c>
      <c r="W105" s="16">
        <f>'Clean Data'!W104</f>
        <v>0.49</v>
      </c>
      <c r="X105" s="16" t="str">
        <f>'Clean Data'!X104</f>
        <v>air</v>
      </c>
      <c r="Y105" s="16" t="str">
        <f>'Clean Data'!Y104</f>
        <v>fixed bed</v>
      </c>
      <c r="Z105" s="16" t="str">
        <f>'Clean Data'!Z104</f>
        <v>NaN</v>
      </c>
      <c r="AA105" s="16">
        <f>'Clean Data'!AA104</f>
        <v>0</v>
      </c>
      <c r="AB105" s="16" t="str">
        <f>'Clean Data'!AB104</f>
        <v>lab</v>
      </c>
      <c r="AC105" s="16">
        <f>'Clean Data'!AC104</f>
        <v>56.29999999999999</v>
      </c>
      <c r="AD105" s="16">
        <f>'Clean Data'!AD104</f>
        <v>11.9</v>
      </c>
      <c r="AE105" s="16">
        <f>'Clean Data'!AE104</f>
        <v>19.7</v>
      </c>
      <c r="AF105" s="16">
        <f>'Clean Data'!AF104</f>
        <v>10</v>
      </c>
      <c r="AG105" s="16">
        <f>'Clean Data'!AG104</f>
        <v>2.1</v>
      </c>
      <c r="AH105" s="16" t="str">
        <f>'Clean Data'!AH104</f>
        <v>NaN</v>
      </c>
      <c r="AI105" s="16">
        <f>'Clean Data'!AI104</f>
        <v>4.5</v>
      </c>
      <c r="AJ105" s="16">
        <f>'Clean Data'!AJ104</f>
        <v>26.77</v>
      </c>
      <c r="AK105" s="16">
        <f>'Clean Data'!AK104</f>
        <v>2.06</v>
      </c>
      <c r="AL105" s="16">
        <f>'Clean Data'!AL104</f>
        <v>242.25</v>
      </c>
      <c r="AM105" s="16">
        <f>'Clean Data'!AM104</f>
        <v>45.1</v>
      </c>
      <c r="AN105" s="16">
        <f>'Clean Data'!AN104</f>
        <v>67.3</v>
      </c>
      <c r="AO105" s="16" t="str">
        <f>'Clean Data'!AO104</f>
        <v>Sarker, Energy Conversion and Management, 2015, 103, 801-813</v>
      </c>
      <c r="AP105" s="16"/>
      <c r="AQ105" s="16"/>
      <c r="AR105" s="16"/>
      <c r="AS105" s="16"/>
      <c r="AT105" s="16"/>
    </row>
    <row r="106" spans="1:46" x14ac:dyDescent="0.3">
      <c r="A106" s="16">
        <f>'Clean Data'!A105</f>
        <v>104</v>
      </c>
      <c r="B106" s="16" t="str">
        <f>'Clean Data'!B105</f>
        <v>woody biomass</v>
      </c>
      <c r="C106" s="16" t="str">
        <f>'Clean Data'!C105</f>
        <v>chips</v>
      </c>
      <c r="D106" s="16">
        <f>'Clean Data'!D105</f>
        <v>11</v>
      </c>
      <c r="E106" s="16">
        <f>'Clean Data'!E105</f>
        <v>20.004999999999999</v>
      </c>
      <c r="F106" s="16">
        <f>'Clean Data'!F105</f>
        <v>50.653266331658287</v>
      </c>
      <c r="G106" s="16">
        <f>'Clean Data'!G105</f>
        <v>5.6281407035175874</v>
      </c>
      <c r="H106" s="16">
        <f>'Clean Data'!H105</f>
        <v>0.12060301507537687</v>
      </c>
      <c r="I106" s="16">
        <f>'Clean Data'!I105</f>
        <v>1.7085427135678392E-2</v>
      </c>
      <c r="J106" s="16">
        <f>'Clean Data'!J105</f>
        <v>43.618090452261299</v>
      </c>
      <c r="K106" s="16">
        <f>'Clean Data'!K105</f>
        <v>0.5</v>
      </c>
      <c r="L106" s="16">
        <f>'Clean Data'!L105</f>
        <v>8.6</v>
      </c>
      <c r="M106" s="16">
        <f>'Clean Data'!M105</f>
        <v>82.2</v>
      </c>
      <c r="N106" s="16" t="str">
        <f>'Clean Data'!N105</f>
        <v>NaN</v>
      </c>
      <c r="O106" s="16">
        <f>'Clean Data'!O105</f>
        <v>40.6</v>
      </c>
      <c r="P106" s="16">
        <f>'Clean Data'!P105</f>
        <v>29.6</v>
      </c>
      <c r="Q106" s="16">
        <f>'Clean Data'!Q105</f>
        <v>26.3</v>
      </c>
      <c r="R106" s="16">
        <f>'Clean Data'!R105</f>
        <v>684</v>
      </c>
      <c r="S106" s="16" t="str">
        <f>'Clean Data'!S105</f>
        <v>batch</v>
      </c>
      <c r="T106" s="16" t="str">
        <f>'Clean Data'!T105</f>
        <v>NaN</v>
      </c>
      <c r="U106" s="16">
        <f>'Clean Data'!U105</f>
        <v>366</v>
      </c>
      <c r="V106" s="16" t="str">
        <f>'Clean Data'!V105</f>
        <v>NaN</v>
      </c>
      <c r="W106" s="16">
        <f>'Clean Data'!W105</f>
        <v>0.48499999999999999</v>
      </c>
      <c r="X106" s="16" t="str">
        <f>'Clean Data'!X105</f>
        <v>air</v>
      </c>
      <c r="Y106" s="16" t="str">
        <f>'Clean Data'!Y105</f>
        <v>fixed bed</v>
      </c>
      <c r="Z106" s="16" t="str">
        <f>'Clean Data'!Z105</f>
        <v>NaN</v>
      </c>
      <c r="AA106" s="16">
        <f>'Clean Data'!AA105</f>
        <v>0</v>
      </c>
      <c r="AB106" s="16" t="str">
        <f>'Clean Data'!AB105</f>
        <v>lab</v>
      </c>
      <c r="AC106" s="16">
        <f>'Clean Data'!AC105</f>
        <v>57.700000000000017</v>
      </c>
      <c r="AD106" s="16">
        <f>'Clean Data'!AD105</f>
        <v>10.3</v>
      </c>
      <c r="AE106" s="16">
        <f>'Clean Data'!AE105</f>
        <v>19.399999999999999</v>
      </c>
      <c r="AF106" s="16">
        <f>'Clean Data'!AF105</f>
        <v>10.3</v>
      </c>
      <c r="AG106" s="16">
        <f>'Clean Data'!AG105</f>
        <v>2.2999999999999998</v>
      </c>
      <c r="AH106" s="16" t="str">
        <f>'Clean Data'!AH105</f>
        <v>NaN</v>
      </c>
      <c r="AI106" s="16">
        <f>'Clean Data'!AI105</f>
        <v>4.4000000000000004</v>
      </c>
      <c r="AJ106" s="16">
        <f>'Clean Data'!AJ105</f>
        <v>13.21</v>
      </c>
      <c r="AK106" s="16">
        <f>'Clean Data'!AK105</f>
        <v>2.02</v>
      </c>
      <c r="AL106" s="16">
        <f>'Clean Data'!AL105</f>
        <v>104.15</v>
      </c>
      <c r="AM106" s="16">
        <f>'Clean Data'!AM105</f>
        <v>44.1</v>
      </c>
      <c r="AN106" s="16">
        <f>'Clean Data'!AN105</f>
        <v>68.5</v>
      </c>
      <c r="AO106" s="16" t="str">
        <f>'Clean Data'!AO105</f>
        <v>Sarker, Energy Conversion and Management, 2015, 103, 801-813</v>
      </c>
      <c r="AP106" s="16"/>
      <c r="AQ106" s="16"/>
      <c r="AR106" s="16"/>
      <c r="AS106" s="16"/>
      <c r="AT106" s="16"/>
    </row>
    <row r="107" spans="1:46" x14ac:dyDescent="0.3">
      <c r="A107" s="16">
        <f>'Clean Data'!A106</f>
        <v>105</v>
      </c>
      <c r="B107" s="16" t="str">
        <f>'Clean Data'!B106</f>
        <v>woody biomass</v>
      </c>
      <c r="C107" s="16" t="str">
        <f>'Clean Data'!C106</f>
        <v>chips</v>
      </c>
      <c r="D107" s="16">
        <f>'Clean Data'!D106</f>
        <v>11</v>
      </c>
      <c r="E107" s="16">
        <f>'Clean Data'!E106</f>
        <v>20.004999999999999</v>
      </c>
      <c r="F107" s="16">
        <f>'Clean Data'!F106</f>
        <v>50.653266331658287</v>
      </c>
      <c r="G107" s="16">
        <f>'Clean Data'!G106</f>
        <v>5.6281407035175874</v>
      </c>
      <c r="H107" s="16">
        <f>'Clean Data'!H106</f>
        <v>0.12060301507537687</v>
      </c>
      <c r="I107" s="16">
        <f>'Clean Data'!I106</f>
        <v>1.7085427135678392E-2</v>
      </c>
      <c r="J107" s="16">
        <f>'Clean Data'!J106</f>
        <v>43.618090452261299</v>
      </c>
      <c r="K107" s="16">
        <f>'Clean Data'!K106</f>
        <v>0.5</v>
      </c>
      <c r="L107" s="16">
        <f>'Clean Data'!L106</f>
        <v>8.3000000000000007</v>
      </c>
      <c r="M107" s="16">
        <f>'Clean Data'!M106</f>
        <v>82.2</v>
      </c>
      <c r="N107" s="16" t="str">
        <f>'Clean Data'!N106</f>
        <v>NaN</v>
      </c>
      <c r="O107" s="16">
        <f>'Clean Data'!O106</f>
        <v>40.6</v>
      </c>
      <c r="P107" s="16">
        <f>'Clean Data'!P106</f>
        <v>29.6</v>
      </c>
      <c r="Q107" s="16">
        <f>'Clean Data'!Q106</f>
        <v>26.3</v>
      </c>
      <c r="R107" s="16">
        <f>'Clean Data'!R106</f>
        <v>625</v>
      </c>
      <c r="S107" s="16" t="str">
        <f>'Clean Data'!S106</f>
        <v>batch</v>
      </c>
      <c r="T107" s="16" t="str">
        <f>'Clean Data'!T106</f>
        <v>NaN</v>
      </c>
      <c r="U107" s="16">
        <f>'Clean Data'!U106</f>
        <v>336</v>
      </c>
      <c r="V107" s="16" t="str">
        <f>'Clean Data'!V106</f>
        <v>NaN</v>
      </c>
      <c r="W107" s="16">
        <f>'Clean Data'!W106</f>
        <v>0.5</v>
      </c>
      <c r="X107" s="16" t="str">
        <f>'Clean Data'!X106</f>
        <v>air</v>
      </c>
      <c r="Y107" s="16" t="str">
        <f>'Clean Data'!Y106</f>
        <v>fixed bed</v>
      </c>
      <c r="Z107" s="16" t="str">
        <f>'Clean Data'!Z106</f>
        <v>NaN</v>
      </c>
      <c r="AA107" s="16">
        <f>'Clean Data'!AA106</f>
        <v>0</v>
      </c>
      <c r="AB107" s="16" t="str">
        <f>'Clean Data'!AB106</f>
        <v>lab</v>
      </c>
      <c r="AC107" s="16">
        <f>'Clean Data'!AC106</f>
        <v>59.2</v>
      </c>
      <c r="AD107" s="16">
        <f>'Clean Data'!AD106</f>
        <v>11</v>
      </c>
      <c r="AE107" s="16">
        <f>'Clean Data'!AE106</f>
        <v>18.5</v>
      </c>
      <c r="AF107" s="16">
        <f>'Clean Data'!AF106</f>
        <v>9.5</v>
      </c>
      <c r="AG107" s="16">
        <f>'Clean Data'!AG106</f>
        <v>1.8</v>
      </c>
      <c r="AH107" s="16" t="str">
        <f>'Clean Data'!AH106</f>
        <v>NaN</v>
      </c>
      <c r="AI107" s="16">
        <f>'Clean Data'!AI106</f>
        <v>4.2</v>
      </c>
      <c r="AJ107" s="16">
        <f>'Clean Data'!AJ106</f>
        <v>9.94</v>
      </c>
      <c r="AK107" s="16">
        <f>'Clean Data'!AK106</f>
        <v>2.17</v>
      </c>
      <c r="AL107" s="16">
        <f>'Clean Data'!AL106</f>
        <v>48.41</v>
      </c>
      <c r="AM107" s="16">
        <f>'Clean Data'!AM106</f>
        <v>44.3</v>
      </c>
      <c r="AN107" s="16">
        <f>'Clean Data'!AN106</f>
        <v>68.5</v>
      </c>
      <c r="AO107" s="16" t="str">
        <f>'Clean Data'!AO106</f>
        <v>Sarker, Energy Conversion and Management, 2015, 103, 801-813</v>
      </c>
      <c r="AP107" s="16"/>
      <c r="AQ107" s="16"/>
      <c r="AR107" s="16"/>
      <c r="AS107" s="16"/>
      <c r="AT107" s="16"/>
    </row>
    <row r="108" spans="1:46" x14ac:dyDescent="0.3">
      <c r="A108" s="16">
        <f>'Clean Data'!A107</f>
        <v>106</v>
      </c>
      <c r="B108" s="16" t="str">
        <f>'Clean Data'!B107</f>
        <v>woody biomass</v>
      </c>
      <c r="C108" s="16" t="str">
        <f>'Clean Data'!C107</f>
        <v>chips</v>
      </c>
      <c r="D108" s="16">
        <f>'Clean Data'!D107</f>
        <v>11</v>
      </c>
      <c r="E108" s="16">
        <f>'Clean Data'!E107</f>
        <v>18.896000000000001</v>
      </c>
      <c r="F108" s="16">
        <f>'Clean Data'!F107</f>
        <v>49.59432048681542</v>
      </c>
      <c r="G108" s="16">
        <f>'Clean Data'!G107</f>
        <v>6.0851926977687629</v>
      </c>
      <c r="H108" s="16">
        <f>'Clean Data'!H107</f>
        <v>0.20283975659229211</v>
      </c>
      <c r="I108" s="16">
        <f>'Clean Data'!I107</f>
        <v>1.8255578093306288E-2</v>
      </c>
      <c r="J108" s="16">
        <f>'Clean Data'!J107</f>
        <v>44.117647058823529</v>
      </c>
      <c r="K108" s="16">
        <f>'Clean Data'!K107</f>
        <v>1.4</v>
      </c>
      <c r="L108" s="16">
        <f>'Clean Data'!L107</f>
        <v>7.4</v>
      </c>
      <c r="M108" s="16">
        <f>'Clean Data'!M107</f>
        <v>82.9</v>
      </c>
      <c r="N108" s="16" t="str">
        <f>'Clean Data'!N107</f>
        <v>NaN</v>
      </c>
      <c r="O108" s="16">
        <f>'Clean Data'!O107</f>
        <v>38.1</v>
      </c>
      <c r="P108" s="16">
        <f>'Clean Data'!P107</f>
        <v>26.1</v>
      </c>
      <c r="Q108" s="16">
        <f>'Clean Data'!Q107</f>
        <v>25.9</v>
      </c>
      <c r="R108" s="16">
        <f>'Clean Data'!R107</f>
        <v>647</v>
      </c>
      <c r="S108" s="16" t="str">
        <f>'Clean Data'!S107</f>
        <v>batch</v>
      </c>
      <c r="T108" s="16" t="str">
        <f>'Clean Data'!T107</f>
        <v>NaN</v>
      </c>
      <c r="U108" s="16">
        <f>'Clean Data'!U107</f>
        <v>282</v>
      </c>
      <c r="V108" s="16" t="str">
        <f>'Clean Data'!V107</f>
        <v>NaN</v>
      </c>
      <c r="W108" s="16">
        <f>'Clean Data'!W107</f>
        <v>0.52</v>
      </c>
      <c r="X108" s="16" t="str">
        <f>'Clean Data'!X107</f>
        <v>air</v>
      </c>
      <c r="Y108" s="16" t="str">
        <f>'Clean Data'!Y107</f>
        <v>fixed bed</v>
      </c>
      <c r="Z108" s="16" t="str">
        <f>'Clean Data'!Z107</f>
        <v>NaN</v>
      </c>
      <c r="AA108" s="16">
        <f>'Clean Data'!AA107</f>
        <v>0</v>
      </c>
      <c r="AB108" s="16" t="str">
        <f>'Clean Data'!AB107</f>
        <v>lab</v>
      </c>
      <c r="AC108" s="16">
        <f>'Clean Data'!AC107</f>
        <v>57.999999999999993</v>
      </c>
      <c r="AD108" s="16">
        <f>'Clean Data'!AD107</f>
        <v>9</v>
      </c>
      <c r="AE108" s="16">
        <f>'Clean Data'!AE107</f>
        <v>21.7</v>
      </c>
      <c r="AF108" s="16">
        <f>'Clean Data'!AF107</f>
        <v>9.1</v>
      </c>
      <c r="AG108" s="16">
        <f>'Clean Data'!AG107</f>
        <v>2.2000000000000002</v>
      </c>
      <c r="AH108" s="16" t="str">
        <f>'Clean Data'!AH107</f>
        <v>NaN</v>
      </c>
      <c r="AI108" s="16">
        <f>'Clean Data'!AI107</f>
        <v>4.5</v>
      </c>
      <c r="AJ108" s="16">
        <f>'Clean Data'!AJ107</f>
        <v>22.41</v>
      </c>
      <c r="AK108" s="16">
        <f>'Clean Data'!AK107</f>
        <v>2.13</v>
      </c>
      <c r="AL108" s="16">
        <f>'Clean Data'!AL107</f>
        <v>93.06</v>
      </c>
      <c r="AM108" s="16">
        <f>'Clean Data'!AM107</f>
        <v>52.5</v>
      </c>
      <c r="AN108" s="16">
        <f>'Clean Data'!AN107</f>
        <v>79.5</v>
      </c>
      <c r="AO108" s="16" t="str">
        <f>'Clean Data'!AO107</f>
        <v>Sarker, Energy Conversion and Management, 2015, 103, 801-813</v>
      </c>
      <c r="AP108" s="16"/>
      <c r="AQ108" s="16"/>
      <c r="AR108" s="16"/>
      <c r="AS108" s="16"/>
      <c r="AT108" s="16"/>
    </row>
    <row r="109" spans="1:46" x14ac:dyDescent="0.3">
      <c r="A109" s="16">
        <f>'Clean Data'!A108</f>
        <v>107</v>
      </c>
      <c r="B109" s="16" t="str">
        <f>'Clean Data'!B108</f>
        <v>woody biomass</v>
      </c>
      <c r="C109" s="16" t="str">
        <f>'Clean Data'!C108</f>
        <v>chips</v>
      </c>
      <c r="D109" s="16">
        <f>'Clean Data'!D108</f>
        <v>11</v>
      </c>
      <c r="E109" s="16">
        <f>'Clean Data'!E108</f>
        <v>18.896000000000001</v>
      </c>
      <c r="F109" s="16">
        <f>'Clean Data'!F108</f>
        <v>49.59432048681542</v>
      </c>
      <c r="G109" s="16">
        <f>'Clean Data'!G108</f>
        <v>6.0851926977687629</v>
      </c>
      <c r="H109" s="16">
        <f>'Clean Data'!H108</f>
        <v>0.20283975659229211</v>
      </c>
      <c r="I109" s="16">
        <f>'Clean Data'!I108</f>
        <v>1.8255578093306288E-2</v>
      </c>
      <c r="J109" s="16">
        <f>'Clean Data'!J108</f>
        <v>44.117647058823529</v>
      </c>
      <c r="K109" s="16">
        <f>'Clean Data'!K108</f>
        <v>1.4</v>
      </c>
      <c r="L109" s="16">
        <f>'Clean Data'!L108</f>
        <v>6.7</v>
      </c>
      <c r="M109" s="16">
        <f>'Clean Data'!M108</f>
        <v>82.9</v>
      </c>
      <c r="N109" s="16" t="str">
        <f>'Clean Data'!N108</f>
        <v>NaN</v>
      </c>
      <c r="O109" s="16">
        <f>'Clean Data'!O108</f>
        <v>38.1</v>
      </c>
      <c r="P109" s="16">
        <f>'Clean Data'!P108</f>
        <v>26.1</v>
      </c>
      <c r="Q109" s="16">
        <f>'Clean Data'!Q108</f>
        <v>25.9</v>
      </c>
      <c r="R109" s="16">
        <f>'Clean Data'!R108</f>
        <v>600</v>
      </c>
      <c r="S109" s="16" t="str">
        <f>'Clean Data'!S108</f>
        <v>batch</v>
      </c>
      <c r="T109" s="16" t="str">
        <f>'Clean Data'!T108</f>
        <v>NaN</v>
      </c>
      <c r="U109" s="16">
        <f>'Clean Data'!U108</f>
        <v>250</v>
      </c>
      <c r="V109" s="16" t="str">
        <f>'Clean Data'!V108</f>
        <v>NaN</v>
      </c>
      <c r="W109" s="16">
        <f>'Clean Data'!W108</f>
        <v>0.56999999999999995</v>
      </c>
      <c r="X109" s="16" t="str">
        <f>'Clean Data'!X108</f>
        <v>air</v>
      </c>
      <c r="Y109" s="16" t="str">
        <f>'Clean Data'!Y108</f>
        <v>fixed bed</v>
      </c>
      <c r="Z109" s="16" t="str">
        <f>'Clean Data'!Z108</f>
        <v>NaN</v>
      </c>
      <c r="AA109" s="16">
        <f>'Clean Data'!AA108</f>
        <v>0</v>
      </c>
      <c r="AB109" s="16" t="str">
        <f>'Clean Data'!AB108</f>
        <v>lab</v>
      </c>
      <c r="AC109" s="16">
        <f>'Clean Data'!AC108</f>
        <v>55.000000000000007</v>
      </c>
      <c r="AD109" s="16">
        <f>'Clean Data'!AD108</f>
        <v>11.1</v>
      </c>
      <c r="AE109" s="16">
        <f>'Clean Data'!AE108</f>
        <v>20.3</v>
      </c>
      <c r="AF109" s="16">
        <f>'Clean Data'!AF108</f>
        <v>11.1</v>
      </c>
      <c r="AG109" s="16">
        <f>'Clean Data'!AG108</f>
        <v>2.5</v>
      </c>
      <c r="AH109" s="16" t="str">
        <f>'Clean Data'!AH108</f>
        <v>NaN</v>
      </c>
      <c r="AI109" s="16">
        <f>'Clean Data'!AI108</f>
        <v>4.5999999999999996</v>
      </c>
      <c r="AJ109" s="16">
        <f>'Clean Data'!AJ108</f>
        <v>39.32</v>
      </c>
      <c r="AK109" s="16">
        <f>'Clean Data'!AK108</f>
        <v>2.0499999999999998</v>
      </c>
      <c r="AL109" s="16">
        <f>'Clean Data'!AL108</f>
        <v>82.99</v>
      </c>
      <c r="AM109" s="16">
        <f>'Clean Data'!AM108</f>
        <v>50.9</v>
      </c>
      <c r="AN109" s="16">
        <f>'Clean Data'!AN108</f>
        <v>76.5</v>
      </c>
      <c r="AO109" s="16" t="str">
        <f>'Clean Data'!AO108</f>
        <v>Sarker, Energy Conversion and Management, 2015, 103, 801-813</v>
      </c>
      <c r="AP109" s="16"/>
      <c r="AQ109" s="16"/>
      <c r="AR109" s="16"/>
      <c r="AS109" s="16"/>
      <c r="AT109" s="16"/>
    </row>
    <row r="110" spans="1:46" x14ac:dyDescent="0.3">
      <c r="A110" s="16">
        <f>'Clean Data'!A109</f>
        <v>108</v>
      </c>
      <c r="B110" s="16" t="str">
        <f>'Clean Data'!B109</f>
        <v>woody biomass</v>
      </c>
      <c r="C110" s="16" t="str">
        <f>'Clean Data'!C109</f>
        <v>chips</v>
      </c>
      <c r="D110" s="16">
        <f>'Clean Data'!D109</f>
        <v>11</v>
      </c>
      <c r="E110" s="16">
        <f>'Clean Data'!E109</f>
        <v>18.896000000000001</v>
      </c>
      <c r="F110" s="16">
        <f>'Clean Data'!F109</f>
        <v>49.59432048681542</v>
      </c>
      <c r="G110" s="16">
        <f>'Clean Data'!G109</f>
        <v>6.0851926977687629</v>
      </c>
      <c r="H110" s="16">
        <f>'Clean Data'!H109</f>
        <v>0.20283975659229211</v>
      </c>
      <c r="I110" s="16">
        <f>'Clean Data'!I109</f>
        <v>1.8255578093306288E-2</v>
      </c>
      <c r="J110" s="16">
        <f>'Clean Data'!J109</f>
        <v>44.117647058823529</v>
      </c>
      <c r="K110" s="16">
        <f>'Clean Data'!K109</f>
        <v>1.4</v>
      </c>
      <c r="L110" s="16">
        <f>'Clean Data'!L109</f>
        <v>6.7</v>
      </c>
      <c r="M110" s="16">
        <f>'Clean Data'!M109</f>
        <v>82.9</v>
      </c>
      <c r="N110" s="16" t="str">
        <f>'Clean Data'!N109</f>
        <v>NaN</v>
      </c>
      <c r="O110" s="16">
        <f>'Clean Data'!O109</f>
        <v>38.1</v>
      </c>
      <c r="P110" s="16">
        <f>'Clean Data'!P109</f>
        <v>26.1</v>
      </c>
      <c r="Q110" s="16">
        <f>'Clean Data'!Q109</f>
        <v>25.9</v>
      </c>
      <c r="R110" s="16">
        <f>'Clean Data'!R109</f>
        <v>575</v>
      </c>
      <c r="S110" s="16" t="str">
        <f>'Clean Data'!S109</f>
        <v>batch</v>
      </c>
      <c r="T110" s="16" t="str">
        <f>'Clean Data'!T109</f>
        <v>NaN</v>
      </c>
      <c r="U110" s="16">
        <f>'Clean Data'!U109</f>
        <v>347</v>
      </c>
      <c r="V110" s="16" t="str">
        <f>'Clean Data'!V109</f>
        <v>NaN</v>
      </c>
      <c r="W110" s="16">
        <f>'Clean Data'!W109</f>
        <v>0.51500000000000001</v>
      </c>
      <c r="X110" s="16" t="str">
        <f>'Clean Data'!X109</f>
        <v>air</v>
      </c>
      <c r="Y110" s="16" t="str">
        <f>'Clean Data'!Y109</f>
        <v>fixed bed</v>
      </c>
      <c r="Z110" s="16" t="str">
        <f>'Clean Data'!Z109</f>
        <v>NaN</v>
      </c>
      <c r="AA110" s="16">
        <f>'Clean Data'!AA109</f>
        <v>0</v>
      </c>
      <c r="AB110" s="16" t="str">
        <f>'Clean Data'!AB109</f>
        <v>lab</v>
      </c>
      <c r="AC110" s="16">
        <f>'Clean Data'!AC109</f>
        <v>63.769999999999989</v>
      </c>
      <c r="AD110" s="16">
        <f>'Clean Data'!AD109</f>
        <v>8.5</v>
      </c>
      <c r="AE110" s="16">
        <f>'Clean Data'!AE109</f>
        <v>16.399999999999999</v>
      </c>
      <c r="AF110" s="16">
        <f>'Clean Data'!AF109</f>
        <v>9.73</v>
      </c>
      <c r="AG110" s="16">
        <f>'Clean Data'!AG109</f>
        <v>1.6</v>
      </c>
      <c r="AH110" s="16" t="str">
        <f>'Clean Data'!AH109</f>
        <v>NaN</v>
      </c>
      <c r="AI110" s="16">
        <f>'Clean Data'!AI109</f>
        <v>4.3</v>
      </c>
      <c r="AJ110" s="16">
        <f>'Clean Data'!AJ109</f>
        <v>30.91</v>
      </c>
      <c r="AK110" s="16">
        <f>'Clean Data'!AK109</f>
        <v>2.3199999999999998</v>
      </c>
      <c r="AL110" s="16">
        <f>'Clean Data'!AL109</f>
        <v>220.34</v>
      </c>
      <c r="AM110" s="16">
        <f>'Clean Data'!AM109</f>
        <v>50</v>
      </c>
      <c r="AN110" s="16">
        <f>'Clean Data'!AN109</f>
        <v>72.3</v>
      </c>
      <c r="AO110" s="16" t="str">
        <f>'Clean Data'!AO109</f>
        <v>Sarker, Energy Conversion and Management, 2015, 103, 801-813</v>
      </c>
      <c r="AP110" s="16"/>
      <c r="AQ110" s="16"/>
      <c r="AR110" s="16"/>
      <c r="AS110" s="16"/>
      <c r="AT110" s="16"/>
    </row>
    <row r="111" spans="1:46" x14ac:dyDescent="0.3">
      <c r="A111" s="16">
        <f>'Clean Data'!A110</f>
        <v>109</v>
      </c>
      <c r="B111" s="16" t="str">
        <f>'Clean Data'!B110</f>
        <v>woody biomass</v>
      </c>
      <c r="C111" s="16" t="str">
        <f>'Clean Data'!C110</f>
        <v>chips</v>
      </c>
      <c r="D111" s="16">
        <f>'Clean Data'!D110</f>
        <v>11</v>
      </c>
      <c r="E111" s="16">
        <f>'Clean Data'!E110</f>
        <v>20.271000000000001</v>
      </c>
      <c r="F111" s="16">
        <f>'Clean Data'!F110</f>
        <v>51.057401812688823</v>
      </c>
      <c r="G111" s="16">
        <f>'Clean Data'!G110</f>
        <v>6.0422960725075523</v>
      </c>
      <c r="H111" s="16">
        <f>'Clean Data'!H110</f>
        <v>0.14098690835850958</v>
      </c>
      <c r="I111" s="16">
        <f>'Clean Data'!I110</f>
        <v>1.1077542799597179E-2</v>
      </c>
      <c r="J111" s="16">
        <f>'Clean Data'!J110</f>
        <v>42.698892245720039</v>
      </c>
      <c r="K111" s="16">
        <f>'Clean Data'!K110</f>
        <v>0.7</v>
      </c>
      <c r="L111" s="16">
        <f>'Clean Data'!L110</f>
        <v>6.3</v>
      </c>
      <c r="M111" s="16">
        <f>'Clean Data'!M110</f>
        <v>82.6</v>
      </c>
      <c r="N111" s="16" t="str">
        <f>'Clean Data'!N110</f>
        <v>NaN</v>
      </c>
      <c r="O111" s="16">
        <f>'Clean Data'!O110</f>
        <v>44.5</v>
      </c>
      <c r="P111" s="16">
        <f>'Clean Data'!P110</f>
        <v>20.6</v>
      </c>
      <c r="Q111" s="16">
        <f>'Clean Data'!Q110</f>
        <v>27.8</v>
      </c>
      <c r="R111" s="16">
        <f>'Clean Data'!R110</f>
        <v>565</v>
      </c>
      <c r="S111" s="16" t="str">
        <f>'Clean Data'!S110</f>
        <v>batch</v>
      </c>
      <c r="T111" s="16" t="str">
        <f>'Clean Data'!T110</f>
        <v>NaN</v>
      </c>
      <c r="U111" s="16">
        <f>'Clean Data'!U110</f>
        <v>250</v>
      </c>
      <c r="V111" s="16" t="str">
        <f>'Clean Data'!V110</f>
        <v>NaN</v>
      </c>
      <c r="W111" s="16">
        <f>'Clean Data'!W110</f>
        <v>0.48499999999999999</v>
      </c>
      <c r="X111" s="16" t="str">
        <f>'Clean Data'!X110</f>
        <v>air</v>
      </c>
      <c r="Y111" s="16" t="str">
        <f>'Clean Data'!Y110</f>
        <v>fixed bed</v>
      </c>
      <c r="Z111" s="16" t="str">
        <f>'Clean Data'!Z110</f>
        <v>NaN</v>
      </c>
      <c r="AA111" s="16">
        <f>'Clean Data'!AA110</f>
        <v>0</v>
      </c>
      <c r="AB111" s="16" t="str">
        <f>'Clean Data'!AB110</f>
        <v>lab</v>
      </c>
      <c r="AC111" s="16">
        <f>'Clean Data'!AC110</f>
        <v>61.4</v>
      </c>
      <c r="AD111" s="16">
        <f>'Clean Data'!AD110</f>
        <v>9.1999999999999993</v>
      </c>
      <c r="AE111" s="16">
        <f>'Clean Data'!AE110</f>
        <v>18.3</v>
      </c>
      <c r="AF111" s="16">
        <f>'Clean Data'!AF110</f>
        <v>9.4</v>
      </c>
      <c r="AG111" s="16">
        <f>'Clean Data'!AG110</f>
        <v>1.7</v>
      </c>
      <c r="AH111" s="16" t="str">
        <f>'Clean Data'!AH110</f>
        <v>NaN</v>
      </c>
      <c r="AI111" s="16">
        <f>'Clean Data'!AI110</f>
        <v>3.9</v>
      </c>
      <c r="AJ111" s="16">
        <f>'Clean Data'!AJ110</f>
        <v>34.67</v>
      </c>
      <c r="AK111" s="16">
        <f>'Clean Data'!AK110</f>
        <v>1.89</v>
      </c>
      <c r="AL111" s="16">
        <f>'Clean Data'!AL110</f>
        <v>102.74</v>
      </c>
      <c r="AM111" s="16">
        <f>'Clean Data'!AM110</f>
        <v>34.9</v>
      </c>
      <c r="AN111" s="16">
        <f>'Clean Data'!AN110</f>
        <v>56</v>
      </c>
      <c r="AO111" s="16" t="str">
        <f>'Clean Data'!AO110</f>
        <v>Sarker, Energy Conversion and Management, 2015, 103, 801-813</v>
      </c>
      <c r="AP111" s="16"/>
      <c r="AQ111" s="16"/>
      <c r="AR111" s="16"/>
      <c r="AS111" s="16"/>
      <c r="AT111" s="16"/>
    </row>
    <row r="112" spans="1:46" x14ac:dyDescent="0.3">
      <c r="A112" s="16">
        <f>'Clean Data'!A111</f>
        <v>110</v>
      </c>
      <c r="B112" s="16" t="str">
        <f>'Clean Data'!B111</f>
        <v>woody biomass</v>
      </c>
      <c r="C112" s="16" t="str">
        <f>'Clean Data'!C111</f>
        <v>chips</v>
      </c>
      <c r="D112" s="16">
        <f>'Clean Data'!D111</f>
        <v>11</v>
      </c>
      <c r="E112" s="16">
        <f>'Clean Data'!E111</f>
        <v>20.271000000000001</v>
      </c>
      <c r="F112" s="16">
        <f>'Clean Data'!F111</f>
        <v>51.057401812688823</v>
      </c>
      <c r="G112" s="16">
        <f>'Clean Data'!G111</f>
        <v>6.0422960725075523</v>
      </c>
      <c r="H112" s="16">
        <f>'Clean Data'!H111</f>
        <v>0.14098690835850958</v>
      </c>
      <c r="I112" s="16">
        <f>'Clean Data'!I111</f>
        <v>1.1077542799597179E-2</v>
      </c>
      <c r="J112" s="16">
        <f>'Clean Data'!J111</f>
        <v>42.698892245720039</v>
      </c>
      <c r="K112" s="16">
        <f>'Clean Data'!K111</f>
        <v>0.7</v>
      </c>
      <c r="L112" s="16">
        <f>'Clean Data'!L111</f>
        <v>6.6</v>
      </c>
      <c r="M112" s="16">
        <f>'Clean Data'!M111</f>
        <v>82.6</v>
      </c>
      <c r="N112" s="16" t="str">
        <f>'Clean Data'!N111</f>
        <v>NaN</v>
      </c>
      <c r="O112" s="16">
        <f>'Clean Data'!O111</f>
        <v>44.5</v>
      </c>
      <c r="P112" s="16">
        <f>'Clean Data'!P111</f>
        <v>20.6</v>
      </c>
      <c r="Q112" s="16">
        <f>'Clean Data'!Q111</f>
        <v>27.8</v>
      </c>
      <c r="R112" s="16">
        <f>'Clean Data'!R111</f>
        <v>602</v>
      </c>
      <c r="S112" s="16" t="str">
        <f>'Clean Data'!S111</f>
        <v>batch</v>
      </c>
      <c r="T112" s="16" t="str">
        <f>'Clean Data'!T111</f>
        <v>NaN</v>
      </c>
      <c r="U112" s="16">
        <f>'Clean Data'!U111</f>
        <v>283</v>
      </c>
      <c r="V112" s="16" t="str">
        <f>'Clean Data'!V111</f>
        <v>NaN</v>
      </c>
      <c r="W112" s="16">
        <f>'Clean Data'!W111</f>
        <v>0.46</v>
      </c>
      <c r="X112" s="16" t="str">
        <f>'Clean Data'!X111</f>
        <v>air</v>
      </c>
      <c r="Y112" s="16" t="str">
        <f>'Clean Data'!Y111</f>
        <v>fixed bed</v>
      </c>
      <c r="Z112" s="16" t="str">
        <f>'Clean Data'!Z111</f>
        <v>NaN</v>
      </c>
      <c r="AA112" s="16">
        <f>'Clean Data'!AA111</f>
        <v>0</v>
      </c>
      <c r="AB112" s="16" t="str">
        <f>'Clean Data'!AB111</f>
        <v>lab</v>
      </c>
      <c r="AC112" s="16">
        <f>'Clean Data'!AC111</f>
        <v>59.70000000000001</v>
      </c>
      <c r="AD112" s="16">
        <f>'Clean Data'!AD111</f>
        <v>10</v>
      </c>
      <c r="AE112" s="16">
        <f>'Clean Data'!AE111</f>
        <v>20.6</v>
      </c>
      <c r="AF112" s="16">
        <f>'Clean Data'!AF111</f>
        <v>7.9</v>
      </c>
      <c r="AG112" s="16">
        <f>'Clean Data'!AG111</f>
        <v>1.8</v>
      </c>
      <c r="AH112" s="16" t="str">
        <f>'Clean Data'!AH111</f>
        <v>NaN</v>
      </c>
      <c r="AI112" s="16">
        <f>'Clean Data'!AI111</f>
        <v>4.3</v>
      </c>
      <c r="AJ112" s="16">
        <f>'Clean Data'!AJ111</f>
        <v>60</v>
      </c>
      <c r="AK112" s="16">
        <f>'Clean Data'!AK111</f>
        <v>1.81</v>
      </c>
      <c r="AL112" s="16">
        <f>'Clean Data'!AL111</f>
        <v>140.07</v>
      </c>
      <c r="AM112" s="16">
        <f>'Clean Data'!AM111</f>
        <v>38.6</v>
      </c>
      <c r="AN112" s="16">
        <f>'Clean Data'!AN111</f>
        <v>58.2</v>
      </c>
      <c r="AO112" s="16" t="str">
        <f>'Clean Data'!AO111</f>
        <v>Sarker, Energy Conversion and Management, 2015, 103, 801-813</v>
      </c>
      <c r="AP112" s="16"/>
      <c r="AQ112" s="16"/>
      <c r="AR112" s="16"/>
      <c r="AS112" s="16"/>
      <c r="AT112" s="16"/>
    </row>
    <row r="113" spans="1:46" x14ac:dyDescent="0.3">
      <c r="A113" s="16">
        <f>'Clean Data'!A112</f>
        <v>111</v>
      </c>
      <c r="B113" s="16" t="str">
        <f>'Clean Data'!B112</f>
        <v>woody biomass</v>
      </c>
      <c r="C113" s="16" t="str">
        <f>'Clean Data'!C112</f>
        <v>chips</v>
      </c>
      <c r="D113" s="16">
        <f>'Clean Data'!D112</f>
        <v>11</v>
      </c>
      <c r="E113" s="16">
        <f>'Clean Data'!E112</f>
        <v>20.271000000000001</v>
      </c>
      <c r="F113" s="16">
        <f>'Clean Data'!F112</f>
        <v>51.057401812688823</v>
      </c>
      <c r="G113" s="16">
        <f>'Clean Data'!G112</f>
        <v>6.0422960725075523</v>
      </c>
      <c r="H113" s="16">
        <f>'Clean Data'!H112</f>
        <v>0.14098690835850958</v>
      </c>
      <c r="I113" s="16">
        <f>'Clean Data'!I112</f>
        <v>1.1077542799597179E-2</v>
      </c>
      <c r="J113" s="16">
        <f>'Clean Data'!J112</f>
        <v>42.698892245720039</v>
      </c>
      <c r="K113" s="16">
        <f>'Clean Data'!K112</f>
        <v>0.7</v>
      </c>
      <c r="L113" s="16">
        <f>'Clean Data'!L112</f>
        <v>11</v>
      </c>
      <c r="M113" s="16">
        <f>'Clean Data'!M112</f>
        <v>82.6</v>
      </c>
      <c r="N113" s="16" t="str">
        <f>'Clean Data'!N112</f>
        <v>NaN</v>
      </c>
      <c r="O113" s="16">
        <f>'Clean Data'!O112</f>
        <v>44.5</v>
      </c>
      <c r="P113" s="16">
        <f>'Clean Data'!P112</f>
        <v>20.6</v>
      </c>
      <c r="Q113" s="16">
        <f>'Clean Data'!Q112</f>
        <v>27.8</v>
      </c>
      <c r="R113" s="16">
        <f>'Clean Data'!R112</f>
        <v>553</v>
      </c>
      <c r="S113" s="16" t="str">
        <f>'Clean Data'!S112</f>
        <v>batch</v>
      </c>
      <c r="T113" s="16" t="str">
        <f>'Clean Data'!T112</f>
        <v>NaN</v>
      </c>
      <c r="U113" s="16">
        <f>'Clean Data'!U112</f>
        <v>241</v>
      </c>
      <c r="V113" s="16" t="str">
        <f>'Clean Data'!V112</f>
        <v>NaN</v>
      </c>
      <c r="W113" s="16">
        <f>'Clean Data'!W112</f>
        <v>0.42499999999999999</v>
      </c>
      <c r="X113" s="16" t="str">
        <f>'Clean Data'!X112</f>
        <v>air</v>
      </c>
      <c r="Y113" s="16" t="str">
        <f>'Clean Data'!Y112</f>
        <v>fixed bed</v>
      </c>
      <c r="Z113" s="16" t="str">
        <f>'Clean Data'!Z112</f>
        <v>NaN</v>
      </c>
      <c r="AA113" s="16">
        <f>'Clean Data'!AA112</f>
        <v>0</v>
      </c>
      <c r="AB113" s="16" t="str">
        <f>'Clean Data'!AB112</f>
        <v>lab</v>
      </c>
      <c r="AC113" s="16">
        <f>'Clean Data'!AC112</f>
        <v>60.899999999999991</v>
      </c>
      <c r="AD113" s="16">
        <f>'Clean Data'!AD112</f>
        <v>8.4</v>
      </c>
      <c r="AE113" s="16">
        <f>'Clean Data'!AE112</f>
        <v>20.5</v>
      </c>
      <c r="AF113" s="16">
        <f>'Clean Data'!AF112</f>
        <v>8.6</v>
      </c>
      <c r="AG113" s="16">
        <f>'Clean Data'!AG112</f>
        <v>1.6</v>
      </c>
      <c r="AH113" s="16" t="str">
        <f>'Clean Data'!AH112</f>
        <v>NaN</v>
      </c>
      <c r="AI113" s="16">
        <f>'Clean Data'!AI112</f>
        <v>4</v>
      </c>
      <c r="AJ113" s="16">
        <f>'Clean Data'!AJ112</f>
        <v>28.88</v>
      </c>
      <c r="AK113" s="16">
        <f>'Clean Data'!AK112</f>
        <v>1.67</v>
      </c>
      <c r="AL113" s="16">
        <f>'Clean Data'!AL112</f>
        <v>201.72</v>
      </c>
      <c r="AM113" s="16">
        <f>'Clean Data'!AM112</f>
        <v>32.799999999999997</v>
      </c>
      <c r="AN113" s="16">
        <f>'Clean Data'!AN112</f>
        <v>70</v>
      </c>
      <c r="AO113" s="16" t="str">
        <f>'Clean Data'!AO112</f>
        <v>Sarker, Energy Conversion and Management, 2015, 103, 801-813</v>
      </c>
      <c r="AP113" s="16"/>
      <c r="AQ113" s="16"/>
      <c r="AR113" s="16"/>
      <c r="AS113" s="16"/>
      <c r="AT113" s="16"/>
    </row>
    <row r="114" spans="1:46" x14ac:dyDescent="0.3">
      <c r="A114" s="16">
        <f>'Clean Data'!A113</f>
        <v>112</v>
      </c>
      <c r="B114" s="16" t="str">
        <f>'Clean Data'!B113</f>
        <v>woody biomass</v>
      </c>
      <c r="C114" s="16" t="str">
        <f>'Clean Data'!C113</f>
        <v>chips</v>
      </c>
      <c r="D114" s="16">
        <f>'Clean Data'!D113</f>
        <v>11</v>
      </c>
      <c r="E114" s="16">
        <f>'Clean Data'!E113</f>
        <v>19.672999999999998</v>
      </c>
      <c r="F114" s="16">
        <f>'Clean Data'!F113</f>
        <v>49.848637739656908</v>
      </c>
      <c r="G114" s="16">
        <f>'Clean Data'!G113</f>
        <v>6.0544904137235118</v>
      </c>
      <c r="H114" s="16">
        <f>'Clean Data'!H113</f>
        <v>0.22199798183652875</v>
      </c>
      <c r="I114" s="16">
        <f>'Clean Data'!I113</f>
        <v>1.9172552976791119E-2</v>
      </c>
      <c r="J114" s="16">
        <f>'Clean Data'!J113</f>
        <v>43.895055499495456</v>
      </c>
      <c r="K114" s="16">
        <f>'Clean Data'!K113</f>
        <v>0.9</v>
      </c>
      <c r="L114" s="16">
        <f>'Clean Data'!L113</f>
        <v>9.8000000000000007</v>
      </c>
      <c r="M114" s="16">
        <f>'Clean Data'!M113</f>
        <v>83.9</v>
      </c>
      <c r="N114" s="16" t="str">
        <f>'Clean Data'!N113</f>
        <v>NaN</v>
      </c>
      <c r="O114" s="16">
        <f>'Clean Data'!O113</f>
        <v>46.2</v>
      </c>
      <c r="P114" s="16">
        <f>'Clean Data'!P113</f>
        <v>24.4</v>
      </c>
      <c r="Q114" s="16">
        <f>'Clean Data'!Q113</f>
        <v>24.5</v>
      </c>
      <c r="R114" s="16">
        <f>'Clean Data'!R113</f>
        <v>711</v>
      </c>
      <c r="S114" s="16" t="str">
        <f>'Clean Data'!S113</f>
        <v>batch</v>
      </c>
      <c r="T114" s="16" t="str">
        <f>'Clean Data'!T113</f>
        <v>NaN</v>
      </c>
      <c r="U114" s="16">
        <f>'Clean Data'!U113</f>
        <v>403</v>
      </c>
      <c r="V114" s="16" t="str">
        <f>'Clean Data'!V113</f>
        <v>NaN</v>
      </c>
      <c r="W114" s="16">
        <f>'Clean Data'!W113</f>
        <v>0.52500000000000002</v>
      </c>
      <c r="X114" s="16" t="str">
        <f>'Clean Data'!X113</f>
        <v>air</v>
      </c>
      <c r="Y114" s="16" t="str">
        <f>'Clean Data'!Y113</f>
        <v>fixed bed</v>
      </c>
      <c r="Z114" s="16" t="str">
        <f>'Clean Data'!Z113</f>
        <v>NaN</v>
      </c>
      <c r="AA114" s="16">
        <f>'Clean Data'!AA113</f>
        <v>0</v>
      </c>
      <c r="AB114" s="16" t="str">
        <f>'Clean Data'!AB113</f>
        <v>lab</v>
      </c>
      <c r="AC114" s="16">
        <f>'Clean Data'!AC113</f>
        <v>57.2</v>
      </c>
      <c r="AD114" s="16">
        <f>'Clean Data'!AD113</f>
        <v>14.2</v>
      </c>
      <c r="AE114" s="16">
        <f>'Clean Data'!AE113</f>
        <v>19</v>
      </c>
      <c r="AF114" s="16">
        <f>'Clean Data'!AF113</f>
        <v>8.8000000000000007</v>
      </c>
      <c r="AG114" s="16">
        <f>'Clean Data'!AG113</f>
        <v>0.8</v>
      </c>
      <c r="AH114" s="16" t="str">
        <f>'Clean Data'!AH113</f>
        <v>NaN</v>
      </c>
      <c r="AI114" s="16">
        <f>'Clean Data'!AI113</f>
        <v>4.2</v>
      </c>
      <c r="AJ114" s="16">
        <f>'Clean Data'!AJ113</f>
        <v>11.75</v>
      </c>
      <c r="AK114" s="16">
        <f>'Clean Data'!AK113</f>
        <v>2.2999999999999998</v>
      </c>
      <c r="AL114" s="16">
        <f>'Clean Data'!AL113</f>
        <v>63.41</v>
      </c>
      <c r="AM114" s="16">
        <f>'Clean Data'!AM113</f>
        <v>49.3</v>
      </c>
      <c r="AN114" s="16">
        <f>'Clean Data'!AN113</f>
        <v>71.599999999999994</v>
      </c>
      <c r="AO114" s="16" t="str">
        <f>'Clean Data'!AO113</f>
        <v>Sarker, Energy Conversion and Management, 2015, 103, 801-813</v>
      </c>
      <c r="AP114" s="16"/>
      <c r="AQ114" s="16"/>
      <c r="AR114" s="16"/>
      <c r="AS114" s="16"/>
      <c r="AT114" s="16"/>
    </row>
    <row r="115" spans="1:46" x14ac:dyDescent="0.3">
      <c r="A115" s="16">
        <f>'Clean Data'!A114</f>
        <v>113</v>
      </c>
      <c r="B115" s="16" t="str">
        <f>'Clean Data'!B114</f>
        <v>woody biomass</v>
      </c>
      <c r="C115" s="16" t="str">
        <f>'Clean Data'!C114</f>
        <v>chips</v>
      </c>
      <c r="D115" s="16">
        <f>'Clean Data'!D114</f>
        <v>11</v>
      </c>
      <c r="E115" s="16">
        <f>'Clean Data'!E114</f>
        <v>19.672999999999998</v>
      </c>
      <c r="F115" s="16">
        <f>'Clean Data'!F114</f>
        <v>49.848637739656908</v>
      </c>
      <c r="G115" s="16">
        <f>'Clean Data'!G114</f>
        <v>6.0544904137235118</v>
      </c>
      <c r="H115" s="16">
        <f>'Clean Data'!H114</f>
        <v>0.22199798183652875</v>
      </c>
      <c r="I115" s="16">
        <f>'Clean Data'!I114</f>
        <v>1.9172552976791119E-2</v>
      </c>
      <c r="J115" s="16">
        <f>'Clean Data'!J114</f>
        <v>43.895055499495456</v>
      </c>
      <c r="K115" s="16">
        <f>'Clean Data'!K114</f>
        <v>0.9</v>
      </c>
      <c r="L115" s="16">
        <f>'Clean Data'!L114</f>
        <v>10</v>
      </c>
      <c r="M115" s="16">
        <f>'Clean Data'!M114</f>
        <v>83.9</v>
      </c>
      <c r="N115" s="16" t="str">
        <f>'Clean Data'!N114</f>
        <v>NaN</v>
      </c>
      <c r="O115" s="16">
        <f>'Clean Data'!O114</f>
        <v>46.2</v>
      </c>
      <c r="P115" s="16">
        <f>'Clean Data'!P114</f>
        <v>24.4</v>
      </c>
      <c r="Q115" s="16">
        <f>'Clean Data'!Q114</f>
        <v>24.5</v>
      </c>
      <c r="R115" s="16">
        <f>'Clean Data'!R114</f>
        <v>620</v>
      </c>
      <c r="S115" s="16" t="str">
        <f>'Clean Data'!S114</f>
        <v>batch</v>
      </c>
      <c r="T115" s="16" t="str">
        <f>'Clean Data'!T114</f>
        <v>NaN</v>
      </c>
      <c r="U115" s="16">
        <f>'Clean Data'!U114</f>
        <v>297</v>
      </c>
      <c r="V115" s="16" t="str">
        <f>'Clean Data'!V114</f>
        <v>NaN</v>
      </c>
      <c r="W115" s="16">
        <f>'Clean Data'!W114</f>
        <v>0.48</v>
      </c>
      <c r="X115" s="16" t="str">
        <f>'Clean Data'!X114</f>
        <v>air</v>
      </c>
      <c r="Y115" s="16" t="str">
        <f>'Clean Data'!Y114</f>
        <v>fixed bed</v>
      </c>
      <c r="Z115" s="16" t="str">
        <f>'Clean Data'!Z114</f>
        <v>NaN</v>
      </c>
      <c r="AA115" s="16">
        <f>'Clean Data'!AA114</f>
        <v>0</v>
      </c>
      <c r="AB115" s="16" t="str">
        <f>'Clean Data'!AB114</f>
        <v>lab</v>
      </c>
      <c r="AC115" s="16">
        <f>'Clean Data'!AC114</f>
        <v>60.8</v>
      </c>
      <c r="AD115" s="16">
        <f>'Clean Data'!AD114</f>
        <v>10.9</v>
      </c>
      <c r="AE115" s="16">
        <f>'Clean Data'!AE114</f>
        <v>19.5</v>
      </c>
      <c r="AF115" s="16">
        <f>'Clean Data'!AF114</f>
        <v>7.9</v>
      </c>
      <c r="AG115" s="16">
        <f>'Clean Data'!AG114</f>
        <v>0.9</v>
      </c>
      <c r="AH115" s="16" t="str">
        <f>'Clean Data'!AH114</f>
        <v>NaN</v>
      </c>
      <c r="AI115" s="16">
        <f>'Clean Data'!AI114</f>
        <v>3.9</v>
      </c>
      <c r="AJ115" s="16">
        <f>'Clean Data'!AJ114</f>
        <v>22.38</v>
      </c>
      <c r="AK115" s="16">
        <f>'Clean Data'!AK114</f>
        <v>1.91</v>
      </c>
      <c r="AL115" s="16">
        <f>'Clean Data'!AL114</f>
        <v>175.43</v>
      </c>
      <c r="AM115" s="16">
        <f>'Clean Data'!AM114</f>
        <v>39</v>
      </c>
      <c r="AN115" s="16">
        <f>'Clean Data'!AN114</f>
        <v>59.2</v>
      </c>
      <c r="AO115" s="16" t="str">
        <f>'Clean Data'!AO114</f>
        <v>Sarker, Energy Conversion and Management, 2015, 103, 801-813</v>
      </c>
      <c r="AP115" s="16"/>
      <c r="AQ115" s="16"/>
      <c r="AR115" s="16"/>
      <c r="AS115" s="16"/>
      <c r="AT115" s="16"/>
    </row>
    <row r="116" spans="1:46" x14ac:dyDescent="0.3">
      <c r="A116" s="16">
        <f>'Clean Data'!A115</f>
        <v>114</v>
      </c>
      <c r="B116" s="16" t="str">
        <f>'Clean Data'!B115</f>
        <v>woody biomass</v>
      </c>
      <c r="C116" s="16" t="str">
        <f>'Clean Data'!C115</f>
        <v>chips</v>
      </c>
      <c r="D116" s="16">
        <f>'Clean Data'!D115</f>
        <v>11</v>
      </c>
      <c r="E116" s="16">
        <f>'Clean Data'!E115</f>
        <v>19.672999999999998</v>
      </c>
      <c r="F116" s="16">
        <f>'Clean Data'!F115</f>
        <v>49.848637739656908</v>
      </c>
      <c r="G116" s="16">
        <f>'Clean Data'!G115</f>
        <v>6.0544904137235118</v>
      </c>
      <c r="H116" s="16">
        <f>'Clean Data'!H115</f>
        <v>0.22199798183652875</v>
      </c>
      <c r="I116" s="16">
        <f>'Clean Data'!I115</f>
        <v>1.9172552976791119E-2</v>
      </c>
      <c r="J116" s="16">
        <f>'Clean Data'!J115</f>
        <v>43.895055499495456</v>
      </c>
      <c r="K116" s="16">
        <f>'Clean Data'!K115</f>
        <v>0.9</v>
      </c>
      <c r="L116" s="16">
        <f>'Clean Data'!L115</f>
        <v>10.5</v>
      </c>
      <c r="M116" s="16">
        <f>'Clean Data'!M115</f>
        <v>83.9</v>
      </c>
      <c r="N116" s="16" t="str">
        <f>'Clean Data'!N115</f>
        <v>NaN</v>
      </c>
      <c r="O116" s="16">
        <f>'Clean Data'!O115</f>
        <v>46.2</v>
      </c>
      <c r="P116" s="16">
        <f>'Clean Data'!P115</f>
        <v>24.4</v>
      </c>
      <c r="Q116" s="16">
        <f>'Clean Data'!Q115</f>
        <v>24.5</v>
      </c>
      <c r="R116" s="16">
        <f>'Clean Data'!R115</f>
        <v>668</v>
      </c>
      <c r="S116" s="16" t="str">
        <f>'Clean Data'!S115</f>
        <v>batch</v>
      </c>
      <c r="T116" s="16" t="str">
        <f>'Clean Data'!T115</f>
        <v>NaN</v>
      </c>
      <c r="U116" s="16">
        <f>'Clean Data'!U115</f>
        <v>275</v>
      </c>
      <c r="V116" s="16" t="str">
        <f>'Clean Data'!V115</f>
        <v>NaN</v>
      </c>
      <c r="W116" s="16">
        <f>'Clean Data'!W115</f>
        <v>0.43</v>
      </c>
      <c r="X116" s="16" t="str">
        <f>'Clean Data'!X115</f>
        <v>air</v>
      </c>
      <c r="Y116" s="16" t="str">
        <f>'Clean Data'!Y115</f>
        <v>fixed bed</v>
      </c>
      <c r="Z116" s="16" t="str">
        <f>'Clean Data'!Z115</f>
        <v>NaN</v>
      </c>
      <c r="AA116" s="16">
        <f>'Clean Data'!AA115</f>
        <v>0</v>
      </c>
      <c r="AB116" s="16" t="str">
        <f>'Clean Data'!AB115</f>
        <v>lab</v>
      </c>
      <c r="AC116" s="16">
        <f>'Clean Data'!AC115</f>
        <v>54.1</v>
      </c>
      <c r="AD116" s="16">
        <f>'Clean Data'!AD115</f>
        <v>15.3</v>
      </c>
      <c r="AE116" s="16">
        <f>'Clean Data'!AE115</f>
        <v>19.7</v>
      </c>
      <c r="AF116" s="16">
        <f>'Clean Data'!AF115</f>
        <v>9.6</v>
      </c>
      <c r="AG116" s="16">
        <f>'Clean Data'!AG115</f>
        <v>1.3</v>
      </c>
      <c r="AH116" s="16" t="str">
        <f>'Clean Data'!AH115</f>
        <v>NaN</v>
      </c>
      <c r="AI116" s="16">
        <f>'Clean Data'!AI115</f>
        <v>4.5999999999999996</v>
      </c>
      <c r="AJ116" s="16">
        <f>'Clean Data'!AJ115</f>
        <v>9.5500000000000007</v>
      </c>
      <c r="AK116" s="16">
        <f>'Clean Data'!AK115</f>
        <v>1.93</v>
      </c>
      <c r="AL116" s="16">
        <f>'Clean Data'!AL115</f>
        <v>60.32</v>
      </c>
      <c r="AM116" s="16">
        <f>'Clean Data'!AM115</f>
        <v>40.299999999999997</v>
      </c>
      <c r="AN116" s="16">
        <f>'Clean Data'!AN115</f>
        <v>68.599999999999994</v>
      </c>
      <c r="AO116" s="16" t="str">
        <f>'Clean Data'!AO115</f>
        <v>Sarker, Energy Conversion and Management, 2015, 103, 801-813</v>
      </c>
      <c r="AP116" s="16"/>
      <c r="AQ116" s="16"/>
      <c r="AR116" s="16"/>
      <c r="AS116" s="16"/>
      <c r="AT116" s="16"/>
    </row>
    <row r="117" spans="1:46" x14ac:dyDescent="0.3">
      <c r="A117" s="16">
        <f>'Clean Data'!A116</f>
        <v>115</v>
      </c>
      <c r="B117" s="16" t="str">
        <f>'Clean Data'!B116</f>
        <v>woody biomass</v>
      </c>
      <c r="C117" s="16" t="str">
        <f>'Clean Data'!C116</f>
        <v>chips</v>
      </c>
      <c r="D117" s="16">
        <f>'Clean Data'!D116</f>
        <v>11</v>
      </c>
      <c r="E117" s="16">
        <f>'Clean Data'!E116</f>
        <v>19.803000000000001</v>
      </c>
      <c r="F117" s="16">
        <f>'Clean Data'!F116</f>
        <v>50.557244174265456</v>
      </c>
      <c r="G117" s="16">
        <f>'Clean Data'!G116</f>
        <v>5.9777102330293825</v>
      </c>
      <c r="H117" s="16">
        <f>'Clean Data'!H116</f>
        <v>0.53698074974670729</v>
      </c>
      <c r="I117" s="16">
        <f>'Clean Data'!I116</f>
        <v>3.8500506585612972E-2</v>
      </c>
      <c r="J117" s="16">
        <f>'Clean Data'!J116</f>
        <v>42.958459979736574</v>
      </c>
      <c r="K117" s="16">
        <f>'Clean Data'!K116</f>
        <v>1.3</v>
      </c>
      <c r="L117" s="16">
        <f>'Clean Data'!L116</f>
        <v>6.9</v>
      </c>
      <c r="M117" s="16">
        <f>'Clean Data'!M116</f>
        <v>80.7</v>
      </c>
      <c r="N117" s="16" t="str">
        <f>'Clean Data'!N116</f>
        <v>NaN</v>
      </c>
      <c r="O117" s="16">
        <f>'Clean Data'!O116</f>
        <v>38.5</v>
      </c>
      <c r="P117" s="16">
        <f>'Clean Data'!P116</f>
        <v>17.600000000000001</v>
      </c>
      <c r="Q117" s="16">
        <f>'Clean Data'!Q116</f>
        <v>26.3</v>
      </c>
      <c r="R117" s="16">
        <f>'Clean Data'!R116</f>
        <v>609</v>
      </c>
      <c r="S117" s="16" t="str">
        <f>'Clean Data'!S116</f>
        <v>batch</v>
      </c>
      <c r="T117" s="16" t="str">
        <f>'Clean Data'!T116</f>
        <v>NaN</v>
      </c>
      <c r="U117" s="16">
        <f>'Clean Data'!U116</f>
        <v>325</v>
      </c>
      <c r="V117" s="16" t="str">
        <f>'Clean Data'!V116</f>
        <v>NaN</v>
      </c>
      <c r="W117" s="16">
        <f>'Clean Data'!W116</f>
        <v>0.53</v>
      </c>
      <c r="X117" s="16" t="str">
        <f>'Clean Data'!X116</f>
        <v>air</v>
      </c>
      <c r="Y117" s="16" t="str">
        <f>'Clean Data'!Y116</f>
        <v>fixed bed</v>
      </c>
      <c r="Z117" s="16" t="str">
        <f>'Clean Data'!Z116</f>
        <v>NaN</v>
      </c>
      <c r="AA117" s="16">
        <f>'Clean Data'!AA116</f>
        <v>0</v>
      </c>
      <c r="AB117" s="16" t="str">
        <f>'Clean Data'!AB116</f>
        <v>lab</v>
      </c>
      <c r="AC117" s="16">
        <f>'Clean Data'!AC116</f>
        <v>56.699999999999989</v>
      </c>
      <c r="AD117" s="16">
        <f>'Clean Data'!AD116</f>
        <v>12.9</v>
      </c>
      <c r="AE117" s="16">
        <f>'Clean Data'!AE116</f>
        <v>19</v>
      </c>
      <c r="AF117" s="16">
        <f>'Clean Data'!AF116</f>
        <v>10.199999999999999</v>
      </c>
      <c r="AG117" s="16">
        <f>'Clean Data'!AG116</f>
        <v>1.2</v>
      </c>
      <c r="AH117" s="16" t="str">
        <f>'Clean Data'!AH116</f>
        <v>NaN</v>
      </c>
      <c r="AI117" s="16">
        <f>'Clean Data'!AI116</f>
        <v>4.2</v>
      </c>
      <c r="AJ117" s="16">
        <f>'Clean Data'!AJ116</f>
        <v>30.68</v>
      </c>
      <c r="AK117" s="16">
        <f>'Clean Data'!AK116</f>
        <v>2.0299999999999998</v>
      </c>
      <c r="AL117" s="16">
        <f>'Clean Data'!AL116</f>
        <v>62.37</v>
      </c>
      <c r="AM117" s="16">
        <f>'Clean Data'!AM116</f>
        <v>42.9</v>
      </c>
      <c r="AN117" s="16">
        <f>'Clean Data'!AN116</f>
        <v>65.8</v>
      </c>
      <c r="AO117" s="16" t="str">
        <f>'Clean Data'!AO116</f>
        <v>Sarker, Energy Conversion and Management, 2015, 103, 801-813</v>
      </c>
      <c r="AP117" s="16"/>
      <c r="AQ117" s="16"/>
      <c r="AR117" s="16"/>
      <c r="AS117" s="16"/>
      <c r="AT117" s="16"/>
    </row>
    <row r="118" spans="1:46" x14ac:dyDescent="0.3">
      <c r="A118" s="16">
        <f>'Clean Data'!A117</f>
        <v>116</v>
      </c>
      <c r="B118" s="16" t="str">
        <f>'Clean Data'!B117</f>
        <v>woody biomass</v>
      </c>
      <c r="C118" s="16" t="str">
        <f>'Clean Data'!C117</f>
        <v>chips</v>
      </c>
      <c r="D118" s="16">
        <f>'Clean Data'!D117</f>
        <v>11</v>
      </c>
      <c r="E118" s="16">
        <f>'Clean Data'!E117</f>
        <v>19.803000000000001</v>
      </c>
      <c r="F118" s="16">
        <f>'Clean Data'!F117</f>
        <v>50.557244174265456</v>
      </c>
      <c r="G118" s="16">
        <f>'Clean Data'!G117</f>
        <v>5.9777102330293825</v>
      </c>
      <c r="H118" s="16">
        <f>'Clean Data'!H117</f>
        <v>0.53698074974670729</v>
      </c>
      <c r="I118" s="16">
        <f>'Clean Data'!I117</f>
        <v>3.8500506585612972E-2</v>
      </c>
      <c r="J118" s="16">
        <f>'Clean Data'!J117</f>
        <v>42.958459979736574</v>
      </c>
      <c r="K118" s="16">
        <f>'Clean Data'!K117</f>
        <v>1.3</v>
      </c>
      <c r="L118" s="16">
        <f>'Clean Data'!L117</f>
        <v>7.7</v>
      </c>
      <c r="M118" s="16">
        <f>'Clean Data'!M117</f>
        <v>80.7</v>
      </c>
      <c r="N118" s="16" t="str">
        <f>'Clean Data'!N117</f>
        <v>NaN</v>
      </c>
      <c r="O118" s="16">
        <f>'Clean Data'!O117</f>
        <v>38.5</v>
      </c>
      <c r="P118" s="16">
        <f>'Clean Data'!P117</f>
        <v>17.600000000000001</v>
      </c>
      <c r="Q118" s="16">
        <f>'Clean Data'!Q117</f>
        <v>26.3</v>
      </c>
      <c r="R118" s="16">
        <f>'Clean Data'!R117</f>
        <v>667</v>
      </c>
      <c r="S118" s="16" t="str">
        <f>'Clean Data'!S117</f>
        <v>batch</v>
      </c>
      <c r="T118" s="16" t="str">
        <f>'Clean Data'!T117</f>
        <v>NaN</v>
      </c>
      <c r="U118" s="16">
        <f>'Clean Data'!U117</f>
        <v>275</v>
      </c>
      <c r="V118" s="16" t="str">
        <f>'Clean Data'!V117</f>
        <v>NaN</v>
      </c>
      <c r="W118" s="16">
        <f>'Clean Data'!W117</f>
        <v>0.31</v>
      </c>
      <c r="X118" s="16" t="str">
        <f>'Clean Data'!X117</f>
        <v>air</v>
      </c>
      <c r="Y118" s="16" t="str">
        <f>'Clean Data'!Y117</f>
        <v>fixed bed</v>
      </c>
      <c r="Z118" s="16" t="str">
        <f>'Clean Data'!Z117</f>
        <v>NaN</v>
      </c>
      <c r="AA118" s="16">
        <f>'Clean Data'!AA117</f>
        <v>0</v>
      </c>
      <c r="AB118" s="16" t="str">
        <f>'Clean Data'!AB117</f>
        <v>lab</v>
      </c>
      <c r="AC118" s="16">
        <f>'Clean Data'!AC117</f>
        <v>59.9</v>
      </c>
      <c r="AD118" s="16">
        <f>'Clean Data'!AD117</f>
        <v>12.1</v>
      </c>
      <c r="AE118" s="16">
        <f>'Clean Data'!AE117</f>
        <v>16.899999999999999</v>
      </c>
      <c r="AF118" s="16">
        <f>'Clean Data'!AF117</f>
        <v>9.6</v>
      </c>
      <c r="AG118" s="16">
        <f>'Clean Data'!AG117</f>
        <v>1.5</v>
      </c>
      <c r="AH118" s="16" t="str">
        <f>'Clean Data'!AH117</f>
        <v>NaN</v>
      </c>
      <c r="AI118" s="16">
        <f>'Clean Data'!AI117</f>
        <v>3.95</v>
      </c>
      <c r="AJ118" s="16">
        <f>'Clean Data'!AJ117</f>
        <v>50.95</v>
      </c>
      <c r="AK118" s="16">
        <f>'Clean Data'!AK117</f>
        <v>1.45</v>
      </c>
      <c r="AL118" s="16">
        <f>'Clean Data'!AL117</f>
        <v>102.15</v>
      </c>
      <c r="AM118" s="16">
        <f>'Clean Data'!AM117</f>
        <v>28.9</v>
      </c>
      <c r="AN118" s="16">
        <f>'Clean Data'!AN117</f>
        <v>50.4</v>
      </c>
      <c r="AO118" s="16" t="str">
        <f>'Clean Data'!AO117</f>
        <v>Sarker, Energy Conversion and Management, 2015, 103, 801-813</v>
      </c>
      <c r="AP118" s="16"/>
      <c r="AQ118" s="16"/>
      <c r="AR118" s="16"/>
      <c r="AS118" s="16"/>
      <c r="AT118" s="16"/>
    </row>
    <row r="119" spans="1:46" x14ac:dyDescent="0.3">
      <c r="A119" s="16">
        <f>'Clean Data'!A118</f>
        <v>117</v>
      </c>
      <c r="B119" s="16" t="str">
        <f>'Clean Data'!B118</f>
        <v>woody biomass</v>
      </c>
      <c r="C119" s="16" t="str">
        <f>'Clean Data'!C118</f>
        <v>chips</v>
      </c>
      <c r="D119" s="16">
        <f>'Clean Data'!D118</f>
        <v>11</v>
      </c>
      <c r="E119" s="16">
        <f>'Clean Data'!E118</f>
        <v>19.803000000000001</v>
      </c>
      <c r="F119" s="16">
        <f>'Clean Data'!F118</f>
        <v>50.557244174265456</v>
      </c>
      <c r="G119" s="16">
        <f>'Clean Data'!G118</f>
        <v>5.9777102330293825</v>
      </c>
      <c r="H119" s="16">
        <f>'Clean Data'!H118</f>
        <v>0.53698074974670729</v>
      </c>
      <c r="I119" s="16">
        <f>'Clean Data'!I118</f>
        <v>3.8500506585612972E-2</v>
      </c>
      <c r="J119" s="16">
        <f>'Clean Data'!J118</f>
        <v>42.958459979736574</v>
      </c>
      <c r="K119" s="16">
        <f>'Clean Data'!K118</f>
        <v>1.3</v>
      </c>
      <c r="L119" s="16">
        <f>'Clean Data'!L118</f>
        <v>9.8000000000000007</v>
      </c>
      <c r="M119" s="16">
        <f>'Clean Data'!M118</f>
        <v>80.7</v>
      </c>
      <c r="N119" s="16" t="str">
        <f>'Clean Data'!N118</f>
        <v>NaN</v>
      </c>
      <c r="O119" s="16">
        <f>'Clean Data'!O118</f>
        <v>38.5</v>
      </c>
      <c r="P119" s="16">
        <f>'Clean Data'!P118</f>
        <v>17.600000000000001</v>
      </c>
      <c r="Q119" s="16">
        <f>'Clean Data'!Q118</f>
        <v>26.3</v>
      </c>
      <c r="R119" s="16">
        <f>'Clean Data'!R118</f>
        <v>755</v>
      </c>
      <c r="S119" s="16" t="str">
        <f>'Clean Data'!S118</f>
        <v>batch</v>
      </c>
      <c r="T119" s="16" t="str">
        <f>'Clean Data'!T118</f>
        <v>NaN</v>
      </c>
      <c r="U119" s="16">
        <f>'Clean Data'!U118</f>
        <v>346</v>
      </c>
      <c r="V119" s="16" t="str">
        <f>'Clean Data'!V118</f>
        <v>NaN</v>
      </c>
      <c r="W119" s="16">
        <f>'Clean Data'!W118</f>
        <v>0.52</v>
      </c>
      <c r="X119" s="16" t="str">
        <f>'Clean Data'!X118</f>
        <v>air</v>
      </c>
      <c r="Y119" s="16" t="str">
        <f>'Clean Data'!Y118</f>
        <v>fixed bed</v>
      </c>
      <c r="Z119" s="16" t="str">
        <f>'Clean Data'!Z118</f>
        <v>NaN</v>
      </c>
      <c r="AA119" s="16">
        <f>'Clean Data'!AA118</f>
        <v>0</v>
      </c>
      <c r="AB119" s="16" t="str">
        <f>'Clean Data'!AB118</f>
        <v>lab</v>
      </c>
      <c r="AC119" s="16">
        <f>'Clean Data'!AC118</f>
        <v>58.699999999999996</v>
      </c>
      <c r="AD119" s="16">
        <f>'Clean Data'!AD118</f>
        <v>11.4</v>
      </c>
      <c r="AE119" s="16">
        <f>'Clean Data'!AE118</f>
        <v>17.3</v>
      </c>
      <c r="AF119" s="16">
        <f>'Clean Data'!AF118</f>
        <v>11</v>
      </c>
      <c r="AG119" s="16">
        <f>'Clean Data'!AG118</f>
        <v>1.6</v>
      </c>
      <c r="AH119" s="16" t="str">
        <f>'Clean Data'!AH118</f>
        <v>NaN</v>
      </c>
      <c r="AI119" s="16">
        <f>'Clean Data'!AI118</f>
        <v>3.97</v>
      </c>
      <c r="AJ119" s="16">
        <f>'Clean Data'!AJ118</f>
        <v>13.72</v>
      </c>
      <c r="AK119" s="16">
        <f>'Clean Data'!AK118</f>
        <v>2.2200000000000002</v>
      </c>
      <c r="AL119" s="16">
        <f>'Clean Data'!AL118</f>
        <v>180.64</v>
      </c>
      <c r="AM119" s="16">
        <f>'Clean Data'!AM118</f>
        <v>43.1</v>
      </c>
      <c r="AN119" s="16">
        <f>'Clean Data'!AN118</f>
        <v>69.599999999999994</v>
      </c>
      <c r="AO119" s="16" t="str">
        <f>'Clean Data'!AO118</f>
        <v>Sarker, Energy Conversion and Management, 2015, 103, 801-813</v>
      </c>
      <c r="AP119" s="16"/>
      <c r="AQ119" s="16"/>
      <c r="AR119" s="16"/>
      <c r="AS119" s="16"/>
      <c r="AT119" s="16"/>
    </row>
    <row r="120" spans="1:46" x14ac:dyDescent="0.3">
      <c r="A120" s="16">
        <f>'Clean Data'!A119</f>
        <v>118</v>
      </c>
      <c r="B120" s="16" t="str">
        <f>'Clean Data'!B119</f>
        <v>herbaceous biomass</v>
      </c>
      <c r="C120" s="16" t="str">
        <f>'Clean Data'!C119</f>
        <v>pellets</v>
      </c>
      <c r="D120" s="16">
        <f>'Clean Data'!D119</f>
        <v>6</v>
      </c>
      <c r="E120" s="16">
        <f>'Clean Data'!E119</f>
        <v>15.232963</v>
      </c>
      <c r="F120" s="16">
        <f>'Clean Data'!F119</f>
        <v>50.109964365843993</v>
      </c>
      <c r="G120" s="16">
        <f>'Clean Data'!G119</f>
        <v>5.9023756103998943</v>
      </c>
      <c r="H120" s="16">
        <f>'Clean Data'!H119</f>
        <v>2.8789138181338259</v>
      </c>
      <c r="I120" s="16">
        <f>'Clean Data'!I119</f>
        <v>0.30114161277550477</v>
      </c>
      <c r="J120" s="16">
        <f>'Clean Data'!J119</f>
        <v>40.882985350402528</v>
      </c>
      <c r="K120" s="16">
        <f>'Clean Data'!K119</f>
        <v>16.982579160731895</v>
      </c>
      <c r="L120" s="16">
        <f>'Clean Data'!L119</f>
        <v>8.73</v>
      </c>
      <c r="M120" s="16">
        <f>'Clean Data'!M119</f>
        <v>81.516379971513103</v>
      </c>
      <c r="N120" s="16" t="str">
        <f>'Clean Data'!N119</f>
        <v>NaN</v>
      </c>
      <c r="O120" s="16">
        <f>'Clean Data'!O119</f>
        <v>29.6</v>
      </c>
      <c r="P120" s="16">
        <f>'Clean Data'!P119</f>
        <v>14</v>
      </c>
      <c r="Q120" s="16">
        <f>'Clean Data'!Q119</f>
        <v>14</v>
      </c>
      <c r="R120" s="16">
        <f>'Clean Data'!R119</f>
        <v>775</v>
      </c>
      <c r="S120" s="16" t="str">
        <f>'Clean Data'!S119</f>
        <v>continuous</v>
      </c>
      <c r="T120" s="16" t="str">
        <f>'Clean Data'!T119</f>
        <v>NaN</v>
      </c>
      <c r="U120" s="16">
        <f>'Clean Data'!U119</f>
        <v>200</v>
      </c>
      <c r="V120" s="16" t="str">
        <f>'Clean Data'!V119</f>
        <v>NaN</v>
      </c>
      <c r="W120" s="16">
        <f>'Clean Data'!W119</f>
        <v>0.25</v>
      </c>
      <c r="X120" s="16" t="str">
        <f>'Clean Data'!X119</f>
        <v>air</v>
      </c>
      <c r="Y120" s="16" t="str">
        <f>'Clean Data'!Y119</f>
        <v>fluidised bed</v>
      </c>
      <c r="Z120" s="16" t="str">
        <f>'Clean Data'!Z119</f>
        <v>silica</v>
      </c>
      <c r="AA120" s="16">
        <f>'Clean Data'!AA119</f>
        <v>0</v>
      </c>
      <c r="AB120" s="16" t="str">
        <f>'Clean Data'!AB119</f>
        <v>pilot</v>
      </c>
      <c r="AC120" s="16">
        <f>'Clean Data'!AC119</f>
        <v>51.5</v>
      </c>
      <c r="AD120" s="16">
        <f>'Clean Data'!AD119</f>
        <v>13.02</v>
      </c>
      <c r="AE120" s="16">
        <f>'Clean Data'!AE119</f>
        <v>8.43</v>
      </c>
      <c r="AF120" s="16">
        <f>'Clean Data'!AF119</f>
        <v>20.309999999999999</v>
      </c>
      <c r="AG120" s="16">
        <f>'Clean Data'!AG119</f>
        <v>2.77</v>
      </c>
      <c r="AH120" s="16">
        <f>'Clean Data'!AH119</f>
        <v>1.06</v>
      </c>
      <c r="AI120" s="16">
        <f>'Clean Data'!AI119</f>
        <v>4.13</v>
      </c>
      <c r="AJ120" s="16">
        <f>'Clean Data'!AJ119</f>
        <v>1.1499999999999999</v>
      </c>
      <c r="AK120" s="16">
        <f>'Clean Data'!AK119</f>
        <v>1.36</v>
      </c>
      <c r="AL120" s="16">
        <f>'Clean Data'!AL119</f>
        <v>301.52</v>
      </c>
      <c r="AM120" s="16">
        <f>'Clean Data'!AM119</f>
        <v>33.799999999999997</v>
      </c>
      <c r="AN120" s="16">
        <f>'Clean Data'!AN119</f>
        <v>47.558207722656299</v>
      </c>
      <c r="AO120" s="16" t="str">
        <f>'Clean Data'!AO119</f>
        <v>Sarker, Energy Conversion and Management, 2015, 91, 451-458</v>
      </c>
      <c r="AP120" s="16"/>
      <c r="AQ120" s="16"/>
      <c r="AR120" s="16"/>
      <c r="AS120" s="16"/>
      <c r="AT120" s="16"/>
    </row>
    <row r="121" spans="1:46" x14ac:dyDescent="0.3">
      <c r="A121" s="16">
        <f>'Clean Data'!A120</f>
        <v>119</v>
      </c>
      <c r="B121" s="16" t="str">
        <f>'Clean Data'!B120</f>
        <v>herbaceous biomass</v>
      </c>
      <c r="C121" s="16" t="str">
        <f>'Clean Data'!C120</f>
        <v>pellets</v>
      </c>
      <c r="D121" s="16">
        <f>'Clean Data'!D120</f>
        <v>6</v>
      </c>
      <c r="E121" s="16">
        <f>'Clean Data'!E120</f>
        <v>15.232963</v>
      </c>
      <c r="F121" s="16">
        <f>'Clean Data'!F120</f>
        <v>50.109964365843993</v>
      </c>
      <c r="G121" s="16">
        <f>'Clean Data'!G120</f>
        <v>5.9023756103998943</v>
      </c>
      <c r="H121" s="16">
        <f>'Clean Data'!H120</f>
        <v>2.8789138181338259</v>
      </c>
      <c r="I121" s="16">
        <f>'Clean Data'!I120</f>
        <v>0.30114161277550477</v>
      </c>
      <c r="J121" s="16">
        <f>'Clean Data'!J120</f>
        <v>40.882985350402528</v>
      </c>
      <c r="K121" s="16">
        <f>'Clean Data'!K120</f>
        <v>16.982579160731895</v>
      </c>
      <c r="L121" s="16">
        <f>'Clean Data'!L120</f>
        <v>8.73</v>
      </c>
      <c r="M121" s="16">
        <f>'Clean Data'!M120</f>
        <v>81.516379971513103</v>
      </c>
      <c r="N121" s="16" t="str">
        <f>'Clean Data'!N120</f>
        <v>NaN</v>
      </c>
      <c r="O121" s="16">
        <f>'Clean Data'!O120</f>
        <v>29.6</v>
      </c>
      <c r="P121" s="16">
        <f>'Clean Data'!P120</f>
        <v>14</v>
      </c>
      <c r="Q121" s="16">
        <f>'Clean Data'!Q120</f>
        <v>14</v>
      </c>
      <c r="R121" s="16">
        <f>'Clean Data'!R120</f>
        <v>775</v>
      </c>
      <c r="S121" s="16" t="str">
        <f>'Clean Data'!S120</f>
        <v>continuous</v>
      </c>
      <c r="T121" s="16" t="str">
        <f>'Clean Data'!T120</f>
        <v>NaN</v>
      </c>
      <c r="U121" s="16">
        <f>'Clean Data'!U120</f>
        <v>200</v>
      </c>
      <c r="V121" s="16" t="str">
        <f>'Clean Data'!V120</f>
        <v>NaN</v>
      </c>
      <c r="W121" s="16">
        <f>'Clean Data'!W120</f>
        <v>0.3</v>
      </c>
      <c r="X121" s="16" t="str">
        <f>'Clean Data'!X120</f>
        <v>air</v>
      </c>
      <c r="Y121" s="16" t="str">
        <f>'Clean Data'!Y120</f>
        <v>fluidised bed</v>
      </c>
      <c r="Z121" s="16" t="str">
        <f>'Clean Data'!Z120</f>
        <v>silica</v>
      </c>
      <c r="AA121" s="16">
        <f>'Clean Data'!AA120</f>
        <v>0</v>
      </c>
      <c r="AB121" s="16" t="str">
        <f>'Clean Data'!AB120</f>
        <v>pilot</v>
      </c>
      <c r="AC121" s="16">
        <f>'Clean Data'!AC120</f>
        <v>50.6</v>
      </c>
      <c r="AD121" s="16">
        <f>'Clean Data'!AD120</f>
        <v>12.91</v>
      </c>
      <c r="AE121" s="16">
        <f>'Clean Data'!AE120</f>
        <v>9.08</v>
      </c>
      <c r="AF121" s="16">
        <f>'Clean Data'!AF120</f>
        <v>19.600000000000001</v>
      </c>
      <c r="AG121" s="16">
        <f>'Clean Data'!AG120</f>
        <v>2.67</v>
      </c>
      <c r="AH121" s="16">
        <f>'Clean Data'!AH120</f>
        <v>1.1200000000000001</v>
      </c>
      <c r="AI121" s="16">
        <f>'Clean Data'!AI120</f>
        <v>4.21</v>
      </c>
      <c r="AJ121" s="16" t="str">
        <f>'Clean Data'!AJ120</f>
        <v>NaN</v>
      </c>
      <c r="AK121" s="16">
        <f>'Clean Data'!AK120</f>
        <v>1.66</v>
      </c>
      <c r="AL121" s="16" t="str">
        <f>'Clean Data'!AL120</f>
        <v>NaN</v>
      </c>
      <c r="AM121" s="16">
        <f>'Clean Data'!AM120</f>
        <v>42.14</v>
      </c>
      <c r="AN121" s="16">
        <f>'Clean Data'!AN120</f>
        <v>57.868718019558337</v>
      </c>
      <c r="AO121" s="16" t="str">
        <f>'Clean Data'!AO120</f>
        <v>Sarker, Energy Conversion and Management, 2015, 91, 451-458</v>
      </c>
      <c r="AP121" s="16"/>
      <c r="AQ121" s="16"/>
      <c r="AR121" s="16"/>
      <c r="AS121" s="16"/>
      <c r="AT121" s="16"/>
    </row>
    <row r="122" spans="1:46" x14ac:dyDescent="0.3">
      <c r="A122" s="16">
        <f>'Clean Data'!A121</f>
        <v>120</v>
      </c>
      <c r="B122" s="16" t="str">
        <f>'Clean Data'!B121</f>
        <v>herbaceous biomass</v>
      </c>
      <c r="C122" s="16" t="str">
        <f>'Clean Data'!C121</f>
        <v>pellets</v>
      </c>
      <c r="D122" s="16">
        <f>'Clean Data'!D121</f>
        <v>6</v>
      </c>
      <c r="E122" s="16">
        <f>'Clean Data'!E121</f>
        <v>15.232963</v>
      </c>
      <c r="F122" s="16">
        <f>'Clean Data'!F121</f>
        <v>50.109964365843993</v>
      </c>
      <c r="G122" s="16">
        <f>'Clean Data'!G121</f>
        <v>5.9023756103998943</v>
      </c>
      <c r="H122" s="16">
        <f>'Clean Data'!H121</f>
        <v>2.8789138181338259</v>
      </c>
      <c r="I122" s="16">
        <f>'Clean Data'!I121</f>
        <v>0.30114161277550477</v>
      </c>
      <c r="J122" s="16">
        <f>'Clean Data'!J121</f>
        <v>40.882985350402528</v>
      </c>
      <c r="K122" s="16">
        <f>'Clean Data'!K121</f>
        <v>16.982579160731895</v>
      </c>
      <c r="L122" s="16">
        <f>'Clean Data'!L121</f>
        <v>8.73</v>
      </c>
      <c r="M122" s="16">
        <f>'Clean Data'!M121</f>
        <v>81.516379971513103</v>
      </c>
      <c r="N122" s="16" t="str">
        <f>'Clean Data'!N121</f>
        <v>NaN</v>
      </c>
      <c r="O122" s="16">
        <f>'Clean Data'!O121</f>
        <v>29.6</v>
      </c>
      <c r="P122" s="16">
        <f>'Clean Data'!P121</f>
        <v>14</v>
      </c>
      <c r="Q122" s="16">
        <f>'Clean Data'!Q121</f>
        <v>14</v>
      </c>
      <c r="R122" s="16">
        <f>'Clean Data'!R121</f>
        <v>775</v>
      </c>
      <c r="S122" s="16" t="str">
        <f>'Clean Data'!S121</f>
        <v>continuous</v>
      </c>
      <c r="T122" s="16" t="str">
        <f>'Clean Data'!T121</f>
        <v>NaN</v>
      </c>
      <c r="U122" s="16">
        <f>'Clean Data'!U121</f>
        <v>200</v>
      </c>
      <c r="V122" s="16" t="str">
        <f>'Clean Data'!V121</f>
        <v>NaN</v>
      </c>
      <c r="W122" s="16">
        <f>'Clean Data'!W121</f>
        <v>0.25</v>
      </c>
      <c r="X122" s="16" t="str">
        <f>'Clean Data'!X121</f>
        <v>air</v>
      </c>
      <c r="Y122" s="16" t="str">
        <f>'Clean Data'!Y121</f>
        <v>fluidised bed</v>
      </c>
      <c r="Z122" s="16" t="str">
        <f>'Clean Data'!Z121</f>
        <v>silica</v>
      </c>
      <c r="AA122" s="16">
        <f>'Clean Data'!AA121</f>
        <v>0</v>
      </c>
      <c r="AB122" s="16" t="str">
        <f>'Clean Data'!AB121</f>
        <v>pilot</v>
      </c>
      <c r="AC122" s="16">
        <f>'Clean Data'!AC121</f>
        <v>54.14</v>
      </c>
      <c r="AD122" s="16">
        <f>'Clean Data'!AD121</f>
        <v>13.5</v>
      </c>
      <c r="AE122" s="16">
        <f>'Clean Data'!AE121</f>
        <v>8.42</v>
      </c>
      <c r="AF122" s="16">
        <f>'Clean Data'!AF121</f>
        <v>20.04</v>
      </c>
      <c r="AG122" s="16">
        <f>'Clean Data'!AG121</f>
        <v>2.7</v>
      </c>
      <c r="AH122" s="16">
        <f>'Clean Data'!AH121</f>
        <v>1.2</v>
      </c>
      <c r="AI122" s="16">
        <f>'Clean Data'!AI121</f>
        <v>4.25</v>
      </c>
      <c r="AJ122" s="16">
        <f>'Clean Data'!AJ121</f>
        <v>1.0900000000000001</v>
      </c>
      <c r="AK122" s="16">
        <f>'Clean Data'!AK121</f>
        <v>1.35</v>
      </c>
      <c r="AL122" s="16">
        <f>'Clean Data'!AL121</f>
        <v>261.92</v>
      </c>
      <c r="AM122" s="16">
        <f>'Clean Data'!AM121</f>
        <v>34.76</v>
      </c>
      <c r="AN122" s="16">
        <f>'Clean Data'!AN121</f>
        <v>47.091112043117235</v>
      </c>
      <c r="AO122" s="16" t="str">
        <f>'Clean Data'!AO121</f>
        <v>Sarker, Energy Conversion and Management, 2015, 91, 451-458</v>
      </c>
      <c r="AP122" s="16"/>
      <c r="AQ122" s="16"/>
      <c r="AR122" s="16"/>
      <c r="AS122" s="16"/>
      <c r="AT122" s="16"/>
    </row>
    <row r="123" spans="1:46" x14ac:dyDescent="0.3">
      <c r="A123" s="16">
        <f>'Clean Data'!A122</f>
        <v>121</v>
      </c>
      <c r="B123" s="16" t="str">
        <f>'Clean Data'!B122</f>
        <v>herbaceous biomass</v>
      </c>
      <c r="C123" s="16" t="str">
        <f>'Clean Data'!C122</f>
        <v>pellets</v>
      </c>
      <c r="D123" s="16">
        <f>'Clean Data'!D122</f>
        <v>6</v>
      </c>
      <c r="E123" s="16">
        <f>'Clean Data'!E122</f>
        <v>15.232963</v>
      </c>
      <c r="F123" s="16">
        <f>'Clean Data'!F122</f>
        <v>50.109964365843993</v>
      </c>
      <c r="G123" s="16">
        <f>'Clean Data'!G122</f>
        <v>5.9023756103998943</v>
      </c>
      <c r="H123" s="16">
        <f>'Clean Data'!H122</f>
        <v>2.8789138181338259</v>
      </c>
      <c r="I123" s="16">
        <f>'Clean Data'!I122</f>
        <v>0.30114161277550477</v>
      </c>
      <c r="J123" s="16">
        <f>'Clean Data'!J122</f>
        <v>40.882985350402528</v>
      </c>
      <c r="K123" s="16">
        <f>'Clean Data'!K122</f>
        <v>16.982579160731895</v>
      </c>
      <c r="L123" s="16">
        <f>'Clean Data'!L122</f>
        <v>8.73</v>
      </c>
      <c r="M123" s="16">
        <f>'Clean Data'!M122</f>
        <v>81.516379971513103</v>
      </c>
      <c r="N123" s="16" t="str">
        <f>'Clean Data'!N122</f>
        <v>NaN</v>
      </c>
      <c r="O123" s="16">
        <f>'Clean Data'!O122</f>
        <v>29.6</v>
      </c>
      <c r="P123" s="16">
        <f>'Clean Data'!P122</f>
        <v>14</v>
      </c>
      <c r="Q123" s="16">
        <f>'Clean Data'!Q122</f>
        <v>14</v>
      </c>
      <c r="R123" s="16">
        <f>'Clean Data'!R122</f>
        <v>775</v>
      </c>
      <c r="S123" s="16" t="str">
        <f>'Clean Data'!S122</f>
        <v>continuous</v>
      </c>
      <c r="T123" s="16" t="str">
        <f>'Clean Data'!T122</f>
        <v>NaN</v>
      </c>
      <c r="U123" s="16">
        <f>'Clean Data'!U122</f>
        <v>200</v>
      </c>
      <c r="V123" s="16" t="str">
        <f>'Clean Data'!V122</f>
        <v>NaN</v>
      </c>
      <c r="W123" s="16">
        <f>'Clean Data'!W122</f>
        <v>0.3</v>
      </c>
      <c r="X123" s="16" t="str">
        <f>'Clean Data'!X122</f>
        <v>air</v>
      </c>
      <c r="Y123" s="16" t="str">
        <f>'Clean Data'!Y122</f>
        <v>fluidised bed</v>
      </c>
      <c r="Z123" s="16" t="str">
        <f>'Clean Data'!Z122</f>
        <v>silica</v>
      </c>
      <c r="AA123" s="16">
        <f>'Clean Data'!AA122</f>
        <v>0</v>
      </c>
      <c r="AB123" s="16" t="str">
        <f>'Clean Data'!AB122</f>
        <v>pilot</v>
      </c>
      <c r="AC123" s="16">
        <f>'Clean Data'!AC122</f>
        <v>54.45</v>
      </c>
      <c r="AD123" s="16">
        <f>'Clean Data'!AD122</f>
        <v>12.73</v>
      </c>
      <c r="AE123" s="16">
        <f>'Clean Data'!AE122</f>
        <v>9.15</v>
      </c>
      <c r="AF123" s="16">
        <f>'Clean Data'!AF122</f>
        <v>19.899999999999999</v>
      </c>
      <c r="AG123" s="16">
        <f>'Clean Data'!AG122</f>
        <v>2.65</v>
      </c>
      <c r="AH123" s="16">
        <f>'Clean Data'!AH122</f>
        <v>1.0900000000000001</v>
      </c>
      <c r="AI123" s="16">
        <f>'Clean Data'!AI122</f>
        <v>4.1900000000000004</v>
      </c>
      <c r="AJ123" s="16" t="str">
        <f>'Clean Data'!AJ122</f>
        <v>NaN</v>
      </c>
      <c r="AK123" s="16">
        <f>'Clean Data'!AK122</f>
        <v>1.38</v>
      </c>
      <c r="AL123" s="16" t="str">
        <f>'Clean Data'!AL122</f>
        <v>NaN</v>
      </c>
      <c r="AM123" s="16">
        <f>'Clean Data'!AM122</f>
        <v>34.85</v>
      </c>
      <c r="AN123" s="16">
        <f>'Clean Data'!AN122</f>
        <v>48.537350492096344</v>
      </c>
      <c r="AO123" s="16" t="str">
        <f>'Clean Data'!AO122</f>
        <v>Sarker, Energy Conversion and Management, 2015, 91, 451-458</v>
      </c>
      <c r="AP123" s="16"/>
      <c r="AQ123" s="16"/>
      <c r="AR123" s="16"/>
      <c r="AS123" s="16"/>
      <c r="AT123" s="16"/>
    </row>
    <row r="124" spans="1:46" x14ac:dyDescent="0.3">
      <c r="A124" s="16">
        <f>'Clean Data'!A123</f>
        <v>122</v>
      </c>
      <c r="B124" s="16" t="str">
        <f>'Clean Data'!B123</f>
        <v>herbaceous biomass</v>
      </c>
      <c r="C124" s="16" t="str">
        <f>'Clean Data'!C123</f>
        <v>other</v>
      </c>
      <c r="D124" s="16" t="str">
        <f>'Clean Data'!D123</f>
        <v>NaN</v>
      </c>
      <c r="E124" s="16">
        <f>'Clean Data'!E123</f>
        <v>14.22</v>
      </c>
      <c r="F124" s="16">
        <f>'Clean Data'!F123</f>
        <v>47</v>
      </c>
      <c r="G124" s="16">
        <f>'Clean Data'!G123</f>
        <v>6.7750000000000004</v>
      </c>
      <c r="H124" s="16">
        <f>'Clean Data'!H123</f>
        <v>0.47499999999999998</v>
      </c>
      <c r="I124" s="16">
        <f>'Clean Data'!I123</f>
        <v>3.7499999999999999E-2</v>
      </c>
      <c r="J124" s="16">
        <f>'Clean Data'!J123</f>
        <v>45.7</v>
      </c>
      <c r="K124" s="16">
        <f>'Clean Data'!K123</f>
        <v>20</v>
      </c>
      <c r="L124" s="16">
        <f>'Clean Data'!L123</f>
        <v>9.08</v>
      </c>
      <c r="M124" s="16">
        <f>'Clean Data'!M123</f>
        <v>66.400000000000006</v>
      </c>
      <c r="N124" s="16">
        <f>'Clean Data'!N123</f>
        <v>13.6</v>
      </c>
      <c r="O124" s="16" t="str">
        <f>'Clean Data'!O123</f>
        <v>NaN</v>
      </c>
      <c r="P124" s="16" t="str">
        <f>'Clean Data'!P123</f>
        <v>NaN</v>
      </c>
      <c r="Q124" s="16" t="str">
        <f>'Clean Data'!Q123</f>
        <v>NaN</v>
      </c>
      <c r="R124" s="16">
        <f>'Clean Data'!R123</f>
        <v>665</v>
      </c>
      <c r="S124" s="16" t="str">
        <f>'Clean Data'!S123</f>
        <v>continuous</v>
      </c>
      <c r="T124" s="16" t="str">
        <f>'Clean Data'!T123</f>
        <v>NaN</v>
      </c>
      <c r="U124" s="16" t="str">
        <f>'Clean Data'!U123</f>
        <v>NaN</v>
      </c>
      <c r="V124" s="16" t="str">
        <f>'Clean Data'!V123</f>
        <v>NaN</v>
      </c>
      <c r="W124" s="16">
        <f>'Clean Data'!W123</f>
        <v>0.25</v>
      </c>
      <c r="X124" s="16" t="str">
        <f>'Clean Data'!X123</f>
        <v>air</v>
      </c>
      <c r="Y124" s="16" t="str">
        <f>'Clean Data'!Y123</f>
        <v>fluidised bed</v>
      </c>
      <c r="Z124" s="16" t="str">
        <f>'Clean Data'!Z123</f>
        <v>alumina</v>
      </c>
      <c r="AA124" s="16">
        <f>'Clean Data'!AA123</f>
        <v>0</v>
      </c>
      <c r="AB124" s="16" t="str">
        <f>'Clean Data'!AB123</f>
        <v>pilot</v>
      </c>
      <c r="AC124" s="16">
        <f>'Clean Data'!AC123</f>
        <v>56.57</v>
      </c>
      <c r="AD124" s="16">
        <f>'Clean Data'!AD123</f>
        <v>4</v>
      </c>
      <c r="AE124" s="16">
        <f>'Clean Data'!AE123</f>
        <v>19.899999999999999</v>
      </c>
      <c r="AF124" s="16">
        <f>'Clean Data'!AF123</f>
        <v>14.45</v>
      </c>
      <c r="AG124" s="16">
        <f>'Clean Data'!AG123</f>
        <v>2.9</v>
      </c>
      <c r="AH124" s="16">
        <f>'Clean Data'!AH123</f>
        <v>2.14</v>
      </c>
      <c r="AI124" s="16">
        <f>'Clean Data'!AI123</f>
        <v>4.9569707024000005</v>
      </c>
      <c r="AJ124" s="16" t="str">
        <f>'Clean Data'!AJ123</f>
        <v>NaN</v>
      </c>
      <c r="AK124" s="16">
        <f>'Clean Data'!AK123</f>
        <v>1.5</v>
      </c>
      <c r="AL124" s="16" t="str">
        <f>'Clean Data'!AL123</f>
        <v>NaN</v>
      </c>
      <c r="AM124" s="16">
        <f>'Clean Data'!AM123</f>
        <v>52.288720489451478</v>
      </c>
      <c r="AN124" s="16">
        <f>'Clean Data'!AN123</f>
        <v>76</v>
      </c>
      <c r="AO124" s="16" t="str">
        <f>'Clean Data'!AO123</f>
        <v>Mansaray, Biomass and Bioenergy 1999, 17, 315-332</v>
      </c>
      <c r="AP124" s="16"/>
      <c r="AQ124" s="16"/>
      <c r="AR124" s="16"/>
      <c r="AS124" s="16"/>
      <c r="AT124" s="16"/>
    </row>
    <row r="125" spans="1:46" x14ac:dyDescent="0.3">
      <c r="A125" s="16">
        <f>'Clean Data'!A124</f>
        <v>123</v>
      </c>
      <c r="B125" s="16" t="str">
        <f>'Clean Data'!B124</f>
        <v>herbaceous biomass</v>
      </c>
      <c r="C125" s="16" t="str">
        <f>'Clean Data'!C124</f>
        <v>other</v>
      </c>
      <c r="D125" s="16" t="str">
        <f>'Clean Data'!D124</f>
        <v>NaN</v>
      </c>
      <c r="E125" s="16">
        <f>'Clean Data'!E124</f>
        <v>14.22</v>
      </c>
      <c r="F125" s="16">
        <f>'Clean Data'!F124</f>
        <v>47</v>
      </c>
      <c r="G125" s="16">
        <f>'Clean Data'!G124</f>
        <v>6.7750000000000004</v>
      </c>
      <c r="H125" s="16">
        <f>'Clean Data'!H124</f>
        <v>0.47499999999999998</v>
      </c>
      <c r="I125" s="16">
        <f>'Clean Data'!I124</f>
        <v>3.7499999999999999E-2</v>
      </c>
      <c r="J125" s="16">
        <f>'Clean Data'!J124</f>
        <v>45.7</v>
      </c>
      <c r="K125" s="16">
        <f>'Clean Data'!K124</f>
        <v>20</v>
      </c>
      <c r="L125" s="16">
        <f>'Clean Data'!L124</f>
        <v>9.08</v>
      </c>
      <c r="M125" s="16">
        <f>'Clean Data'!M124</f>
        <v>66.400000000000006</v>
      </c>
      <c r="N125" s="16">
        <f>'Clean Data'!N124</f>
        <v>13.6</v>
      </c>
      <c r="O125" s="16" t="str">
        <f>'Clean Data'!O124</f>
        <v>NaN</v>
      </c>
      <c r="P125" s="16" t="str">
        <f>'Clean Data'!P124</f>
        <v>NaN</v>
      </c>
      <c r="Q125" s="16" t="str">
        <f>'Clean Data'!Q124</f>
        <v>NaN</v>
      </c>
      <c r="R125" s="16">
        <f>'Clean Data'!R124</f>
        <v>744</v>
      </c>
      <c r="S125" s="16" t="str">
        <f>'Clean Data'!S124</f>
        <v>continuous</v>
      </c>
      <c r="T125" s="16" t="str">
        <f>'Clean Data'!T124</f>
        <v>NaN</v>
      </c>
      <c r="U125" s="16" t="str">
        <f>'Clean Data'!U124</f>
        <v>NaN</v>
      </c>
      <c r="V125" s="16" t="str">
        <f>'Clean Data'!V124</f>
        <v>NaN</v>
      </c>
      <c r="W125" s="16">
        <f>'Clean Data'!W124</f>
        <v>0.3</v>
      </c>
      <c r="X125" s="16" t="str">
        <f>'Clean Data'!X124</f>
        <v>air</v>
      </c>
      <c r="Y125" s="16" t="str">
        <f>'Clean Data'!Y124</f>
        <v>fluidised bed</v>
      </c>
      <c r="Z125" s="16" t="str">
        <f>'Clean Data'!Z124</f>
        <v>alumina</v>
      </c>
      <c r="AA125" s="16">
        <f>'Clean Data'!AA124</f>
        <v>0</v>
      </c>
      <c r="AB125" s="16" t="str">
        <f>'Clean Data'!AB124</f>
        <v>pilot</v>
      </c>
      <c r="AC125" s="16">
        <f>'Clean Data'!AC124</f>
        <v>61.3</v>
      </c>
      <c r="AD125" s="16">
        <f>'Clean Data'!AD124</f>
        <v>3.78</v>
      </c>
      <c r="AE125" s="16">
        <f>'Clean Data'!AE124</f>
        <v>14.95</v>
      </c>
      <c r="AF125" s="16">
        <f>'Clean Data'!AF124</f>
        <v>16.23</v>
      </c>
      <c r="AG125" s="16">
        <f>'Clean Data'!AG124</f>
        <v>2.37</v>
      </c>
      <c r="AH125" s="16">
        <f>'Clean Data'!AH124</f>
        <v>1.29</v>
      </c>
      <c r="AI125" s="16">
        <f>'Clean Data'!AI124</f>
        <v>3.7609873137680001</v>
      </c>
      <c r="AJ125" s="16" t="str">
        <f>'Clean Data'!AJ124</f>
        <v>NaN</v>
      </c>
      <c r="AK125" s="16">
        <f>'Clean Data'!AK124</f>
        <v>1.73</v>
      </c>
      <c r="AL125" s="16" t="str">
        <f>'Clean Data'!AL124</f>
        <v>NaN</v>
      </c>
      <c r="AM125" s="16">
        <f>'Clean Data'!AM124</f>
        <v>45.756034126713359</v>
      </c>
      <c r="AN125" s="16">
        <f>'Clean Data'!AN124</f>
        <v>78.3</v>
      </c>
      <c r="AO125" s="16" t="str">
        <f>'Clean Data'!AO124</f>
        <v>Mansaray, Biomass and Bioenergy 1999, 17, 315-332</v>
      </c>
      <c r="AP125" s="16"/>
      <c r="AQ125" s="16"/>
      <c r="AR125" s="16"/>
      <c r="AS125" s="16"/>
      <c r="AT125" s="16"/>
    </row>
    <row r="126" spans="1:46" x14ac:dyDescent="0.3">
      <c r="A126" s="16">
        <f>'Clean Data'!A125</f>
        <v>124</v>
      </c>
      <c r="B126" s="16" t="str">
        <f>'Clean Data'!B125</f>
        <v>herbaceous biomass</v>
      </c>
      <c r="C126" s="16" t="str">
        <f>'Clean Data'!C125</f>
        <v>other</v>
      </c>
      <c r="D126" s="16" t="str">
        <f>'Clean Data'!D125</f>
        <v>NaN</v>
      </c>
      <c r="E126" s="16">
        <f>'Clean Data'!E125</f>
        <v>14.22</v>
      </c>
      <c r="F126" s="16">
        <f>'Clean Data'!F125</f>
        <v>47</v>
      </c>
      <c r="G126" s="16">
        <f>'Clean Data'!G125</f>
        <v>6.7750000000000004</v>
      </c>
      <c r="H126" s="16">
        <f>'Clean Data'!H125</f>
        <v>0.47499999999999998</v>
      </c>
      <c r="I126" s="16">
        <f>'Clean Data'!I125</f>
        <v>3.7499999999999999E-2</v>
      </c>
      <c r="J126" s="16">
        <f>'Clean Data'!J125</f>
        <v>45.7</v>
      </c>
      <c r="K126" s="16">
        <f>'Clean Data'!K125</f>
        <v>20</v>
      </c>
      <c r="L126" s="16">
        <f>'Clean Data'!L125</f>
        <v>9.08</v>
      </c>
      <c r="M126" s="16">
        <f>'Clean Data'!M125</f>
        <v>66.400000000000006</v>
      </c>
      <c r="N126" s="16">
        <f>'Clean Data'!N125</f>
        <v>13.6</v>
      </c>
      <c r="O126" s="16" t="str">
        <f>'Clean Data'!O125</f>
        <v>NaN</v>
      </c>
      <c r="P126" s="16" t="str">
        <f>'Clean Data'!P125</f>
        <v>NaN</v>
      </c>
      <c r="Q126" s="16" t="str">
        <f>'Clean Data'!Q125</f>
        <v>NaN</v>
      </c>
      <c r="R126" s="16">
        <f>'Clean Data'!R125</f>
        <v>811</v>
      </c>
      <c r="S126" s="16" t="str">
        <f>'Clean Data'!S125</f>
        <v>continuous</v>
      </c>
      <c r="T126" s="16" t="str">
        <f>'Clean Data'!T125</f>
        <v>NaN</v>
      </c>
      <c r="U126" s="16" t="str">
        <f>'Clean Data'!U125</f>
        <v>NaN</v>
      </c>
      <c r="V126" s="16" t="str">
        <f>'Clean Data'!V125</f>
        <v>NaN</v>
      </c>
      <c r="W126" s="16">
        <f>'Clean Data'!W125</f>
        <v>0.35</v>
      </c>
      <c r="X126" s="16" t="str">
        <f>'Clean Data'!X125</f>
        <v>air</v>
      </c>
      <c r="Y126" s="16" t="str">
        <f>'Clean Data'!Y125</f>
        <v>fluidised bed</v>
      </c>
      <c r="Z126" s="16" t="str">
        <f>'Clean Data'!Z125</f>
        <v>alumina</v>
      </c>
      <c r="AA126" s="16">
        <f>'Clean Data'!AA125</f>
        <v>0</v>
      </c>
      <c r="AB126" s="16" t="str">
        <f>'Clean Data'!AB125</f>
        <v>pilot</v>
      </c>
      <c r="AC126" s="16">
        <f>'Clean Data'!AC125</f>
        <v>63.59</v>
      </c>
      <c r="AD126" s="16">
        <f>'Clean Data'!AD125</f>
        <v>3.39</v>
      </c>
      <c r="AE126" s="16">
        <f>'Clean Data'!AE125</f>
        <v>12.75</v>
      </c>
      <c r="AF126" s="16">
        <f>'Clean Data'!AF125</f>
        <v>17.14</v>
      </c>
      <c r="AG126" s="16">
        <f>'Clean Data'!AG125</f>
        <v>1.98</v>
      </c>
      <c r="AH126" s="16">
        <f>'Clean Data'!AH125</f>
        <v>1.1300000000000001</v>
      </c>
      <c r="AI126" s="16">
        <f>'Clean Data'!AI125</f>
        <v>3.2181076702839997</v>
      </c>
      <c r="AJ126" s="16" t="str">
        <f>'Clean Data'!AJ125</f>
        <v>NaN</v>
      </c>
      <c r="AK126" s="16">
        <f>'Clean Data'!AK125</f>
        <v>1.98</v>
      </c>
      <c r="AL126" s="16" t="str">
        <f>'Clean Data'!AL125</f>
        <v>NaN</v>
      </c>
      <c r="AM126" s="16">
        <f>'Clean Data'!AM125</f>
        <v>44.809094143194926</v>
      </c>
      <c r="AN126" s="16">
        <f>'Clean Data'!AN125</f>
        <v>81</v>
      </c>
      <c r="AO126" s="16" t="str">
        <f>'Clean Data'!AO125</f>
        <v>Mansaray, Biomass and Bioenergy 1999, 17, 315-332</v>
      </c>
      <c r="AP126" s="16"/>
      <c r="AQ126" s="16"/>
      <c r="AR126" s="16"/>
      <c r="AS126" s="16"/>
      <c r="AT126" s="16"/>
    </row>
    <row r="127" spans="1:46" x14ac:dyDescent="0.3">
      <c r="A127" s="16">
        <f>'Clean Data'!A126</f>
        <v>125</v>
      </c>
      <c r="B127" s="16" t="str">
        <f>'Clean Data'!B126</f>
        <v>herbaceous biomass</v>
      </c>
      <c r="C127" s="16" t="str">
        <f>'Clean Data'!C126</f>
        <v>other</v>
      </c>
      <c r="D127" s="16" t="str">
        <f>'Clean Data'!D126</f>
        <v>NaN</v>
      </c>
      <c r="E127" s="16">
        <f>'Clean Data'!E126</f>
        <v>14.22</v>
      </c>
      <c r="F127" s="16">
        <f>'Clean Data'!F126</f>
        <v>47</v>
      </c>
      <c r="G127" s="16">
        <f>'Clean Data'!G126</f>
        <v>6.7750000000000004</v>
      </c>
      <c r="H127" s="16">
        <f>'Clean Data'!H126</f>
        <v>0.47499999999999998</v>
      </c>
      <c r="I127" s="16">
        <f>'Clean Data'!I126</f>
        <v>3.7499999999999999E-2</v>
      </c>
      <c r="J127" s="16">
        <f>'Clean Data'!J126</f>
        <v>45.7</v>
      </c>
      <c r="K127" s="16">
        <f>'Clean Data'!K126</f>
        <v>20</v>
      </c>
      <c r="L127" s="16">
        <f>'Clean Data'!L126</f>
        <v>9.08</v>
      </c>
      <c r="M127" s="16">
        <f>'Clean Data'!M126</f>
        <v>66.400000000000006</v>
      </c>
      <c r="N127" s="16">
        <f>'Clean Data'!N126</f>
        <v>13.6</v>
      </c>
      <c r="O127" s="16" t="str">
        <f>'Clean Data'!O126</f>
        <v>NaN</v>
      </c>
      <c r="P127" s="16" t="str">
        <f>'Clean Data'!P126</f>
        <v>NaN</v>
      </c>
      <c r="Q127" s="16" t="str">
        <f>'Clean Data'!Q126</f>
        <v>NaN</v>
      </c>
      <c r="R127" s="16">
        <f>'Clean Data'!R126</f>
        <v>670</v>
      </c>
      <c r="S127" s="16" t="str">
        <f>'Clean Data'!S126</f>
        <v>continuous</v>
      </c>
      <c r="T127" s="16" t="str">
        <f>'Clean Data'!T126</f>
        <v>NaN</v>
      </c>
      <c r="U127" s="16" t="str">
        <f>'Clean Data'!U126</f>
        <v>NaN</v>
      </c>
      <c r="V127" s="16" t="str">
        <f>'Clean Data'!V126</f>
        <v>NaN</v>
      </c>
      <c r="W127" s="16">
        <f>'Clean Data'!W126</f>
        <v>0.25</v>
      </c>
      <c r="X127" s="16" t="str">
        <f>'Clean Data'!X126</f>
        <v>air</v>
      </c>
      <c r="Y127" s="16" t="str">
        <f>'Clean Data'!Y126</f>
        <v>fluidised bed</v>
      </c>
      <c r="Z127" s="16" t="str">
        <f>'Clean Data'!Z126</f>
        <v>alumina</v>
      </c>
      <c r="AA127" s="16">
        <f>'Clean Data'!AA126</f>
        <v>0</v>
      </c>
      <c r="AB127" s="16" t="str">
        <f>'Clean Data'!AB126</f>
        <v>pilot</v>
      </c>
      <c r="AC127" s="16">
        <f>'Clean Data'!AC126</f>
        <v>59.46</v>
      </c>
      <c r="AD127" s="16">
        <f>'Clean Data'!AD126</f>
        <v>3.77</v>
      </c>
      <c r="AE127" s="16">
        <f>'Clean Data'!AE126</f>
        <v>18.29</v>
      </c>
      <c r="AF127" s="16">
        <f>'Clean Data'!AF126</f>
        <v>14.5</v>
      </c>
      <c r="AG127" s="16">
        <f>'Clean Data'!AG126</f>
        <v>2.36</v>
      </c>
      <c r="AH127" s="16">
        <f>'Clean Data'!AH126</f>
        <v>1.6199999999999999</v>
      </c>
      <c r="AI127" s="16">
        <f>'Clean Data'!AI126</f>
        <v>4.3111698870120003</v>
      </c>
      <c r="AJ127" s="16" t="str">
        <f>'Clean Data'!AJ126</f>
        <v>NaN</v>
      </c>
      <c r="AK127" s="16">
        <f>'Clean Data'!AK126</f>
        <v>1.49</v>
      </c>
      <c r="AL127" s="16" t="str">
        <f>'Clean Data'!AL126</f>
        <v>NaN</v>
      </c>
      <c r="AM127" s="16">
        <f>'Clean Data'!AM126</f>
        <v>45.173299097383129</v>
      </c>
      <c r="AN127" s="16">
        <f>'Clean Data'!AN126</f>
        <v>70.400000000000006</v>
      </c>
      <c r="AO127" s="16" t="str">
        <f>'Clean Data'!AO126</f>
        <v>Mansaray, Biomass and Bioenergy 1999, 17, 315-332</v>
      </c>
      <c r="AP127" s="16"/>
      <c r="AQ127" s="16"/>
      <c r="AR127" s="16"/>
      <c r="AS127" s="16"/>
      <c r="AT127" s="16"/>
    </row>
    <row r="128" spans="1:46" x14ac:dyDescent="0.3">
      <c r="A128" s="16">
        <f>'Clean Data'!A127</f>
        <v>126</v>
      </c>
      <c r="B128" s="16" t="str">
        <f>'Clean Data'!B127</f>
        <v>herbaceous biomass</v>
      </c>
      <c r="C128" s="16" t="str">
        <f>'Clean Data'!C127</f>
        <v>other</v>
      </c>
      <c r="D128" s="16" t="str">
        <f>'Clean Data'!D127</f>
        <v>NaN</v>
      </c>
      <c r="E128" s="16">
        <f>'Clean Data'!E127</f>
        <v>14.22</v>
      </c>
      <c r="F128" s="16">
        <f>'Clean Data'!F127</f>
        <v>47</v>
      </c>
      <c r="G128" s="16">
        <f>'Clean Data'!G127</f>
        <v>6.7750000000000004</v>
      </c>
      <c r="H128" s="16">
        <f>'Clean Data'!H127</f>
        <v>0.47499999999999998</v>
      </c>
      <c r="I128" s="16">
        <f>'Clean Data'!I127</f>
        <v>3.7499999999999999E-2</v>
      </c>
      <c r="J128" s="16">
        <f>'Clean Data'!J127</f>
        <v>45.7</v>
      </c>
      <c r="K128" s="16">
        <f>'Clean Data'!K127</f>
        <v>20</v>
      </c>
      <c r="L128" s="16">
        <f>'Clean Data'!L127</f>
        <v>9.08</v>
      </c>
      <c r="M128" s="16">
        <f>'Clean Data'!M127</f>
        <v>66.400000000000006</v>
      </c>
      <c r="N128" s="16">
        <f>'Clean Data'!N127</f>
        <v>13.6</v>
      </c>
      <c r="O128" s="16" t="str">
        <f>'Clean Data'!O127</f>
        <v>NaN</v>
      </c>
      <c r="P128" s="16" t="str">
        <f>'Clean Data'!P127</f>
        <v>NaN</v>
      </c>
      <c r="Q128" s="16" t="str">
        <f>'Clean Data'!Q127</f>
        <v>NaN</v>
      </c>
      <c r="R128" s="16">
        <f>'Clean Data'!R127</f>
        <v>750</v>
      </c>
      <c r="S128" s="16" t="str">
        <f>'Clean Data'!S127</f>
        <v>continuous</v>
      </c>
      <c r="T128" s="16" t="str">
        <f>'Clean Data'!T127</f>
        <v>NaN</v>
      </c>
      <c r="U128" s="16" t="str">
        <f>'Clean Data'!U127</f>
        <v>NaN</v>
      </c>
      <c r="V128" s="16" t="str">
        <f>'Clean Data'!V127</f>
        <v>NaN</v>
      </c>
      <c r="W128" s="16">
        <f>'Clean Data'!W127</f>
        <v>0.3</v>
      </c>
      <c r="X128" s="16" t="str">
        <f>'Clean Data'!X127</f>
        <v>air</v>
      </c>
      <c r="Y128" s="16" t="str">
        <f>'Clean Data'!Y127</f>
        <v>fluidised bed</v>
      </c>
      <c r="Z128" s="16" t="str">
        <f>'Clean Data'!Z127</f>
        <v>alumina</v>
      </c>
      <c r="AA128" s="16">
        <f>'Clean Data'!AA127</f>
        <v>0</v>
      </c>
      <c r="AB128" s="16" t="str">
        <f>'Clean Data'!AB127</f>
        <v>pilot</v>
      </c>
      <c r="AC128" s="16">
        <f>'Clean Data'!AC127</f>
        <v>62.42</v>
      </c>
      <c r="AD128" s="16">
        <f>'Clean Data'!AD127</f>
        <v>3.4</v>
      </c>
      <c r="AE128" s="16">
        <f>'Clean Data'!AE127</f>
        <v>14.43</v>
      </c>
      <c r="AF128" s="16">
        <f>'Clean Data'!AF127</f>
        <v>16.46</v>
      </c>
      <c r="AG128" s="16">
        <f>'Clean Data'!AG127</f>
        <v>2</v>
      </c>
      <c r="AH128" s="16">
        <f>'Clean Data'!AH127</f>
        <v>1.21</v>
      </c>
      <c r="AI128" s="16">
        <f>'Clean Data'!AI127</f>
        <v>3.47792509704</v>
      </c>
      <c r="AJ128" s="16" t="str">
        <f>'Clean Data'!AJ127</f>
        <v>NaN</v>
      </c>
      <c r="AK128" s="16">
        <f>'Clean Data'!AK127</f>
        <v>1.71</v>
      </c>
      <c r="AL128" s="16" t="str">
        <f>'Clean Data'!AL127</f>
        <v>NaN</v>
      </c>
      <c r="AM128" s="16">
        <f>'Clean Data'!AM127</f>
        <v>41.823149901113915</v>
      </c>
      <c r="AN128" s="16">
        <f>'Clean Data'!AN127</f>
        <v>72.599999999999994</v>
      </c>
      <c r="AO128" s="16" t="str">
        <f>'Clean Data'!AO127</f>
        <v>Mansaray, Biomass and Bioenergy 1999, 17, 315-332</v>
      </c>
      <c r="AP128" s="16"/>
      <c r="AQ128" s="16"/>
      <c r="AR128" s="16"/>
      <c r="AS128" s="16"/>
      <c r="AT128" s="16"/>
    </row>
    <row r="129" spans="1:46" x14ac:dyDescent="0.3">
      <c r="A129" s="16">
        <f>'Clean Data'!A128</f>
        <v>127</v>
      </c>
      <c r="B129" s="16" t="str">
        <f>'Clean Data'!B128</f>
        <v>herbaceous biomass</v>
      </c>
      <c r="C129" s="16" t="str">
        <f>'Clean Data'!C128</f>
        <v>other</v>
      </c>
      <c r="D129" s="16" t="str">
        <f>'Clean Data'!D128</f>
        <v>NaN</v>
      </c>
      <c r="E129" s="16">
        <f>'Clean Data'!E128</f>
        <v>14.22</v>
      </c>
      <c r="F129" s="16">
        <f>'Clean Data'!F128</f>
        <v>47</v>
      </c>
      <c r="G129" s="16">
        <f>'Clean Data'!G128</f>
        <v>6.7750000000000004</v>
      </c>
      <c r="H129" s="16">
        <f>'Clean Data'!H128</f>
        <v>0.47499999999999998</v>
      </c>
      <c r="I129" s="16">
        <f>'Clean Data'!I128</f>
        <v>3.7499999999999999E-2</v>
      </c>
      <c r="J129" s="16">
        <f>'Clean Data'!J128</f>
        <v>45.7</v>
      </c>
      <c r="K129" s="16">
        <f>'Clean Data'!K128</f>
        <v>20</v>
      </c>
      <c r="L129" s="16">
        <f>'Clean Data'!L128</f>
        <v>9.08</v>
      </c>
      <c r="M129" s="16">
        <f>'Clean Data'!M128</f>
        <v>66.400000000000006</v>
      </c>
      <c r="N129" s="16">
        <f>'Clean Data'!N128</f>
        <v>13.6</v>
      </c>
      <c r="O129" s="16" t="str">
        <f>'Clean Data'!O128</f>
        <v>NaN</v>
      </c>
      <c r="P129" s="16" t="str">
        <f>'Clean Data'!P128</f>
        <v>NaN</v>
      </c>
      <c r="Q129" s="16" t="str">
        <f>'Clean Data'!Q128</f>
        <v>NaN</v>
      </c>
      <c r="R129" s="16">
        <f>'Clean Data'!R128</f>
        <v>822</v>
      </c>
      <c r="S129" s="16" t="str">
        <f>'Clean Data'!S128</f>
        <v>continuous</v>
      </c>
      <c r="T129" s="16" t="str">
        <f>'Clean Data'!T128</f>
        <v>NaN</v>
      </c>
      <c r="U129" s="16" t="str">
        <f>'Clean Data'!U128</f>
        <v>NaN</v>
      </c>
      <c r="V129" s="16" t="str">
        <f>'Clean Data'!V128</f>
        <v>NaN</v>
      </c>
      <c r="W129" s="16">
        <f>'Clean Data'!W128</f>
        <v>0.35</v>
      </c>
      <c r="X129" s="16" t="str">
        <f>'Clean Data'!X128</f>
        <v>air</v>
      </c>
      <c r="Y129" s="16" t="str">
        <f>'Clean Data'!Y128</f>
        <v>fluidised bed</v>
      </c>
      <c r="Z129" s="16" t="str">
        <f>'Clean Data'!Z128</f>
        <v>alumina</v>
      </c>
      <c r="AA129" s="16">
        <f>'Clean Data'!AA128</f>
        <v>0</v>
      </c>
      <c r="AB129" s="16" t="str">
        <f>'Clean Data'!AB128</f>
        <v>pilot</v>
      </c>
      <c r="AC129" s="16">
        <f>'Clean Data'!AC128</f>
        <v>64.11</v>
      </c>
      <c r="AD129" s="16">
        <f>'Clean Data'!AD128</f>
        <v>3.26</v>
      </c>
      <c r="AE129" s="16">
        <f>'Clean Data'!AE128</f>
        <v>12.5</v>
      </c>
      <c r="AF129" s="16">
        <f>'Clean Data'!AF128</f>
        <v>17.23</v>
      </c>
      <c r="AG129" s="16">
        <f>'Clean Data'!AG128</f>
        <v>1.85</v>
      </c>
      <c r="AH129" s="16">
        <f>'Clean Data'!AH128</f>
        <v>1.05</v>
      </c>
      <c r="AI129" s="16">
        <f>'Clean Data'!AI128</f>
        <v>3.090481122456</v>
      </c>
      <c r="AJ129" s="16" t="str">
        <f>'Clean Data'!AJ128</f>
        <v>NaN</v>
      </c>
      <c r="AK129" s="16">
        <f>'Clean Data'!AK128</f>
        <v>1.97</v>
      </c>
      <c r="AL129" s="16" t="str">
        <f>'Clean Data'!AL128</f>
        <v>NaN</v>
      </c>
      <c r="AM129" s="16">
        <f>'Clean Data'!AM128</f>
        <v>42.814682216865826</v>
      </c>
      <c r="AN129" s="16">
        <f>'Clean Data'!AN128</f>
        <v>78.599999999999994</v>
      </c>
      <c r="AO129" s="16" t="str">
        <f>'Clean Data'!AO128</f>
        <v>Mansaray, Biomass and Bioenergy 1999, 17, 315-332</v>
      </c>
      <c r="AP129" s="16"/>
      <c r="AQ129" s="16"/>
      <c r="AR129" s="16"/>
      <c r="AS129" s="16"/>
      <c r="AT129" s="16"/>
    </row>
    <row r="130" spans="1:46" x14ac:dyDescent="0.3">
      <c r="A130" s="16">
        <f>'Clean Data'!A129</f>
        <v>128</v>
      </c>
      <c r="B130" s="16" t="str">
        <f>'Clean Data'!B129</f>
        <v>herbaceous biomass</v>
      </c>
      <c r="C130" s="16" t="str">
        <f>'Clean Data'!C129</f>
        <v>other</v>
      </c>
      <c r="D130" s="16" t="str">
        <f>'Clean Data'!D129</f>
        <v>NaN</v>
      </c>
      <c r="E130" s="16">
        <f>'Clean Data'!E129</f>
        <v>14.22</v>
      </c>
      <c r="F130" s="16">
        <f>'Clean Data'!F129</f>
        <v>47</v>
      </c>
      <c r="G130" s="16">
        <f>'Clean Data'!G129</f>
        <v>6.7750000000000004</v>
      </c>
      <c r="H130" s="16">
        <f>'Clean Data'!H129</f>
        <v>0.47499999999999998</v>
      </c>
      <c r="I130" s="16">
        <f>'Clean Data'!I129</f>
        <v>3.7499999999999999E-2</v>
      </c>
      <c r="J130" s="16">
        <f>'Clean Data'!J129</f>
        <v>45.7</v>
      </c>
      <c r="K130" s="16">
        <f>'Clean Data'!K129</f>
        <v>20</v>
      </c>
      <c r="L130" s="16">
        <f>'Clean Data'!L129</f>
        <v>9.08</v>
      </c>
      <c r="M130" s="16">
        <f>'Clean Data'!M129</f>
        <v>66.400000000000006</v>
      </c>
      <c r="N130" s="16">
        <f>'Clean Data'!N129</f>
        <v>13.6</v>
      </c>
      <c r="O130" s="16" t="str">
        <f>'Clean Data'!O129</f>
        <v>NaN</v>
      </c>
      <c r="P130" s="16" t="str">
        <f>'Clean Data'!P129</f>
        <v>NaN</v>
      </c>
      <c r="Q130" s="16" t="str">
        <f>'Clean Data'!Q129</f>
        <v>NaN</v>
      </c>
      <c r="R130" s="16">
        <f>'Clean Data'!R129</f>
        <v>700</v>
      </c>
      <c r="S130" s="16" t="str">
        <f>'Clean Data'!S129</f>
        <v>continuous</v>
      </c>
      <c r="T130" s="16" t="str">
        <f>'Clean Data'!T129</f>
        <v>NaN</v>
      </c>
      <c r="U130" s="16" t="str">
        <f>'Clean Data'!U129</f>
        <v>NaN</v>
      </c>
      <c r="V130" s="16" t="str">
        <f>'Clean Data'!V129</f>
        <v>NaN</v>
      </c>
      <c r="W130" s="16">
        <f>'Clean Data'!W129</f>
        <v>0.25</v>
      </c>
      <c r="X130" s="16" t="str">
        <f>'Clean Data'!X129</f>
        <v>air</v>
      </c>
      <c r="Y130" s="16" t="str">
        <f>'Clean Data'!Y129</f>
        <v>fluidised bed</v>
      </c>
      <c r="Z130" s="16" t="str">
        <f>'Clean Data'!Z129</f>
        <v>alumina</v>
      </c>
      <c r="AA130" s="16">
        <f>'Clean Data'!AA129</f>
        <v>0</v>
      </c>
      <c r="AB130" s="16" t="str">
        <f>'Clean Data'!AB129</f>
        <v>pilot</v>
      </c>
      <c r="AC130" s="16">
        <f>'Clean Data'!AC129</f>
        <v>63.13</v>
      </c>
      <c r="AD130" s="16">
        <f>'Clean Data'!AD129</f>
        <v>3.41</v>
      </c>
      <c r="AE130" s="16">
        <f>'Clean Data'!AE129</f>
        <v>15.13</v>
      </c>
      <c r="AF130" s="16">
        <f>'Clean Data'!AF129</f>
        <v>14.82</v>
      </c>
      <c r="AG130" s="16">
        <f>'Clean Data'!AG129</f>
        <v>2</v>
      </c>
      <c r="AH130" s="16">
        <f>'Clean Data'!AH129</f>
        <v>1.51</v>
      </c>
      <c r="AI130" s="16">
        <f>'Clean Data'!AI129</f>
        <v>3.687742523796</v>
      </c>
      <c r="AJ130" s="16" t="str">
        <f>'Clean Data'!AJ129</f>
        <v>NaN</v>
      </c>
      <c r="AK130" s="16">
        <f>'Clean Data'!AK129</f>
        <v>1.3</v>
      </c>
      <c r="AL130" s="16" t="str">
        <f>'Clean Data'!AL129</f>
        <v>NaN</v>
      </c>
      <c r="AM130" s="16">
        <f>'Clean Data'!AM129</f>
        <v>33.71353924708017</v>
      </c>
      <c r="AN130" s="16">
        <f>'Clean Data'!AN129</f>
        <v>55</v>
      </c>
      <c r="AO130" s="16" t="str">
        <f>'Clean Data'!AO129</f>
        <v>Mansaray, Biomass and Bioenergy 1999, 17, 315-332</v>
      </c>
      <c r="AP130" s="16"/>
      <c r="AQ130" s="16"/>
      <c r="AR130" s="16"/>
      <c r="AS130" s="16"/>
      <c r="AT130" s="16"/>
    </row>
    <row r="131" spans="1:46" x14ac:dyDescent="0.3">
      <c r="A131" s="16">
        <f>'Clean Data'!A130</f>
        <v>129</v>
      </c>
      <c r="B131" s="16" t="str">
        <f>'Clean Data'!B130</f>
        <v>herbaceous biomass</v>
      </c>
      <c r="C131" s="16" t="str">
        <f>'Clean Data'!C130</f>
        <v>other</v>
      </c>
      <c r="D131" s="16" t="str">
        <f>'Clean Data'!D130</f>
        <v>NaN</v>
      </c>
      <c r="E131" s="16">
        <f>'Clean Data'!E130</f>
        <v>14.22</v>
      </c>
      <c r="F131" s="16">
        <f>'Clean Data'!F130</f>
        <v>47</v>
      </c>
      <c r="G131" s="16">
        <f>'Clean Data'!G130</f>
        <v>6.7750000000000004</v>
      </c>
      <c r="H131" s="16">
        <f>'Clean Data'!H130</f>
        <v>0.47499999999999998</v>
      </c>
      <c r="I131" s="16">
        <f>'Clean Data'!I130</f>
        <v>3.7499999999999999E-2</v>
      </c>
      <c r="J131" s="16">
        <f>'Clean Data'!J130</f>
        <v>45.7</v>
      </c>
      <c r="K131" s="16">
        <f>'Clean Data'!K130</f>
        <v>20</v>
      </c>
      <c r="L131" s="16">
        <f>'Clean Data'!L130</f>
        <v>9.08</v>
      </c>
      <c r="M131" s="16">
        <f>'Clean Data'!M130</f>
        <v>66.400000000000006</v>
      </c>
      <c r="N131" s="16">
        <f>'Clean Data'!N130</f>
        <v>13.6</v>
      </c>
      <c r="O131" s="16" t="str">
        <f>'Clean Data'!O130</f>
        <v>NaN</v>
      </c>
      <c r="P131" s="16" t="str">
        <f>'Clean Data'!P130</f>
        <v>NaN</v>
      </c>
      <c r="Q131" s="16" t="str">
        <f>'Clean Data'!Q130</f>
        <v>NaN</v>
      </c>
      <c r="R131" s="16">
        <f>'Clean Data'!R130</f>
        <v>766</v>
      </c>
      <c r="S131" s="16" t="str">
        <f>'Clean Data'!S130</f>
        <v>continuous</v>
      </c>
      <c r="T131" s="16" t="str">
        <f>'Clean Data'!T130</f>
        <v>NaN</v>
      </c>
      <c r="U131" s="16" t="str">
        <f>'Clean Data'!U130</f>
        <v>NaN</v>
      </c>
      <c r="V131" s="16" t="str">
        <f>'Clean Data'!V130</f>
        <v>NaN</v>
      </c>
      <c r="W131" s="16">
        <f>'Clean Data'!W130</f>
        <v>0.3</v>
      </c>
      <c r="X131" s="16" t="str">
        <f>'Clean Data'!X130</f>
        <v>air</v>
      </c>
      <c r="Y131" s="16" t="str">
        <f>'Clean Data'!Y130</f>
        <v>fluidised bed</v>
      </c>
      <c r="Z131" s="16" t="str">
        <f>'Clean Data'!Z130</f>
        <v>alumina</v>
      </c>
      <c r="AA131" s="16">
        <f>'Clean Data'!AA130</f>
        <v>0</v>
      </c>
      <c r="AB131" s="16" t="str">
        <f>'Clean Data'!AB130</f>
        <v>pilot</v>
      </c>
      <c r="AC131" s="16">
        <f>'Clean Data'!AC130</f>
        <v>63.98</v>
      </c>
      <c r="AD131" s="16">
        <f>'Clean Data'!AD130</f>
        <v>3.32</v>
      </c>
      <c r="AE131" s="16">
        <f>'Clean Data'!AE130</f>
        <v>13</v>
      </c>
      <c r="AF131" s="16">
        <f>'Clean Data'!AF130</f>
        <v>16.62</v>
      </c>
      <c r="AG131" s="16">
        <f>'Clean Data'!AG130</f>
        <v>1.91</v>
      </c>
      <c r="AH131" s="16">
        <f>'Clean Data'!AH130</f>
        <v>1.0900000000000001</v>
      </c>
      <c r="AI131" s="16">
        <f>'Clean Data'!AI130</f>
        <v>3.1993856829919998</v>
      </c>
      <c r="AJ131" s="16" t="str">
        <f>'Clean Data'!AJ130</f>
        <v>NaN</v>
      </c>
      <c r="AK131" s="16">
        <f>'Clean Data'!AK130</f>
        <v>1.5</v>
      </c>
      <c r="AL131" s="16" t="str">
        <f>'Clean Data'!AL130</f>
        <v>NaN</v>
      </c>
      <c r="AM131" s="16">
        <f>'Clean Data'!AM130</f>
        <v>33.748794124388176</v>
      </c>
      <c r="AN131" s="16">
        <f>'Clean Data'!AN130</f>
        <v>60</v>
      </c>
      <c r="AO131" s="16" t="str">
        <f>'Clean Data'!AO130</f>
        <v>Mansaray, Biomass and Bioenergy 1999, 17, 315-332</v>
      </c>
      <c r="AP131" s="16"/>
      <c r="AQ131" s="16"/>
      <c r="AR131" s="16"/>
      <c r="AS131" s="16"/>
      <c r="AT131" s="16"/>
    </row>
    <row r="132" spans="1:46" x14ac:dyDescent="0.3">
      <c r="A132" s="16">
        <f>'Clean Data'!A131</f>
        <v>130</v>
      </c>
      <c r="B132" s="16" t="str">
        <f>'Clean Data'!B131</f>
        <v>herbaceous biomass</v>
      </c>
      <c r="C132" s="16" t="str">
        <f>'Clean Data'!C131</f>
        <v>other</v>
      </c>
      <c r="D132" s="16" t="str">
        <f>'Clean Data'!D131</f>
        <v>NaN</v>
      </c>
      <c r="E132" s="16">
        <f>'Clean Data'!E131</f>
        <v>14.22</v>
      </c>
      <c r="F132" s="16">
        <f>'Clean Data'!F131</f>
        <v>47</v>
      </c>
      <c r="G132" s="16">
        <f>'Clean Data'!G131</f>
        <v>6.7750000000000004</v>
      </c>
      <c r="H132" s="16">
        <f>'Clean Data'!H131</f>
        <v>0.47499999999999998</v>
      </c>
      <c r="I132" s="16">
        <f>'Clean Data'!I131</f>
        <v>3.7499999999999999E-2</v>
      </c>
      <c r="J132" s="16">
        <f>'Clean Data'!J131</f>
        <v>45.7</v>
      </c>
      <c r="K132" s="16">
        <f>'Clean Data'!K131</f>
        <v>20</v>
      </c>
      <c r="L132" s="16">
        <f>'Clean Data'!L131</f>
        <v>9.08</v>
      </c>
      <c r="M132" s="16">
        <f>'Clean Data'!M131</f>
        <v>66.400000000000006</v>
      </c>
      <c r="N132" s="16">
        <f>'Clean Data'!N131</f>
        <v>13.6</v>
      </c>
      <c r="O132" s="16" t="str">
        <f>'Clean Data'!O131</f>
        <v>NaN</v>
      </c>
      <c r="P132" s="16" t="str">
        <f>'Clean Data'!P131</f>
        <v>NaN</v>
      </c>
      <c r="Q132" s="16" t="str">
        <f>'Clean Data'!Q131</f>
        <v>NaN</v>
      </c>
      <c r="R132" s="16">
        <f>'Clean Data'!R131</f>
        <v>828</v>
      </c>
      <c r="S132" s="16" t="str">
        <f>'Clean Data'!S131</f>
        <v>continuous</v>
      </c>
      <c r="T132" s="16" t="str">
        <f>'Clean Data'!T131</f>
        <v>NaN</v>
      </c>
      <c r="U132" s="16" t="str">
        <f>'Clean Data'!U131</f>
        <v>NaN</v>
      </c>
      <c r="V132" s="16" t="str">
        <f>'Clean Data'!V131</f>
        <v>NaN</v>
      </c>
      <c r="W132" s="16">
        <f>'Clean Data'!W131</f>
        <v>0.35</v>
      </c>
      <c r="X132" s="16" t="str">
        <f>'Clean Data'!X131</f>
        <v>air</v>
      </c>
      <c r="Y132" s="16" t="str">
        <f>'Clean Data'!Y131</f>
        <v>fluidised bed</v>
      </c>
      <c r="Z132" s="16" t="str">
        <f>'Clean Data'!Z131</f>
        <v>alumina</v>
      </c>
      <c r="AA132" s="16">
        <f>'Clean Data'!AA131</f>
        <v>0</v>
      </c>
      <c r="AB132" s="16" t="str">
        <f>'Clean Data'!AB131</f>
        <v>pilot</v>
      </c>
      <c r="AC132" s="16">
        <f>'Clean Data'!AC131</f>
        <v>64.209999999999994</v>
      </c>
      <c r="AD132" s="16">
        <f>'Clean Data'!AD131</f>
        <v>3.25</v>
      </c>
      <c r="AE132" s="16">
        <f>'Clean Data'!AE131</f>
        <v>12.29</v>
      </c>
      <c r="AF132" s="16">
        <f>'Clean Data'!AF131</f>
        <v>17.420000000000002</v>
      </c>
      <c r="AG132" s="16">
        <f>'Clean Data'!AG131</f>
        <v>1.84</v>
      </c>
      <c r="AH132" s="16">
        <f>'Clean Data'!AH131</f>
        <v>0.98</v>
      </c>
      <c r="AI132" s="16">
        <f>'Clean Data'!AI131</f>
        <v>3.0306636956999999</v>
      </c>
      <c r="AJ132" s="16" t="str">
        <f>'Clean Data'!AJ131</f>
        <v>NaN</v>
      </c>
      <c r="AK132" s="16">
        <f>'Clean Data'!AK131</f>
        <v>1.7</v>
      </c>
      <c r="AL132" s="16" t="str">
        <f>'Clean Data'!AL131</f>
        <v>NaN</v>
      </c>
      <c r="AM132" s="16">
        <f>'Clean Data'!AM131</f>
        <v>36.231563169409277</v>
      </c>
      <c r="AN132" s="16">
        <f>'Clean Data'!AN131</f>
        <v>67</v>
      </c>
      <c r="AO132" s="16" t="str">
        <f>'Clean Data'!AO131</f>
        <v>Mansaray, Biomass and Bioenergy 1999, 17, 315-332</v>
      </c>
      <c r="AP132" s="16"/>
      <c r="AQ132" s="16"/>
      <c r="AR132" s="16"/>
      <c r="AS132" s="16"/>
      <c r="AT132" s="16"/>
    </row>
    <row r="133" spans="1:46" x14ac:dyDescent="0.3">
      <c r="A133" s="16">
        <f>'Clean Data'!A132</f>
        <v>131</v>
      </c>
      <c r="B133" s="16" t="str">
        <f>'Clean Data'!B132</f>
        <v>herbaceous biomass</v>
      </c>
      <c r="C133" s="16" t="str">
        <f>'Clean Data'!C132</f>
        <v>other</v>
      </c>
      <c r="D133" s="16" t="str">
        <f>'Clean Data'!D132</f>
        <v>NaN</v>
      </c>
      <c r="E133" s="16">
        <f>'Clean Data'!E132</f>
        <v>14.833093268416311</v>
      </c>
      <c r="F133" s="16">
        <f>'Clean Data'!F132</f>
        <v>49.065950659293918</v>
      </c>
      <c r="G133" s="16">
        <f>'Clean Data'!G132</f>
        <v>3.7919821352615912</v>
      </c>
      <c r="H133" s="16">
        <f>'Clean Data'!H132</f>
        <v>0.62561321423507732</v>
      </c>
      <c r="I133" s="16">
        <f>'Clean Data'!I132</f>
        <v>8.9373316319296764E-2</v>
      </c>
      <c r="J133" s="16">
        <f>'Clean Data'!J132</f>
        <v>46.423054019566145</v>
      </c>
      <c r="K133" s="16">
        <f>'Clean Data'!K132</f>
        <v>21.67684619655747</v>
      </c>
      <c r="L133" s="16">
        <f>'Clean Data'!L132</f>
        <v>9.9499999999999993</v>
      </c>
      <c r="M133" s="16">
        <f>'Clean Data'!M132</f>
        <v>61.676846196557477</v>
      </c>
      <c r="N133" s="16">
        <f>'Clean Data'!N132</f>
        <v>16.646307606885067</v>
      </c>
      <c r="O133" s="16" t="str">
        <f>'Clean Data'!O132</f>
        <v>NaN</v>
      </c>
      <c r="P133" s="16" t="str">
        <f>'Clean Data'!P132</f>
        <v>NaN</v>
      </c>
      <c r="Q133" s="16" t="str">
        <f>'Clean Data'!Q132</f>
        <v>NaN</v>
      </c>
      <c r="R133" s="16">
        <f>'Clean Data'!R132</f>
        <v>750</v>
      </c>
      <c r="S133" s="16" t="str">
        <f>'Clean Data'!S132</f>
        <v>continuous</v>
      </c>
      <c r="T133" s="16" t="str">
        <f>'Clean Data'!T132</f>
        <v>slightly above atmospheric</v>
      </c>
      <c r="U133" s="16" t="str">
        <f>'Clean Data'!U132</f>
        <v>NaN</v>
      </c>
      <c r="V133" s="16">
        <f>'Clean Data'!V132</f>
        <v>0.5</v>
      </c>
      <c r="W133" s="16">
        <f>'Clean Data'!W132</f>
        <v>0.35</v>
      </c>
      <c r="X133" s="16" t="str">
        <f>'Clean Data'!X132</f>
        <v>air + steam</v>
      </c>
      <c r="Y133" s="16" t="str">
        <f>'Clean Data'!Y132</f>
        <v>fluidised bed</v>
      </c>
      <c r="Z133" s="16" t="str">
        <f>'Clean Data'!Z132</f>
        <v>silica</v>
      </c>
      <c r="AA133" s="16">
        <f>'Clean Data'!AA132</f>
        <v>0</v>
      </c>
      <c r="AB133" s="16" t="str">
        <f>'Clean Data'!AB132</f>
        <v>lab</v>
      </c>
      <c r="AC133" s="16">
        <f>'Clean Data'!AC132</f>
        <v>55.1</v>
      </c>
      <c r="AD133" s="16">
        <f>'Clean Data'!AD132</f>
        <v>9.1999999999999993</v>
      </c>
      <c r="AE133" s="16">
        <f>'Clean Data'!AE132</f>
        <v>12.8</v>
      </c>
      <c r="AF133" s="16">
        <f>'Clean Data'!AF132</f>
        <v>20.8</v>
      </c>
      <c r="AG133" s="16">
        <f>'Clean Data'!AG132</f>
        <v>2.1</v>
      </c>
      <c r="AH133" s="16" t="str">
        <f>'Clean Data'!AH132</f>
        <v>NaN</v>
      </c>
      <c r="AI133" s="16">
        <f>'Clean Data'!AI132</f>
        <v>3.38</v>
      </c>
      <c r="AJ133" s="16" t="str">
        <f>'Clean Data'!AJ132</f>
        <v>NaN</v>
      </c>
      <c r="AK133" s="16">
        <f>'Clean Data'!AK132</f>
        <v>1.3127645530260963</v>
      </c>
      <c r="AL133" s="16" t="str">
        <f>'Clean Data'!AL132</f>
        <v>NaN</v>
      </c>
      <c r="AM133" s="16">
        <f>'Clean Data'!AM132</f>
        <v>29.9138157425066</v>
      </c>
      <c r="AN133" s="16">
        <f>'Clean Data'!AN132</f>
        <v>71.900000000000006</v>
      </c>
      <c r="AO133" s="16" t="str">
        <f>'Clean Data'!AO132</f>
        <v>Loha, J Renew and Sust Energy 2013, 5, 043111</v>
      </c>
      <c r="AP133" s="16"/>
      <c r="AQ133" s="16"/>
      <c r="AR133" s="16"/>
      <c r="AS133" s="16"/>
      <c r="AT133" s="16"/>
    </row>
    <row r="134" spans="1:46" x14ac:dyDescent="0.3">
      <c r="A134" s="16">
        <f>'Clean Data'!A133</f>
        <v>132</v>
      </c>
      <c r="B134" s="16" t="str">
        <f>'Clean Data'!B133</f>
        <v>herbaceous biomass</v>
      </c>
      <c r="C134" s="16" t="str">
        <f>'Clean Data'!C133</f>
        <v>other</v>
      </c>
      <c r="D134" s="16" t="str">
        <f>'Clean Data'!D133</f>
        <v>NaN</v>
      </c>
      <c r="E134" s="16">
        <f>'Clean Data'!E133</f>
        <v>14.833093268416311</v>
      </c>
      <c r="F134" s="16">
        <f>'Clean Data'!F133</f>
        <v>49.065950659293918</v>
      </c>
      <c r="G134" s="16">
        <f>'Clean Data'!G133</f>
        <v>3.7919821352615912</v>
      </c>
      <c r="H134" s="16">
        <f>'Clean Data'!H133</f>
        <v>0.62561321423507732</v>
      </c>
      <c r="I134" s="16">
        <f>'Clean Data'!I133</f>
        <v>8.9373316319296764E-2</v>
      </c>
      <c r="J134" s="16">
        <f>'Clean Data'!J133</f>
        <v>46.423054019566145</v>
      </c>
      <c r="K134" s="16">
        <f>'Clean Data'!K133</f>
        <v>21.67684619655747</v>
      </c>
      <c r="L134" s="16">
        <f>'Clean Data'!L133</f>
        <v>9.9499999999999993</v>
      </c>
      <c r="M134" s="16">
        <f>'Clean Data'!M133</f>
        <v>61.676846196557477</v>
      </c>
      <c r="N134" s="16">
        <f>'Clean Data'!N133</f>
        <v>16.646307606885067</v>
      </c>
      <c r="O134" s="16" t="str">
        <f>'Clean Data'!O133</f>
        <v>NaN</v>
      </c>
      <c r="P134" s="16" t="str">
        <f>'Clean Data'!P133</f>
        <v>NaN</v>
      </c>
      <c r="Q134" s="16" t="str">
        <f>'Clean Data'!Q133</f>
        <v>NaN</v>
      </c>
      <c r="R134" s="16">
        <f>'Clean Data'!R133</f>
        <v>800</v>
      </c>
      <c r="S134" s="16" t="str">
        <f>'Clean Data'!S133</f>
        <v>continuous</v>
      </c>
      <c r="T134" s="16" t="str">
        <f>'Clean Data'!T133</f>
        <v>slightly above atmospheric</v>
      </c>
      <c r="U134" s="16" t="str">
        <f>'Clean Data'!U133</f>
        <v>NaN</v>
      </c>
      <c r="V134" s="16">
        <f>'Clean Data'!V133</f>
        <v>0.5</v>
      </c>
      <c r="W134" s="16">
        <f>'Clean Data'!W133</f>
        <v>0.3</v>
      </c>
      <c r="X134" s="16" t="str">
        <f>'Clean Data'!X133</f>
        <v>air + steam</v>
      </c>
      <c r="Y134" s="16" t="str">
        <f>'Clean Data'!Y133</f>
        <v>fluidised bed</v>
      </c>
      <c r="Z134" s="16" t="str">
        <f>'Clean Data'!Z133</f>
        <v>silica</v>
      </c>
      <c r="AA134" s="16">
        <f>'Clean Data'!AA133</f>
        <v>0</v>
      </c>
      <c r="AB134" s="16" t="str">
        <f>'Clean Data'!AB133</f>
        <v>lab</v>
      </c>
      <c r="AC134" s="16">
        <f>'Clean Data'!AC133</f>
        <v>52.5</v>
      </c>
      <c r="AD134" s="16">
        <f>'Clean Data'!AD133</f>
        <v>11.6</v>
      </c>
      <c r="AE134" s="16">
        <f>'Clean Data'!AE133</f>
        <v>14.7</v>
      </c>
      <c r="AF134" s="16">
        <f>'Clean Data'!AF133</f>
        <v>18.399999999999999</v>
      </c>
      <c r="AG134" s="16">
        <f>'Clean Data'!AG133</f>
        <v>2.8</v>
      </c>
      <c r="AH134" s="16" t="str">
        <f>'Clean Data'!AH133</f>
        <v>NaN</v>
      </c>
      <c r="AI134" s="16">
        <f>'Clean Data'!AI133</f>
        <v>4.13</v>
      </c>
      <c r="AJ134" s="16" t="str">
        <f>'Clean Data'!AJ133</f>
        <v>NaN</v>
      </c>
      <c r="AK134" s="16">
        <f>'Clean Data'!AK133</f>
        <v>1.3401138145474734</v>
      </c>
      <c r="AL134" s="16" t="str">
        <f>'Clean Data'!AL133</f>
        <v>NaN</v>
      </c>
      <c r="AM134" s="16">
        <f>'Clean Data'!AM133</f>
        <v>37.312986266093816</v>
      </c>
      <c r="AN134" s="16">
        <f>'Clean Data'!AN133</f>
        <v>73.3</v>
      </c>
      <c r="AO134" s="16" t="str">
        <f>'Clean Data'!AO133</f>
        <v>Loha, J Renew and Sust Energy 2013, 5, 043111</v>
      </c>
      <c r="AP134" s="16"/>
      <c r="AQ134" s="16"/>
      <c r="AR134" s="16"/>
      <c r="AS134" s="16"/>
      <c r="AT134" s="16"/>
    </row>
    <row r="135" spans="1:46" x14ac:dyDescent="0.3">
      <c r="A135" s="16">
        <f>'Clean Data'!A134</f>
        <v>133</v>
      </c>
      <c r="B135" s="16" t="str">
        <f>'Clean Data'!B134</f>
        <v>herbaceous biomass</v>
      </c>
      <c r="C135" s="16" t="str">
        <f>'Clean Data'!C134</f>
        <v>other</v>
      </c>
      <c r="D135" s="16" t="str">
        <f>'Clean Data'!D134</f>
        <v>NaN</v>
      </c>
      <c r="E135" s="16">
        <f>'Clean Data'!E134</f>
        <v>14.833093268416311</v>
      </c>
      <c r="F135" s="16">
        <f>'Clean Data'!F134</f>
        <v>49.065950659293918</v>
      </c>
      <c r="G135" s="16">
        <f>'Clean Data'!G134</f>
        <v>3.7919821352615912</v>
      </c>
      <c r="H135" s="16">
        <f>'Clean Data'!H134</f>
        <v>0.62561321423507732</v>
      </c>
      <c r="I135" s="16">
        <f>'Clean Data'!I134</f>
        <v>8.9373316319296764E-2</v>
      </c>
      <c r="J135" s="16">
        <f>'Clean Data'!J134</f>
        <v>46.423054019566145</v>
      </c>
      <c r="K135" s="16">
        <f>'Clean Data'!K134</f>
        <v>21.67684619655747</v>
      </c>
      <c r="L135" s="16">
        <f>'Clean Data'!L134</f>
        <v>9.9499999999999993</v>
      </c>
      <c r="M135" s="16">
        <f>'Clean Data'!M134</f>
        <v>61.676846196557477</v>
      </c>
      <c r="N135" s="16">
        <f>'Clean Data'!N134</f>
        <v>16.646307606885067</v>
      </c>
      <c r="O135" s="16" t="str">
        <f>'Clean Data'!O134</f>
        <v>NaN</v>
      </c>
      <c r="P135" s="16" t="str">
        <f>'Clean Data'!P134</f>
        <v>NaN</v>
      </c>
      <c r="Q135" s="16" t="str">
        <f>'Clean Data'!Q134</f>
        <v>NaN</v>
      </c>
      <c r="R135" s="16">
        <f>'Clean Data'!R134</f>
        <v>800</v>
      </c>
      <c r="S135" s="16" t="str">
        <f>'Clean Data'!S134</f>
        <v>continuous</v>
      </c>
      <c r="T135" s="16" t="str">
        <f>'Clean Data'!T134</f>
        <v>slightly above atmospheric</v>
      </c>
      <c r="U135" s="16" t="str">
        <f>'Clean Data'!U134</f>
        <v>NaN</v>
      </c>
      <c r="V135" s="16">
        <f>'Clean Data'!V134</f>
        <v>0.2</v>
      </c>
      <c r="W135" s="16">
        <f>'Clean Data'!W134</f>
        <v>0.35</v>
      </c>
      <c r="X135" s="16" t="str">
        <f>'Clean Data'!X134</f>
        <v>air + steam</v>
      </c>
      <c r="Y135" s="16" t="str">
        <f>'Clean Data'!Y134</f>
        <v>fluidised bed</v>
      </c>
      <c r="Z135" s="16" t="str">
        <f>'Clean Data'!Z134</f>
        <v>silica</v>
      </c>
      <c r="AA135" s="16">
        <f>'Clean Data'!AA134</f>
        <v>0</v>
      </c>
      <c r="AB135" s="16" t="str">
        <f>'Clean Data'!AB134</f>
        <v>lab</v>
      </c>
      <c r="AC135" s="16">
        <f>'Clean Data'!AC134</f>
        <v>57.3</v>
      </c>
      <c r="AD135" s="16">
        <f>'Clean Data'!AD134</f>
        <v>7.6</v>
      </c>
      <c r="AE135" s="16">
        <f>'Clean Data'!AE134</f>
        <v>13.7</v>
      </c>
      <c r="AF135" s="16">
        <f>'Clean Data'!AF134</f>
        <v>18.600000000000001</v>
      </c>
      <c r="AG135" s="16">
        <f>'Clean Data'!AG134</f>
        <v>2.8</v>
      </c>
      <c r="AH135" s="16" t="str">
        <f>'Clean Data'!AH134</f>
        <v>NaN</v>
      </c>
      <c r="AI135" s="16">
        <f>'Clean Data'!AI134</f>
        <v>3.57</v>
      </c>
      <c r="AJ135" s="16" t="str">
        <f>'Clean Data'!AJ134</f>
        <v>NaN</v>
      </c>
      <c r="AK135" s="16">
        <f>'Clean Data'!AK134</f>
        <v>1.4153242837312601</v>
      </c>
      <c r="AL135" s="16" t="str">
        <f>'Clean Data'!AL134</f>
        <v>NaN</v>
      </c>
      <c r="AM135" s="16">
        <f>'Clean Data'!AM134</f>
        <v>34.063749222686994</v>
      </c>
      <c r="AN135" s="16">
        <f>'Clean Data'!AN134</f>
        <v>77.099999999999994</v>
      </c>
      <c r="AO135" s="16" t="str">
        <f>'Clean Data'!AO134</f>
        <v>Loha, J Renew and Sust Energy 2013, 5, 043111</v>
      </c>
      <c r="AP135" s="16"/>
      <c r="AQ135" s="16"/>
      <c r="AR135" s="16"/>
      <c r="AS135" s="16"/>
      <c r="AT135" s="16"/>
    </row>
    <row r="136" spans="1:46" x14ac:dyDescent="0.3">
      <c r="A136" s="16">
        <f>'Clean Data'!A135</f>
        <v>134</v>
      </c>
      <c r="B136" s="16" t="str">
        <f>'Clean Data'!B135</f>
        <v>herbaceous biomass</v>
      </c>
      <c r="C136" s="16" t="str">
        <f>'Clean Data'!C135</f>
        <v>other</v>
      </c>
      <c r="D136" s="16" t="str">
        <f>'Clean Data'!D135</f>
        <v>NaN</v>
      </c>
      <c r="E136" s="16">
        <f>'Clean Data'!E135</f>
        <v>14.833093268416311</v>
      </c>
      <c r="F136" s="16">
        <f>'Clean Data'!F135</f>
        <v>49.065950659293918</v>
      </c>
      <c r="G136" s="16">
        <f>'Clean Data'!G135</f>
        <v>3.7919821352615912</v>
      </c>
      <c r="H136" s="16">
        <f>'Clean Data'!H135</f>
        <v>0.62561321423507732</v>
      </c>
      <c r="I136" s="16">
        <f>'Clean Data'!I135</f>
        <v>8.9373316319296764E-2</v>
      </c>
      <c r="J136" s="16">
        <f>'Clean Data'!J135</f>
        <v>46.423054019566145</v>
      </c>
      <c r="K136" s="16">
        <f>'Clean Data'!K135</f>
        <v>21.67684619655747</v>
      </c>
      <c r="L136" s="16">
        <f>'Clean Data'!L135</f>
        <v>9.9499999999999993</v>
      </c>
      <c r="M136" s="16">
        <f>'Clean Data'!M135</f>
        <v>61.676846196557477</v>
      </c>
      <c r="N136" s="16">
        <f>'Clean Data'!N135</f>
        <v>16.646307606885067</v>
      </c>
      <c r="O136" s="16" t="str">
        <f>'Clean Data'!O135</f>
        <v>NaN</v>
      </c>
      <c r="P136" s="16" t="str">
        <f>'Clean Data'!P135</f>
        <v>NaN</v>
      </c>
      <c r="Q136" s="16" t="str">
        <f>'Clean Data'!Q135</f>
        <v>NaN</v>
      </c>
      <c r="R136" s="16">
        <f>'Clean Data'!R135</f>
        <v>800</v>
      </c>
      <c r="S136" s="16" t="str">
        <f>'Clean Data'!S135</f>
        <v>continuous</v>
      </c>
      <c r="T136" s="16" t="str">
        <f>'Clean Data'!T135</f>
        <v>slightly above atmospheric</v>
      </c>
      <c r="U136" s="16" t="str">
        <f>'Clean Data'!U135</f>
        <v>NaN</v>
      </c>
      <c r="V136" s="16">
        <f>'Clean Data'!V135</f>
        <v>0.5</v>
      </c>
      <c r="W136" s="16">
        <f>'Clean Data'!W135</f>
        <v>0.35</v>
      </c>
      <c r="X136" s="16" t="str">
        <f>'Clean Data'!X135</f>
        <v>air + steam</v>
      </c>
      <c r="Y136" s="16" t="str">
        <f>'Clean Data'!Y135</f>
        <v>fluidised bed</v>
      </c>
      <c r="Z136" s="16" t="str">
        <f>'Clean Data'!Z135</f>
        <v>silica</v>
      </c>
      <c r="AA136" s="16">
        <f>'Clean Data'!AA135</f>
        <v>0</v>
      </c>
      <c r="AB136" s="16" t="str">
        <f>'Clean Data'!AB135</f>
        <v>lab</v>
      </c>
      <c r="AC136" s="16">
        <f>'Clean Data'!AC135</f>
        <v>53.3</v>
      </c>
      <c r="AD136" s="16">
        <f>'Clean Data'!AD135</f>
        <v>10.4</v>
      </c>
      <c r="AE136" s="16">
        <f>'Clean Data'!AE135</f>
        <v>13.4</v>
      </c>
      <c r="AF136" s="16">
        <f>'Clean Data'!AF135</f>
        <v>20.3</v>
      </c>
      <c r="AG136" s="16">
        <f>'Clean Data'!AG135</f>
        <v>2.6</v>
      </c>
      <c r="AH136" s="16" t="str">
        <f>'Clean Data'!AH135</f>
        <v>NaN</v>
      </c>
      <c r="AI136" s="16">
        <f>'Clean Data'!AI135</f>
        <v>3.76</v>
      </c>
      <c r="AJ136" s="16" t="str">
        <f>'Clean Data'!AJ135</f>
        <v>NaN</v>
      </c>
      <c r="AK136" s="16">
        <f>'Clean Data'!AK135</f>
        <v>1.4358362298722931</v>
      </c>
      <c r="AL136" s="16" t="str">
        <f>'Clean Data'!AL135</f>
        <v>NaN</v>
      </c>
      <c r="AM136" s="16">
        <f>'Clean Data'!AM135</f>
        <v>36.396617526940361</v>
      </c>
      <c r="AN136" s="16">
        <f>'Clean Data'!AN135</f>
        <v>78.2</v>
      </c>
      <c r="AO136" s="16" t="str">
        <f>'Clean Data'!AO135</f>
        <v>Loha, J Renew and Sust Energy 2013, 5, 043111</v>
      </c>
      <c r="AP136" s="16"/>
      <c r="AQ136" s="16"/>
      <c r="AR136" s="16"/>
      <c r="AS136" s="16"/>
      <c r="AT136" s="16"/>
    </row>
    <row r="137" spans="1:46" x14ac:dyDescent="0.3">
      <c r="A137" s="16">
        <f>'Clean Data'!A136</f>
        <v>135</v>
      </c>
      <c r="B137" s="16" t="str">
        <f>'Clean Data'!B136</f>
        <v>herbaceous biomass</v>
      </c>
      <c r="C137" s="16" t="str">
        <f>'Clean Data'!C136</f>
        <v>other</v>
      </c>
      <c r="D137" s="16" t="str">
        <f>'Clean Data'!D136</f>
        <v>NaN</v>
      </c>
      <c r="E137" s="16">
        <f>'Clean Data'!E136</f>
        <v>14.833093268416311</v>
      </c>
      <c r="F137" s="16">
        <f>'Clean Data'!F136</f>
        <v>49.065950659293918</v>
      </c>
      <c r="G137" s="16">
        <f>'Clean Data'!G136</f>
        <v>3.7919821352615912</v>
      </c>
      <c r="H137" s="16">
        <f>'Clean Data'!H136</f>
        <v>0.62561321423507732</v>
      </c>
      <c r="I137" s="16">
        <f>'Clean Data'!I136</f>
        <v>8.9373316319296764E-2</v>
      </c>
      <c r="J137" s="16">
        <f>'Clean Data'!J136</f>
        <v>46.423054019566145</v>
      </c>
      <c r="K137" s="16">
        <f>'Clean Data'!K136</f>
        <v>21.67684619655747</v>
      </c>
      <c r="L137" s="16">
        <f>'Clean Data'!L136</f>
        <v>9.9499999999999993</v>
      </c>
      <c r="M137" s="16">
        <f>'Clean Data'!M136</f>
        <v>61.676846196557477</v>
      </c>
      <c r="N137" s="16">
        <f>'Clean Data'!N136</f>
        <v>16.646307606885067</v>
      </c>
      <c r="O137" s="16" t="str">
        <f>'Clean Data'!O136</f>
        <v>NaN</v>
      </c>
      <c r="P137" s="16" t="str">
        <f>'Clean Data'!P136</f>
        <v>NaN</v>
      </c>
      <c r="Q137" s="16" t="str">
        <f>'Clean Data'!Q136</f>
        <v>NaN</v>
      </c>
      <c r="R137" s="16">
        <f>'Clean Data'!R136</f>
        <v>800</v>
      </c>
      <c r="S137" s="16" t="str">
        <f>'Clean Data'!S136</f>
        <v>continuous</v>
      </c>
      <c r="T137" s="16" t="str">
        <f>'Clean Data'!T136</f>
        <v>slightly above atmospheric</v>
      </c>
      <c r="U137" s="16" t="str">
        <f>'Clean Data'!U136</f>
        <v>NaN</v>
      </c>
      <c r="V137" s="16">
        <f>'Clean Data'!V136</f>
        <v>0.5</v>
      </c>
      <c r="W137" s="16">
        <f>'Clean Data'!W136</f>
        <v>0.4</v>
      </c>
      <c r="X137" s="16" t="str">
        <f>'Clean Data'!X136</f>
        <v>air + steam</v>
      </c>
      <c r="Y137" s="16" t="str">
        <f>'Clean Data'!Y136</f>
        <v>fluidised bed</v>
      </c>
      <c r="Z137" s="16" t="str">
        <f>'Clean Data'!Z136</f>
        <v>silica</v>
      </c>
      <c r="AA137" s="16">
        <f>'Clean Data'!AA136</f>
        <v>0</v>
      </c>
      <c r="AB137" s="16" t="str">
        <f>'Clean Data'!AB136</f>
        <v>lab</v>
      </c>
      <c r="AC137" s="16">
        <f>'Clean Data'!AC136</f>
        <v>54.5</v>
      </c>
      <c r="AD137" s="16">
        <f>'Clean Data'!AD136</f>
        <v>9.6</v>
      </c>
      <c r="AE137" s="16">
        <f>'Clean Data'!AE136</f>
        <v>12.2</v>
      </c>
      <c r="AF137" s="16">
        <f>'Clean Data'!AF136</f>
        <v>21.5</v>
      </c>
      <c r="AG137" s="16">
        <f>'Clean Data'!AG136</f>
        <v>2.2000000000000002</v>
      </c>
      <c r="AH137" s="16" t="str">
        <f>'Clean Data'!AH136</f>
        <v>NaN</v>
      </c>
      <c r="AI137" s="16">
        <f>'Clean Data'!AI136</f>
        <v>3.38</v>
      </c>
      <c r="AJ137" s="16" t="str">
        <f>'Clean Data'!AJ136</f>
        <v>NaN</v>
      </c>
      <c r="AK137" s="16">
        <f>'Clean Data'!AK136</f>
        <v>1.5657452220988337</v>
      </c>
      <c r="AL137" s="16" t="str">
        <f>'Clean Data'!AL136</f>
        <v>NaN</v>
      </c>
      <c r="AM137" s="16">
        <f>'Clean Data'!AM136</f>
        <v>35.678457317885474</v>
      </c>
      <c r="AN137" s="16">
        <f>'Clean Data'!AN136</f>
        <v>85.5</v>
      </c>
      <c r="AO137" s="16" t="str">
        <f>'Clean Data'!AO136</f>
        <v>Loha, J Renew and Sust Energy 2013, 5, 043111</v>
      </c>
      <c r="AP137" s="16"/>
      <c r="AQ137" s="16"/>
      <c r="AR137" s="16"/>
      <c r="AS137" s="16"/>
      <c r="AT137" s="16"/>
    </row>
    <row r="138" spans="1:46" x14ac:dyDescent="0.3">
      <c r="A138" s="16">
        <f>'Clean Data'!A137</f>
        <v>136</v>
      </c>
      <c r="B138" s="16" t="str">
        <f>'Clean Data'!B137</f>
        <v>herbaceous biomass</v>
      </c>
      <c r="C138" s="16" t="str">
        <f>'Clean Data'!C137</f>
        <v>other</v>
      </c>
      <c r="D138" s="16" t="str">
        <f>'Clean Data'!D137</f>
        <v>NaN</v>
      </c>
      <c r="E138" s="16">
        <f>'Clean Data'!E137</f>
        <v>14.833093268416311</v>
      </c>
      <c r="F138" s="16">
        <f>'Clean Data'!F137</f>
        <v>49.065950659293918</v>
      </c>
      <c r="G138" s="16">
        <f>'Clean Data'!G137</f>
        <v>3.7919821352615912</v>
      </c>
      <c r="H138" s="16">
        <f>'Clean Data'!H137</f>
        <v>0.62561321423507732</v>
      </c>
      <c r="I138" s="16">
        <f>'Clean Data'!I137</f>
        <v>8.9373316319296764E-2</v>
      </c>
      <c r="J138" s="16">
        <f>'Clean Data'!J137</f>
        <v>46.423054019566145</v>
      </c>
      <c r="K138" s="16">
        <f>'Clean Data'!K137</f>
        <v>21.67684619655747</v>
      </c>
      <c r="L138" s="16">
        <f>'Clean Data'!L137</f>
        <v>9.9499999999999993</v>
      </c>
      <c r="M138" s="16">
        <f>'Clean Data'!M137</f>
        <v>61.676846196557477</v>
      </c>
      <c r="N138" s="16">
        <f>'Clean Data'!N137</f>
        <v>16.646307606885067</v>
      </c>
      <c r="O138" s="16" t="str">
        <f>'Clean Data'!O137</f>
        <v>NaN</v>
      </c>
      <c r="P138" s="16" t="str">
        <f>'Clean Data'!P137</f>
        <v>NaN</v>
      </c>
      <c r="Q138" s="16" t="str">
        <f>'Clean Data'!Q137</f>
        <v>NaN</v>
      </c>
      <c r="R138" s="16">
        <f>'Clean Data'!R137</f>
        <v>850</v>
      </c>
      <c r="S138" s="16" t="str">
        <f>'Clean Data'!S137</f>
        <v>continuous</v>
      </c>
      <c r="T138" s="16" t="str">
        <f>'Clean Data'!T137</f>
        <v>slightly above atmospheric</v>
      </c>
      <c r="U138" s="16" t="str">
        <f>'Clean Data'!U137</f>
        <v>NaN</v>
      </c>
      <c r="V138" s="16">
        <f>'Clean Data'!V137</f>
        <v>0.5</v>
      </c>
      <c r="W138" s="16">
        <f>'Clean Data'!W137</f>
        <v>0.35</v>
      </c>
      <c r="X138" s="16" t="str">
        <f>'Clean Data'!X137</f>
        <v>air + steam</v>
      </c>
      <c r="Y138" s="16" t="str">
        <f>'Clean Data'!Y137</f>
        <v>fluidised bed</v>
      </c>
      <c r="Z138" s="16" t="str">
        <f>'Clean Data'!Z137</f>
        <v>silica</v>
      </c>
      <c r="AA138" s="16">
        <f>'Clean Data'!AA137</f>
        <v>0</v>
      </c>
      <c r="AB138" s="16" t="str">
        <f>'Clean Data'!AB137</f>
        <v>lab</v>
      </c>
      <c r="AC138" s="16">
        <f>'Clean Data'!AC137</f>
        <v>51.8</v>
      </c>
      <c r="AD138" s="16">
        <f>'Clean Data'!AD137</f>
        <v>12.3</v>
      </c>
      <c r="AE138" s="16">
        <f>'Clean Data'!AE137</f>
        <v>14.5</v>
      </c>
      <c r="AF138" s="16">
        <f>'Clean Data'!AF137</f>
        <v>18.399999999999999</v>
      </c>
      <c r="AG138" s="16">
        <f>'Clean Data'!AG137</f>
        <v>3</v>
      </c>
      <c r="AH138" s="16" t="str">
        <f>'Clean Data'!AH137</f>
        <v>NaN</v>
      </c>
      <c r="AI138" s="16">
        <f>'Clean Data'!AI137</f>
        <v>4.25</v>
      </c>
      <c r="AJ138" s="16" t="str">
        <f>'Clean Data'!AJ137</f>
        <v>NaN</v>
      </c>
      <c r="AK138" s="16">
        <f>'Clean Data'!AK137</f>
        <v>1.5794198528595222</v>
      </c>
      <c r="AL138" s="16" t="str">
        <f>'Clean Data'!AL137</f>
        <v>NaN</v>
      </c>
      <c r="AM138" s="16">
        <f>'Clean Data'!AM137</f>
        <v>45.253773121927175</v>
      </c>
      <c r="AN138" s="16">
        <f>'Clean Data'!AN137</f>
        <v>86.1</v>
      </c>
      <c r="AO138" s="16" t="str">
        <f>'Clean Data'!AO137</f>
        <v>Loha, J Renew and Sust Energy 2013, 5, 043111</v>
      </c>
      <c r="AP138" s="16"/>
      <c r="AQ138" s="16"/>
      <c r="AR138" s="16"/>
      <c r="AS138" s="16"/>
      <c r="AT138" s="16"/>
    </row>
    <row r="139" spans="1:46" x14ac:dyDescent="0.3">
      <c r="A139" s="16">
        <f>'Clean Data'!A138</f>
        <v>137</v>
      </c>
      <c r="B139" s="16" t="str">
        <f>'Clean Data'!B138</f>
        <v>herbaceous biomass</v>
      </c>
      <c r="C139" s="16" t="str">
        <f>'Clean Data'!C138</f>
        <v>other</v>
      </c>
      <c r="D139" s="16" t="str">
        <f>'Clean Data'!D138</f>
        <v>NaN</v>
      </c>
      <c r="E139" s="16">
        <f>'Clean Data'!E138</f>
        <v>14.833093268416311</v>
      </c>
      <c r="F139" s="16">
        <f>'Clean Data'!F138</f>
        <v>49.065950659293918</v>
      </c>
      <c r="G139" s="16">
        <f>'Clean Data'!G138</f>
        <v>3.7919821352615912</v>
      </c>
      <c r="H139" s="16">
        <f>'Clean Data'!H138</f>
        <v>0.62561321423507732</v>
      </c>
      <c r="I139" s="16">
        <f>'Clean Data'!I138</f>
        <v>8.9373316319296764E-2</v>
      </c>
      <c r="J139" s="16">
        <f>'Clean Data'!J138</f>
        <v>46.423054019566145</v>
      </c>
      <c r="K139" s="16">
        <f>'Clean Data'!K138</f>
        <v>21.67684619655747</v>
      </c>
      <c r="L139" s="16">
        <f>'Clean Data'!L138</f>
        <v>9.9499999999999993</v>
      </c>
      <c r="M139" s="16">
        <f>'Clean Data'!M138</f>
        <v>61.676846196557477</v>
      </c>
      <c r="N139" s="16">
        <f>'Clean Data'!N138</f>
        <v>16.646307606885067</v>
      </c>
      <c r="O139" s="16" t="str">
        <f>'Clean Data'!O138</f>
        <v>NaN</v>
      </c>
      <c r="P139" s="16" t="str">
        <f>'Clean Data'!P138</f>
        <v>NaN</v>
      </c>
      <c r="Q139" s="16" t="str">
        <f>'Clean Data'!Q138</f>
        <v>NaN</v>
      </c>
      <c r="R139" s="16">
        <f>'Clean Data'!R138</f>
        <v>800</v>
      </c>
      <c r="S139" s="16" t="str">
        <f>'Clean Data'!S138</f>
        <v>continuous</v>
      </c>
      <c r="T139" s="16" t="str">
        <f>'Clean Data'!T138</f>
        <v>slightly above atmospheric</v>
      </c>
      <c r="U139" s="16" t="str">
        <f>'Clean Data'!U138</f>
        <v>NaN</v>
      </c>
      <c r="V139" s="16">
        <f>'Clean Data'!V138</f>
        <v>0.8</v>
      </c>
      <c r="W139" s="16">
        <f>'Clean Data'!W138</f>
        <v>0.35</v>
      </c>
      <c r="X139" s="16" t="str">
        <f>'Clean Data'!X138</f>
        <v>air + steam</v>
      </c>
      <c r="Y139" s="16" t="str">
        <f>'Clean Data'!Y138</f>
        <v>fluidised bed</v>
      </c>
      <c r="Z139" s="16" t="str">
        <f>'Clean Data'!Z138</f>
        <v>silica</v>
      </c>
      <c r="AA139" s="16">
        <f>'Clean Data'!AA138</f>
        <v>0</v>
      </c>
      <c r="AB139" s="16" t="str">
        <f>'Clean Data'!AB138</f>
        <v>lab</v>
      </c>
      <c r="AC139" s="16">
        <f>'Clean Data'!AC138</f>
        <v>51.9</v>
      </c>
      <c r="AD139" s="16">
        <f>'Clean Data'!AD138</f>
        <v>11.8</v>
      </c>
      <c r="AE139" s="16">
        <f>'Clean Data'!AE138</f>
        <v>12.7</v>
      </c>
      <c r="AF139" s="16">
        <f>'Clean Data'!AF138</f>
        <v>21.1</v>
      </c>
      <c r="AG139" s="16">
        <f>'Clean Data'!AG138</f>
        <v>2.5</v>
      </c>
      <c r="AH139" s="16" t="str">
        <f>'Clean Data'!AH138</f>
        <v>NaN</v>
      </c>
      <c r="AI139" s="16">
        <f>'Clean Data'!AI138</f>
        <v>3.79</v>
      </c>
      <c r="AJ139" s="16" t="str">
        <f>'Clean Data'!AJ138</f>
        <v>NaN</v>
      </c>
      <c r="AK139" s="16">
        <f>'Clean Data'!AK138</f>
        <v>1.4563481760133257</v>
      </c>
      <c r="AL139" s="16" t="str">
        <f>'Clean Data'!AL138</f>
        <v>NaN</v>
      </c>
      <c r="AM139" s="16">
        <f>'Clean Data'!AM138</f>
        <v>37.211116300624546</v>
      </c>
      <c r="AN139" s="16">
        <f>'Clean Data'!AN138</f>
        <v>79.599999999999994</v>
      </c>
      <c r="AO139" s="16" t="str">
        <f>'Clean Data'!AO138</f>
        <v>Loha, J Renew and Sust Energy 2013, 5, 043111</v>
      </c>
      <c r="AP139" s="16"/>
      <c r="AQ139" s="16"/>
      <c r="AR139" s="16"/>
      <c r="AS139" s="16"/>
      <c r="AT139" s="16"/>
    </row>
    <row r="140" spans="1:46" x14ac:dyDescent="0.3">
      <c r="A140" s="16">
        <f>'Clean Data'!A139</f>
        <v>138</v>
      </c>
      <c r="B140" s="16" t="str">
        <f>'Clean Data'!B139</f>
        <v>herbaceous biomass</v>
      </c>
      <c r="C140" s="16" t="str">
        <f>'Clean Data'!C139</f>
        <v>other</v>
      </c>
      <c r="D140" s="16" t="str">
        <f>'Clean Data'!D139</f>
        <v>NaN</v>
      </c>
      <c r="E140" s="16">
        <f>'Clean Data'!E139</f>
        <v>14.833093268416311</v>
      </c>
      <c r="F140" s="16">
        <f>'Clean Data'!F139</f>
        <v>49.065950659293918</v>
      </c>
      <c r="G140" s="16">
        <f>'Clean Data'!G139</f>
        <v>3.7919821352615912</v>
      </c>
      <c r="H140" s="16">
        <f>'Clean Data'!H139</f>
        <v>0.62561321423507732</v>
      </c>
      <c r="I140" s="16">
        <f>'Clean Data'!I139</f>
        <v>8.9373316319296764E-2</v>
      </c>
      <c r="J140" s="16">
        <f>'Clean Data'!J139</f>
        <v>46.423054019566145</v>
      </c>
      <c r="K140" s="16">
        <f>'Clean Data'!K139</f>
        <v>21.67684619655747</v>
      </c>
      <c r="L140" s="16">
        <f>'Clean Data'!L139</f>
        <v>9.9499999999999993</v>
      </c>
      <c r="M140" s="16">
        <f>'Clean Data'!M139</f>
        <v>61.676846196557477</v>
      </c>
      <c r="N140" s="16">
        <f>'Clean Data'!N139</f>
        <v>16.646307606885067</v>
      </c>
      <c r="O140" s="16" t="str">
        <f>'Clean Data'!O139</f>
        <v>NaN</v>
      </c>
      <c r="P140" s="16" t="str">
        <f>'Clean Data'!P139</f>
        <v>NaN</v>
      </c>
      <c r="Q140" s="16" t="str">
        <f>'Clean Data'!Q139</f>
        <v>NaN</v>
      </c>
      <c r="R140" s="16">
        <f>'Clean Data'!R139</f>
        <v>850</v>
      </c>
      <c r="S140" s="16" t="str">
        <f>'Clean Data'!S139</f>
        <v>continuous</v>
      </c>
      <c r="T140" s="16" t="str">
        <f>'Clean Data'!T139</f>
        <v>slightly above atmospheric</v>
      </c>
      <c r="U140" s="16" t="str">
        <f>'Clean Data'!U139</f>
        <v>NaN</v>
      </c>
      <c r="V140" s="16">
        <f>'Clean Data'!V139</f>
        <v>0.8</v>
      </c>
      <c r="W140" s="16">
        <f>'Clean Data'!W139</f>
        <v>0.35</v>
      </c>
      <c r="X140" s="16" t="str">
        <f>'Clean Data'!X139</f>
        <v>air + steam</v>
      </c>
      <c r="Y140" s="16" t="str">
        <f>'Clean Data'!Y139</f>
        <v>fluidised bed</v>
      </c>
      <c r="Z140" s="16" t="str">
        <f>'Clean Data'!Z139</f>
        <v>silica</v>
      </c>
      <c r="AA140" s="16">
        <f>'Clean Data'!AA139</f>
        <v>0</v>
      </c>
      <c r="AB140" s="16" t="str">
        <f>'Clean Data'!AB139</f>
        <v>lab</v>
      </c>
      <c r="AC140" s="16">
        <f>'Clean Data'!AC139</f>
        <v>49.4</v>
      </c>
      <c r="AD140" s="16">
        <f>'Clean Data'!AD139</f>
        <v>13.1</v>
      </c>
      <c r="AE140" s="16">
        <f>'Clean Data'!AE139</f>
        <v>14.2</v>
      </c>
      <c r="AF140" s="16">
        <f>'Clean Data'!AF139</f>
        <v>20.399999999999999</v>
      </c>
      <c r="AG140" s="16">
        <f>'Clean Data'!AG139</f>
        <v>2.9</v>
      </c>
      <c r="AH140" s="16" t="str">
        <f>'Clean Data'!AH139</f>
        <v>NaN</v>
      </c>
      <c r="AI140" s="16">
        <f>'Clean Data'!AI139</f>
        <v>4.26</v>
      </c>
      <c r="AJ140" s="16" t="str">
        <f>'Clean Data'!AJ139</f>
        <v>NaN</v>
      </c>
      <c r="AK140" s="16">
        <f>'Clean Data'!AK139</f>
        <v>1.5999317990005548</v>
      </c>
      <c r="AL140" s="16" t="str">
        <f>'Clean Data'!AL139</f>
        <v>NaN</v>
      </c>
      <c r="AM140" s="16">
        <f>'Clean Data'!AM139</f>
        <v>45.949346777552201</v>
      </c>
      <c r="AN140" s="16">
        <f>'Clean Data'!AN139</f>
        <v>87.3</v>
      </c>
      <c r="AO140" s="16" t="str">
        <f>'Clean Data'!AO139</f>
        <v>Loha, J Renew and Sust Energy 2013, 5, 043111</v>
      </c>
      <c r="AP140" s="16"/>
      <c r="AQ140" s="16"/>
      <c r="AR140" s="16"/>
      <c r="AS140" s="16"/>
      <c r="AT140" s="16"/>
    </row>
    <row r="141" spans="1:46" x14ac:dyDescent="0.3">
      <c r="A141" s="16">
        <f>'Clean Data'!A140</f>
        <v>139</v>
      </c>
      <c r="B141" s="16" t="str">
        <f>'Clean Data'!B140</f>
        <v>woody biomass</v>
      </c>
      <c r="C141" s="16" t="str">
        <f>'Clean Data'!C140</f>
        <v>other</v>
      </c>
      <c r="D141" s="16">
        <f>'Clean Data'!D140</f>
        <v>1.25</v>
      </c>
      <c r="E141" s="16">
        <f>'Clean Data'!E140</f>
        <v>19.3</v>
      </c>
      <c r="F141" s="16">
        <f>'Clean Data'!F140</f>
        <v>49.196787148594382</v>
      </c>
      <c r="G141" s="16">
        <f>'Clean Data'!G140</f>
        <v>6.1244979919678713</v>
      </c>
      <c r="H141" s="16">
        <f>'Clean Data'!H140</f>
        <v>0.10040160642570282</v>
      </c>
      <c r="I141" s="16">
        <f>'Clean Data'!I140</f>
        <v>1.0040160642570281E-2</v>
      </c>
      <c r="J141" s="16">
        <f>'Clean Data'!J140</f>
        <v>44.578313253012048</v>
      </c>
      <c r="K141" s="16">
        <f>'Clean Data'!K140</f>
        <v>0.4</v>
      </c>
      <c r="L141" s="16">
        <f>'Clean Data'!L140</f>
        <v>7</v>
      </c>
      <c r="M141" s="16" t="str">
        <f>'Clean Data'!M140</f>
        <v>NaN</v>
      </c>
      <c r="N141" s="16" t="str">
        <f>'Clean Data'!N140</f>
        <v>NaN</v>
      </c>
      <c r="O141" s="16" t="str">
        <f>'Clean Data'!O140</f>
        <v>NaN</v>
      </c>
      <c r="P141" s="16" t="str">
        <f>'Clean Data'!P140</f>
        <v>NaN</v>
      </c>
      <c r="Q141" s="16" t="str">
        <f>'Clean Data'!Q140</f>
        <v>NaN</v>
      </c>
      <c r="R141" s="16">
        <f>'Clean Data'!R140</f>
        <v>700</v>
      </c>
      <c r="S141" s="16" t="str">
        <f>'Clean Data'!S140</f>
        <v>continuous</v>
      </c>
      <c r="T141" s="16" t="str">
        <f>'Clean Data'!T140</f>
        <v>atmospheric</v>
      </c>
      <c r="U141" s="16">
        <f>'Clean Data'!U140</f>
        <v>60</v>
      </c>
      <c r="V141" s="16" t="str">
        <f>'Clean Data'!V140</f>
        <v>NaN</v>
      </c>
      <c r="W141" s="16">
        <f>'Clean Data'!W140</f>
        <v>0.21</v>
      </c>
      <c r="X141" s="16" t="str">
        <f>'Clean Data'!X140</f>
        <v>oxygen</v>
      </c>
      <c r="Y141" s="16" t="str">
        <f>'Clean Data'!Y140</f>
        <v>fluidised bed</v>
      </c>
      <c r="Z141" s="16" t="str">
        <f>'Clean Data'!Z140</f>
        <v>alumina</v>
      </c>
      <c r="AA141" s="16">
        <f>'Clean Data'!AA140</f>
        <v>0</v>
      </c>
      <c r="AB141" s="16" t="str">
        <f>'Clean Data'!AB140</f>
        <v>lab</v>
      </c>
      <c r="AC141" s="16">
        <f>'Clean Data'!AC140</f>
        <v>0</v>
      </c>
      <c r="AD141" s="16">
        <f>'Clean Data'!AD140</f>
        <v>22.05</v>
      </c>
      <c r="AE141" s="16">
        <f>'Clean Data'!AE140</f>
        <v>29.87</v>
      </c>
      <c r="AF141" s="16">
        <f>'Clean Data'!AF140</f>
        <v>34.19</v>
      </c>
      <c r="AG141" s="16">
        <f>'Clean Data'!AG140</f>
        <v>9.5399999999999991</v>
      </c>
      <c r="AH141" s="16">
        <f>'Clean Data'!AH140</f>
        <v>4.05</v>
      </c>
      <c r="AI141" s="16">
        <f>'Clean Data'!AI140</f>
        <v>11.96</v>
      </c>
      <c r="AJ141" s="16">
        <f>'Clean Data'!AJ140</f>
        <v>36.640625</v>
      </c>
      <c r="AK141" s="16">
        <f>'Clean Data'!AK140</f>
        <v>0.64</v>
      </c>
      <c r="AL141" s="16" t="str">
        <f>'Clean Data'!AL140</f>
        <v>NaN</v>
      </c>
      <c r="AM141" s="16">
        <f>'Clean Data'!AM140</f>
        <v>39.660103626943005</v>
      </c>
      <c r="AN141" s="16">
        <f>'Clean Data'!AN140</f>
        <v>60</v>
      </c>
      <c r="AO141" s="16" t="str">
        <f>'Clean Data'!AO140</f>
        <v>Baratieri, Waste Biomass Valor 2010, 1, 283-291</v>
      </c>
      <c r="AP141" s="16"/>
      <c r="AQ141" s="16"/>
      <c r="AR141" s="16"/>
      <c r="AS141" s="16"/>
      <c r="AT141" s="16"/>
    </row>
    <row r="142" spans="1:46" x14ac:dyDescent="0.3">
      <c r="A142" s="16">
        <f>'Clean Data'!A141</f>
        <v>140</v>
      </c>
      <c r="B142" s="16" t="str">
        <f>'Clean Data'!B141</f>
        <v>woody biomass</v>
      </c>
      <c r="C142" s="16" t="str">
        <f>'Clean Data'!C141</f>
        <v>other</v>
      </c>
      <c r="D142" s="16">
        <f>'Clean Data'!D141</f>
        <v>1.25</v>
      </c>
      <c r="E142" s="16">
        <f>'Clean Data'!E141</f>
        <v>19.3</v>
      </c>
      <c r="F142" s="16">
        <f>'Clean Data'!F141</f>
        <v>49.196787148594382</v>
      </c>
      <c r="G142" s="16">
        <f>'Clean Data'!G141</f>
        <v>6.1244979919678713</v>
      </c>
      <c r="H142" s="16">
        <f>'Clean Data'!H141</f>
        <v>0.10040160642570282</v>
      </c>
      <c r="I142" s="16">
        <f>'Clean Data'!I141</f>
        <v>1.0040160642570281E-2</v>
      </c>
      <c r="J142" s="16">
        <f>'Clean Data'!J141</f>
        <v>44.578313253012048</v>
      </c>
      <c r="K142" s="16">
        <f>'Clean Data'!K141</f>
        <v>0.4</v>
      </c>
      <c r="L142" s="16">
        <f>'Clean Data'!L141</f>
        <v>7</v>
      </c>
      <c r="M142" s="16" t="str">
        <f>'Clean Data'!M141</f>
        <v>NaN</v>
      </c>
      <c r="N142" s="16" t="str">
        <f>'Clean Data'!N141</f>
        <v>NaN</v>
      </c>
      <c r="O142" s="16" t="str">
        <f>'Clean Data'!O141</f>
        <v>NaN</v>
      </c>
      <c r="P142" s="16" t="str">
        <f>'Clean Data'!P141</f>
        <v>NaN</v>
      </c>
      <c r="Q142" s="16" t="str">
        <f>'Clean Data'!Q141</f>
        <v>NaN</v>
      </c>
      <c r="R142" s="16">
        <f>'Clean Data'!R141</f>
        <v>700</v>
      </c>
      <c r="S142" s="16" t="str">
        <f>'Clean Data'!S141</f>
        <v>continuous</v>
      </c>
      <c r="T142" s="16" t="str">
        <f>'Clean Data'!T141</f>
        <v>atmospheric</v>
      </c>
      <c r="U142" s="16">
        <f>'Clean Data'!U141</f>
        <v>75</v>
      </c>
      <c r="V142" s="16" t="str">
        <f>'Clean Data'!V141</f>
        <v>NaN</v>
      </c>
      <c r="W142" s="16">
        <f>'Clean Data'!W141</f>
        <v>0.21</v>
      </c>
      <c r="X142" s="16" t="str">
        <f>'Clean Data'!X141</f>
        <v>oxygen</v>
      </c>
      <c r="Y142" s="16" t="str">
        <f>'Clean Data'!Y141</f>
        <v>fluidised bed</v>
      </c>
      <c r="Z142" s="16" t="str">
        <f>'Clean Data'!Z141</f>
        <v>alumina</v>
      </c>
      <c r="AA142" s="16">
        <f>'Clean Data'!AA141</f>
        <v>1</v>
      </c>
      <c r="AB142" s="16" t="str">
        <f>'Clean Data'!AB141</f>
        <v>lab</v>
      </c>
      <c r="AC142" s="16">
        <f>'Clean Data'!AC141</f>
        <v>0</v>
      </c>
      <c r="AD142" s="16">
        <f>'Clean Data'!AD141</f>
        <v>24.2</v>
      </c>
      <c r="AE142" s="16">
        <f>'Clean Data'!AE141</f>
        <v>32.76</v>
      </c>
      <c r="AF142" s="16">
        <f>'Clean Data'!AF141</f>
        <v>30.02</v>
      </c>
      <c r="AG142" s="16">
        <f>'Clean Data'!AG141</f>
        <v>9.92</v>
      </c>
      <c r="AH142" s="16">
        <f>'Clean Data'!AH141</f>
        <v>2.85</v>
      </c>
      <c r="AI142" s="16">
        <f>'Clean Data'!AI141</f>
        <v>11.99</v>
      </c>
      <c r="AJ142" s="16">
        <f>'Clean Data'!AJ141</f>
        <v>21.526315789473685</v>
      </c>
      <c r="AK142" s="16">
        <f>'Clean Data'!AK141</f>
        <v>0.76</v>
      </c>
      <c r="AL142" s="16" t="str">
        <f>'Clean Data'!AL141</f>
        <v>NaN</v>
      </c>
      <c r="AM142" s="16">
        <f>'Clean Data'!AM141</f>
        <v>47.214507772020731</v>
      </c>
      <c r="AN142" s="16">
        <f>'Clean Data'!AN141</f>
        <v>64</v>
      </c>
      <c r="AO142" s="16" t="str">
        <f>'Clean Data'!AO141</f>
        <v>Baratieri, Waste Biomass Valor 2010, 1, 283-291</v>
      </c>
      <c r="AP142" s="16"/>
      <c r="AQ142" s="16"/>
      <c r="AR142" s="16"/>
      <c r="AS142" s="16"/>
      <c r="AT142" s="16"/>
    </row>
    <row r="143" spans="1:46" x14ac:dyDescent="0.3">
      <c r="A143" s="16">
        <f>'Clean Data'!A142</f>
        <v>141</v>
      </c>
      <c r="B143" s="16" t="str">
        <f>'Clean Data'!B142</f>
        <v>woody biomass</v>
      </c>
      <c r="C143" s="16" t="str">
        <f>'Clean Data'!C142</f>
        <v>other</v>
      </c>
      <c r="D143" s="16">
        <f>'Clean Data'!D142</f>
        <v>1.25</v>
      </c>
      <c r="E143" s="16">
        <f>'Clean Data'!E142</f>
        <v>19.3</v>
      </c>
      <c r="F143" s="16">
        <f>'Clean Data'!F142</f>
        <v>49.196787148594382</v>
      </c>
      <c r="G143" s="16">
        <f>'Clean Data'!G142</f>
        <v>6.1244979919678713</v>
      </c>
      <c r="H143" s="16">
        <f>'Clean Data'!H142</f>
        <v>0.10040160642570282</v>
      </c>
      <c r="I143" s="16">
        <f>'Clean Data'!I142</f>
        <v>1.0040160642570281E-2</v>
      </c>
      <c r="J143" s="16">
        <f>'Clean Data'!J142</f>
        <v>44.578313253012048</v>
      </c>
      <c r="K143" s="16">
        <f>'Clean Data'!K142</f>
        <v>0.4</v>
      </c>
      <c r="L143" s="16">
        <f>'Clean Data'!L142</f>
        <v>7</v>
      </c>
      <c r="M143" s="16" t="str">
        <f>'Clean Data'!M142</f>
        <v>NaN</v>
      </c>
      <c r="N143" s="16" t="str">
        <f>'Clean Data'!N142</f>
        <v>NaN</v>
      </c>
      <c r="O143" s="16" t="str">
        <f>'Clean Data'!O142</f>
        <v>NaN</v>
      </c>
      <c r="P143" s="16" t="str">
        <f>'Clean Data'!P142</f>
        <v>NaN</v>
      </c>
      <c r="Q143" s="16" t="str">
        <f>'Clean Data'!Q142</f>
        <v>NaN</v>
      </c>
      <c r="R143" s="16">
        <f>'Clean Data'!R142</f>
        <v>700</v>
      </c>
      <c r="S143" s="16" t="str">
        <f>'Clean Data'!S142</f>
        <v>continuous</v>
      </c>
      <c r="T143" s="16" t="str">
        <f>'Clean Data'!T142</f>
        <v>atmospheric</v>
      </c>
      <c r="U143" s="16">
        <f>'Clean Data'!U142</f>
        <v>55</v>
      </c>
      <c r="V143" s="16" t="str">
        <f>'Clean Data'!V142</f>
        <v>NaN</v>
      </c>
      <c r="W143" s="16">
        <f>'Clean Data'!W142</f>
        <v>0.21</v>
      </c>
      <c r="X143" s="16" t="str">
        <f>'Clean Data'!X142</f>
        <v>oxygen</v>
      </c>
      <c r="Y143" s="16" t="str">
        <f>'Clean Data'!Y142</f>
        <v>fluidised bed</v>
      </c>
      <c r="Z143" s="16" t="str">
        <f>'Clean Data'!Z142</f>
        <v>alumina</v>
      </c>
      <c r="AA143" s="16">
        <f>'Clean Data'!AA142</f>
        <v>0</v>
      </c>
      <c r="AB143" s="16" t="str">
        <f>'Clean Data'!AB142</f>
        <v>lab</v>
      </c>
      <c r="AC143" s="16">
        <f>'Clean Data'!AC142</f>
        <v>0</v>
      </c>
      <c r="AD143" s="16">
        <f>'Clean Data'!AD142</f>
        <v>20.27</v>
      </c>
      <c r="AE143" s="16">
        <f>'Clean Data'!AE142</f>
        <v>30.61</v>
      </c>
      <c r="AF143" s="16">
        <f>'Clean Data'!AF142</f>
        <v>34.729999999999997</v>
      </c>
      <c r="AG143" s="16">
        <f>'Clean Data'!AG142</f>
        <v>10.18</v>
      </c>
      <c r="AH143" s="16">
        <f>'Clean Data'!AH142</f>
        <v>3.65</v>
      </c>
      <c r="AI143" s="16">
        <f>'Clean Data'!AI142</f>
        <v>11.87</v>
      </c>
      <c r="AJ143" s="16">
        <f>'Clean Data'!AJ142</f>
        <v>35.17977528089888</v>
      </c>
      <c r="AK143" s="16">
        <f>'Clean Data'!AK142</f>
        <v>0.89</v>
      </c>
      <c r="AL143" s="16" t="str">
        <f>'Clean Data'!AL142</f>
        <v>NaN</v>
      </c>
      <c r="AM143" s="16">
        <f>'Clean Data'!AM142</f>
        <v>54.737305699481858</v>
      </c>
      <c r="AN143" s="16">
        <f>'Clean Data'!AN142</f>
        <v>81</v>
      </c>
      <c r="AO143" s="16" t="str">
        <f>'Clean Data'!AO142</f>
        <v>Baratieri, Waste Biomass Valor 2010, 1, 283-291</v>
      </c>
      <c r="AP143" s="16"/>
      <c r="AQ143" s="16"/>
      <c r="AR143" s="16"/>
      <c r="AS143" s="16"/>
      <c r="AT143" s="16"/>
    </row>
    <row r="144" spans="1:46" x14ac:dyDescent="0.3">
      <c r="A144" s="16">
        <f>'Clean Data'!A143</f>
        <v>142</v>
      </c>
      <c r="B144" s="16" t="str">
        <f>'Clean Data'!B143</f>
        <v>woody biomass</v>
      </c>
      <c r="C144" s="16" t="str">
        <f>'Clean Data'!C143</f>
        <v>other</v>
      </c>
      <c r="D144" s="16">
        <f>'Clean Data'!D143</f>
        <v>1.25</v>
      </c>
      <c r="E144" s="16">
        <f>'Clean Data'!E143</f>
        <v>19.3</v>
      </c>
      <c r="F144" s="16">
        <f>'Clean Data'!F143</f>
        <v>49.196787148594382</v>
      </c>
      <c r="G144" s="16">
        <f>'Clean Data'!G143</f>
        <v>6.1244979919678713</v>
      </c>
      <c r="H144" s="16">
        <f>'Clean Data'!H143</f>
        <v>0.10040160642570282</v>
      </c>
      <c r="I144" s="16">
        <f>'Clean Data'!I143</f>
        <v>1.0040160642570281E-2</v>
      </c>
      <c r="J144" s="16">
        <f>'Clean Data'!J143</f>
        <v>44.578313253012048</v>
      </c>
      <c r="K144" s="16">
        <f>'Clean Data'!K143</f>
        <v>0.4</v>
      </c>
      <c r="L144" s="16">
        <f>'Clean Data'!L143</f>
        <v>7</v>
      </c>
      <c r="M144" s="16" t="str">
        <f>'Clean Data'!M143</f>
        <v>NaN</v>
      </c>
      <c r="N144" s="16" t="str">
        <f>'Clean Data'!N143</f>
        <v>NaN</v>
      </c>
      <c r="O144" s="16" t="str">
        <f>'Clean Data'!O143</f>
        <v>NaN</v>
      </c>
      <c r="P144" s="16" t="str">
        <f>'Clean Data'!P143</f>
        <v>NaN</v>
      </c>
      <c r="Q144" s="16" t="str">
        <f>'Clean Data'!Q143</f>
        <v>NaN</v>
      </c>
      <c r="R144" s="16">
        <f>'Clean Data'!R143</f>
        <v>700</v>
      </c>
      <c r="S144" s="16" t="str">
        <f>'Clean Data'!S143</f>
        <v>continuous</v>
      </c>
      <c r="T144" s="16" t="str">
        <f>'Clean Data'!T143</f>
        <v>atmospheric</v>
      </c>
      <c r="U144" s="16">
        <f>'Clean Data'!U143</f>
        <v>68</v>
      </c>
      <c r="V144" s="16" t="str">
        <f>'Clean Data'!V143</f>
        <v>NaN</v>
      </c>
      <c r="W144" s="16">
        <f>'Clean Data'!W143</f>
        <v>0.21</v>
      </c>
      <c r="X144" s="16" t="str">
        <f>'Clean Data'!X143</f>
        <v>oxygen</v>
      </c>
      <c r="Y144" s="16" t="str">
        <f>'Clean Data'!Y143</f>
        <v>fluidised bed</v>
      </c>
      <c r="Z144" s="16" t="str">
        <f>'Clean Data'!Z143</f>
        <v>alumina</v>
      </c>
      <c r="AA144" s="16">
        <f>'Clean Data'!AA143</f>
        <v>1</v>
      </c>
      <c r="AB144" s="16" t="str">
        <f>'Clean Data'!AB143</f>
        <v>lab</v>
      </c>
      <c r="AC144" s="16">
        <f>'Clean Data'!AC143</f>
        <v>0</v>
      </c>
      <c r="AD144" s="16">
        <f>'Clean Data'!AD143</f>
        <v>22.98</v>
      </c>
      <c r="AE144" s="16">
        <f>'Clean Data'!AE143</f>
        <v>33.299999999999997</v>
      </c>
      <c r="AF144" s="16">
        <f>'Clean Data'!AF143</f>
        <v>30.51</v>
      </c>
      <c r="AG144" s="16">
        <f>'Clean Data'!AG143</f>
        <v>10.15</v>
      </c>
      <c r="AH144" s="16">
        <f>'Clean Data'!AH143</f>
        <v>2.4300000000000002</v>
      </c>
      <c r="AI144" s="16">
        <f>'Clean Data'!AI143</f>
        <v>11.81</v>
      </c>
      <c r="AJ144" s="16">
        <f>'Clean Data'!AJ143</f>
        <v>22.333333333333329</v>
      </c>
      <c r="AK144" s="16">
        <f>'Clean Data'!AK143</f>
        <v>1.02</v>
      </c>
      <c r="AL144" s="16" t="str">
        <f>'Clean Data'!AL143</f>
        <v>NaN</v>
      </c>
      <c r="AM144" s="16">
        <f>'Clean Data'!AM143</f>
        <v>62.415544041450779</v>
      </c>
      <c r="AN144" s="16">
        <f>'Clean Data'!AN143</f>
        <v>89</v>
      </c>
      <c r="AO144" s="16" t="str">
        <f>'Clean Data'!AO143</f>
        <v>Baratieri, Waste Biomass Valor 2010, 1, 283-291</v>
      </c>
      <c r="AP144" s="16"/>
      <c r="AQ144" s="16"/>
      <c r="AR144" s="16"/>
      <c r="AS144" s="16"/>
      <c r="AT144" s="16"/>
    </row>
    <row r="145" spans="1:46" x14ac:dyDescent="0.3">
      <c r="A145" s="16">
        <f>'Clean Data'!A144</f>
        <v>143</v>
      </c>
      <c r="B145" s="16" t="str">
        <f>'Clean Data'!B144</f>
        <v>woody biomass</v>
      </c>
      <c r="C145" s="16" t="str">
        <f>'Clean Data'!C144</f>
        <v>other</v>
      </c>
      <c r="D145" s="16">
        <f>'Clean Data'!D144</f>
        <v>1.25</v>
      </c>
      <c r="E145" s="16">
        <f>'Clean Data'!E144</f>
        <v>19.3</v>
      </c>
      <c r="F145" s="16">
        <f>'Clean Data'!F144</f>
        <v>49.196787148594382</v>
      </c>
      <c r="G145" s="16">
        <f>'Clean Data'!G144</f>
        <v>6.1244979919678713</v>
      </c>
      <c r="H145" s="16">
        <f>'Clean Data'!H144</f>
        <v>0.10040160642570282</v>
      </c>
      <c r="I145" s="16">
        <f>'Clean Data'!I144</f>
        <v>1.0040160642570281E-2</v>
      </c>
      <c r="J145" s="16">
        <f>'Clean Data'!J144</f>
        <v>44.578313253012048</v>
      </c>
      <c r="K145" s="16">
        <f>'Clean Data'!K144</f>
        <v>0.4</v>
      </c>
      <c r="L145" s="16">
        <f>'Clean Data'!L144</f>
        <v>7</v>
      </c>
      <c r="M145" s="16" t="str">
        <f>'Clean Data'!M144</f>
        <v>NaN</v>
      </c>
      <c r="N145" s="16" t="str">
        <f>'Clean Data'!N144</f>
        <v>NaN</v>
      </c>
      <c r="O145" s="16" t="str">
        <f>'Clean Data'!O144</f>
        <v>NaN</v>
      </c>
      <c r="P145" s="16" t="str">
        <f>'Clean Data'!P144</f>
        <v>NaN</v>
      </c>
      <c r="Q145" s="16" t="str">
        <f>'Clean Data'!Q144</f>
        <v>NaN</v>
      </c>
      <c r="R145" s="16">
        <f>'Clean Data'!R144</f>
        <v>700</v>
      </c>
      <c r="S145" s="16" t="str">
        <f>'Clean Data'!S144</f>
        <v>continuous</v>
      </c>
      <c r="T145" s="16" t="str">
        <f>'Clean Data'!T144</f>
        <v>atmospheric</v>
      </c>
      <c r="U145" s="16">
        <f>'Clean Data'!U144</f>
        <v>45</v>
      </c>
      <c r="V145" s="16" t="str">
        <f>'Clean Data'!V144</f>
        <v>NaN</v>
      </c>
      <c r="W145" s="16">
        <f>'Clean Data'!W144</f>
        <v>0.21</v>
      </c>
      <c r="X145" s="16" t="str">
        <f>'Clean Data'!X144</f>
        <v>oxygen</v>
      </c>
      <c r="Y145" s="16" t="str">
        <f>'Clean Data'!Y144</f>
        <v>fluidised bed</v>
      </c>
      <c r="Z145" s="16" t="str">
        <f>'Clean Data'!Z144</f>
        <v>alumina</v>
      </c>
      <c r="AA145" s="16">
        <f>'Clean Data'!AA144</f>
        <v>0</v>
      </c>
      <c r="AB145" s="16" t="str">
        <f>'Clean Data'!AB144</f>
        <v>lab</v>
      </c>
      <c r="AC145" s="16">
        <f>'Clean Data'!AC144</f>
        <v>0</v>
      </c>
      <c r="AD145" s="16">
        <f>'Clean Data'!AD144</f>
        <v>21.54</v>
      </c>
      <c r="AE145" s="16">
        <f>'Clean Data'!AE144</f>
        <v>31.29</v>
      </c>
      <c r="AF145" s="16">
        <f>'Clean Data'!AF144</f>
        <v>34.590000000000003</v>
      </c>
      <c r="AG145" s="16">
        <f>'Clean Data'!AG144</f>
        <v>9.76</v>
      </c>
      <c r="AH145" s="16">
        <f>'Clean Data'!AH144</f>
        <v>2.4900000000000002</v>
      </c>
      <c r="AI145" s="16">
        <f>'Clean Data'!AI144</f>
        <v>11.26</v>
      </c>
      <c r="AJ145" s="16">
        <f>'Clean Data'!AJ144</f>
        <v>33.252873563218387</v>
      </c>
      <c r="AK145" s="16">
        <f>'Clean Data'!AK144</f>
        <v>0.87</v>
      </c>
      <c r="AL145" s="16" t="str">
        <f>'Clean Data'!AL144</f>
        <v>NaN</v>
      </c>
      <c r="AM145" s="16">
        <f>'Clean Data'!AM144</f>
        <v>50.757512953367865</v>
      </c>
      <c r="AN145" s="16">
        <f>'Clean Data'!AN144</f>
        <v>80</v>
      </c>
      <c r="AO145" s="16" t="str">
        <f>'Clean Data'!AO144</f>
        <v>Baratieri, Waste Biomass Valor 2010, 1, 283-291</v>
      </c>
      <c r="AP145" s="16"/>
      <c r="AQ145" s="16"/>
      <c r="AR145" s="16"/>
      <c r="AS145" s="16"/>
      <c r="AT145" s="16"/>
    </row>
    <row r="146" spans="1:46" x14ac:dyDescent="0.3">
      <c r="A146" s="16">
        <f>'Clean Data'!A145</f>
        <v>144</v>
      </c>
      <c r="B146" s="16" t="str">
        <f>'Clean Data'!B145</f>
        <v>woody biomass</v>
      </c>
      <c r="C146" s="16" t="str">
        <f>'Clean Data'!C145</f>
        <v>other</v>
      </c>
      <c r="D146" s="16">
        <f>'Clean Data'!D145</f>
        <v>1.25</v>
      </c>
      <c r="E146" s="16">
        <f>'Clean Data'!E145</f>
        <v>19.3</v>
      </c>
      <c r="F146" s="16">
        <f>'Clean Data'!F145</f>
        <v>49.196787148594382</v>
      </c>
      <c r="G146" s="16">
        <f>'Clean Data'!G145</f>
        <v>6.1244979919678713</v>
      </c>
      <c r="H146" s="16">
        <f>'Clean Data'!H145</f>
        <v>0.10040160642570282</v>
      </c>
      <c r="I146" s="16">
        <f>'Clean Data'!I145</f>
        <v>1.0040160642570281E-2</v>
      </c>
      <c r="J146" s="16">
        <f>'Clean Data'!J145</f>
        <v>44.578313253012048</v>
      </c>
      <c r="K146" s="16">
        <f>'Clean Data'!K145</f>
        <v>0.4</v>
      </c>
      <c r="L146" s="16">
        <f>'Clean Data'!L145</f>
        <v>7</v>
      </c>
      <c r="M146" s="16" t="str">
        <f>'Clean Data'!M145</f>
        <v>NaN</v>
      </c>
      <c r="N146" s="16" t="str">
        <f>'Clean Data'!N145</f>
        <v>NaN</v>
      </c>
      <c r="O146" s="16" t="str">
        <f>'Clean Data'!O145</f>
        <v>NaN</v>
      </c>
      <c r="P146" s="16" t="str">
        <f>'Clean Data'!P145</f>
        <v>NaN</v>
      </c>
      <c r="Q146" s="16" t="str">
        <f>'Clean Data'!Q145</f>
        <v>NaN</v>
      </c>
      <c r="R146" s="16">
        <f>'Clean Data'!R145</f>
        <v>700</v>
      </c>
      <c r="S146" s="16" t="str">
        <f>'Clean Data'!S145</f>
        <v>continuous</v>
      </c>
      <c r="T146" s="16" t="str">
        <f>'Clean Data'!T145</f>
        <v>atmospheric</v>
      </c>
      <c r="U146" s="16">
        <f>'Clean Data'!U145</f>
        <v>75</v>
      </c>
      <c r="V146" s="16" t="str">
        <f>'Clean Data'!V145</f>
        <v>NaN</v>
      </c>
      <c r="W146" s="16">
        <f>'Clean Data'!W145</f>
        <v>0.21</v>
      </c>
      <c r="X146" s="16" t="str">
        <f>'Clean Data'!X145</f>
        <v>oxygen</v>
      </c>
      <c r="Y146" s="16" t="str">
        <f>'Clean Data'!Y145</f>
        <v>fluidised bed</v>
      </c>
      <c r="Z146" s="16" t="str">
        <f>'Clean Data'!Z145</f>
        <v>alumina</v>
      </c>
      <c r="AA146" s="16">
        <f>'Clean Data'!AA145</f>
        <v>1</v>
      </c>
      <c r="AB146" s="16" t="str">
        <f>'Clean Data'!AB145</f>
        <v>lab</v>
      </c>
      <c r="AC146" s="16">
        <f>'Clean Data'!AC145</f>
        <v>0</v>
      </c>
      <c r="AD146" s="16">
        <f>'Clean Data'!AD145</f>
        <v>23.15</v>
      </c>
      <c r="AE146" s="16">
        <f>'Clean Data'!AE145</f>
        <v>33.46</v>
      </c>
      <c r="AF146" s="16">
        <f>'Clean Data'!AF145</f>
        <v>30.92</v>
      </c>
      <c r="AG146" s="16">
        <f>'Clean Data'!AG145</f>
        <v>10.23</v>
      </c>
      <c r="AH146" s="16">
        <f>'Clean Data'!AH145</f>
        <v>1.98</v>
      </c>
      <c r="AI146" s="16">
        <f>'Clean Data'!AI145</f>
        <v>11.67</v>
      </c>
      <c r="AJ146" s="16">
        <f>'Clean Data'!AJ145</f>
        <v>20.597938144329898</v>
      </c>
      <c r="AK146" s="16">
        <f>'Clean Data'!AK145</f>
        <v>0.97</v>
      </c>
      <c r="AL146" s="16" t="str">
        <f>'Clean Data'!AL145</f>
        <v>NaN</v>
      </c>
      <c r="AM146" s="16">
        <f>'Clean Data'!AM145</f>
        <v>58.652331606217601</v>
      </c>
      <c r="AN146" s="16">
        <f>'Clean Data'!AN145</f>
        <v>85.1</v>
      </c>
      <c r="AO146" s="16" t="str">
        <f>'Clean Data'!AO145</f>
        <v>Baratieri, Waste Biomass Valor 2010, 1, 283-291</v>
      </c>
      <c r="AP146" s="16"/>
      <c r="AQ146" s="16"/>
      <c r="AR146" s="16"/>
      <c r="AS146" s="16"/>
      <c r="AT146" s="16"/>
    </row>
    <row r="147" spans="1:46" x14ac:dyDescent="0.3">
      <c r="A147" s="16">
        <f>'Clean Data'!A146</f>
        <v>145</v>
      </c>
      <c r="B147" s="16" t="str">
        <f>'Clean Data'!B146</f>
        <v>woody biomass</v>
      </c>
      <c r="C147" s="16" t="str">
        <f>'Clean Data'!C146</f>
        <v>other</v>
      </c>
      <c r="D147" s="16">
        <f>'Clean Data'!D146</f>
        <v>1.25</v>
      </c>
      <c r="E147" s="16">
        <f>'Clean Data'!E146</f>
        <v>19.3</v>
      </c>
      <c r="F147" s="16">
        <f>'Clean Data'!F146</f>
        <v>49.196787148594382</v>
      </c>
      <c r="G147" s="16">
        <f>'Clean Data'!G146</f>
        <v>6.1244979919678713</v>
      </c>
      <c r="H147" s="16">
        <f>'Clean Data'!H146</f>
        <v>0.10040160642570282</v>
      </c>
      <c r="I147" s="16">
        <f>'Clean Data'!I146</f>
        <v>1.0040160642570281E-2</v>
      </c>
      <c r="J147" s="16">
        <f>'Clean Data'!J146</f>
        <v>44.578313253012048</v>
      </c>
      <c r="K147" s="16">
        <f>'Clean Data'!K146</f>
        <v>0.4</v>
      </c>
      <c r="L147" s="16">
        <f>'Clean Data'!L146</f>
        <v>7</v>
      </c>
      <c r="M147" s="16" t="str">
        <f>'Clean Data'!M146</f>
        <v>NaN</v>
      </c>
      <c r="N147" s="16" t="str">
        <f>'Clean Data'!N146</f>
        <v>NaN</v>
      </c>
      <c r="O147" s="16" t="str">
        <f>'Clean Data'!O146</f>
        <v>NaN</v>
      </c>
      <c r="P147" s="16" t="str">
        <f>'Clean Data'!P146</f>
        <v>NaN</v>
      </c>
      <c r="Q147" s="16" t="str">
        <f>'Clean Data'!Q146</f>
        <v>NaN</v>
      </c>
      <c r="R147" s="16">
        <f>'Clean Data'!R146</f>
        <v>750</v>
      </c>
      <c r="S147" s="16" t="str">
        <f>'Clean Data'!S146</f>
        <v>continuous</v>
      </c>
      <c r="T147" s="16" t="str">
        <f>'Clean Data'!T146</f>
        <v>atmospheric</v>
      </c>
      <c r="U147" s="16">
        <f>'Clean Data'!U146</f>
        <v>40</v>
      </c>
      <c r="V147" s="16" t="str">
        <f>'Clean Data'!V146</f>
        <v>NaN</v>
      </c>
      <c r="W147" s="16">
        <f>'Clean Data'!W146</f>
        <v>0.25</v>
      </c>
      <c r="X147" s="16" t="str">
        <f>'Clean Data'!X146</f>
        <v>oxygen</v>
      </c>
      <c r="Y147" s="16" t="str">
        <f>'Clean Data'!Y146</f>
        <v>fluidised bed</v>
      </c>
      <c r="Z147" s="16" t="str">
        <f>'Clean Data'!Z146</f>
        <v>alumina</v>
      </c>
      <c r="AA147" s="16">
        <f>'Clean Data'!AA146</f>
        <v>0</v>
      </c>
      <c r="AB147" s="16" t="str">
        <f>'Clean Data'!AB146</f>
        <v>lab</v>
      </c>
      <c r="AC147" s="16">
        <f>'Clean Data'!AC146</f>
        <v>0</v>
      </c>
      <c r="AD147" s="16">
        <f>'Clean Data'!AD146</f>
        <v>18.059999999999999</v>
      </c>
      <c r="AE147" s="16">
        <f>'Clean Data'!AE146</f>
        <v>34.83</v>
      </c>
      <c r="AF147" s="16">
        <f>'Clean Data'!AF146</f>
        <v>31.88</v>
      </c>
      <c r="AG147" s="16">
        <f>'Clean Data'!AG146</f>
        <v>10.19</v>
      </c>
      <c r="AH147" s="16">
        <f>'Clean Data'!AH146</f>
        <v>4.45</v>
      </c>
      <c r="AI147" s="16">
        <f>'Clean Data'!AI146</f>
        <v>12.63</v>
      </c>
      <c r="AJ147" s="16">
        <f>'Clean Data'!AJ146</f>
        <v>31.42</v>
      </c>
      <c r="AK147" s="16">
        <f>'Clean Data'!AK146</f>
        <v>1</v>
      </c>
      <c r="AL147" s="16" t="str">
        <f>'Clean Data'!AL146</f>
        <v>NaN</v>
      </c>
      <c r="AM147" s="16">
        <f>'Clean Data'!AM146</f>
        <v>65.440414507772019</v>
      </c>
      <c r="AN147" s="16">
        <f>'Clean Data'!AN146</f>
        <v>94.5</v>
      </c>
      <c r="AO147" s="16" t="str">
        <f>'Clean Data'!AO146</f>
        <v>Baratieri, Waste Biomass Valor 2010, 1, 283-291</v>
      </c>
      <c r="AP147" s="16"/>
      <c r="AQ147" s="16"/>
      <c r="AR147" s="16"/>
      <c r="AS147" s="16"/>
      <c r="AT147" s="16"/>
    </row>
    <row r="148" spans="1:46" x14ac:dyDescent="0.3">
      <c r="A148" s="16">
        <f>'Clean Data'!A147</f>
        <v>146</v>
      </c>
      <c r="B148" s="16" t="str">
        <f>'Clean Data'!B147</f>
        <v>woody biomass</v>
      </c>
      <c r="C148" s="16" t="str">
        <f>'Clean Data'!C147</f>
        <v>other</v>
      </c>
      <c r="D148" s="16">
        <f>'Clean Data'!D147</f>
        <v>1.25</v>
      </c>
      <c r="E148" s="16">
        <f>'Clean Data'!E147</f>
        <v>19.3</v>
      </c>
      <c r="F148" s="16">
        <f>'Clean Data'!F147</f>
        <v>49.196787148594382</v>
      </c>
      <c r="G148" s="16">
        <f>'Clean Data'!G147</f>
        <v>6.1244979919678713</v>
      </c>
      <c r="H148" s="16">
        <f>'Clean Data'!H147</f>
        <v>0.10040160642570282</v>
      </c>
      <c r="I148" s="16">
        <f>'Clean Data'!I147</f>
        <v>1.0040160642570281E-2</v>
      </c>
      <c r="J148" s="16">
        <f>'Clean Data'!J147</f>
        <v>44.578313253012048</v>
      </c>
      <c r="K148" s="16">
        <f>'Clean Data'!K147</f>
        <v>0.4</v>
      </c>
      <c r="L148" s="16">
        <f>'Clean Data'!L147</f>
        <v>7</v>
      </c>
      <c r="M148" s="16" t="str">
        <f>'Clean Data'!M147</f>
        <v>NaN</v>
      </c>
      <c r="N148" s="16" t="str">
        <f>'Clean Data'!N147</f>
        <v>NaN</v>
      </c>
      <c r="O148" s="16" t="str">
        <f>'Clean Data'!O147</f>
        <v>NaN</v>
      </c>
      <c r="P148" s="16" t="str">
        <f>'Clean Data'!P147</f>
        <v>NaN</v>
      </c>
      <c r="Q148" s="16" t="str">
        <f>'Clean Data'!Q147</f>
        <v>NaN</v>
      </c>
      <c r="R148" s="16">
        <f>'Clean Data'!R147</f>
        <v>750</v>
      </c>
      <c r="S148" s="16" t="str">
        <f>'Clean Data'!S147</f>
        <v>continuous</v>
      </c>
      <c r="T148" s="16" t="str">
        <f>'Clean Data'!T147</f>
        <v>atmospheric</v>
      </c>
      <c r="U148" s="16">
        <f>'Clean Data'!U147</f>
        <v>50</v>
      </c>
      <c r="V148" s="16" t="str">
        <f>'Clean Data'!V147</f>
        <v>NaN</v>
      </c>
      <c r="W148" s="16">
        <f>'Clean Data'!W147</f>
        <v>0.25</v>
      </c>
      <c r="X148" s="16" t="str">
        <f>'Clean Data'!X147</f>
        <v>oxygen</v>
      </c>
      <c r="Y148" s="16" t="str">
        <f>'Clean Data'!Y147</f>
        <v>fluidised bed</v>
      </c>
      <c r="Z148" s="16" t="str">
        <f>'Clean Data'!Z147</f>
        <v>alumina</v>
      </c>
      <c r="AA148" s="16">
        <f>'Clean Data'!AA147</f>
        <v>1</v>
      </c>
      <c r="AB148" s="16" t="str">
        <f>'Clean Data'!AB147</f>
        <v>lab</v>
      </c>
      <c r="AC148" s="16">
        <f>'Clean Data'!AC147</f>
        <v>0</v>
      </c>
      <c r="AD148" s="16">
        <f>'Clean Data'!AD147</f>
        <v>21.87</v>
      </c>
      <c r="AE148" s="16">
        <f>'Clean Data'!AE147</f>
        <v>33.92</v>
      </c>
      <c r="AF148" s="16">
        <f>'Clean Data'!AF147</f>
        <v>31.19</v>
      </c>
      <c r="AG148" s="16">
        <f>'Clean Data'!AG147</f>
        <v>10</v>
      </c>
      <c r="AH148" s="16">
        <f>'Clean Data'!AH147</f>
        <v>2.4600000000000004</v>
      </c>
      <c r="AI148" s="16">
        <f>'Clean Data'!AI147</f>
        <v>11.69</v>
      </c>
      <c r="AJ148" s="16">
        <f>'Clean Data'!AJ147</f>
        <v>20.084112149532711</v>
      </c>
      <c r="AK148" s="16">
        <f>'Clean Data'!AK147</f>
        <v>1.07</v>
      </c>
      <c r="AL148" s="16" t="str">
        <f>'Clean Data'!AL147</f>
        <v>NaN</v>
      </c>
      <c r="AM148" s="16">
        <f>'Clean Data'!AM147</f>
        <v>64.809844559585486</v>
      </c>
      <c r="AN148" s="16">
        <f>'Clean Data'!AN147</f>
        <v>94.59</v>
      </c>
      <c r="AO148" s="16" t="str">
        <f>'Clean Data'!AO147</f>
        <v>Baratieri, Waste Biomass Valor 2010, 1, 283-291</v>
      </c>
      <c r="AP148" s="16"/>
      <c r="AQ148" s="16"/>
      <c r="AR148" s="16"/>
      <c r="AS148" s="16"/>
      <c r="AT148" s="16"/>
    </row>
    <row r="149" spans="1:46" x14ac:dyDescent="0.3">
      <c r="A149" s="16">
        <f>'Clean Data'!A148</f>
        <v>147</v>
      </c>
      <c r="B149" s="16" t="str">
        <f>'Clean Data'!B148</f>
        <v>woody biomass</v>
      </c>
      <c r="C149" s="16" t="str">
        <f>'Clean Data'!C148</f>
        <v>other</v>
      </c>
      <c r="D149" s="16">
        <f>'Clean Data'!D148</f>
        <v>1.25</v>
      </c>
      <c r="E149" s="16">
        <f>'Clean Data'!E148</f>
        <v>19.3</v>
      </c>
      <c r="F149" s="16">
        <f>'Clean Data'!F148</f>
        <v>49.196787148594382</v>
      </c>
      <c r="G149" s="16">
        <f>'Clean Data'!G148</f>
        <v>6.1244979919678713</v>
      </c>
      <c r="H149" s="16">
        <f>'Clean Data'!H148</f>
        <v>0.10040160642570282</v>
      </c>
      <c r="I149" s="16">
        <f>'Clean Data'!I148</f>
        <v>1.0040160642570281E-2</v>
      </c>
      <c r="J149" s="16">
        <f>'Clean Data'!J148</f>
        <v>44.578313253012048</v>
      </c>
      <c r="K149" s="16">
        <f>'Clean Data'!K148</f>
        <v>0.4</v>
      </c>
      <c r="L149" s="16">
        <f>'Clean Data'!L148</f>
        <v>7</v>
      </c>
      <c r="M149" s="16" t="str">
        <f>'Clean Data'!M148</f>
        <v>NaN</v>
      </c>
      <c r="N149" s="16" t="str">
        <f>'Clean Data'!N148</f>
        <v>NaN</v>
      </c>
      <c r="O149" s="16" t="str">
        <f>'Clean Data'!O148</f>
        <v>NaN</v>
      </c>
      <c r="P149" s="16" t="str">
        <f>'Clean Data'!P148</f>
        <v>NaN</v>
      </c>
      <c r="Q149" s="16" t="str">
        <f>'Clean Data'!Q148</f>
        <v>NaN</v>
      </c>
      <c r="R149" s="16">
        <f>'Clean Data'!R148</f>
        <v>750</v>
      </c>
      <c r="S149" s="16" t="str">
        <f>'Clean Data'!S148</f>
        <v>continuous</v>
      </c>
      <c r="T149" s="16" t="str">
        <f>'Clean Data'!T148</f>
        <v>atmospheric</v>
      </c>
      <c r="U149" s="16">
        <f>'Clean Data'!U148</f>
        <v>50</v>
      </c>
      <c r="V149" s="16" t="str">
        <f>'Clean Data'!V148</f>
        <v>NaN</v>
      </c>
      <c r="W149" s="16">
        <f>'Clean Data'!W148</f>
        <v>0.24</v>
      </c>
      <c r="X149" s="16" t="str">
        <f>'Clean Data'!X148</f>
        <v>oxygen</v>
      </c>
      <c r="Y149" s="16" t="str">
        <f>'Clean Data'!Y148</f>
        <v>fluidised bed</v>
      </c>
      <c r="Z149" s="16" t="str">
        <f>'Clean Data'!Z148</f>
        <v>alumina</v>
      </c>
      <c r="AA149" s="16">
        <f>'Clean Data'!AA148</f>
        <v>0</v>
      </c>
      <c r="AB149" s="16" t="str">
        <f>'Clean Data'!AB148</f>
        <v>lab</v>
      </c>
      <c r="AC149" s="16">
        <f>'Clean Data'!AC148</f>
        <v>0</v>
      </c>
      <c r="AD149" s="16">
        <f>'Clean Data'!AD148</f>
        <v>18.93</v>
      </c>
      <c r="AE149" s="16">
        <f>'Clean Data'!AE148</f>
        <v>33.69</v>
      </c>
      <c r="AF149" s="16">
        <f>'Clean Data'!AF148</f>
        <v>32.42</v>
      </c>
      <c r="AG149" s="16">
        <f>'Clean Data'!AG148</f>
        <v>10.02</v>
      </c>
      <c r="AH149" s="16">
        <f>'Clean Data'!AH148</f>
        <v>4.28</v>
      </c>
      <c r="AI149" s="16">
        <f>'Clean Data'!AI148</f>
        <v>12.43</v>
      </c>
      <c r="AJ149" s="16">
        <f>'Clean Data'!AJ148</f>
        <v>40.27835051546392</v>
      </c>
      <c r="AK149" s="16">
        <f>'Clean Data'!AK148</f>
        <v>0.97</v>
      </c>
      <c r="AL149" s="16" t="str">
        <f>'Clean Data'!AL148</f>
        <v>NaN</v>
      </c>
      <c r="AM149" s="16">
        <f>'Clean Data'!AM148</f>
        <v>62.472020725388603</v>
      </c>
      <c r="AN149" s="16">
        <f>'Clean Data'!AN148</f>
        <v>94.87</v>
      </c>
      <c r="AO149" s="16" t="str">
        <f>'Clean Data'!AO148</f>
        <v>Baratieri, Waste Biomass Valor 2010, 1, 283-291</v>
      </c>
      <c r="AP149" s="16"/>
      <c r="AQ149" s="16"/>
      <c r="AR149" s="16"/>
      <c r="AS149" s="16"/>
      <c r="AT149" s="16"/>
    </row>
    <row r="150" spans="1:46" x14ac:dyDescent="0.3">
      <c r="A150" s="16">
        <f>'Clean Data'!A149</f>
        <v>148</v>
      </c>
      <c r="B150" s="16" t="str">
        <f>'Clean Data'!B149</f>
        <v>woody biomass</v>
      </c>
      <c r="C150" s="16" t="str">
        <f>'Clean Data'!C149</f>
        <v>other</v>
      </c>
      <c r="D150" s="16">
        <f>'Clean Data'!D149</f>
        <v>1.25</v>
      </c>
      <c r="E150" s="16">
        <f>'Clean Data'!E149</f>
        <v>19.3</v>
      </c>
      <c r="F150" s="16">
        <f>'Clean Data'!F149</f>
        <v>49.196787148594382</v>
      </c>
      <c r="G150" s="16">
        <f>'Clean Data'!G149</f>
        <v>6.1244979919678713</v>
      </c>
      <c r="H150" s="16">
        <f>'Clean Data'!H149</f>
        <v>0.10040160642570282</v>
      </c>
      <c r="I150" s="16">
        <f>'Clean Data'!I149</f>
        <v>1.0040160642570281E-2</v>
      </c>
      <c r="J150" s="16">
        <f>'Clean Data'!J149</f>
        <v>44.578313253012048</v>
      </c>
      <c r="K150" s="16">
        <f>'Clean Data'!K149</f>
        <v>0.4</v>
      </c>
      <c r="L150" s="16">
        <f>'Clean Data'!L149</f>
        <v>7</v>
      </c>
      <c r="M150" s="16" t="str">
        <f>'Clean Data'!M149</f>
        <v>NaN</v>
      </c>
      <c r="N150" s="16" t="str">
        <f>'Clean Data'!N149</f>
        <v>NaN</v>
      </c>
      <c r="O150" s="16" t="str">
        <f>'Clean Data'!O149</f>
        <v>NaN</v>
      </c>
      <c r="P150" s="16" t="str">
        <f>'Clean Data'!P149</f>
        <v>NaN</v>
      </c>
      <c r="Q150" s="16" t="str">
        <f>'Clean Data'!Q149</f>
        <v>NaN</v>
      </c>
      <c r="R150" s="16">
        <f>'Clean Data'!R149</f>
        <v>750</v>
      </c>
      <c r="S150" s="16" t="str">
        <f>'Clean Data'!S149</f>
        <v>continuous</v>
      </c>
      <c r="T150" s="16" t="str">
        <f>'Clean Data'!T149</f>
        <v>atmospheric</v>
      </c>
      <c r="U150" s="16">
        <f>'Clean Data'!U149</f>
        <v>50</v>
      </c>
      <c r="V150" s="16" t="str">
        <f>'Clean Data'!V149</f>
        <v>NaN</v>
      </c>
      <c r="W150" s="16">
        <f>'Clean Data'!W149</f>
        <v>0.24</v>
      </c>
      <c r="X150" s="16" t="str">
        <f>'Clean Data'!X149</f>
        <v>oxygen</v>
      </c>
      <c r="Y150" s="16" t="str">
        <f>'Clean Data'!Y149</f>
        <v>fluidised bed</v>
      </c>
      <c r="Z150" s="16" t="str">
        <f>'Clean Data'!Z149</f>
        <v>alumina</v>
      </c>
      <c r="AA150" s="16">
        <f>'Clean Data'!AA149</f>
        <v>1</v>
      </c>
      <c r="AB150" s="16" t="str">
        <f>'Clean Data'!AB149</f>
        <v>lab</v>
      </c>
      <c r="AC150" s="16">
        <f>'Clean Data'!AC149</f>
        <v>0</v>
      </c>
      <c r="AD150" s="16">
        <f>'Clean Data'!AD149</f>
        <v>21.93</v>
      </c>
      <c r="AE150" s="16">
        <f>'Clean Data'!AE149</f>
        <v>34.28</v>
      </c>
      <c r="AF150" s="16">
        <f>'Clean Data'!AF149</f>
        <v>30.6</v>
      </c>
      <c r="AG150" s="16">
        <f>'Clean Data'!AG149</f>
        <v>9.7200000000000006</v>
      </c>
      <c r="AH150" s="16">
        <f>'Clean Data'!AH149</f>
        <v>2.8400000000000003</v>
      </c>
      <c r="AI150" s="16">
        <f>'Clean Data'!AI149</f>
        <v>11.86</v>
      </c>
      <c r="AJ150" s="16">
        <f>'Clean Data'!AJ149</f>
        <v>26.36538461538461</v>
      </c>
      <c r="AK150" s="16">
        <f>'Clean Data'!AK149</f>
        <v>1.04</v>
      </c>
      <c r="AL150" s="16" t="str">
        <f>'Clean Data'!AL149</f>
        <v>NaN</v>
      </c>
      <c r="AM150" s="16">
        <f>'Clean Data'!AM149</f>
        <v>63.908808290155442</v>
      </c>
      <c r="AN150" s="16">
        <f>'Clean Data'!AN149</f>
        <v>91.22</v>
      </c>
      <c r="AO150" s="16" t="str">
        <f>'Clean Data'!AO149</f>
        <v>Baratieri, Waste Biomass Valor 2010, 1, 283-291</v>
      </c>
      <c r="AP150" s="16"/>
      <c r="AQ150" s="16"/>
      <c r="AR150" s="16"/>
      <c r="AS150" s="16"/>
      <c r="AT150" s="16"/>
    </row>
    <row r="151" spans="1:46" x14ac:dyDescent="0.3">
      <c r="A151" s="16">
        <f>'Clean Data'!A150</f>
        <v>149</v>
      </c>
      <c r="B151" s="16" t="str">
        <f>'Clean Data'!B150</f>
        <v>woody biomass</v>
      </c>
      <c r="C151" s="16" t="str">
        <f>'Clean Data'!C150</f>
        <v>other</v>
      </c>
      <c r="D151" s="16">
        <f>'Clean Data'!D150</f>
        <v>1.25</v>
      </c>
      <c r="E151" s="16">
        <f>'Clean Data'!E150</f>
        <v>19.3</v>
      </c>
      <c r="F151" s="16">
        <f>'Clean Data'!F150</f>
        <v>49.196787148594382</v>
      </c>
      <c r="G151" s="16">
        <f>'Clean Data'!G150</f>
        <v>6.1244979919678713</v>
      </c>
      <c r="H151" s="16">
        <f>'Clean Data'!H150</f>
        <v>0.10040160642570282</v>
      </c>
      <c r="I151" s="16">
        <f>'Clean Data'!I150</f>
        <v>1.0040160642570281E-2</v>
      </c>
      <c r="J151" s="16">
        <f>'Clean Data'!J150</f>
        <v>44.578313253012048</v>
      </c>
      <c r="K151" s="16">
        <f>'Clean Data'!K150</f>
        <v>0.4</v>
      </c>
      <c r="L151" s="16">
        <f>'Clean Data'!L150</f>
        <v>7</v>
      </c>
      <c r="M151" s="16" t="str">
        <f>'Clean Data'!M150</f>
        <v>NaN</v>
      </c>
      <c r="N151" s="16" t="str">
        <f>'Clean Data'!N150</f>
        <v>NaN</v>
      </c>
      <c r="O151" s="16" t="str">
        <f>'Clean Data'!O150</f>
        <v>NaN</v>
      </c>
      <c r="P151" s="16" t="str">
        <f>'Clean Data'!P150</f>
        <v>NaN</v>
      </c>
      <c r="Q151" s="16" t="str">
        <f>'Clean Data'!Q150</f>
        <v>NaN</v>
      </c>
      <c r="R151" s="16">
        <f>'Clean Data'!R150</f>
        <v>750</v>
      </c>
      <c r="S151" s="16" t="str">
        <f>'Clean Data'!S150</f>
        <v>continuous</v>
      </c>
      <c r="T151" s="16" t="str">
        <f>'Clean Data'!T150</f>
        <v>atmospheric</v>
      </c>
      <c r="U151" s="16">
        <f>'Clean Data'!U150</f>
        <v>55</v>
      </c>
      <c r="V151" s="16" t="str">
        <f>'Clean Data'!V150</f>
        <v>NaN</v>
      </c>
      <c r="W151" s="16">
        <f>'Clean Data'!W150</f>
        <v>0.24</v>
      </c>
      <c r="X151" s="16" t="str">
        <f>'Clean Data'!X150</f>
        <v>oxygen</v>
      </c>
      <c r="Y151" s="16" t="str">
        <f>'Clean Data'!Y150</f>
        <v>fluidised bed</v>
      </c>
      <c r="Z151" s="16" t="str">
        <f>'Clean Data'!Z150</f>
        <v>alumina</v>
      </c>
      <c r="AA151" s="16">
        <f>'Clean Data'!AA150</f>
        <v>0</v>
      </c>
      <c r="AB151" s="16" t="str">
        <f>'Clean Data'!AB150</f>
        <v>lab</v>
      </c>
      <c r="AC151" s="16">
        <f>'Clean Data'!AC150</f>
        <v>0</v>
      </c>
      <c r="AD151" s="16">
        <f>'Clean Data'!AD150</f>
        <v>20.2</v>
      </c>
      <c r="AE151" s="16">
        <f>'Clean Data'!AE150</f>
        <v>31.92</v>
      </c>
      <c r="AF151" s="16">
        <f>'Clean Data'!AF150</f>
        <v>33.19</v>
      </c>
      <c r="AG151" s="16">
        <f>'Clean Data'!AG150</f>
        <v>9.84</v>
      </c>
      <c r="AH151" s="16">
        <f>'Clean Data'!AH150</f>
        <v>4.2300000000000004</v>
      </c>
      <c r="AI151" s="16">
        <f>'Clean Data'!AI150</f>
        <v>12.24</v>
      </c>
      <c r="AJ151" s="16">
        <f>'Clean Data'!AJ150</f>
        <v>33.163265306122447</v>
      </c>
      <c r="AK151" s="16">
        <f>'Clean Data'!AK150</f>
        <v>0.98</v>
      </c>
      <c r="AL151" s="16" t="str">
        <f>'Clean Data'!AL150</f>
        <v>NaN</v>
      </c>
      <c r="AM151" s="16">
        <f>'Clean Data'!AM150</f>
        <v>62.151295336787562</v>
      </c>
      <c r="AN151" s="16">
        <f>'Clean Data'!AN150</f>
        <v>92.8</v>
      </c>
      <c r="AO151" s="16" t="str">
        <f>'Clean Data'!AO150</f>
        <v>Baratieri, Waste Biomass Valor 2010, 1, 283-291</v>
      </c>
      <c r="AP151" s="16"/>
      <c r="AQ151" s="16"/>
      <c r="AR151" s="16"/>
      <c r="AS151" s="16"/>
      <c r="AT151" s="16"/>
    </row>
    <row r="152" spans="1:46" x14ac:dyDescent="0.3">
      <c r="A152" s="16">
        <f>'Clean Data'!A151</f>
        <v>150</v>
      </c>
      <c r="B152" s="16" t="str">
        <f>'Clean Data'!B151</f>
        <v>woody biomass</v>
      </c>
      <c r="C152" s="16" t="str">
        <f>'Clean Data'!C151</f>
        <v>other</v>
      </c>
      <c r="D152" s="16">
        <f>'Clean Data'!D151</f>
        <v>1.25</v>
      </c>
      <c r="E152" s="16">
        <f>'Clean Data'!E151</f>
        <v>19.3</v>
      </c>
      <c r="F152" s="16">
        <f>'Clean Data'!F151</f>
        <v>49.196787148594382</v>
      </c>
      <c r="G152" s="16">
        <f>'Clean Data'!G151</f>
        <v>6.1244979919678713</v>
      </c>
      <c r="H152" s="16">
        <f>'Clean Data'!H151</f>
        <v>0.10040160642570282</v>
      </c>
      <c r="I152" s="16">
        <f>'Clean Data'!I151</f>
        <v>1.0040160642570281E-2</v>
      </c>
      <c r="J152" s="16">
        <f>'Clean Data'!J151</f>
        <v>44.578313253012048</v>
      </c>
      <c r="K152" s="16">
        <f>'Clean Data'!K151</f>
        <v>0.4</v>
      </c>
      <c r="L152" s="16">
        <f>'Clean Data'!L151</f>
        <v>7</v>
      </c>
      <c r="M152" s="16" t="str">
        <f>'Clean Data'!M151</f>
        <v>NaN</v>
      </c>
      <c r="N152" s="16" t="str">
        <f>'Clean Data'!N151</f>
        <v>NaN</v>
      </c>
      <c r="O152" s="16" t="str">
        <f>'Clean Data'!O151</f>
        <v>NaN</v>
      </c>
      <c r="P152" s="16" t="str">
        <f>'Clean Data'!P151</f>
        <v>NaN</v>
      </c>
      <c r="Q152" s="16" t="str">
        <f>'Clean Data'!Q151</f>
        <v>NaN</v>
      </c>
      <c r="R152" s="16">
        <f>'Clean Data'!R151</f>
        <v>750</v>
      </c>
      <c r="S152" s="16" t="str">
        <f>'Clean Data'!S151</f>
        <v>continuous</v>
      </c>
      <c r="T152" s="16" t="str">
        <f>'Clean Data'!T151</f>
        <v>atmospheric</v>
      </c>
      <c r="U152" s="16">
        <f>'Clean Data'!U151</f>
        <v>51</v>
      </c>
      <c r="V152" s="16" t="str">
        <f>'Clean Data'!V151</f>
        <v>NaN</v>
      </c>
      <c r="W152" s="16">
        <f>'Clean Data'!W151</f>
        <v>0.24</v>
      </c>
      <c r="X152" s="16" t="str">
        <f>'Clean Data'!X151</f>
        <v>oxygen</v>
      </c>
      <c r="Y152" s="16" t="str">
        <f>'Clean Data'!Y151</f>
        <v>fluidised bed</v>
      </c>
      <c r="Z152" s="16" t="str">
        <f>'Clean Data'!Z151</f>
        <v>alumina</v>
      </c>
      <c r="AA152" s="16">
        <f>'Clean Data'!AA151</f>
        <v>1</v>
      </c>
      <c r="AB152" s="16" t="str">
        <f>'Clean Data'!AB151</f>
        <v>lab</v>
      </c>
      <c r="AC152" s="16">
        <f>'Clean Data'!AC151</f>
        <v>0</v>
      </c>
      <c r="AD152" s="16">
        <f>'Clean Data'!AD151</f>
        <v>22.08</v>
      </c>
      <c r="AE152" s="16">
        <f>'Clean Data'!AE151</f>
        <v>34.15</v>
      </c>
      <c r="AF152" s="16">
        <f>'Clean Data'!AF151</f>
        <v>30.5</v>
      </c>
      <c r="AG152" s="16">
        <f>'Clean Data'!AG151</f>
        <v>9.5399999999999991</v>
      </c>
      <c r="AH152" s="16">
        <f>'Clean Data'!AH151</f>
        <v>3.08</v>
      </c>
      <c r="AI152" s="16">
        <f>'Clean Data'!AI151</f>
        <v>11.95</v>
      </c>
      <c r="AJ152" s="16">
        <f>'Clean Data'!AJ151</f>
        <v>24.495238095238093</v>
      </c>
      <c r="AK152" s="16">
        <f>'Clean Data'!AK151</f>
        <v>1.05</v>
      </c>
      <c r="AL152" s="16" t="str">
        <f>'Clean Data'!AL151</f>
        <v>NaN</v>
      </c>
      <c r="AM152" s="16">
        <f>'Clean Data'!AM151</f>
        <v>65.012953367875639</v>
      </c>
      <c r="AN152" s="16">
        <f>'Clean Data'!AN151</f>
        <v>93.7</v>
      </c>
      <c r="AO152" s="16" t="str">
        <f>'Clean Data'!AO151</f>
        <v>Baratieri, Waste Biomass Valor 2010, 1, 283-291</v>
      </c>
      <c r="AP152" s="16"/>
      <c r="AQ152" s="16"/>
      <c r="AR152" s="16"/>
      <c r="AS152" s="16"/>
      <c r="AT152" s="16"/>
    </row>
    <row r="153" spans="1:46" x14ac:dyDescent="0.3">
      <c r="A153" s="16">
        <f>'Clean Data'!A152</f>
        <v>151</v>
      </c>
      <c r="B153" s="16" t="str">
        <f>'Clean Data'!B152</f>
        <v>woody biomass</v>
      </c>
      <c r="C153" s="16" t="str">
        <f>'Clean Data'!C152</f>
        <v>other</v>
      </c>
      <c r="D153" s="16">
        <f>'Clean Data'!D152</f>
        <v>1.25</v>
      </c>
      <c r="E153" s="16">
        <f>'Clean Data'!E152</f>
        <v>19.3</v>
      </c>
      <c r="F153" s="16">
        <f>'Clean Data'!F152</f>
        <v>49.196787148594382</v>
      </c>
      <c r="G153" s="16">
        <f>'Clean Data'!G152</f>
        <v>6.1244979919678713</v>
      </c>
      <c r="H153" s="16">
        <f>'Clean Data'!H152</f>
        <v>0.10040160642570282</v>
      </c>
      <c r="I153" s="16">
        <f>'Clean Data'!I152</f>
        <v>1.0040160642570281E-2</v>
      </c>
      <c r="J153" s="16">
        <f>'Clean Data'!J152</f>
        <v>44.578313253012048</v>
      </c>
      <c r="K153" s="16">
        <f>'Clean Data'!K152</f>
        <v>0.4</v>
      </c>
      <c r="L153" s="16">
        <f>'Clean Data'!L152</f>
        <v>7</v>
      </c>
      <c r="M153" s="16" t="str">
        <f>'Clean Data'!M152</f>
        <v>NaN</v>
      </c>
      <c r="N153" s="16" t="str">
        <f>'Clean Data'!N152</f>
        <v>NaN</v>
      </c>
      <c r="O153" s="16" t="str">
        <f>'Clean Data'!O152</f>
        <v>NaN</v>
      </c>
      <c r="P153" s="16" t="str">
        <f>'Clean Data'!P152</f>
        <v>NaN</v>
      </c>
      <c r="Q153" s="16" t="str">
        <f>'Clean Data'!Q152</f>
        <v>NaN</v>
      </c>
      <c r="R153" s="16">
        <f>'Clean Data'!R152</f>
        <v>800</v>
      </c>
      <c r="S153" s="16" t="str">
        <f>'Clean Data'!S152</f>
        <v>continuous</v>
      </c>
      <c r="T153" s="16" t="str">
        <f>'Clean Data'!T152</f>
        <v>atmospheric</v>
      </c>
      <c r="U153" s="16">
        <f>'Clean Data'!U152</f>
        <v>40</v>
      </c>
      <c r="V153" s="16" t="str">
        <f>'Clean Data'!V152</f>
        <v>NaN</v>
      </c>
      <c r="W153" s="16">
        <f>'Clean Data'!W152</f>
        <v>0.23</v>
      </c>
      <c r="X153" s="16" t="str">
        <f>'Clean Data'!X152</f>
        <v>oxygen</v>
      </c>
      <c r="Y153" s="16" t="str">
        <f>'Clean Data'!Y152</f>
        <v>fluidised bed</v>
      </c>
      <c r="Z153" s="16" t="str">
        <f>'Clean Data'!Z152</f>
        <v>alumina</v>
      </c>
      <c r="AA153" s="16">
        <f>'Clean Data'!AA152</f>
        <v>0</v>
      </c>
      <c r="AB153" s="16" t="str">
        <f>'Clean Data'!AB152</f>
        <v>lab</v>
      </c>
      <c r="AC153" s="16">
        <f>'Clean Data'!AC152</f>
        <v>0</v>
      </c>
      <c r="AD153" s="16">
        <f>'Clean Data'!AD152</f>
        <v>19.87</v>
      </c>
      <c r="AE153" s="16">
        <f>'Clean Data'!AE152</f>
        <v>36.630000000000003</v>
      </c>
      <c r="AF153" s="16">
        <f>'Clean Data'!AF152</f>
        <v>29.73</v>
      </c>
      <c r="AG153" s="16">
        <f>'Clean Data'!AG152</f>
        <v>9.81</v>
      </c>
      <c r="AH153" s="16">
        <f>'Clean Data'!AH152</f>
        <v>3.29</v>
      </c>
      <c r="AI153" s="16">
        <f>'Clean Data'!AI152</f>
        <v>12.25</v>
      </c>
      <c r="AJ153" s="16">
        <f>'Clean Data'!AJ152</f>
        <v>35.66346153846154</v>
      </c>
      <c r="AK153" s="16">
        <f>'Clean Data'!AK152</f>
        <v>1.04</v>
      </c>
      <c r="AL153" s="16" t="str">
        <f>'Clean Data'!AL152</f>
        <v>NaN</v>
      </c>
      <c r="AM153" s="16">
        <f>'Clean Data'!AM152</f>
        <v>66.010362694300511</v>
      </c>
      <c r="AN153" s="16">
        <f>'Clean Data'!AN152</f>
        <v>96</v>
      </c>
      <c r="AO153" s="16" t="str">
        <f>'Clean Data'!AO152</f>
        <v>Baratieri, Waste Biomass Valor 2010, 1, 283-291</v>
      </c>
      <c r="AP153" s="16"/>
      <c r="AQ153" s="16"/>
      <c r="AR153" s="16"/>
      <c r="AS153" s="16"/>
      <c r="AT153" s="16"/>
    </row>
    <row r="154" spans="1:46" x14ac:dyDescent="0.3">
      <c r="A154" s="16">
        <f>'Clean Data'!A153</f>
        <v>152</v>
      </c>
      <c r="B154" s="16" t="str">
        <f>'Clean Data'!B153</f>
        <v>woody biomass</v>
      </c>
      <c r="C154" s="16" t="str">
        <f>'Clean Data'!C153</f>
        <v>other</v>
      </c>
      <c r="D154" s="16">
        <f>'Clean Data'!D153</f>
        <v>1.25</v>
      </c>
      <c r="E154" s="16">
        <f>'Clean Data'!E153</f>
        <v>19.3</v>
      </c>
      <c r="F154" s="16">
        <f>'Clean Data'!F153</f>
        <v>49.196787148594382</v>
      </c>
      <c r="G154" s="16">
        <f>'Clean Data'!G153</f>
        <v>6.1244979919678713</v>
      </c>
      <c r="H154" s="16">
        <f>'Clean Data'!H153</f>
        <v>0.10040160642570282</v>
      </c>
      <c r="I154" s="16">
        <f>'Clean Data'!I153</f>
        <v>1.0040160642570281E-2</v>
      </c>
      <c r="J154" s="16">
        <f>'Clean Data'!J153</f>
        <v>44.578313253012048</v>
      </c>
      <c r="K154" s="16">
        <f>'Clean Data'!K153</f>
        <v>0.4</v>
      </c>
      <c r="L154" s="16">
        <f>'Clean Data'!L153</f>
        <v>7</v>
      </c>
      <c r="M154" s="16" t="str">
        <f>'Clean Data'!M153</f>
        <v>NaN</v>
      </c>
      <c r="N154" s="16" t="str">
        <f>'Clean Data'!N153</f>
        <v>NaN</v>
      </c>
      <c r="O154" s="16" t="str">
        <f>'Clean Data'!O153</f>
        <v>NaN</v>
      </c>
      <c r="P154" s="16" t="str">
        <f>'Clean Data'!P153</f>
        <v>NaN</v>
      </c>
      <c r="Q154" s="16" t="str">
        <f>'Clean Data'!Q153</f>
        <v>NaN</v>
      </c>
      <c r="R154" s="16">
        <f>'Clean Data'!R153</f>
        <v>800</v>
      </c>
      <c r="S154" s="16" t="str">
        <f>'Clean Data'!S153</f>
        <v>continuous</v>
      </c>
      <c r="T154" s="16" t="str">
        <f>'Clean Data'!T153</f>
        <v>atmospheric</v>
      </c>
      <c r="U154" s="16">
        <f>'Clean Data'!U153</f>
        <v>54</v>
      </c>
      <c r="V154" s="16" t="str">
        <f>'Clean Data'!V153</f>
        <v>NaN</v>
      </c>
      <c r="W154" s="16">
        <f>'Clean Data'!W153</f>
        <v>0.23</v>
      </c>
      <c r="X154" s="16" t="str">
        <f>'Clean Data'!X153</f>
        <v>oxygen</v>
      </c>
      <c r="Y154" s="16" t="str">
        <f>'Clean Data'!Y153</f>
        <v>fluidised bed</v>
      </c>
      <c r="Z154" s="16" t="str">
        <f>'Clean Data'!Z153</f>
        <v>alumina</v>
      </c>
      <c r="AA154" s="16">
        <f>'Clean Data'!AA153</f>
        <v>1</v>
      </c>
      <c r="AB154" s="16" t="str">
        <f>'Clean Data'!AB153</f>
        <v>lab</v>
      </c>
      <c r="AC154" s="16">
        <f>'Clean Data'!AC153</f>
        <v>0</v>
      </c>
      <c r="AD154" s="16">
        <f>'Clean Data'!AD153</f>
        <v>22.53</v>
      </c>
      <c r="AE154" s="16">
        <f>'Clean Data'!AE153</f>
        <v>35.71</v>
      </c>
      <c r="AF154" s="16">
        <f>'Clean Data'!AF153</f>
        <v>29.26</v>
      </c>
      <c r="AG154" s="16">
        <f>'Clean Data'!AG153</f>
        <v>9.93</v>
      </c>
      <c r="AH154" s="16">
        <f>'Clean Data'!AH153</f>
        <v>1.97</v>
      </c>
      <c r="AI154" s="16">
        <f>'Clean Data'!AI153</f>
        <v>11.68</v>
      </c>
      <c r="AJ154" s="16">
        <f>'Clean Data'!AJ153</f>
        <v>21.401785714285712</v>
      </c>
      <c r="AK154" s="16">
        <f>'Clean Data'!AK153</f>
        <v>1.1200000000000001</v>
      </c>
      <c r="AL154" s="16" t="str">
        <f>'Clean Data'!AL153</f>
        <v>NaN</v>
      </c>
      <c r="AM154" s="16">
        <f>'Clean Data'!AM153</f>
        <v>67.78031088082902</v>
      </c>
      <c r="AN154" s="16">
        <f>'Clean Data'!AN153</f>
        <v>98</v>
      </c>
      <c r="AO154" s="16" t="str">
        <f>'Clean Data'!AO153</f>
        <v>Baratieri, Waste Biomass Valor 2010, 1, 283-291</v>
      </c>
      <c r="AP154" s="16"/>
      <c r="AQ154" s="16"/>
      <c r="AR154" s="16"/>
      <c r="AS154" s="16"/>
      <c r="AT154" s="16"/>
    </row>
    <row r="155" spans="1:46" x14ac:dyDescent="0.3">
      <c r="A155" s="16">
        <f>'Clean Data'!A154</f>
        <v>153</v>
      </c>
      <c r="B155" s="16" t="str">
        <f>'Clean Data'!B154</f>
        <v>woody biomass</v>
      </c>
      <c r="C155" s="16" t="str">
        <f>'Clean Data'!C154</f>
        <v>other</v>
      </c>
      <c r="D155" s="16">
        <f>'Clean Data'!D154</f>
        <v>1.25</v>
      </c>
      <c r="E155" s="16">
        <f>'Clean Data'!E154</f>
        <v>19.3</v>
      </c>
      <c r="F155" s="16">
        <f>'Clean Data'!F154</f>
        <v>49.196787148594382</v>
      </c>
      <c r="G155" s="16">
        <f>'Clean Data'!G154</f>
        <v>6.1244979919678713</v>
      </c>
      <c r="H155" s="16">
        <f>'Clean Data'!H154</f>
        <v>0.10040160642570282</v>
      </c>
      <c r="I155" s="16">
        <f>'Clean Data'!I154</f>
        <v>1.0040160642570281E-2</v>
      </c>
      <c r="J155" s="16">
        <f>'Clean Data'!J154</f>
        <v>44.578313253012048</v>
      </c>
      <c r="K155" s="16">
        <f>'Clean Data'!K154</f>
        <v>0.4</v>
      </c>
      <c r="L155" s="16">
        <f>'Clean Data'!L154</f>
        <v>7</v>
      </c>
      <c r="M155" s="16" t="str">
        <f>'Clean Data'!M154</f>
        <v>NaN</v>
      </c>
      <c r="N155" s="16" t="str">
        <f>'Clean Data'!N154</f>
        <v>NaN</v>
      </c>
      <c r="O155" s="16" t="str">
        <f>'Clean Data'!O154</f>
        <v>NaN</v>
      </c>
      <c r="P155" s="16" t="str">
        <f>'Clean Data'!P154</f>
        <v>NaN</v>
      </c>
      <c r="Q155" s="16" t="str">
        <f>'Clean Data'!Q154</f>
        <v>NaN</v>
      </c>
      <c r="R155" s="16">
        <f>'Clean Data'!R154</f>
        <v>800</v>
      </c>
      <c r="S155" s="16" t="str">
        <f>'Clean Data'!S154</f>
        <v>continuous</v>
      </c>
      <c r="T155" s="16" t="str">
        <f>'Clean Data'!T154</f>
        <v>atmospheric</v>
      </c>
      <c r="U155" s="16">
        <f>'Clean Data'!U154</f>
        <v>45</v>
      </c>
      <c r="V155" s="16" t="str">
        <f>'Clean Data'!V154</f>
        <v>NaN</v>
      </c>
      <c r="W155" s="16">
        <f>'Clean Data'!W154</f>
        <v>0.23</v>
      </c>
      <c r="X155" s="16" t="str">
        <f>'Clean Data'!X154</f>
        <v>oxygen</v>
      </c>
      <c r="Y155" s="16" t="str">
        <f>'Clean Data'!Y154</f>
        <v>fluidised bed</v>
      </c>
      <c r="Z155" s="16" t="str">
        <f>'Clean Data'!Z154</f>
        <v>alumina</v>
      </c>
      <c r="AA155" s="16">
        <f>'Clean Data'!AA154</f>
        <v>0</v>
      </c>
      <c r="AB155" s="16" t="str">
        <f>'Clean Data'!AB154</f>
        <v>lab</v>
      </c>
      <c r="AC155" s="16">
        <f>'Clean Data'!AC154</f>
        <v>0</v>
      </c>
      <c r="AD155" s="16">
        <f>'Clean Data'!AD154</f>
        <v>20.75</v>
      </c>
      <c r="AE155" s="16">
        <f>'Clean Data'!AE154</f>
        <v>34.159999999999997</v>
      </c>
      <c r="AF155" s="16">
        <f>'Clean Data'!AF154</f>
        <v>31.82</v>
      </c>
      <c r="AG155" s="16">
        <f>'Clean Data'!AG154</f>
        <v>9.5</v>
      </c>
      <c r="AH155" s="16">
        <f>'Clean Data'!AH154</f>
        <v>3.13</v>
      </c>
      <c r="AI155" s="16">
        <f>'Clean Data'!AI154</f>
        <v>11.82</v>
      </c>
      <c r="AJ155" s="16">
        <f>'Clean Data'!AJ154</f>
        <v>26.970297029702969</v>
      </c>
      <c r="AK155" s="16">
        <f>'Clean Data'!AK154</f>
        <v>1.01</v>
      </c>
      <c r="AL155" s="16" t="str">
        <f>'Clean Data'!AL154</f>
        <v>NaN</v>
      </c>
      <c r="AM155" s="16">
        <f>'Clean Data'!AM154</f>
        <v>61.855958549222791</v>
      </c>
      <c r="AN155" s="16">
        <f>'Clean Data'!AN154</f>
        <v>86</v>
      </c>
      <c r="AO155" s="16" t="str">
        <f>'Clean Data'!AO154</f>
        <v>Baratieri, Waste Biomass Valor 2010, 1, 283-291</v>
      </c>
      <c r="AP155" s="16"/>
      <c r="AQ155" s="16"/>
      <c r="AR155" s="16"/>
      <c r="AS155" s="16"/>
      <c r="AT155" s="16"/>
    </row>
    <row r="156" spans="1:46" x14ac:dyDescent="0.3">
      <c r="A156" s="16">
        <f>'Clean Data'!A155</f>
        <v>154</v>
      </c>
      <c r="B156" s="16" t="str">
        <f>'Clean Data'!B155</f>
        <v>woody biomass</v>
      </c>
      <c r="C156" s="16" t="str">
        <f>'Clean Data'!C155</f>
        <v>other</v>
      </c>
      <c r="D156" s="16">
        <f>'Clean Data'!D155</f>
        <v>1.25</v>
      </c>
      <c r="E156" s="16">
        <f>'Clean Data'!E155</f>
        <v>19.3</v>
      </c>
      <c r="F156" s="16">
        <f>'Clean Data'!F155</f>
        <v>49.196787148594382</v>
      </c>
      <c r="G156" s="16">
        <f>'Clean Data'!G155</f>
        <v>6.1244979919678713</v>
      </c>
      <c r="H156" s="16">
        <f>'Clean Data'!H155</f>
        <v>0.10040160642570282</v>
      </c>
      <c r="I156" s="16">
        <f>'Clean Data'!I155</f>
        <v>1.0040160642570281E-2</v>
      </c>
      <c r="J156" s="16">
        <f>'Clean Data'!J155</f>
        <v>44.578313253012048</v>
      </c>
      <c r="K156" s="16">
        <f>'Clean Data'!K155</f>
        <v>0.4</v>
      </c>
      <c r="L156" s="16">
        <f>'Clean Data'!L155</f>
        <v>7</v>
      </c>
      <c r="M156" s="16" t="str">
        <f>'Clean Data'!M155</f>
        <v>NaN</v>
      </c>
      <c r="N156" s="16" t="str">
        <f>'Clean Data'!N155</f>
        <v>NaN</v>
      </c>
      <c r="O156" s="16" t="str">
        <f>'Clean Data'!O155</f>
        <v>NaN</v>
      </c>
      <c r="P156" s="16" t="str">
        <f>'Clean Data'!P155</f>
        <v>NaN</v>
      </c>
      <c r="Q156" s="16" t="str">
        <f>'Clean Data'!Q155</f>
        <v>NaN</v>
      </c>
      <c r="R156" s="16">
        <f>'Clean Data'!R155</f>
        <v>800</v>
      </c>
      <c r="S156" s="16" t="str">
        <f>'Clean Data'!S155</f>
        <v>continuous</v>
      </c>
      <c r="T156" s="16" t="str">
        <f>'Clean Data'!T155</f>
        <v>atmospheric</v>
      </c>
      <c r="U156" s="16">
        <f>'Clean Data'!U155</f>
        <v>45</v>
      </c>
      <c r="V156" s="16" t="str">
        <f>'Clean Data'!V155</f>
        <v>NaN</v>
      </c>
      <c r="W156" s="16">
        <f>'Clean Data'!W155</f>
        <v>0.23</v>
      </c>
      <c r="X156" s="16" t="str">
        <f>'Clean Data'!X155</f>
        <v>oxygen</v>
      </c>
      <c r="Y156" s="16" t="str">
        <f>'Clean Data'!Y155</f>
        <v>fluidised bed</v>
      </c>
      <c r="Z156" s="16" t="str">
        <f>'Clean Data'!Z155</f>
        <v>alumina</v>
      </c>
      <c r="AA156" s="16">
        <f>'Clean Data'!AA155</f>
        <v>1</v>
      </c>
      <c r="AB156" s="16" t="str">
        <f>'Clean Data'!AB155</f>
        <v>lab</v>
      </c>
      <c r="AC156" s="16">
        <f>'Clean Data'!AC155</f>
        <v>0</v>
      </c>
      <c r="AD156" s="16">
        <f>'Clean Data'!AD155</f>
        <v>22.18</v>
      </c>
      <c r="AE156" s="16">
        <f>'Clean Data'!AE155</f>
        <v>33.950000000000003</v>
      </c>
      <c r="AF156" s="16">
        <f>'Clean Data'!AF155</f>
        <v>31.95</v>
      </c>
      <c r="AG156" s="16">
        <f>'Clean Data'!AG155</f>
        <v>9.16</v>
      </c>
      <c r="AH156" s="16">
        <f>'Clean Data'!AH155</f>
        <v>2.12</v>
      </c>
      <c r="AI156" s="16">
        <f>'Clean Data'!AI155</f>
        <v>11.23</v>
      </c>
      <c r="AJ156" s="16">
        <f>'Clean Data'!AJ155</f>
        <v>22.323232323232325</v>
      </c>
      <c r="AK156" s="16">
        <f>'Clean Data'!AK155</f>
        <v>0.99</v>
      </c>
      <c r="AL156" s="16" t="str">
        <f>'Clean Data'!AL155</f>
        <v>NaN</v>
      </c>
      <c r="AM156" s="16">
        <f>'Clean Data'!AM155</f>
        <v>57.604663212435241</v>
      </c>
      <c r="AN156" s="16">
        <f>'Clean Data'!AN155</f>
        <v>87</v>
      </c>
      <c r="AO156" s="16" t="str">
        <f>'Clean Data'!AO155</f>
        <v>Baratieri, Waste Biomass Valor 2010, 1, 283-291</v>
      </c>
      <c r="AP156" s="16"/>
      <c r="AQ156" s="16"/>
      <c r="AR156" s="16"/>
      <c r="AS156" s="16"/>
      <c r="AT156" s="16"/>
    </row>
    <row r="157" spans="1:46" x14ac:dyDescent="0.3">
      <c r="A157" s="16">
        <f>'Clean Data'!A156</f>
        <v>155</v>
      </c>
      <c r="B157" s="16" t="str">
        <f>'Clean Data'!B156</f>
        <v>woody biomass</v>
      </c>
      <c r="C157" s="16" t="str">
        <f>'Clean Data'!C156</f>
        <v>other</v>
      </c>
      <c r="D157" s="16">
        <f>'Clean Data'!D156</f>
        <v>1.25</v>
      </c>
      <c r="E157" s="16">
        <f>'Clean Data'!E156</f>
        <v>19.3</v>
      </c>
      <c r="F157" s="16">
        <f>'Clean Data'!F156</f>
        <v>49.196787148594382</v>
      </c>
      <c r="G157" s="16">
        <f>'Clean Data'!G156</f>
        <v>6.1244979919678713</v>
      </c>
      <c r="H157" s="16">
        <f>'Clean Data'!H156</f>
        <v>0.10040160642570282</v>
      </c>
      <c r="I157" s="16">
        <f>'Clean Data'!I156</f>
        <v>1.0040160642570281E-2</v>
      </c>
      <c r="J157" s="16">
        <f>'Clean Data'!J156</f>
        <v>44.578313253012048</v>
      </c>
      <c r="K157" s="16">
        <f>'Clean Data'!K156</f>
        <v>0.4</v>
      </c>
      <c r="L157" s="16">
        <f>'Clean Data'!L156</f>
        <v>7</v>
      </c>
      <c r="M157" s="16" t="str">
        <f>'Clean Data'!M156</f>
        <v>NaN</v>
      </c>
      <c r="N157" s="16" t="str">
        <f>'Clean Data'!N156</f>
        <v>NaN</v>
      </c>
      <c r="O157" s="16" t="str">
        <f>'Clean Data'!O156</f>
        <v>NaN</v>
      </c>
      <c r="P157" s="16" t="str">
        <f>'Clean Data'!P156</f>
        <v>NaN</v>
      </c>
      <c r="Q157" s="16" t="str">
        <f>'Clean Data'!Q156</f>
        <v>NaN</v>
      </c>
      <c r="R157" s="16">
        <f>'Clean Data'!R156</f>
        <v>800</v>
      </c>
      <c r="S157" s="16" t="str">
        <f>'Clean Data'!S156</f>
        <v>continuous</v>
      </c>
      <c r="T157" s="16" t="str">
        <f>'Clean Data'!T156</f>
        <v>atmospheric</v>
      </c>
      <c r="U157" s="16">
        <f>'Clean Data'!U156</f>
        <v>30</v>
      </c>
      <c r="V157" s="16" t="str">
        <f>'Clean Data'!V156</f>
        <v>NaN</v>
      </c>
      <c r="W157" s="16">
        <f>'Clean Data'!W156</f>
        <v>0.22</v>
      </c>
      <c r="X157" s="16" t="str">
        <f>'Clean Data'!X156</f>
        <v>oxygen</v>
      </c>
      <c r="Y157" s="16" t="str">
        <f>'Clean Data'!Y156</f>
        <v>fluidised bed</v>
      </c>
      <c r="Z157" s="16" t="str">
        <f>'Clean Data'!Z156</f>
        <v>alumina</v>
      </c>
      <c r="AA157" s="16">
        <f>'Clean Data'!AA156</f>
        <v>0</v>
      </c>
      <c r="AB157" s="16" t="str">
        <f>'Clean Data'!AB156</f>
        <v>lab</v>
      </c>
      <c r="AC157" s="16">
        <f>'Clean Data'!AC156</f>
        <v>0</v>
      </c>
      <c r="AD157" s="16">
        <f>'Clean Data'!AD156</f>
        <v>19.87</v>
      </c>
      <c r="AE157" s="16">
        <f>'Clean Data'!AE156</f>
        <v>36.630000000000003</v>
      </c>
      <c r="AF157" s="16">
        <f>'Clean Data'!AF156</f>
        <v>29.73</v>
      </c>
      <c r="AG157" s="16">
        <f>'Clean Data'!AG156</f>
        <v>9.81</v>
      </c>
      <c r="AH157" s="16">
        <f>'Clean Data'!AH156</f>
        <v>3.29</v>
      </c>
      <c r="AI157" s="16">
        <f>'Clean Data'!AI156</f>
        <v>12.25</v>
      </c>
      <c r="AJ157" s="16">
        <f>'Clean Data'!AJ156</f>
        <v>33.762376237623762</v>
      </c>
      <c r="AK157" s="16">
        <f>'Clean Data'!AK156</f>
        <v>1.01</v>
      </c>
      <c r="AL157" s="16" t="str">
        <f>'Clean Data'!AL156</f>
        <v>NaN</v>
      </c>
      <c r="AM157" s="16">
        <f>'Clean Data'!AM156</f>
        <v>64.106217616580309</v>
      </c>
      <c r="AN157" s="16">
        <f>'Clean Data'!AN156</f>
        <v>91</v>
      </c>
      <c r="AO157" s="16" t="str">
        <f>'Clean Data'!AO156</f>
        <v>Baratieri, Waste Biomass Valor 2010, 1, 283-291</v>
      </c>
      <c r="AP157" s="16"/>
      <c r="AQ157" s="16"/>
      <c r="AR157" s="16"/>
      <c r="AS157" s="16"/>
      <c r="AT157" s="16"/>
    </row>
    <row r="158" spans="1:46" x14ac:dyDescent="0.3">
      <c r="A158" s="16">
        <f>'Clean Data'!A157</f>
        <v>156</v>
      </c>
      <c r="B158" s="16" t="str">
        <f>'Clean Data'!B157</f>
        <v>woody biomass</v>
      </c>
      <c r="C158" s="16" t="str">
        <f>'Clean Data'!C157</f>
        <v>other</v>
      </c>
      <c r="D158" s="16">
        <f>'Clean Data'!D157</f>
        <v>1.25</v>
      </c>
      <c r="E158" s="16">
        <f>'Clean Data'!E157</f>
        <v>19.3</v>
      </c>
      <c r="F158" s="16">
        <f>'Clean Data'!F157</f>
        <v>49.196787148594382</v>
      </c>
      <c r="G158" s="16">
        <f>'Clean Data'!G157</f>
        <v>6.1244979919678713</v>
      </c>
      <c r="H158" s="16">
        <f>'Clean Data'!H157</f>
        <v>0.10040160642570282</v>
      </c>
      <c r="I158" s="16">
        <f>'Clean Data'!I157</f>
        <v>1.0040160642570281E-2</v>
      </c>
      <c r="J158" s="16">
        <f>'Clean Data'!J157</f>
        <v>44.578313253012048</v>
      </c>
      <c r="K158" s="16">
        <f>'Clean Data'!K157</f>
        <v>0.4</v>
      </c>
      <c r="L158" s="16">
        <f>'Clean Data'!L157</f>
        <v>7</v>
      </c>
      <c r="M158" s="16" t="str">
        <f>'Clean Data'!M157</f>
        <v>NaN</v>
      </c>
      <c r="N158" s="16" t="str">
        <f>'Clean Data'!N157</f>
        <v>NaN</v>
      </c>
      <c r="O158" s="16" t="str">
        <f>'Clean Data'!O157</f>
        <v>NaN</v>
      </c>
      <c r="P158" s="16" t="str">
        <f>'Clean Data'!P157</f>
        <v>NaN</v>
      </c>
      <c r="Q158" s="16" t="str">
        <f>'Clean Data'!Q157</f>
        <v>NaN</v>
      </c>
      <c r="R158" s="16">
        <f>'Clean Data'!R157</f>
        <v>800</v>
      </c>
      <c r="S158" s="16" t="str">
        <f>'Clean Data'!S157</f>
        <v>continuous</v>
      </c>
      <c r="T158" s="16" t="str">
        <f>'Clean Data'!T157</f>
        <v>atmospheric</v>
      </c>
      <c r="U158" s="16">
        <f>'Clean Data'!U157</f>
        <v>61</v>
      </c>
      <c r="V158" s="16" t="str">
        <f>'Clean Data'!V157</f>
        <v>NaN</v>
      </c>
      <c r="W158" s="16">
        <f>'Clean Data'!W157</f>
        <v>0.22</v>
      </c>
      <c r="X158" s="16" t="str">
        <f>'Clean Data'!X157</f>
        <v>oxygen</v>
      </c>
      <c r="Y158" s="16" t="str">
        <f>'Clean Data'!Y157</f>
        <v>fluidised bed</v>
      </c>
      <c r="Z158" s="16" t="str">
        <f>'Clean Data'!Z157</f>
        <v>alumina</v>
      </c>
      <c r="AA158" s="16">
        <f>'Clean Data'!AA157</f>
        <v>1</v>
      </c>
      <c r="AB158" s="16" t="str">
        <f>'Clean Data'!AB157</f>
        <v>lab</v>
      </c>
      <c r="AC158" s="16">
        <f>'Clean Data'!AC157</f>
        <v>0</v>
      </c>
      <c r="AD158" s="16">
        <f>'Clean Data'!AD157</f>
        <v>22.49</v>
      </c>
      <c r="AE158" s="16">
        <f>'Clean Data'!AE157</f>
        <v>34.94</v>
      </c>
      <c r="AF158" s="16">
        <f>'Clean Data'!AF157</f>
        <v>29.62</v>
      </c>
      <c r="AG158" s="16">
        <f>'Clean Data'!AG157</f>
        <v>9.7200000000000006</v>
      </c>
      <c r="AH158" s="16">
        <f>'Clean Data'!AH157</f>
        <v>2.56</v>
      </c>
      <c r="AI158" s="16">
        <f>'Clean Data'!AI157</f>
        <v>11.84</v>
      </c>
      <c r="AJ158" s="16">
        <f>'Clean Data'!AJ157</f>
        <v>24.292452830188676</v>
      </c>
      <c r="AK158" s="16">
        <f>'Clean Data'!AK157</f>
        <v>1.06</v>
      </c>
      <c r="AL158" s="16" t="str">
        <f>'Clean Data'!AL157</f>
        <v>NaN</v>
      </c>
      <c r="AM158" s="16">
        <f>'Clean Data'!AM157</f>
        <v>65.027979274611397</v>
      </c>
      <c r="AN158" s="16">
        <f>'Clean Data'!AN157</f>
        <v>94</v>
      </c>
      <c r="AO158" s="16" t="str">
        <f>'Clean Data'!AO157</f>
        <v>Bariateri, Waste Biomass Valor 2010, 1, 283-291</v>
      </c>
      <c r="AP158" s="16"/>
      <c r="AQ158" s="16"/>
      <c r="AR158" s="16"/>
      <c r="AS158" s="16"/>
      <c r="AT158" s="16"/>
    </row>
    <row r="159" spans="1:46" x14ac:dyDescent="0.3">
      <c r="A159" s="16">
        <f>'Clean Data'!A158</f>
        <v>157</v>
      </c>
      <c r="B159" s="16" t="str">
        <f>'Clean Data'!B158</f>
        <v>municipal solid waste</v>
      </c>
      <c r="C159" s="16" t="str">
        <f>'Clean Data'!C158</f>
        <v>particles</v>
      </c>
      <c r="D159" s="16">
        <f>'Clean Data'!D158</f>
        <v>5</v>
      </c>
      <c r="E159" s="16">
        <f>'Clean Data'!E158</f>
        <v>20.286999999999999</v>
      </c>
      <c r="F159" s="16">
        <f>'Clean Data'!F158</f>
        <v>51.81</v>
      </c>
      <c r="G159" s="16">
        <f>'Clean Data'!G158</f>
        <v>5.76</v>
      </c>
      <c r="H159" s="16">
        <f>'Clean Data'!H158</f>
        <v>0.26</v>
      </c>
      <c r="I159" s="16">
        <f>'Clean Data'!I158</f>
        <v>0.36</v>
      </c>
      <c r="J159" s="16">
        <f>'Clean Data'!J158</f>
        <v>41.81</v>
      </c>
      <c r="K159" s="16">
        <f>'Clean Data'!K158</f>
        <v>5.64</v>
      </c>
      <c r="L159" s="16">
        <f>'Clean Data'!L158</f>
        <v>0</v>
      </c>
      <c r="M159" s="16">
        <f>'Clean Data'!M158</f>
        <v>79.900000000000006</v>
      </c>
      <c r="N159" s="16">
        <f>'Clean Data'!N158</f>
        <v>14.46</v>
      </c>
      <c r="O159" s="16" t="str">
        <f>'Clean Data'!O158</f>
        <v>NaN</v>
      </c>
      <c r="P159" s="16" t="str">
        <f>'Clean Data'!P158</f>
        <v>NaN</v>
      </c>
      <c r="Q159" s="16" t="str">
        <f>'Clean Data'!Q158</f>
        <v>NaN</v>
      </c>
      <c r="R159" s="16">
        <f>'Clean Data'!R158</f>
        <v>700</v>
      </c>
      <c r="S159" s="16" t="str">
        <f>'Clean Data'!S158</f>
        <v>continuous</v>
      </c>
      <c r="T159" s="16" t="str">
        <f>'Clean Data'!T158</f>
        <v>atmospheric</v>
      </c>
      <c r="U159" s="16" t="str">
        <f>'Clean Data'!U158</f>
        <v>NaN</v>
      </c>
      <c r="V159" s="16">
        <f>'Clean Data'!V158</f>
        <v>1.1613790000000002</v>
      </c>
      <c r="W159" s="16" t="str">
        <f>'Clean Data'!W158</f>
        <v>NaN</v>
      </c>
      <c r="X159" s="16" t="str">
        <f>'Clean Data'!X158</f>
        <v>steam</v>
      </c>
      <c r="Y159" s="16" t="str">
        <f>'Clean Data'!Y158</f>
        <v>fixed bed</v>
      </c>
      <c r="Z159" s="16" t="str">
        <f>'Clean Data'!Z158</f>
        <v>NaN</v>
      </c>
      <c r="AA159" s="16">
        <f>'Clean Data'!AA158</f>
        <v>1</v>
      </c>
      <c r="AB159" s="16" t="str">
        <f>'Clean Data'!AB158</f>
        <v>lab</v>
      </c>
      <c r="AC159" s="16">
        <f>'Clean Data'!AC158</f>
        <v>0</v>
      </c>
      <c r="AD159" s="16">
        <f>'Clean Data'!AD158</f>
        <v>34.01</v>
      </c>
      <c r="AE159" s="16">
        <f>'Clean Data'!AE158</f>
        <v>11.34</v>
      </c>
      <c r="AF159" s="16">
        <f>'Clean Data'!AF158</f>
        <v>38.25</v>
      </c>
      <c r="AG159" s="16">
        <f>'Clean Data'!AG158</f>
        <v>10.3</v>
      </c>
      <c r="AH159" s="16">
        <f>'Clean Data'!AH158</f>
        <v>6.1</v>
      </c>
      <c r="AI159" s="16">
        <f>'Clean Data'!AI158</f>
        <v>12.422706499999999</v>
      </c>
      <c r="AJ159" s="16">
        <f>'Clean Data'!AJ158</f>
        <v>94.090909090909093</v>
      </c>
      <c r="AK159" s="16">
        <f>'Clean Data'!AK158</f>
        <v>0.88</v>
      </c>
      <c r="AL159" s="16">
        <f>'Clean Data'!AL158</f>
        <v>175</v>
      </c>
      <c r="AM159" s="16">
        <f>'Clean Data'!AM158</f>
        <v>53.886635382264501</v>
      </c>
      <c r="AN159" s="16">
        <f>'Clean Data'!AN158</f>
        <v>65.599999999999994</v>
      </c>
      <c r="AO159" s="16" t="str">
        <f>'Clean Data'!AO158</f>
        <v>Luo, Energy 2012, 44, 391-395</v>
      </c>
      <c r="AP159" s="16"/>
      <c r="AQ159" s="16"/>
      <c r="AR159" s="16"/>
      <c r="AS159" s="16"/>
      <c r="AT159" s="16"/>
    </row>
    <row r="160" spans="1:46" x14ac:dyDescent="0.3">
      <c r="A160" s="16">
        <f>'Clean Data'!A159</f>
        <v>158</v>
      </c>
      <c r="B160" s="16" t="str">
        <f>'Clean Data'!B159</f>
        <v>municipal solid waste</v>
      </c>
      <c r="C160" s="16" t="str">
        <f>'Clean Data'!C159</f>
        <v>particles</v>
      </c>
      <c r="D160" s="16">
        <f>'Clean Data'!D159</f>
        <v>5</v>
      </c>
      <c r="E160" s="16">
        <f>'Clean Data'!E159</f>
        <v>20.286999999999999</v>
      </c>
      <c r="F160" s="16">
        <f>'Clean Data'!F159</f>
        <v>51.81</v>
      </c>
      <c r="G160" s="16">
        <f>'Clean Data'!G159</f>
        <v>5.76</v>
      </c>
      <c r="H160" s="16">
        <f>'Clean Data'!H159</f>
        <v>0.26</v>
      </c>
      <c r="I160" s="16">
        <f>'Clean Data'!I159</f>
        <v>0.36</v>
      </c>
      <c r="J160" s="16">
        <f>'Clean Data'!J159</f>
        <v>41.81</v>
      </c>
      <c r="K160" s="16">
        <f>'Clean Data'!K159</f>
        <v>5.64</v>
      </c>
      <c r="L160" s="16">
        <f>'Clean Data'!L159</f>
        <v>0</v>
      </c>
      <c r="M160" s="16">
        <f>'Clean Data'!M159</f>
        <v>79.900000000000006</v>
      </c>
      <c r="N160" s="16">
        <f>'Clean Data'!N159</f>
        <v>14.46</v>
      </c>
      <c r="O160" s="16" t="str">
        <f>'Clean Data'!O159</f>
        <v>NaN</v>
      </c>
      <c r="P160" s="16" t="str">
        <f>'Clean Data'!P159</f>
        <v>NaN</v>
      </c>
      <c r="Q160" s="16" t="str">
        <f>'Clean Data'!Q159</f>
        <v>NaN</v>
      </c>
      <c r="R160" s="16">
        <f>'Clean Data'!R159</f>
        <v>750</v>
      </c>
      <c r="S160" s="16" t="str">
        <f>'Clean Data'!S159</f>
        <v>continuous</v>
      </c>
      <c r="T160" s="16" t="str">
        <f>'Clean Data'!T159</f>
        <v>atmospheric</v>
      </c>
      <c r="U160" s="16" t="str">
        <f>'Clean Data'!U159</f>
        <v>NaN</v>
      </c>
      <c r="V160" s="16">
        <f>'Clean Data'!V159</f>
        <v>1.1613790000000002</v>
      </c>
      <c r="W160" s="16" t="str">
        <f>'Clean Data'!W159</f>
        <v>NaN</v>
      </c>
      <c r="X160" s="16" t="str">
        <f>'Clean Data'!X159</f>
        <v>steam</v>
      </c>
      <c r="Y160" s="16" t="str">
        <f>'Clean Data'!Y159</f>
        <v>fixed bed</v>
      </c>
      <c r="Z160" s="16" t="str">
        <f>'Clean Data'!Z159</f>
        <v>NaN</v>
      </c>
      <c r="AA160" s="16">
        <f>'Clean Data'!AA159</f>
        <v>1</v>
      </c>
      <c r="AB160" s="16" t="str">
        <f>'Clean Data'!AB159</f>
        <v>lab</v>
      </c>
      <c r="AC160" s="16">
        <f>'Clean Data'!AC159</f>
        <v>0</v>
      </c>
      <c r="AD160" s="16">
        <f>'Clean Data'!AD159</f>
        <v>40.47</v>
      </c>
      <c r="AE160" s="16">
        <f>'Clean Data'!AE159</f>
        <v>13.26</v>
      </c>
      <c r="AF160" s="16">
        <f>'Clean Data'!AF159</f>
        <v>36.76</v>
      </c>
      <c r="AG160" s="16">
        <f>'Clean Data'!AG159</f>
        <v>5.89</v>
      </c>
      <c r="AH160" s="16">
        <f>'Clean Data'!AH159</f>
        <v>3.62</v>
      </c>
      <c r="AI160" s="16">
        <f>'Clean Data'!AI159</f>
        <v>10.304867999999999</v>
      </c>
      <c r="AJ160" s="16">
        <f>'Clean Data'!AJ159</f>
        <v>63.157894736842103</v>
      </c>
      <c r="AK160" s="16">
        <f>'Clean Data'!AK159</f>
        <v>0.95</v>
      </c>
      <c r="AL160" s="16">
        <f>'Clean Data'!AL159</f>
        <v>170</v>
      </c>
      <c r="AM160" s="16">
        <f>'Clean Data'!AM159</f>
        <v>48.25565435993493</v>
      </c>
      <c r="AN160" s="16">
        <f>'Clean Data'!AN159</f>
        <v>62.03</v>
      </c>
      <c r="AO160" s="16" t="str">
        <f>'Clean Data'!AO159</f>
        <v>Luo, Energy 2012, 44, 391-395</v>
      </c>
      <c r="AP160" s="16"/>
      <c r="AQ160" s="16"/>
      <c r="AR160" s="16"/>
      <c r="AS160" s="16"/>
      <c r="AT160" s="16"/>
    </row>
    <row r="161" spans="1:46" x14ac:dyDescent="0.3">
      <c r="A161" s="16">
        <f>'Clean Data'!A160</f>
        <v>159</v>
      </c>
      <c r="B161" s="16" t="str">
        <f>'Clean Data'!B160</f>
        <v>municipal solid waste</v>
      </c>
      <c r="C161" s="16" t="str">
        <f>'Clean Data'!C160</f>
        <v>particles</v>
      </c>
      <c r="D161" s="16">
        <f>'Clean Data'!D160</f>
        <v>5</v>
      </c>
      <c r="E161" s="16">
        <f>'Clean Data'!E160</f>
        <v>20.286999999999999</v>
      </c>
      <c r="F161" s="16">
        <f>'Clean Data'!F160</f>
        <v>51.81</v>
      </c>
      <c r="G161" s="16">
        <f>'Clean Data'!G160</f>
        <v>5.76</v>
      </c>
      <c r="H161" s="16">
        <f>'Clean Data'!H160</f>
        <v>0.26</v>
      </c>
      <c r="I161" s="16">
        <f>'Clean Data'!I160</f>
        <v>0.36</v>
      </c>
      <c r="J161" s="16">
        <f>'Clean Data'!J160</f>
        <v>41.81</v>
      </c>
      <c r="K161" s="16">
        <f>'Clean Data'!K160</f>
        <v>5.64</v>
      </c>
      <c r="L161" s="16">
        <f>'Clean Data'!L160</f>
        <v>0</v>
      </c>
      <c r="M161" s="16">
        <f>'Clean Data'!M160</f>
        <v>79.900000000000006</v>
      </c>
      <c r="N161" s="16">
        <f>'Clean Data'!N160</f>
        <v>14.46</v>
      </c>
      <c r="O161" s="16" t="str">
        <f>'Clean Data'!O160</f>
        <v>NaN</v>
      </c>
      <c r="P161" s="16" t="str">
        <f>'Clean Data'!P160</f>
        <v>NaN</v>
      </c>
      <c r="Q161" s="16" t="str">
        <f>'Clean Data'!Q160</f>
        <v>NaN</v>
      </c>
      <c r="R161" s="16">
        <f>'Clean Data'!R160</f>
        <v>800</v>
      </c>
      <c r="S161" s="16" t="str">
        <f>'Clean Data'!S160</f>
        <v>continuous</v>
      </c>
      <c r="T161" s="16" t="str">
        <f>'Clean Data'!T160</f>
        <v>atmospheric</v>
      </c>
      <c r="U161" s="16" t="str">
        <f>'Clean Data'!U160</f>
        <v>NaN</v>
      </c>
      <c r="V161" s="16">
        <f>'Clean Data'!V160</f>
        <v>1.1613790000000002</v>
      </c>
      <c r="W161" s="16" t="str">
        <f>'Clean Data'!W160</f>
        <v>NaN</v>
      </c>
      <c r="X161" s="16" t="str">
        <f>'Clean Data'!X160</f>
        <v>steam</v>
      </c>
      <c r="Y161" s="16" t="str">
        <f>'Clean Data'!Y160</f>
        <v>fixed bed</v>
      </c>
      <c r="Z161" s="16" t="str">
        <f>'Clean Data'!Z160</f>
        <v>NaN</v>
      </c>
      <c r="AA161" s="16">
        <f>'Clean Data'!AA160</f>
        <v>1</v>
      </c>
      <c r="AB161" s="16" t="str">
        <f>'Clean Data'!AB160</f>
        <v>lab</v>
      </c>
      <c r="AC161" s="16">
        <f>'Clean Data'!AC160</f>
        <v>0</v>
      </c>
      <c r="AD161" s="16">
        <f>'Clean Data'!AD160</f>
        <v>46.54</v>
      </c>
      <c r="AE161" s="16">
        <f>'Clean Data'!AE160</f>
        <v>14.65</v>
      </c>
      <c r="AF161" s="16">
        <f>'Clean Data'!AF160</f>
        <v>32.61</v>
      </c>
      <c r="AG161" s="16">
        <f>'Clean Data'!AG160</f>
        <v>2.87</v>
      </c>
      <c r="AH161" s="16">
        <f>'Clean Data'!AH160</f>
        <v>3.33</v>
      </c>
      <c r="AI161" s="16">
        <f>'Clean Data'!AI160</f>
        <v>9.8789028999999999</v>
      </c>
      <c r="AJ161" s="16">
        <f>'Clean Data'!AJ160</f>
        <v>31.25</v>
      </c>
      <c r="AK161" s="16">
        <f>'Clean Data'!AK160</f>
        <v>1.28</v>
      </c>
      <c r="AL161" s="16">
        <f>'Clean Data'!AL160</f>
        <v>155</v>
      </c>
      <c r="AM161" s="16">
        <f>'Clean Data'!AM160</f>
        <v>62.330535377335245</v>
      </c>
      <c r="AN161" s="16">
        <f>'Clean Data'!AN160</f>
        <v>75.16</v>
      </c>
      <c r="AO161" s="16" t="str">
        <f>'Clean Data'!AO160</f>
        <v>Luo, Energy 2012, 44, 391-395</v>
      </c>
      <c r="AP161" s="16"/>
      <c r="AQ161" s="16"/>
      <c r="AR161" s="16"/>
      <c r="AS161" s="16"/>
      <c r="AT161" s="16"/>
    </row>
    <row r="162" spans="1:46" x14ac:dyDescent="0.3">
      <c r="A162" s="16">
        <f>'Clean Data'!A161</f>
        <v>160</v>
      </c>
      <c r="B162" s="16" t="str">
        <f>'Clean Data'!B161</f>
        <v>municipal solid waste</v>
      </c>
      <c r="C162" s="16" t="str">
        <f>'Clean Data'!C161</f>
        <v>particles</v>
      </c>
      <c r="D162" s="16">
        <f>'Clean Data'!D161</f>
        <v>5</v>
      </c>
      <c r="E162" s="16">
        <f>'Clean Data'!E161</f>
        <v>20.286999999999999</v>
      </c>
      <c r="F162" s="16">
        <f>'Clean Data'!F161</f>
        <v>51.81</v>
      </c>
      <c r="G162" s="16">
        <f>'Clean Data'!G161</f>
        <v>5.76</v>
      </c>
      <c r="H162" s="16">
        <f>'Clean Data'!H161</f>
        <v>0.26</v>
      </c>
      <c r="I162" s="16">
        <f>'Clean Data'!I161</f>
        <v>0.36</v>
      </c>
      <c r="J162" s="16">
        <f>'Clean Data'!J161</f>
        <v>41.81</v>
      </c>
      <c r="K162" s="16">
        <f>'Clean Data'!K161</f>
        <v>5.64</v>
      </c>
      <c r="L162" s="16">
        <f>'Clean Data'!L161</f>
        <v>0</v>
      </c>
      <c r="M162" s="16">
        <f>'Clean Data'!M161</f>
        <v>79.900000000000006</v>
      </c>
      <c r="N162" s="16">
        <f>'Clean Data'!N161</f>
        <v>14.46</v>
      </c>
      <c r="O162" s="16" t="str">
        <f>'Clean Data'!O161</f>
        <v>NaN</v>
      </c>
      <c r="P162" s="16" t="str">
        <f>'Clean Data'!P161</f>
        <v>NaN</v>
      </c>
      <c r="Q162" s="16" t="str">
        <f>'Clean Data'!Q161</f>
        <v>NaN</v>
      </c>
      <c r="R162" s="16">
        <f>'Clean Data'!R161</f>
        <v>850</v>
      </c>
      <c r="S162" s="16" t="str">
        <f>'Clean Data'!S161</f>
        <v>continuous</v>
      </c>
      <c r="T162" s="16" t="str">
        <f>'Clean Data'!T161</f>
        <v>atmospheric</v>
      </c>
      <c r="U162" s="16" t="str">
        <f>'Clean Data'!U161</f>
        <v>NaN</v>
      </c>
      <c r="V162" s="16">
        <f>'Clean Data'!V161</f>
        <v>1.1613790000000002</v>
      </c>
      <c r="W162" s="16" t="str">
        <f>'Clean Data'!W161</f>
        <v>NaN</v>
      </c>
      <c r="X162" s="16" t="str">
        <f>'Clean Data'!X161</f>
        <v>steam</v>
      </c>
      <c r="Y162" s="16" t="str">
        <f>'Clean Data'!Y161</f>
        <v>fixed bed</v>
      </c>
      <c r="Z162" s="16" t="str">
        <f>'Clean Data'!Z161</f>
        <v>NaN</v>
      </c>
      <c r="AA162" s="16">
        <f>'Clean Data'!AA161</f>
        <v>1</v>
      </c>
      <c r="AB162" s="16" t="str">
        <f>'Clean Data'!AB161</f>
        <v>lab</v>
      </c>
      <c r="AC162" s="16">
        <f>'Clean Data'!AC161</f>
        <v>0</v>
      </c>
      <c r="AD162" s="16">
        <f>'Clean Data'!AD161</f>
        <v>51.16</v>
      </c>
      <c r="AE162" s="16">
        <f>'Clean Data'!AE161</f>
        <v>15.66</v>
      </c>
      <c r="AF162" s="16">
        <f>'Clean Data'!AF161</f>
        <v>28.23</v>
      </c>
      <c r="AG162" s="16">
        <f>'Clean Data'!AG161</f>
        <v>2.14</v>
      </c>
      <c r="AH162" s="16">
        <f>'Clean Data'!AH161</f>
        <v>2.81</v>
      </c>
      <c r="AI162" s="16">
        <f>'Clean Data'!AI161</f>
        <v>9.9335484999999988</v>
      </c>
      <c r="AJ162" s="16">
        <f>'Clean Data'!AJ161</f>
        <v>3.1818181818181821</v>
      </c>
      <c r="AK162" s="16">
        <f>'Clean Data'!AK161</f>
        <v>1.32</v>
      </c>
      <c r="AL162" s="16">
        <f>'Clean Data'!AL161</f>
        <v>100</v>
      </c>
      <c r="AM162" s="16">
        <f>'Clean Data'!AM161</f>
        <v>64.633923300635871</v>
      </c>
      <c r="AN162" s="16">
        <f>'Clean Data'!AN161</f>
        <v>70.5</v>
      </c>
      <c r="AO162" s="16" t="str">
        <f>'Clean Data'!AO161</f>
        <v>Luo, Energy 2012, 44, 391-395</v>
      </c>
      <c r="AP162" s="16"/>
      <c r="AQ162" s="16"/>
      <c r="AR162" s="16"/>
      <c r="AS162" s="16"/>
      <c r="AT162" s="16"/>
    </row>
    <row r="163" spans="1:46" x14ac:dyDescent="0.3">
      <c r="A163" s="16">
        <f>'Clean Data'!A162</f>
        <v>161</v>
      </c>
      <c r="B163" s="16" t="str">
        <f>'Clean Data'!B162</f>
        <v>municipal solid waste</v>
      </c>
      <c r="C163" s="16" t="str">
        <f>'Clean Data'!C162</f>
        <v>particles</v>
      </c>
      <c r="D163" s="16">
        <f>'Clean Data'!D162</f>
        <v>5</v>
      </c>
      <c r="E163" s="16">
        <f>'Clean Data'!E162</f>
        <v>20.286999999999999</v>
      </c>
      <c r="F163" s="16">
        <f>'Clean Data'!F162</f>
        <v>51.81</v>
      </c>
      <c r="G163" s="16">
        <f>'Clean Data'!G162</f>
        <v>5.76</v>
      </c>
      <c r="H163" s="16">
        <f>'Clean Data'!H162</f>
        <v>0.26</v>
      </c>
      <c r="I163" s="16">
        <f>'Clean Data'!I162</f>
        <v>0.36</v>
      </c>
      <c r="J163" s="16">
        <f>'Clean Data'!J162</f>
        <v>41.81</v>
      </c>
      <c r="K163" s="16">
        <f>'Clean Data'!K162</f>
        <v>5.64</v>
      </c>
      <c r="L163" s="16">
        <f>'Clean Data'!L162</f>
        <v>0</v>
      </c>
      <c r="M163" s="16">
        <f>'Clean Data'!M162</f>
        <v>79.900000000000006</v>
      </c>
      <c r="N163" s="16">
        <f>'Clean Data'!N162</f>
        <v>14.46</v>
      </c>
      <c r="O163" s="16" t="str">
        <f>'Clean Data'!O162</f>
        <v>NaN</v>
      </c>
      <c r="P163" s="16" t="str">
        <f>'Clean Data'!P162</f>
        <v>NaN</v>
      </c>
      <c r="Q163" s="16" t="str">
        <f>'Clean Data'!Q162</f>
        <v>NaN</v>
      </c>
      <c r="R163" s="16">
        <f>'Clean Data'!R162</f>
        <v>900</v>
      </c>
      <c r="S163" s="16" t="str">
        <f>'Clean Data'!S162</f>
        <v>continuous</v>
      </c>
      <c r="T163" s="16" t="str">
        <f>'Clean Data'!T162</f>
        <v>atmospheric</v>
      </c>
      <c r="U163" s="16" t="str">
        <f>'Clean Data'!U162</f>
        <v>NaN</v>
      </c>
      <c r="V163" s="16">
        <f>'Clean Data'!V162</f>
        <v>1.1613790000000002</v>
      </c>
      <c r="W163" s="16" t="str">
        <f>'Clean Data'!W162</f>
        <v>NaN</v>
      </c>
      <c r="X163" s="16" t="str">
        <f>'Clean Data'!X162</f>
        <v>steam</v>
      </c>
      <c r="Y163" s="16" t="str">
        <f>'Clean Data'!Y162</f>
        <v>fixed bed</v>
      </c>
      <c r="Z163" s="16" t="str">
        <f>'Clean Data'!Z162</f>
        <v>NaN</v>
      </c>
      <c r="AA163" s="16">
        <f>'Clean Data'!AA162</f>
        <v>1</v>
      </c>
      <c r="AB163" s="16" t="str">
        <f>'Clean Data'!AB162</f>
        <v>lab</v>
      </c>
      <c r="AC163" s="16">
        <f>'Clean Data'!AC162</f>
        <v>0</v>
      </c>
      <c r="AD163" s="16">
        <f>'Clean Data'!AD162</f>
        <v>54.22</v>
      </c>
      <c r="AE163" s="16">
        <f>'Clean Data'!AE162</f>
        <v>22.72</v>
      </c>
      <c r="AF163" s="16">
        <f>'Clean Data'!AF162</f>
        <v>20.61</v>
      </c>
      <c r="AG163" s="16">
        <f>'Clean Data'!AG162</f>
        <v>1.33</v>
      </c>
      <c r="AH163" s="16">
        <f>'Clean Data'!AH162</f>
        <v>1.1200000000000001</v>
      </c>
      <c r="AI163" s="16">
        <f>'Clean Data'!AI162</f>
        <v>9.8599224999999997</v>
      </c>
      <c r="AJ163" s="16">
        <f>'Clean Data'!AJ162</f>
        <v>0</v>
      </c>
      <c r="AK163" s="16">
        <f>'Clean Data'!AK162</f>
        <v>1.75</v>
      </c>
      <c r="AL163" s="16">
        <f>'Clean Data'!AL162</f>
        <v>90</v>
      </c>
      <c r="AM163" s="16">
        <f>'Clean Data'!AM162</f>
        <v>85.053799847192792</v>
      </c>
      <c r="AN163" s="16">
        <f>'Clean Data'!AN162</f>
        <v>84.87</v>
      </c>
      <c r="AO163" s="16" t="str">
        <f>'Clean Data'!AO162</f>
        <v>Luo, Energy 2012, 44, 391-395</v>
      </c>
      <c r="AP163" s="16"/>
      <c r="AQ163" s="16"/>
      <c r="AR163" s="16"/>
      <c r="AS163" s="16"/>
      <c r="AT163" s="16"/>
    </row>
    <row r="164" spans="1:46" x14ac:dyDescent="0.3">
      <c r="A164" s="16">
        <f>'Clean Data'!A163</f>
        <v>162</v>
      </c>
      <c r="B164" s="16" t="str">
        <f>'Clean Data'!B163</f>
        <v>municipal solid waste</v>
      </c>
      <c r="C164" s="16" t="str">
        <f>'Clean Data'!C163</f>
        <v>particles</v>
      </c>
      <c r="D164" s="16">
        <f>'Clean Data'!D163</f>
        <v>5</v>
      </c>
      <c r="E164" s="16">
        <f>'Clean Data'!E163</f>
        <v>20.286999999999999</v>
      </c>
      <c r="F164" s="16">
        <f>'Clean Data'!F163</f>
        <v>51.81</v>
      </c>
      <c r="G164" s="16">
        <f>'Clean Data'!G163</f>
        <v>5.76</v>
      </c>
      <c r="H164" s="16">
        <f>'Clean Data'!H163</f>
        <v>0.26</v>
      </c>
      <c r="I164" s="16">
        <f>'Clean Data'!I163</f>
        <v>0.36</v>
      </c>
      <c r="J164" s="16">
        <f>'Clean Data'!J163</f>
        <v>41.81</v>
      </c>
      <c r="K164" s="16">
        <f>'Clean Data'!K163</f>
        <v>5.64</v>
      </c>
      <c r="L164" s="16">
        <f>'Clean Data'!L163</f>
        <v>0</v>
      </c>
      <c r="M164" s="16">
        <f>'Clean Data'!M163</f>
        <v>79.900000000000006</v>
      </c>
      <c r="N164" s="16">
        <f>'Clean Data'!N163</f>
        <v>14.46</v>
      </c>
      <c r="O164" s="16" t="str">
        <f>'Clean Data'!O163</f>
        <v>NaN</v>
      </c>
      <c r="P164" s="16" t="str">
        <f>'Clean Data'!P163</f>
        <v>NaN</v>
      </c>
      <c r="Q164" s="16" t="str">
        <f>'Clean Data'!Q163</f>
        <v>NaN</v>
      </c>
      <c r="R164" s="16">
        <f>'Clean Data'!R163</f>
        <v>900</v>
      </c>
      <c r="S164" s="16" t="str">
        <f>'Clean Data'!S163</f>
        <v>continuous</v>
      </c>
      <c r="T164" s="16" t="str">
        <f>'Clean Data'!T163</f>
        <v>atmospheric</v>
      </c>
      <c r="U164" s="16" t="str">
        <f>'Clean Data'!U163</f>
        <v>NaN</v>
      </c>
      <c r="V164" s="16">
        <f>'Clean Data'!V163</f>
        <v>0.25058800000000003</v>
      </c>
      <c r="W164" s="16" t="str">
        <f>'Clean Data'!W163</f>
        <v>NaN</v>
      </c>
      <c r="X164" s="16" t="str">
        <f>'Clean Data'!X163</f>
        <v>steam</v>
      </c>
      <c r="Y164" s="16" t="str">
        <f>'Clean Data'!Y163</f>
        <v>fixed bed</v>
      </c>
      <c r="Z164" s="16" t="str">
        <f>'Clean Data'!Z163</f>
        <v>NaN</v>
      </c>
      <c r="AA164" s="16">
        <f>'Clean Data'!AA163</f>
        <v>1</v>
      </c>
      <c r="AB164" s="16" t="str">
        <f>'Clean Data'!AB163</f>
        <v>lab</v>
      </c>
      <c r="AC164" s="16">
        <f>'Clean Data'!AC163</f>
        <v>0</v>
      </c>
      <c r="AD164" s="16">
        <f>'Clean Data'!AD163</f>
        <v>38.619999999999997</v>
      </c>
      <c r="AE164" s="16">
        <f>'Clean Data'!AE163</f>
        <v>47.57</v>
      </c>
      <c r="AF164" s="16">
        <f>'Clean Data'!AF163</f>
        <v>12.11</v>
      </c>
      <c r="AG164" s="16">
        <f>'Clean Data'!AG163</f>
        <v>0.61</v>
      </c>
      <c r="AH164" s="16">
        <f>'Clean Data'!AH163</f>
        <v>1.0899999999999999</v>
      </c>
      <c r="AI164" s="16">
        <f>'Clean Data'!AI163</f>
        <v>11.040880299999996</v>
      </c>
      <c r="AJ164" s="16">
        <f>'Clean Data'!AJ163</f>
        <v>14.87179487179487</v>
      </c>
      <c r="AK164" s="16">
        <f>'Clean Data'!AK163</f>
        <v>0.78</v>
      </c>
      <c r="AL164" s="16">
        <f>'Clean Data'!AL163</f>
        <v>145.39999999999998</v>
      </c>
      <c r="AM164" s="16">
        <f>'Clean Data'!AM163</f>
        <v>42.450271770099071</v>
      </c>
      <c r="AN164" s="16">
        <f>'Clean Data'!AN163</f>
        <v>50.38</v>
      </c>
      <c r="AO164" s="16" t="str">
        <f>'Clean Data'!AO163</f>
        <v>Luo, Energy 2012, 44, 391-395</v>
      </c>
      <c r="AP164" s="16"/>
      <c r="AQ164" s="16"/>
      <c r="AR164" s="16"/>
      <c r="AS164" s="16"/>
      <c r="AT164" s="16"/>
    </row>
    <row r="165" spans="1:46" x14ac:dyDescent="0.3">
      <c r="A165" s="16">
        <f>'Clean Data'!A164</f>
        <v>163</v>
      </c>
      <c r="B165" s="16" t="str">
        <f>'Clean Data'!B164</f>
        <v>municipal solid waste</v>
      </c>
      <c r="C165" s="16" t="str">
        <f>'Clean Data'!C164</f>
        <v>particles</v>
      </c>
      <c r="D165" s="16">
        <f>'Clean Data'!D164</f>
        <v>5</v>
      </c>
      <c r="E165" s="16">
        <f>'Clean Data'!E164</f>
        <v>20.286999999999999</v>
      </c>
      <c r="F165" s="16">
        <f>'Clean Data'!F164</f>
        <v>51.81</v>
      </c>
      <c r="G165" s="16">
        <f>'Clean Data'!G164</f>
        <v>5.76</v>
      </c>
      <c r="H165" s="16">
        <f>'Clean Data'!H164</f>
        <v>0.26</v>
      </c>
      <c r="I165" s="16">
        <f>'Clean Data'!I164</f>
        <v>0.36</v>
      </c>
      <c r="J165" s="16">
        <f>'Clean Data'!J164</f>
        <v>41.81</v>
      </c>
      <c r="K165" s="16">
        <f>'Clean Data'!K164</f>
        <v>5.64</v>
      </c>
      <c r="L165" s="16">
        <f>'Clean Data'!L164</f>
        <v>0</v>
      </c>
      <c r="M165" s="16">
        <f>'Clean Data'!M164</f>
        <v>79.900000000000006</v>
      </c>
      <c r="N165" s="16">
        <f>'Clean Data'!N164</f>
        <v>14.46</v>
      </c>
      <c r="O165" s="16" t="str">
        <f>'Clean Data'!O164</f>
        <v>NaN</v>
      </c>
      <c r="P165" s="16" t="str">
        <f>'Clean Data'!P164</f>
        <v>NaN</v>
      </c>
      <c r="Q165" s="16" t="str">
        <f>'Clean Data'!Q164</f>
        <v>NaN</v>
      </c>
      <c r="R165" s="16">
        <f>'Clean Data'!R164</f>
        <v>900</v>
      </c>
      <c r="S165" s="16" t="str">
        <f>'Clean Data'!S164</f>
        <v>continuous</v>
      </c>
      <c r="T165" s="16" t="str">
        <f>'Clean Data'!T164</f>
        <v>atmospheric</v>
      </c>
      <c r="U165" s="16" t="str">
        <f>'Clean Data'!U164</f>
        <v>NaN</v>
      </c>
      <c r="V165" s="16">
        <f>'Clean Data'!V164</f>
        <v>0.40479599999999999</v>
      </c>
      <c r="W165" s="16" t="str">
        <f>'Clean Data'!W164</f>
        <v>NaN</v>
      </c>
      <c r="X165" s="16" t="str">
        <f>'Clean Data'!X164</f>
        <v>steam</v>
      </c>
      <c r="Y165" s="16" t="str">
        <f>'Clean Data'!Y164</f>
        <v>fixed bed</v>
      </c>
      <c r="Z165" s="16" t="str">
        <f>'Clean Data'!Z164</f>
        <v>NaN</v>
      </c>
      <c r="AA165" s="16">
        <f>'Clean Data'!AA164</f>
        <v>1</v>
      </c>
      <c r="AB165" s="16" t="str">
        <f>'Clean Data'!AB164</f>
        <v>lab</v>
      </c>
      <c r="AC165" s="16">
        <f>'Clean Data'!AC164</f>
        <v>0</v>
      </c>
      <c r="AD165" s="16">
        <f>'Clean Data'!AD164</f>
        <v>40.92</v>
      </c>
      <c r="AE165" s="16">
        <f>'Clean Data'!AE164</f>
        <v>42.33</v>
      </c>
      <c r="AF165" s="16">
        <f>'Clean Data'!AF164</f>
        <v>13.28</v>
      </c>
      <c r="AG165" s="16">
        <f>'Clean Data'!AG164</f>
        <v>2.44</v>
      </c>
      <c r="AH165" s="16">
        <f>'Clean Data'!AH164</f>
        <v>1.03</v>
      </c>
      <c r="AI165" s="16">
        <f>'Clean Data'!AI164</f>
        <v>11.247904799999999</v>
      </c>
      <c r="AJ165" s="16">
        <f>'Clean Data'!AJ164</f>
        <v>6.7032967032967017</v>
      </c>
      <c r="AK165" s="16">
        <f>'Clean Data'!AK164</f>
        <v>0.91</v>
      </c>
      <c r="AL165" s="16">
        <f>'Clean Data'!AL164</f>
        <v>131.1</v>
      </c>
      <c r="AM165" s="16">
        <f>'Clean Data'!AM164</f>
        <v>50.453952619904371</v>
      </c>
      <c r="AN165" s="16">
        <f>'Clean Data'!AN164</f>
        <v>54.68</v>
      </c>
      <c r="AO165" s="16" t="str">
        <f>'Clean Data'!AO164</f>
        <v>Luo, Energy 2012, 44, 391-395</v>
      </c>
      <c r="AP165" s="16"/>
      <c r="AQ165" s="16"/>
      <c r="AR165" s="16"/>
      <c r="AS165" s="16"/>
      <c r="AT165" s="16"/>
    </row>
    <row r="166" spans="1:46" x14ac:dyDescent="0.3">
      <c r="A166" s="16">
        <f>'Clean Data'!A165</f>
        <v>164</v>
      </c>
      <c r="B166" s="16" t="str">
        <f>'Clean Data'!B165</f>
        <v>municipal solid waste</v>
      </c>
      <c r="C166" s="16" t="str">
        <f>'Clean Data'!C165</f>
        <v>particles</v>
      </c>
      <c r="D166" s="16">
        <f>'Clean Data'!D165</f>
        <v>5</v>
      </c>
      <c r="E166" s="16">
        <f>'Clean Data'!E165</f>
        <v>20.286999999999999</v>
      </c>
      <c r="F166" s="16">
        <f>'Clean Data'!F165</f>
        <v>51.81</v>
      </c>
      <c r="G166" s="16">
        <f>'Clean Data'!G165</f>
        <v>5.76</v>
      </c>
      <c r="H166" s="16">
        <f>'Clean Data'!H165</f>
        <v>0.26</v>
      </c>
      <c r="I166" s="16">
        <f>'Clean Data'!I165</f>
        <v>0.36</v>
      </c>
      <c r="J166" s="16">
        <f>'Clean Data'!J165</f>
        <v>41.81</v>
      </c>
      <c r="K166" s="16">
        <f>'Clean Data'!K165</f>
        <v>5.64</v>
      </c>
      <c r="L166" s="16">
        <f>'Clean Data'!L165</f>
        <v>0</v>
      </c>
      <c r="M166" s="16">
        <f>'Clean Data'!M165</f>
        <v>79.900000000000006</v>
      </c>
      <c r="N166" s="16">
        <f>'Clean Data'!N165</f>
        <v>14.46</v>
      </c>
      <c r="O166" s="16" t="str">
        <f>'Clean Data'!O165</f>
        <v>NaN</v>
      </c>
      <c r="P166" s="16" t="str">
        <f>'Clean Data'!P165</f>
        <v>NaN</v>
      </c>
      <c r="Q166" s="16" t="str">
        <f>'Clean Data'!Q165</f>
        <v>NaN</v>
      </c>
      <c r="R166" s="16">
        <f>'Clean Data'!R165</f>
        <v>900</v>
      </c>
      <c r="S166" s="16" t="str">
        <f>'Clean Data'!S165</f>
        <v>continuous</v>
      </c>
      <c r="T166" s="16" t="str">
        <f>'Clean Data'!T165</f>
        <v>atmospheric</v>
      </c>
      <c r="U166" s="16" t="str">
        <f>'Clean Data'!U165</f>
        <v>NaN</v>
      </c>
      <c r="V166" s="16">
        <f>'Clean Data'!V165</f>
        <v>0.73248800000000003</v>
      </c>
      <c r="W166" s="16" t="str">
        <f>'Clean Data'!W165</f>
        <v>NaN</v>
      </c>
      <c r="X166" s="16" t="str">
        <f>'Clean Data'!X165</f>
        <v>steam</v>
      </c>
      <c r="Y166" s="16" t="str">
        <f>'Clean Data'!Y165</f>
        <v>fixed bed</v>
      </c>
      <c r="Z166" s="16" t="str">
        <f>'Clean Data'!Z165</f>
        <v>NaN</v>
      </c>
      <c r="AA166" s="16">
        <f>'Clean Data'!AA165</f>
        <v>1</v>
      </c>
      <c r="AB166" s="16" t="str">
        <f>'Clean Data'!AB165</f>
        <v>lab</v>
      </c>
      <c r="AC166" s="16">
        <f>'Clean Data'!AC165</f>
        <v>0</v>
      </c>
      <c r="AD166" s="16">
        <f>'Clean Data'!AD165</f>
        <v>52.7</v>
      </c>
      <c r="AE166" s="16">
        <f>'Clean Data'!AE165</f>
        <v>25.91</v>
      </c>
      <c r="AF166" s="16">
        <f>'Clean Data'!AF165</f>
        <v>17.75</v>
      </c>
      <c r="AG166" s="16">
        <f>'Clean Data'!AG165</f>
        <v>2.2599999999999998</v>
      </c>
      <c r="AH166" s="16">
        <f>'Clean Data'!AH165</f>
        <v>1.3800000000000001</v>
      </c>
      <c r="AI166" s="16">
        <f>'Clean Data'!AI165</f>
        <v>10.587313699999999</v>
      </c>
      <c r="AJ166" s="16">
        <f>'Clean Data'!AJ165</f>
        <v>0</v>
      </c>
      <c r="AK166" s="16">
        <f>'Clean Data'!AK165</f>
        <v>1.1399999999999999</v>
      </c>
      <c r="AL166" s="16">
        <f>'Clean Data'!AL165</f>
        <v>96.7</v>
      </c>
      <c r="AM166" s="16">
        <f>'Clean Data'!AM165</f>
        <v>59.493949908808595</v>
      </c>
      <c r="AN166" s="16">
        <f>'Clean Data'!AN165</f>
        <v>57.38</v>
      </c>
      <c r="AO166" s="16" t="str">
        <f>'Clean Data'!AO165</f>
        <v>Luo, Energy 2012, 44, 391-395</v>
      </c>
      <c r="AP166" s="16"/>
      <c r="AQ166" s="16"/>
      <c r="AR166" s="16"/>
      <c r="AS166" s="16"/>
      <c r="AT166" s="16"/>
    </row>
    <row r="167" spans="1:46" x14ac:dyDescent="0.3">
      <c r="A167" s="16">
        <f>'Clean Data'!A166</f>
        <v>165</v>
      </c>
      <c r="B167" s="16" t="str">
        <f>'Clean Data'!B166</f>
        <v>municipal solid waste</v>
      </c>
      <c r="C167" s="16" t="str">
        <f>'Clean Data'!C166</f>
        <v>particles</v>
      </c>
      <c r="D167" s="16">
        <f>'Clean Data'!D166</f>
        <v>5</v>
      </c>
      <c r="E167" s="16">
        <f>'Clean Data'!E166</f>
        <v>20.286999999999999</v>
      </c>
      <c r="F167" s="16">
        <f>'Clean Data'!F166</f>
        <v>51.81</v>
      </c>
      <c r="G167" s="16">
        <f>'Clean Data'!G166</f>
        <v>5.76</v>
      </c>
      <c r="H167" s="16">
        <f>'Clean Data'!H166</f>
        <v>0.26</v>
      </c>
      <c r="I167" s="16">
        <f>'Clean Data'!I166</f>
        <v>0.36</v>
      </c>
      <c r="J167" s="16">
        <f>'Clean Data'!J166</f>
        <v>41.81</v>
      </c>
      <c r="K167" s="16">
        <f>'Clean Data'!K166</f>
        <v>5.64</v>
      </c>
      <c r="L167" s="16">
        <f>'Clean Data'!L166</f>
        <v>0</v>
      </c>
      <c r="M167" s="16">
        <f>'Clean Data'!M166</f>
        <v>79.900000000000006</v>
      </c>
      <c r="N167" s="16">
        <f>'Clean Data'!N166</f>
        <v>14.46</v>
      </c>
      <c r="O167" s="16" t="str">
        <f>'Clean Data'!O166</f>
        <v>NaN</v>
      </c>
      <c r="P167" s="16" t="str">
        <f>'Clean Data'!P166</f>
        <v>NaN</v>
      </c>
      <c r="Q167" s="16" t="str">
        <f>'Clean Data'!Q166</f>
        <v>NaN</v>
      </c>
      <c r="R167" s="16">
        <f>'Clean Data'!R166</f>
        <v>900</v>
      </c>
      <c r="S167" s="16" t="str">
        <f>'Clean Data'!S166</f>
        <v>continuous</v>
      </c>
      <c r="T167" s="16" t="str">
        <f>'Clean Data'!T166</f>
        <v>atmospheric</v>
      </c>
      <c r="U167" s="16" t="str">
        <f>'Clean Data'!U166</f>
        <v>NaN</v>
      </c>
      <c r="V167" s="16">
        <f>'Clean Data'!V166</f>
        <v>0.90597199999999989</v>
      </c>
      <c r="W167" s="16" t="str">
        <f>'Clean Data'!W166</f>
        <v>NaN</v>
      </c>
      <c r="X167" s="16" t="str">
        <f>'Clean Data'!X166</f>
        <v>steam</v>
      </c>
      <c r="Y167" s="16" t="str">
        <f>'Clean Data'!Y166</f>
        <v>fixed bed</v>
      </c>
      <c r="Z167" s="16" t="str">
        <f>'Clean Data'!Z166</f>
        <v>NaN</v>
      </c>
      <c r="AA167" s="16">
        <f>'Clean Data'!AA166</f>
        <v>1</v>
      </c>
      <c r="AB167" s="16" t="str">
        <f>'Clean Data'!AB166</f>
        <v>lab</v>
      </c>
      <c r="AC167" s="16">
        <f>'Clean Data'!AC166</f>
        <v>0</v>
      </c>
      <c r="AD167" s="16">
        <f>'Clean Data'!AD166</f>
        <v>53.94</v>
      </c>
      <c r="AE167" s="16">
        <f>'Clean Data'!AE166</f>
        <v>23.57</v>
      </c>
      <c r="AF167" s="16">
        <f>'Clean Data'!AF166</f>
        <v>20.8</v>
      </c>
      <c r="AG167" s="16">
        <f>'Clean Data'!AG166</f>
        <v>1.34</v>
      </c>
      <c r="AH167" s="16">
        <f>'Clean Data'!AH166</f>
        <v>0.35</v>
      </c>
      <c r="AI167" s="16">
        <f>'Clean Data'!AI166</f>
        <v>9.4828799999999998</v>
      </c>
      <c r="AJ167" s="16">
        <f>'Clean Data'!AJ166</f>
        <v>0</v>
      </c>
      <c r="AK167" s="16">
        <f>'Clean Data'!AK166</f>
        <v>1.31</v>
      </c>
      <c r="AL167" s="16">
        <f>'Clean Data'!AL166</f>
        <v>96.199999999999989</v>
      </c>
      <c r="AM167" s="16">
        <f>'Clean Data'!AM166</f>
        <v>61.234153891654756</v>
      </c>
      <c r="AN167" s="16">
        <f>'Clean Data'!AN166</f>
        <v>62.86</v>
      </c>
      <c r="AO167" s="16" t="str">
        <f>'Clean Data'!AO166</f>
        <v>Luo, Energy 2012, 44, 391-395</v>
      </c>
      <c r="AP167" s="16"/>
      <c r="AQ167" s="16"/>
      <c r="AR167" s="16"/>
      <c r="AS167" s="16"/>
      <c r="AT167" s="16"/>
    </row>
    <row r="168" spans="1:46" x14ac:dyDescent="0.3">
      <c r="A168" s="16">
        <f>'Clean Data'!A167</f>
        <v>166</v>
      </c>
      <c r="B168" s="16" t="str">
        <f>'Clean Data'!B167</f>
        <v>municipal solid waste</v>
      </c>
      <c r="C168" s="16" t="str">
        <f>'Clean Data'!C167</f>
        <v>particles</v>
      </c>
      <c r="D168" s="16">
        <f>'Clean Data'!D167</f>
        <v>5</v>
      </c>
      <c r="E168" s="16">
        <f>'Clean Data'!E167</f>
        <v>20.286999999999999</v>
      </c>
      <c r="F168" s="16">
        <f>'Clean Data'!F167</f>
        <v>51.81</v>
      </c>
      <c r="G168" s="16">
        <f>'Clean Data'!G167</f>
        <v>5.76</v>
      </c>
      <c r="H168" s="16">
        <f>'Clean Data'!H167</f>
        <v>0.26</v>
      </c>
      <c r="I168" s="16">
        <f>'Clean Data'!I167</f>
        <v>0.36</v>
      </c>
      <c r="J168" s="16">
        <f>'Clean Data'!J167</f>
        <v>41.81</v>
      </c>
      <c r="K168" s="16">
        <f>'Clean Data'!K167</f>
        <v>5.64</v>
      </c>
      <c r="L168" s="16">
        <f>'Clean Data'!L167</f>
        <v>0</v>
      </c>
      <c r="M168" s="16">
        <f>'Clean Data'!M167</f>
        <v>79.900000000000006</v>
      </c>
      <c r="N168" s="16">
        <f>'Clean Data'!N167</f>
        <v>14.46</v>
      </c>
      <c r="O168" s="16" t="str">
        <f>'Clean Data'!O167</f>
        <v>NaN</v>
      </c>
      <c r="P168" s="16" t="str">
        <f>'Clean Data'!P167</f>
        <v>NaN</v>
      </c>
      <c r="Q168" s="16" t="str">
        <f>'Clean Data'!Q167</f>
        <v>NaN</v>
      </c>
      <c r="R168" s="16">
        <f>'Clean Data'!R167</f>
        <v>900</v>
      </c>
      <c r="S168" s="16" t="str">
        <f>'Clean Data'!S167</f>
        <v>continuous</v>
      </c>
      <c r="T168" s="16" t="str">
        <f>'Clean Data'!T167</f>
        <v>atmospheric</v>
      </c>
      <c r="U168" s="16" t="str">
        <f>'Clean Data'!U167</f>
        <v>NaN</v>
      </c>
      <c r="V168" s="16">
        <f>'Clean Data'!V167</f>
        <v>1.1613790000000002</v>
      </c>
      <c r="W168" s="16" t="str">
        <f>'Clean Data'!W167</f>
        <v>NaN</v>
      </c>
      <c r="X168" s="16" t="str">
        <f>'Clean Data'!X167</f>
        <v>steam</v>
      </c>
      <c r="Y168" s="16" t="str">
        <f>'Clean Data'!Y167</f>
        <v>fixed bed</v>
      </c>
      <c r="Z168" s="16" t="str">
        <f>'Clean Data'!Z167</f>
        <v>NaN</v>
      </c>
      <c r="AA168" s="16">
        <f>'Clean Data'!AA167</f>
        <v>1</v>
      </c>
      <c r="AB168" s="16" t="str">
        <f>'Clean Data'!AB167</f>
        <v>lab</v>
      </c>
      <c r="AC168" s="16">
        <f>'Clean Data'!AC167</f>
        <v>0</v>
      </c>
      <c r="AD168" s="16">
        <f>'Clean Data'!AD167</f>
        <v>54.22</v>
      </c>
      <c r="AE168" s="16">
        <f>'Clean Data'!AE167</f>
        <v>22.72</v>
      </c>
      <c r="AF168" s="16">
        <f>'Clean Data'!AF167</f>
        <v>20.61</v>
      </c>
      <c r="AG168" s="16">
        <f>'Clean Data'!AG167</f>
        <v>1.33</v>
      </c>
      <c r="AH168" s="16">
        <f>'Clean Data'!AH167</f>
        <v>1.1200000000000001</v>
      </c>
      <c r="AI168" s="16">
        <f>'Clean Data'!AI167</f>
        <v>9.8599224999999997</v>
      </c>
      <c r="AJ168" s="16">
        <f>'Clean Data'!AJ167</f>
        <v>0</v>
      </c>
      <c r="AK168" s="16">
        <f>'Clean Data'!AK167</f>
        <v>1.75</v>
      </c>
      <c r="AL168" s="16">
        <f>'Clean Data'!AL167</f>
        <v>94.5</v>
      </c>
      <c r="AM168" s="16">
        <f>'Clean Data'!AM167</f>
        <v>85.053799847192792</v>
      </c>
      <c r="AN168" s="16">
        <f>'Clean Data'!AN167</f>
        <v>84.87</v>
      </c>
      <c r="AO168" s="16" t="str">
        <f>'Clean Data'!AO167</f>
        <v>Luo, Energy 2012, 44, 391-395</v>
      </c>
      <c r="AP168" s="16"/>
      <c r="AQ168" s="16"/>
      <c r="AR168" s="16"/>
      <c r="AS168" s="16"/>
      <c r="AT168" s="16"/>
    </row>
    <row r="169" spans="1:46" x14ac:dyDescent="0.3">
      <c r="A169" s="16">
        <f>'Clean Data'!A168</f>
        <v>167</v>
      </c>
      <c r="B169" s="16" t="str">
        <f>'Clean Data'!B168</f>
        <v>woody biomass</v>
      </c>
      <c r="C169" s="16" t="str">
        <f>'Clean Data'!C168</f>
        <v>other</v>
      </c>
      <c r="D169" s="16">
        <f>'Clean Data'!D168</f>
        <v>1.5</v>
      </c>
      <c r="E169" s="16">
        <f>'Clean Data'!E168</f>
        <v>17.19534349576</v>
      </c>
      <c r="F169" s="16">
        <f>'Clean Data'!F168</f>
        <v>49.74</v>
      </c>
      <c r="G169" s="16">
        <f>'Clean Data'!G168</f>
        <v>5.68</v>
      </c>
      <c r="H169" s="16">
        <f>'Clean Data'!H168</f>
        <v>1.02</v>
      </c>
      <c r="I169" s="16">
        <f>'Clean Data'!I168</f>
        <v>0.27</v>
      </c>
      <c r="J169" s="16">
        <f>'Clean Data'!J168</f>
        <v>43.36</v>
      </c>
      <c r="K169" s="16">
        <f>'Clean Data'!K168</f>
        <v>4.3099999999999996</v>
      </c>
      <c r="L169" s="16">
        <f>'Clean Data'!L168</f>
        <v>9.61</v>
      </c>
      <c r="M169" s="16">
        <f>'Clean Data'!M168</f>
        <v>80.92</v>
      </c>
      <c r="N169" s="16">
        <f>'Clean Data'!N168</f>
        <v>14.67</v>
      </c>
      <c r="O169" s="16" t="str">
        <f>'Clean Data'!O168</f>
        <v>NaN</v>
      </c>
      <c r="P169" s="16" t="str">
        <f>'Clean Data'!P168</f>
        <v>NaN</v>
      </c>
      <c r="Q169" s="16" t="str">
        <f>'Clean Data'!Q168</f>
        <v>NaN</v>
      </c>
      <c r="R169" s="16">
        <f>'Clean Data'!R168</f>
        <v>675</v>
      </c>
      <c r="S169" s="16" t="str">
        <f>'Clean Data'!S168</f>
        <v>continuous</v>
      </c>
      <c r="T169" s="16" t="str">
        <f>'Clean Data'!T168</f>
        <v>atmospheric</v>
      </c>
      <c r="U169" s="16" t="str">
        <f>'Clean Data'!U168</f>
        <v>NaN</v>
      </c>
      <c r="V169" s="16">
        <f>'Clean Data'!V168</f>
        <v>2</v>
      </c>
      <c r="W169" s="16" t="str">
        <f>'Clean Data'!W168</f>
        <v>NaN</v>
      </c>
      <c r="X169" s="16" t="str">
        <f>'Clean Data'!X168</f>
        <v>steam</v>
      </c>
      <c r="Y169" s="16" t="str">
        <f>'Clean Data'!Y168</f>
        <v>fluidised bed</v>
      </c>
      <c r="Z169" s="16" t="str">
        <f>'Clean Data'!Z168</f>
        <v>calcium oxide</v>
      </c>
      <c r="AA169" s="16">
        <f>'Clean Data'!AA168</f>
        <v>1</v>
      </c>
      <c r="AB169" s="16" t="str">
        <f>'Clean Data'!AB168</f>
        <v>pilot</v>
      </c>
      <c r="AC169" s="16">
        <f>'Clean Data'!AC168</f>
        <v>11.688997524871013</v>
      </c>
      <c r="AD169" s="16">
        <f>'Clean Data'!AD168</f>
        <v>55.200998547741086</v>
      </c>
      <c r="AE169" s="16">
        <f>'Clean Data'!AE168</f>
        <v>12.687753504975037</v>
      </c>
      <c r="AF169" s="16">
        <f>'Clean Data'!AF168</f>
        <v>10.171393206493558</v>
      </c>
      <c r="AG169" s="16">
        <f>'Clean Data'!AG168</f>
        <v>10.250857215919289</v>
      </c>
      <c r="AH169" s="16" t="str">
        <f>'Clean Data'!AH168</f>
        <v>NaN</v>
      </c>
      <c r="AI169" s="16">
        <f>'Clean Data'!AI168</f>
        <v>12.72</v>
      </c>
      <c r="AJ169" s="16" t="str">
        <f>'Clean Data'!AJ168</f>
        <v>NaN</v>
      </c>
      <c r="AK169" s="16">
        <f>'Clean Data'!AK168</f>
        <v>0.63</v>
      </c>
      <c r="AL169" s="16">
        <f>'Clean Data'!AL168</f>
        <v>62.98</v>
      </c>
      <c r="AM169" s="16">
        <f>'Clean Data'!AM168</f>
        <v>46.603314449496054</v>
      </c>
      <c r="AN169" s="16">
        <f>'Clean Data'!AN168</f>
        <v>23.12</v>
      </c>
      <c r="AO169" s="16" t="str">
        <f>'Clean Data'!AO168</f>
        <v>Khan, Energy Convers. Manag. 2014, 87, 1224-1230</v>
      </c>
      <c r="AP169" s="16"/>
      <c r="AQ169" s="16"/>
      <c r="AR169" s="16"/>
      <c r="AS169" s="16"/>
      <c r="AT169" s="16"/>
    </row>
    <row r="170" spans="1:46" x14ac:dyDescent="0.3">
      <c r="A170" s="16">
        <f>'Clean Data'!A169</f>
        <v>168</v>
      </c>
      <c r="B170" s="16" t="str">
        <f>'Clean Data'!B169</f>
        <v>woody biomass</v>
      </c>
      <c r="C170" s="16" t="str">
        <f>'Clean Data'!C169</f>
        <v>other</v>
      </c>
      <c r="D170" s="16">
        <f>'Clean Data'!D169</f>
        <v>1.5</v>
      </c>
      <c r="E170" s="16">
        <f>'Clean Data'!E169</f>
        <v>17.19534349576</v>
      </c>
      <c r="F170" s="16">
        <f>'Clean Data'!F169</f>
        <v>49.74</v>
      </c>
      <c r="G170" s="16">
        <f>'Clean Data'!G169</f>
        <v>5.68</v>
      </c>
      <c r="H170" s="16">
        <f>'Clean Data'!H169</f>
        <v>1.02</v>
      </c>
      <c r="I170" s="16">
        <f>'Clean Data'!I169</f>
        <v>0.27</v>
      </c>
      <c r="J170" s="16">
        <f>'Clean Data'!J169</f>
        <v>43.36</v>
      </c>
      <c r="K170" s="16">
        <f>'Clean Data'!K169</f>
        <v>4.3099999999999996</v>
      </c>
      <c r="L170" s="16">
        <f>'Clean Data'!L169</f>
        <v>9.61</v>
      </c>
      <c r="M170" s="16">
        <f>'Clean Data'!M169</f>
        <v>80.92</v>
      </c>
      <c r="N170" s="16">
        <f>'Clean Data'!N169</f>
        <v>14.67</v>
      </c>
      <c r="O170" s="16" t="str">
        <f>'Clean Data'!O169</f>
        <v>NaN</v>
      </c>
      <c r="P170" s="16" t="str">
        <f>'Clean Data'!P169</f>
        <v>NaN</v>
      </c>
      <c r="Q170" s="16" t="str">
        <f>'Clean Data'!Q169</f>
        <v>NaN</v>
      </c>
      <c r="R170" s="16">
        <f>'Clean Data'!R169</f>
        <v>675</v>
      </c>
      <c r="S170" s="16" t="str">
        <f>'Clean Data'!S169</f>
        <v>continuous</v>
      </c>
      <c r="T170" s="16" t="str">
        <f>'Clean Data'!T169</f>
        <v>atmospheric</v>
      </c>
      <c r="U170" s="16" t="str">
        <f>'Clean Data'!U169</f>
        <v>NaN</v>
      </c>
      <c r="V170" s="16">
        <f>'Clean Data'!V169</f>
        <v>2</v>
      </c>
      <c r="W170" s="16" t="str">
        <f>'Clean Data'!W169</f>
        <v>NaN</v>
      </c>
      <c r="X170" s="16" t="str">
        <f>'Clean Data'!X169</f>
        <v>steam</v>
      </c>
      <c r="Y170" s="16" t="str">
        <f>'Clean Data'!Y169</f>
        <v>fluidised bed</v>
      </c>
      <c r="Z170" s="16" t="str">
        <f>'Clean Data'!Z169</f>
        <v>calcium oxide</v>
      </c>
      <c r="AA170" s="16">
        <f>'Clean Data'!AA169</f>
        <v>1</v>
      </c>
      <c r="AB170" s="16" t="str">
        <f>'Clean Data'!AB169</f>
        <v>pilot</v>
      </c>
      <c r="AC170" s="16">
        <f>'Clean Data'!AC169</f>
        <v>12.964626114068679</v>
      </c>
      <c r="AD170" s="16">
        <f>'Clean Data'!AD169</f>
        <v>71.471892687006914</v>
      </c>
      <c r="AE170" s="16">
        <f>'Clean Data'!AE169</f>
        <v>5.6143430499475659</v>
      </c>
      <c r="AF170" s="16">
        <f>'Clean Data'!AF169</f>
        <v>0</v>
      </c>
      <c r="AG170" s="16">
        <f>'Clean Data'!AG169</f>
        <v>9.9491381489768482</v>
      </c>
      <c r="AH170" s="16" t="str">
        <f>'Clean Data'!AH169</f>
        <v>NaN</v>
      </c>
      <c r="AI170" s="16">
        <f>'Clean Data'!AI169</f>
        <v>13.78</v>
      </c>
      <c r="AJ170" s="16" t="str">
        <f>'Clean Data'!AJ169</f>
        <v>NaN</v>
      </c>
      <c r="AK170" s="16">
        <f>'Clean Data'!AK169</f>
        <v>1.19</v>
      </c>
      <c r="AL170" s="16">
        <f>'Clean Data'!AL169</f>
        <v>27.33</v>
      </c>
      <c r="AM170" s="16">
        <f>'Clean Data'!AM169</f>
        <v>95.364189753135449</v>
      </c>
      <c r="AN170" s="16">
        <f>'Clean Data'!AN169</f>
        <v>20.96</v>
      </c>
      <c r="AO170" s="16" t="str">
        <f>'Clean Data'!AO169</f>
        <v>Khan, Energy Convers. Manag. 2014, 87, 1224-1230</v>
      </c>
      <c r="AP170" s="16"/>
      <c r="AQ170" s="16"/>
      <c r="AR170" s="16"/>
      <c r="AS170" s="16"/>
      <c r="AT170" s="16"/>
    </row>
    <row r="171" spans="1:46" x14ac:dyDescent="0.3">
      <c r="A171" s="16">
        <f>'Clean Data'!A170</f>
        <v>169</v>
      </c>
      <c r="B171" s="16" t="str">
        <f>'Clean Data'!B170</f>
        <v>woody biomass</v>
      </c>
      <c r="C171" s="16" t="str">
        <f>'Clean Data'!C170</f>
        <v>other</v>
      </c>
      <c r="D171" s="16">
        <f>'Clean Data'!D170</f>
        <v>1.5</v>
      </c>
      <c r="E171" s="16">
        <f>'Clean Data'!E170</f>
        <v>17.19534349576</v>
      </c>
      <c r="F171" s="16">
        <f>'Clean Data'!F170</f>
        <v>49.74</v>
      </c>
      <c r="G171" s="16">
        <f>'Clean Data'!G170</f>
        <v>5.68</v>
      </c>
      <c r="H171" s="16">
        <f>'Clean Data'!H170</f>
        <v>1.02</v>
      </c>
      <c r="I171" s="16">
        <f>'Clean Data'!I170</f>
        <v>0.27</v>
      </c>
      <c r="J171" s="16">
        <f>'Clean Data'!J170</f>
        <v>43.36</v>
      </c>
      <c r="K171" s="16">
        <f>'Clean Data'!K170</f>
        <v>4.3099999999999996</v>
      </c>
      <c r="L171" s="16">
        <f>'Clean Data'!L170</f>
        <v>9.61</v>
      </c>
      <c r="M171" s="16">
        <f>'Clean Data'!M170</f>
        <v>80.92</v>
      </c>
      <c r="N171" s="16">
        <f>'Clean Data'!N170</f>
        <v>14.67</v>
      </c>
      <c r="O171" s="16" t="str">
        <f>'Clean Data'!O170</f>
        <v>NaN</v>
      </c>
      <c r="P171" s="16" t="str">
        <f>'Clean Data'!P170</f>
        <v>NaN</v>
      </c>
      <c r="Q171" s="16" t="str">
        <f>'Clean Data'!Q170</f>
        <v>NaN</v>
      </c>
      <c r="R171" s="16">
        <f>'Clean Data'!R170</f>
        <v>675</v>
      </c>
      <c r="S171" s="16" t="str">
        <f>'Clean Data'!S170</f>
        <v>continuous</v>
      </c>
      <c r="T171" s="16" t="str">
        <f>'Clean Data'!T170</f>
        <v>atmospheric</v>
      </c>
      <c r="U171" s="16" t="str">
        <f>'Clean Data'!U170</f>
        <v>NaN</v>
      </c>
      <c r="V171" s="16">
        <f>'Clean Data'!V170</f>
        <v>2</v>
      </c>
      <c r="W171" s="16" t="str">
        <f>'Clean Data'!W170</f>
        <v>NaN</v>
      </c>
      <c r="X171" s="16" t="str">
        <f>'Clean Data'!X170</f>
        <v>steam</v>
      </c>
      <c r="Y171" s="16" t="str">
        <f>'Clean Data'!Y170</f>
        <v>fluidised bed</v>
      </c>
      <c r="Z171" s="16" t="str">
        <f>'Clean Data'!Z170</f>
        <v>calcium oxide</v>
      </c>
      <c r="AA171" s="16">
        <f>'Clean Data'!AA170</f>
        <v>1</v>
      </c>
      <c r="AB171" s="16" t="str">
        <f>'Clean Data'!AB170</f>
        <v>pilot</v>
      </c>
      <c r="AC171" s="16">
        <f>'Clean Data'!AC170</f>
        <v>12.740692141230866</v>
      </c>
      <c r="AD171" s="16">
        <f>'Clean Data'!AD170</f>
        <v>73.846210931183563</v>
      </c>
      <c r="AE171" s="16">
        <f>'Clean Data'!AE170</f>
        <v>3.7263450800774494</v>
      </c>
      <c r="AF171" s="16">
        <f>'Clean Data'!AF170</f>
        <v>1.0035823986157066</v>
      </c>
      <c r="AG171" s="16">
        <f>'Clean Data'!AG170</f>
        <v>8.6831694488924178</v>
      </c>
      <c r="AH171" s="16" t="str">
        <f>'Clean Data'!AH170</f>
        <v>NaN</v>
      </c>
      <c r="AI171" s="16">
        <f>'Clean Data'!AI170</f>
        <v>13.34</v>
      </c>
      <c r="AJ171" s="16" t="str">
        <f>'Clean Data'!AJ170</f>
        <v>NaN</v>
      </c>
      <c r="AK171" s="16">
        <f>'Clean Data'!AK170</f>
        <v>1.3</v>
      </c>
      <c r="AL171" s="16">
        <f>'Clean Data'!AL170</f>
        <v>23.62</v>
      </c>
      <c r="AM171" s="16">
        <f>'Clean Data'!AM170</f>
        <v>100.85288499340628</v>
      </c>
      <c r="AN171" s="16">
        <f>'Clean Data'!AN170</f>
        <v>20.61</v>
      </c>
      <c r="AO171" s="16" t="str">
        <f>'Clean Data'!AO170</f>
        <v>Khan, Energy Convers. Manag. 2014, 87, 1224-1230</v>
      </c>
      <c r="AP171" s="16"/>
      <c r="AQ171" s="16"/>
      <c r="AR171" s="16"/>
      <c r="AS171" s="16"/>
      <c r="AT171" s="16"/>
    </row>
    <row r="172" spans="1:46" x14ac:dyDescent="0.3">
      <c r="A172" s="16">
        <f>'Clean Data'!A171</f>
        <v>170</v>
      </c>
      <c r="B172" s="16" t="str">
        <f>'Clean Data'!B171</f>
        <v>woody biomass</v>
      </c>
      <c r="C172" s="16" t="str">
        <f>'Clean Data'!C171</f>
        <v>other</v>
      </c>
      <c r="D172" s="16">
        <f>'Clean Data'!D171</f>
        <v>0.42749999999999999</v>
      </c>
      <c r="E172" s="16">
        <f>'Clean Data'!E171</f>
        <v>17.19534349576</v>
      </c>
      <c r="F172" s="16">
        <f>'Clean Data'!F171</f>
        <v>49.74</v>
      </c>
      <c r="G172" s="16">
        <f>'Clean Data'!G171</f>
        <v>5.68</v>
      </c>
      <c r="H172" s="16">
        <f>'Clean Data'!H171</f>
        <v>1.02</v>
      </c>
      <c r="I172" s="16">
        <f>'Clean Data'!I171</f>
        <v>0.27</v>
      </c>
      <c r="J172" s="16">
        <f>'Clean Data'!J171</f>
        <v>43.36</v>
      </c>
      <c r="K172" s="16">
        <f>'Clean Data'!K171</f>
        <v>4.3099999999999996</v>
      </c>
      <c r="L172" s="16">
        <f>'Clean Data'!L171</f>
        <v>9.61</v>
      </c>
      <c r="M172" s="16">
        <f>'Clean Data'!M171</f>
        <v>80.92</v>
      </c>
      <c r="N172" s="16">
        <f>'Clean Data'!N171</f>
        <v>14.67</v>
      </c>
      <c r="O172" s="16" t="str">
        <f>'Clean Data'!O171</f>
        <v>NaN</v>
      </c>
      <c r="P172" s="16" t="str">
        <f>'Clean Data'!P171</f>
        <v>NaN</v>
      </c>
      <c r="Q172" s="16" t="str">
        <f>'Clean Data'!Q171</f>
        <v>NaN</v>
      </c>
      <c r="R172" s="16">
        <f>'Clean Data'!R171</f>
        <v>676</v>
      </c>
      <c r="S172" s="16" t="str">
        <f>'Clean Data'!S171</f>
        <v>continuous</v>
      </c>
      <c r="T172" s="16" t="str">
        <f>'Clean Data'!T171</f>
        <v>atmospheric</v>
      </c>
      <c r="U172" s="16" t="str">
        <f>'Clean Data'!U171</f>
        <v>NaN</v>
      </c>
      <c r="V172" s="16">
        <f>'Clean Data'!V171</f>
        <v>2</v>
      </c>
      <c r="W172" s="16" t="str">
        <f>'Clean Data'!W171</f>
        <v>NaN</v>
      </c>
      <c r="X172" s="16" t="str">
        <f>'Clean Data'!X171</f>
        <v>steam</v>
      </c>
      <c r="Y172" s="16" t="str">
        <f>'Clean Data'!Y171</f>
        <v>fluidised bed</v>
      </c>
      <c r="Z172" s="16" t="str">
        <f>'Clean Data'!Z171</f>
        <v>calcium oxide</v>
      </c>
      <c r="AA172" s="16">
        <f>'Clean Data'!AA171</f>
        <v>1</v>
      </c>
      <c r="AB172" s="16" t="str">
        <f>'Clean Data'!AB171</f>
        <v>pilot</v>
      </c>
      <c r="AC172" s="16">
        <f>'Clean Data'!AC171</f>
        <v>13.284786001261679</v>
      </c>
      <c r="AD172" s="16">
        <f>'Clean Data'!AD171</f>
        <v>71.449244604378805</v>
      </c>
      <c r="AE172" s="16">
        <f>'Clean Data'!AE171</f>
        <v>10.72345493516338</v>
      </c>
      <c r="AF172" s="16">
        <f>'Clean Data'!AF171</f>
        <v>3.3895480029497831</v>
      </c>
      <c r="AG172" s="16">
        <f>'Clean Data'!AG171</f>
        <v>1.1529664562463458</v>
      </c>
      <c r="AH172" s="16" t="str">
        <f>'Clean Data'!AH171</f>
        <v>NaN</v>
      </c>
      <c r="AI172" s="16">
        <f>'Clean Data'!AI171</f>
        <v>10.92</v>
      </c>
      <c r="AJ172" s="16" t="str">
        <f>'Clean Data'!AJ171</f>
        <v>NaN</v>
      </c>
      <c r="AK172" s="16">
        <f>'Clean Data'!AK171</f>
        <v>1.2</v>
      </c>
      <c r="AL172" s="16">
        <f>'Clean Data'!AL171</f>
        <v>25.91</v>
      </c>
      <c r="AM172" s="16">
        <f>'Clean Data'!AM171</f>
        <v>76.20667771615706</v>
      </c>
      <c r="AN172" s="16">
        <f>'Clean Data'!AN171</f>
        <v>20.76</v>
      </c>
      <c r="AO172" s="16" t="str">
        <f>'Clean Data'!AO171</f>
        <v>Khan, Energy Convers. Manag. 2014, 87, 1224-1230</v>
      </c>
      <c r="AP172" s="16"/>
      <c r="AQ172" s="16"/>
      <c r="AR172" s="16"/>
      <c r="AS172" s="16"/>
      <c r="AT172" s="16"/>
    </row>
    <row r="173" spans="1:46" x14ac:dyDescent="0.3">
      <c r="A173" s="16">
        <f>'Clean Data'!A172</f>
        <v>171</v>
      </c>
      <c r="B173" s="16" t="str">
        <f>'Clean Data'!B172</f>
        <v>municipal solid waste</v>
      </c>
      <c r="C173" s="16" t="str">
        <f>'Clean Data'!C172</f>
        <v>particles</v>
      </c>
      <c r="D173" s="16">
        <f>'Clean Data'!D172</f>
        <v>5</v>
      </c>
      <c r="E173" s="16">
        <f>'Clean Data'!E172</f>
        <v>19.989999999999998</v>
      </c>
      <c r="F173" s="16">
        <f>'Clean Data'!F172</f>
        <v>53.305340223944874</v>
      </c>
      <c r="G173" s="16">
        <f>'Clean Data'!G172</f>
        <v>6.9121447028423768</v>
      </c>
      <c r="H173" s="16">
        <f>'Clean Data'!H172</f>
        <v>0.83979328165374678</v>
      </c>
      <c r="I173" s="16">
        <f>'Clean Data'!I172</f>
        <v>0.51679586563307489</v>
      </c>
      <c r="J173" s="16">
        <f>'Clean Data'!J172</f>
        <v>34.302325581395344</v>
      </c>
      <c r="K173" s="16">
        <f>'Clean Data'!K172</f>
        <v>7.12</v>
      </c>
      <c r="L173" s="16">
        <f>'Clean Data'!L172</f>
        <v>9.34</v>
      </c>
      <c r="M173" s="16">
        <f>'Clean Data'!M172</f>
        <v>77.52</v>
      </c>
      <c r="N173" s="16">
        <f>'Clean Data'!N172</f>
        <v>15.36</v>
      </c>
      <c r="O173" s="16" t="str">
        <f>'Clean Data'!O172</f>
        <v>NaN</v>
      </c>
      <c r="P173" s="16" t="str">
        <f>'Clean Data'!P172</f>
        <v>NaN</v>
      </c>
      <c r="Q173" s="16" t="str">
        <f>'Clean Data'!Q172</f>
        <v>NaN</v>
      </c>
      <c r="R173" s="16">
        <f>'Clean Data'!R172</f>
        <v>700</v>
      </c>
      <c r="S173" s="16" t="str">
        <f>'Clean Data'!S172</f>
        <v>continuous</v>
      </c>
      <c r="T173" s="16" t="str">
        <f>'Clean Data'!T172</f>
        <v>atmospheric</v>
      </c>
      <c r="U173" s="16" t="str">
        <f>'Clean Data'!U172</f>
        <v>NaN</v>
      </c>
      <c r="V173" s="16">
        <f>'Clean Data'!V172</f>
        <v>1.23</v>
      </c>
      <c r="W173" s="16" t="str">
        <f>'Clean Data'!W172</f>
        <v>NaN</v>
      </c>
      <c r="X173" s="16" t="str">
        <f>'Clean Data'!X172</f>
        <v>steam</v>
      </c>
      <c r="Y173" s="16" t="str">
        <f>'Clean Data'!Y172</f>
        <v>fixed bed</v>
      </c>
      <c r="Z173" s="16" t="str">
        <f>'Clean Data'!Z172</f>
        <v>NaN</v>
      </c>
      <c r="AA173" s="16">
        <f>'Clean Data'!AA172</f>
        <v>1</v>
      </c>
      <c r="AB173" s="16" t="str">
        <f>'Clean Data'!AB172</f>
        <v>lab</v>
      </c>
      <c r="AC173" s="16">
        <f>'Clean Data'!AC172</f>
        <v>0</v>
      </c>
      <c r="AD173" s="16">
        <f>'Clean Data'!AD172</f>
        <v>33</v>
      </c>
      <c r="AE173" s="16">
        <f>'Clean Data'!AE172</f>
        <v>30</v>
      </c>
      <c r="AF173" s="16">
        <f>'Clean Data'!AF172</f>
        <v>19</v>
      </c>
      <c r="AG173" s="16">
        <f>'Clean Data'!AG172</f>
        <v>15.5</v>
      </c>
      <c r="AH173" s="16">
        <f>'Clean Data'!AH172</f>
        <v>3</v>
      </c>
      <c r="AI173" s="16">
        <f>'Clean Data'!AI172</f>
        <v>13.15</v>
      </c>
      <c r="AJ173" s="16">
        <f>'Clean Data'!AJ172</f>
        <v>1.85</v>
      </c>
      <c r="AK173" s="16">
        <f>'Clean Data'!AK172</f>
        <v>1.03</v>
      </c>
      <c r="AL173" s="16" t="str">
        <f>'Clean Data'!AL172</f>
        <v>NaN</v>
      </c>
      <c r="AM173" s="16">
        <f>'Clean Data'!AM172</f>
        <v>67.756378189094548</v>
      </c>
      <c r="AN173" s="16">
        <f>'Clean Data'!AN172</f>
        <v>75.2</v>
      </c>
      <c r="AO173" s="16" t="str">
        <f>'Clean Data'!AO172</f>
        <v>Wang, Int. J. Hydrog 2012, 37, 6503-6510</v>
      </c>
      <c r="AP173" s="16"/>
      <c r="AQ173" s="16"/>
      <c r="AR173" s="16"/>
      <c r="AS173" s="16"/>
      <c r="AT173" s="16"/>
    </row>
    <row r="174" spans="1:46" x14ac:dyDescent="0.3">
      <c r="A174" s="16">
        <f>'Clean Data'!A173</f>
        <v>172</v>
      </c>
      <c r="B174" s="16" t="str">
        <f>'Clean Data'!B173</f>
        <v>municipal solid waste</v>
      </c>
      <c r="C174" s="16" t="str">
        <f>'Clean Data'!C173</f>
        <v>particles</v>
      </c>
      <c r="D174" s="16">
        <f>'Clean Data'!D173</f>
        <v>5</v>
      </c>
      <c r="E174" s="16">
        <f>'Clean Data'!E173</f>
        <v>19.989999999999998</v>
      </c>
      <c r="F174" s="16">
        <f>'Clean Data'!F173</f>
        <v>53.305340223944874</v>
      </c>
      <c r="G174" s="16">
        <f>'Clean Data'!G173</f>
        <v>6.9121447028423768</v>
      </c>
      <c r="H174" s="16">
        <f>'Clean Data'!H173</f>
        <v>0.83979328165374678</v>
      </c>
      <c r="I174" s="16">
        <f>'Clean Data'!I173</f>
        <v>0.51679586563307489</v>
      </c>
      <c r="J174" s="16">
        <f>'Clean Data'!J173</f>
        <v>34.302325581395344</v>
      </c>
      <c r="K174" s="16">
        <f>'Clean Data'!K173</f>
        <v>7.12</v>
      </c>
      <c r="L174" s="16">
        <f>'Clean Data'!L173</f>
        <v>9.34</v>
      </c>
      <c r="M174" s="16">
        <f>'Clean Data'!M173</f>
        <v>77.52</v>
      </c>
      <c r="N174" s="16">
        <f>'Clean Data'!N173</f>
        <v>15.36</v>
      </c>
      <c r="O174" s="16" t="str">
        <f>'Clean Data'!O173</f>
        <v>NaN</v>
      </c>
      <c r="P174" s="16" t="str">
        <f>'Clean Data'!P173</f>
        <v>NaN</v>
      </c>
      <c r="Q174" s="16" t="str">
        <f>'Clean Data'!Q173</f>
        <v>NaN</v>
      </c>
      <c r="R174" s="16">
        <f>'Clean Data'!R173</f>
        <v>750</v>
      </c>
      <c r="S174" s="16" t="str">
        <f>'Clean Data'!S173</f>
        <v>continuous</v>
      </c>
      <c r="T174" s="16" t="str">
        <f>'Clean Data'!T173</f>
        <v>atmospheric</v>
      </c>
      <c r="U174" s="16" t="str">
        <f>'Clean Data'!U173</f>
        <v>NaN</v>
      </c>
      <c r="V174" s="16">
        <f>'Clean Data'!V173</f>
        <v>1.23</v>
      </c>
      <c r="W174" s="16" t="str">
        <f>'Clean Data'!W173</f>
        <v>NaN</v>
      </c>
      <c r="X174" s="16" t="str">
        <f>'Clean Data'!X173</f>
        <v>steam</v>
      </c>
      <c r="Y174" s="16" t="str">
        <f>'Clean Data'!Y173</f>
        <v>fixed bed</v>
      </c>
      <c r="Z174" s="16" t="str">
        <f>'Clean Data'!Z173</f>
        <v>NaN</v>
      </c>
      <c r="AA174" s="16">
        <f>'Clean Data'!AA173</f>
        <v>1</v>
      </c>
      <c r="AB174" s="16" t="str">
        <f>'Clean Data'!AB173</f>
        <v>lab</v>
      </c>
      <c r="AC174" s="16">
        <f>'Clean Data'!AC173</f>
        <v>0</v>
      </c>
      <c r="AD174" s="16">
        <f>'Clean Data'!AD173</f>
        <v>47</v>
      </c>
      <c r="AE174" s="16">
        <f>'Clean Data'!AE173</f>
        <v>24</v>
      </c>
      <c r="AF174" s="16">
        <f>'Clean Data'!AF173</f>
        <v>19.5</v>
      </c>
      <c r="AG174" s="16">
        <f>'Clean Data'!AG173</f>
        <v>7.5</v>
      </c>
      <c r="AH174" s="16">
        <f>'Clean Data'!AH173</f>
        <v>3</v>
      </c>
      <c r="AI174" s="16">
        <f>'Clean Data'!AI173</f>
        <v>10.85</v>
      </c>
      <c r="AJ174" s="16">
        <f>'Clean Data'!AJ173</f>
        <v>0.78</v>
      </c>
      <c r="AK174" s="16">
        <f>'Clean Data'!AK173</f>
        <v>1.31</v>
      </c>
      <c r="AL174" s="16" t="str">
        <f>'Clean Data'!AL173</f>
        <v>NaN</v>
      </c>
      <c r="AM174" s="16">
        <f>'Clean Data'!AM173</f>
        <v>71.103051525762879</v>
      </c>
      <c r="AN174" s="16">
        <f>'Clean Data'!AN173</f>
        <v>75.8</v>
      </c>
      <c r="AO174" s="16" t="str">
        <f>'Clean Data'!AO173</f>
        <v>Wang, Int. J. Hydrog 2012, 37, 6503-6510</v>
      </c>
      <c r="AP174" s="16"/>
      <c r="AQ174" s="16"/>
      <c r="AR174" s="16"/>
      <c r="AS174" s="16"/>
      <c r="AT174" s="16"/>
    </row>
    <row r="175" spans="1:46" x14ac:dyDescent="0.3">
      <c r="A175" s="16">
        <f>'Clean Data'!A174</f>
        <v>173</v>
      </c>
      <c r="B175" s="16" t="str">
        <f>'Clean Data'!B174</f>
        <v>municipal solid waste</v>
      </c>
      <c r="C175" s="16" t="str">
        <f>'Clean Data'!C174</f>
        <v>particles</v>
      </c>
      <c r="D175" s="16">
        <f>'Clean Data'!D174</f>
        <v>5</v>
      </c>
      <c r="E175" s="16">
        <f>'Clean Data'!E174</f>
        <v>19.989999999999998</v>
      </c>
      <c r="F175" s="16">
        <f>'Clean Data'!F174</f>
        <v>53.305340223944874</v>
      </c>
      <c r="G175" s="16">
        <f>'Clean Data'!G174</f>
        <v>6.9121447028423768</v>
      </c>
      <c r="H175" s="16">
        <f>'Clean Data'!H174</f>
        <v>0.83979328165374678</v>
      </c>
      <c r="I175" s="16">
        <f>'Clean Data'!I174</f>
        <v>0.51679586563307489</v>
      </c>
      <c r="J175" s="16">
        <f>'Clean Data'!J174</f>
        <v>34.302325581395344</v>
      </c>
      <c r="K175" s="16">
        <f>'Clean Data'!K174</f>
        <v>7.12</v>
      </c>
      <c r="L175" s="16">
        <f>'Clean Data'!L174</f>
        <v>9.34</v>
      </c>
      <c r="M175" s="16">
        <f>'Clean Data'!M174</f>
        <v>77.52</v>
      </c>
      <c r="N175" s="16">
        <f>'Clean Data'!N174</f>
        <v>15.36</v>
      </c>
      <c r="O175" s="16" t="str">
        <f>'Clean Data'!O174</f>
        <v>NaN</v>
      </c>
      <c r="P175" s="16" t="str">
        <f>'Clean Data'!P174</f>
        <v>NaN</v>
      </c>
      <c r="Q175" s="16" t="str">
        <f>'Clean Data'!Q174</f>
        <v>NaN</v>
      </c>
      <c r="R175" s="16">
        <f>'Clean Data'!R174</f>
        <v>800</v>
      </c>
      <c r="S175" s="16" t="str">
        <f>'Clean Data'!S174</f>
        <v>continuous</v>
      </c>
      <c r="T175" s="16" t="str">
        <f>'Clean Data'!T174</f>
        <v>atmospheric</v>
      </c>
      <c r="U175" s="16" t="str">
        <f>'Clean Data'!U174</f>
        <v>NaN</v>
      </c>
      <c r="V175" s="16">
        <f>'Clean Data'!V174</f>
        <v>1.23</v>
      </c>
      <c r="W175" s="16" t="str">
        <f>'Clean Data'!W174</f>
        <v>NaN</v>
      </c>
      <c r="X175" s="16" t="str">
        <f>'Clean Data'!X174</f>
        <v>steam</v>
      </c>
      <c r="Y175" s="16" t="str">
        <f>'Clean Data'!Y174</f>
        <v>fixed bed</v>
      </c>
      <c r="Z175" s="16" t="str">
        <f>'Clean Data'!Z174</f>
        <v>NaN</v>
      </c>
      <c r="AA175" s="16">
        <f>'Clean Data'!AA174</f>
        <v>1</v>
      </c>
      <c r="AB175" s="16" t="str">
        <f>'Clean Data'!AB174</f>
        <v>lab</v>
      </c>
      <c r="AC175" s="16">
        <f>'Clean Data'!AC174</f>
        <v>0</v>
      </c>
      <c r="AD175" s="16">
        <f>'Clean Data'!AD174</f>
        <v>57</v>
      </c>
      <c r="AE175" s="16">
        <f>'Clean Data'!AE174</f>
        <v>15</v>
      </c>
      <c r="AF175" s="16">
        <f>'Clean Data'!AF174</f>
        <v>21.5</v>
      </c>
      <c r="AG175" s="16">
        <f>'Clean Data'!AG174</f>
        <v>4.5</v>
      </c>
      <c r="AH175" s="16">
        <f>'Clean Data'!AH174</f>
        <v>2</v>
      </c>
      <c r="AI175" s="16">
        <f>'Clean Data'!AI174</f>
        <v>9.76</v>
      </c>
      <c r="AJ175" s="16">
        <f>'Clean Data'!AJ174</f>
        <v>0.22</v>
      </c>
      <c r="AK175" s="16">
        <f>'Clean Data'!AK174</f>
        <v>1.66</v>
      </c>
      <c r="AL175" s="16" t="str">
        <f>'Clean Data'!AL174</f>
        <v>NaN</v>
      </c>
      <c r="AM175" s="16">
        <f>'Clean Data'!AM174</f>
        <v>81.048524262131068</v>
      </c>
      <c r="AN175" s="16">
        <f>'Clean Data'!AN174</f>
        <v>78.5</v>
      </c>
      <c r="AO175" s="16" t="str">
        <f>'Clean Data'!AO174</f>
        <v>Wang, Int. J. Hydrog 2012, 37, 6503-6510</v>
      </c>
      <c r="AP175" s="16"/>
      <c r="AQ175" s="16"/>
      <c r="AR175" s="16"/>
      <c r="AS175" s="16"/>
      <c r="AT175" s="16"/>
    </row>
    <row r="176" spans="1:46" x14ac:dyDescent="0.3">
      <c r="A176" s="16">
        <f>'Clean Data'!A175</f>
        <v>174</v>
      </c>
      <c r="B176" s="16" t="str">
        <f>'Clean Data'!B175</f>
        <v>municipal solid waste</v>
      </c>
      <c r="C176" s="16" t="str">
        <f>'Clean Data'!C175</f>
        <v>particles</v>
      </c>
      <c r="D176" s="16">
        <f>'Clean Data'!D175</f>
        <v>5</v>
      </c>
      <c r="E176" s="16">
        <f>'Clean Data'!E175</f>
        <v>19.989999999999998</v>
      </c>
      <c r="F176" s="16">
        <f>'Clean Data'!F175</f>
        <v>53.305340223944874</v>
      </c>
      <c r="G176" s="16">
        <f>'Clean Data'!G175</f>
        <v>6.9121447028423768</v>
      </c>
      <c r="H176" s="16">
        <f>'Clean Data'!H175</f>
        <v>0.83979328165374678</v>
      </c>
      <c r="I176" s="16">
        <f>'Clean Data'!I175</f>
        <v>0.51679586563307489</v>
      </c>
      <c r="J176" s="16">
        <f>'Clean Data'!J175</f>
        <v>34.302325581395344</v>
      </c>
      <c r="K176" s="16">
        <f>'Clean Data'!K175</f>
        <v>7.12</v>
      </c>
      <c r="L176" s="16">
        <f>'Clean Data'!L175</f>
        <v>9.34</v>
      </c>
      <c r="M176" s="16">
        <f>'Clean Data'!M175</f>
        <v>77.52</v>
      </c>
      <c r="N176" s="16">
        <f>'Clean Data'!N175</f>
        <v>15.36</v>
      </c>
      <c r="O176" s="16" t="str">
        <f>'Clean Data'!O175</f>
        <v>NaN</v>
      </c>
      <c r="P176" s="16" t="str">
        <f>'Clean Data'!P175</f>
        <v>NaN</v>
      </c>
      <c r="Q176" s="16" t="str">
        <f>'Clean Data'!Q175</f>
        <v>NaN</v>
      </c>
      <c r="R176" s="16">
        <f>'Clean Data'!R175</f>
        <v>850</v>
      </c>
      <c r="S176" s="16" t="str">
        <f>'Clean Data'!S175</f>
        <v>continuous</v>
      </c>
      <c r="T176" s="16" t="str">
        <f>'Clean Data'!T175</f>
        <v>atmospheric</v>
      </c>
      <c r="U176" s="16" t="str">
        <f>'Clean Data'!U175</f>
        <v>NaN</v>
      </c>
      <c r="V176" s="16">
        <f>'Clean Data'!V175</f>
        <v>1.23</v>
      </c>
      <c r="W176" s="16" t="str">
        <f>'Clean Data'!W175</f>
        <v>NaN</v>
      </c>
      <c r="X176" s="16" t="str">
        <f>'Clean Data'!X175</f>
        <v>steam</v>
      </c>
      <c r="Y176" s="16" t="str">
        <f>'Clean Data'!Y175</f>
        <v>fixed bed</v>
      </c>
      <c r="Z176" s="16" t="str">
        <f>'Clean Data'!Z175</f>
        <v>NaN</v>
      </c>
      <c r="AA176" s="16">
        <f>'Clean Data'!AA175</f>
        <v>1</v>
      </c>
      <c r="AB176" s="16" t="str">
        <f>'Clean Data'!AB175</f>
        <v>lab</v>
      </c>
      <c r="AC176" s="16">
        <f>'Clean Data'!AC175</f>
        <v>0</v>
      </c>
      <c r="AD176" s="16">
        <f>'Clean Data'!AD175</f>
        <v>59</v>
      </c>
      <c r="AE176" s="16">
        <f>'Clean Data'!AE175</f>
        <v>16.5</v>
      </c>
      <c r="AF176" s="16">
        <f>'Clean Data'!AF175</f>
        <v>22</v>
      </c>
      <c r="AG176" s="16">
        <f>'Clean Data'!AG175</f>
        <v>2.5</v>
      </c>
      <c r="AH176" s="16">
        <f>'Clean Data'!AH175</f>
        <v>1.5</v>
      </c>
      <c r="AI176" s="16">
        <f>'Clean Data'!AI175</f>
        <v>9.34</v>
      </c>
      <c r="AJ176" s="16">
        <f>'Clean Data'!AJ175</f>
        <v>0.18</v>
      </c>
      <c r="AK176" s="16">
        <f>'Clean Data'!AK175</f>
        <v>1.85</v>
      </c>
      <c r="AL176" s="16" t="str">
        <f>'Clean Data'!AL175</f>
        <v>NaN</v>
      </c>
      <c r="AM176" s="16">
        <f>'Clean Data'!AM175</f>
        <v>86.438219109554794</v>
      </c>
      <c r="AN176" s="16">
        <f>'Clean Data'!AN175</f>
        <v>80.86</v>
      </c>
      <c r="AO176" s="16" t="str">
        <f>'Clean Data'!AO175</f>
        <v>Wang, Int. J. Hydrog 2012, 37, 6503-6510</v>
      </c>
      <c r="AP176" s="16"/>
      <c r="AQ176" s="16"/>
      <c r="AR176" s="16"/>
      <c r="AS176" s="16"/>
      <c r="AT176" s="16"/>
    </row>
    <row r="177" spans="1:46" x14ac:dyDescent="0.3">
      <c r="A177" s="16">
        <f>'Clean Data'!A176</f>
        <v>175</v>
      </c>
      <c r="B177" s="16" t="str">
        <f>'Clean Data'!B176</f>
        <v>municipal solid waste</v>
      </c>
      <c r="C177" s="16" t="str">
        <f>'Clean Data'!C176</f>
        <v>particles</v>
      </c>
      <c r="D177" s="16">
        <f>'Clean Data'!D176</f>
        <v>5</v>
      </c>
      <c r="E177" s="16">
        <f>'Clean Data'!E176</f>
        <v>19.989999999999998</v>
      </c>
      <c r="F177" s="16">
        <f>'Clean Data'!F176</f>
        <v>53.305340223944874</v>
      </c>
      <c r="G177" s="16">
        <f>'Clean Data'!G176</f>
        <v>6.9121447028423768</v>
      </c>
      <c r="H177" s="16">
        <f>'Clean Data'!H176</f>
        <v>0.83979328165374678</v>
      </c>
      <c r="I177" s="16">
        <f>'Clean Data'!I176</f>
        <v>0.51679586563307489</v>
      </c>
      <c r="J177" s="16">
        <f>'Clean Data'!J176</f>
        <v>34.302325581395344</v>
      </c>
      <c r="K177" s="16">
        <f>'Clean Data'!K176</f>
        <v>7.12</v>
      </c>
      <c r="L177" s="16">
        <f>'Clean Data'!L176</f>
        <v>9.34</v>
      </c>
      <c r="M177" s="16">
        <f>'Clean Data'!M176</f>
        <v>77.52</v>
      </c>
      <c r="N177" s="16">
        <f>'Clean Data'!N176</f>
        <v>15.36</v>
      </c>
      <c r="O177" s="16" t="str">
        <f>'Clean Data'!O176</f>
        <v>NaN</v>
      </c>
      <c r="P177" s="16" t="str">
        <f>'Clean Data'!P176</f>
        <v>NaN</v>
      </c>
      <c r="Q177" s="16" t="str">
        <f>'Clean Data'!Q176</f>
        <v>NaN</v>
      </c>
      <c r="R177" s="16">
        <f>'Clean Data'!R176</f>
        <v>800</v>
      </c>
      <c r="S177" s="16" t="str">
        <f>'Clean Data'!S176</f>
        <v>continuous</v>
      </c>
      <c r="T177" s="16" t="str">
        <f>'Clean Data'!T176</f>
        <v>atmospheric</v>
      </c>
      <c r="U177" s="16" t="str">
        <f>'Clean Data'!U176</f>
        <v>NaN</v>
      </c>
      <c r="V177" s="16">
        <f>'Clean Data'!V176</f>
        <v>0</v>
      </c>
      <c r="W177" s="16" t="str">
        <f>'Clean Data'!W176</f>
        <v>NaN</v>
      </c>
      <c r="X177" s="16" t="str">
        <f>'Clean Data'!X176</f>
        <v>other</v>
      </c>
      <c r="Y177" s="16" t="str">
        <f>'Clean Data'!Y176</f>
        <v>fixed bed</v>
      </c>
      <c r="Z177" s="16" t="str">
        <f>'Clean Data'!Z176</f>
        <v>NaN</v>
      </c>
      <c r="AA177" s="16">
        <f>'Clean Data'!AA176</f>
        <v>1</v>
      </c>
      <c r="AB177" s="16" t="str">
        <f>'Clean Data'!AB176</f>
        <v>lab</v>
      </c>
      <c r="AC177" s="16">
        <f>'Clean Data'!AC176</f>
        <v>0</v>
      </c>
      <c r="AD177" s="16">
        <f>'Clean Data'!AD176</f>
        <v>28</v>
      </c>
      <c r="AE177" s="16">
        <f>'Clean Data'!AE176</f>
        <v>35.5</v>
      </c>
      <c r="AF177" s="16">
        <f>'Clean Data'!AF176</f>
        <v>13.5</v>
      </c>
      <c r="AG177" s="16">
        <f>'Clean Data'!AG176</f>
        <v>16</v>
      </c>
      <c r="AH177" s="16">
        <f>'Clean Data'!AH176</f>
        <v>7</v>
      </c>
      <c r="AI177" s="16">
        <f>'Clean Data'!AI176</f>
        <v>13.62</v>
      </c>
      <c r="AJ177" s="16">
        <f>'Clean Data'!AJ176</f>
        <v>40.15</v>
      </c>
      <c r="AK177" s="16">
        <f>'Clean Data'!AK176</f>
        <v>0.72</v>
      </c>
      <c r="AL177" s="16" t="str">
        <f>'Clean Data'!AL176</f>
        <v>NaN</v>
      </c>
      <c r="AM177" s="16">
        <f>'Clean Data'!AM176</f>
        <v>49.056528264132062</v>
      </c>
      <c r="AN177" s="16">
        <f>'Clean Data'!AN176</f>
        <v>59.19</v>
      </c>
      <c r="AO177" s="16" t="str">
        <f>'Clean Data'!AO176</f>
        <v>Wang, Int. J. Hydrog 2012, 37, 6503-6510</v>
      </c>
      <c r="AP177" s="16"/>
      <c r="AQ177" s="16"/>
      <c r="AR177" s="16"/>
      <c r="AS177" s="16"/>
      <c r="AT177" s="16"/>
    </row>
    <row r="178" spans="1:46" x14ac:dyDescent="0.3">
      <c r="A178" s="16">
        <f>'Clean Data'!A177</f>
        <v>176</v>
      </c>
      <c r="B178" s="16" t="str">
        <f>'Clean Data'!B177</f>
        <v>municipal solid waste</v>
      </c>
      <c r="C178" s="16" t="str">
        <f>'Clean Data'!C177</f>
        <v>particles</v>
      </c>
      <c r="D178" s="16">
        <f>'Clean Data'!D177</f>
        <v>5</v>
      </c>
      <c r="E178" s="16">
        <f>'Clean Data'!E177</f>
        <v>19.989999999999998</v>
      </c>
      <c r="F178" s="16">
        <f>'Clean Data'!F177</f>
        <v>53.305340223944874</v>
      </c>
      <c r="G178" s="16">
        <f>'Clean Data'!G177</f>
        <v>6.9121447028423768</v>
      </c>
      <c r="H178" s="16">
        <f>'Clean Data'!H177</f>
        <v>0.83979328165374678</v>
      </c>
      <c r="I178" s="16">
        <f>'Clean Data'!I177</f>
        <v>0.51679586563307489</v>
      </c>
      <c r="J178" s="16">
        <f>'Clean Data'!J177</f>
        <v>34.302325581395344</v>
      </c>
      <c r="K178" s="16">
        <f>'Clean Data'!K177</f>
        <v>7.12</v>
      </c>
      <c r="L178" s="16">
        <f>'Clean Data'!L177</f>
        <v>9.34</v>
      </c>
      <c r="M178" s="16">
        <f>'Clean Data'!M177</f>
        <v>77.52</v>
      </c>
      <c r="N178" s="16">
        <f>'Clean Data'!N177</f>
        <v>15.36</v>
      </c>
      <c r="O178" s="16" t="str">
        <f>'Clean Data'!O177</f>
        <v>NaN</v>
      </c>
      <c r="P178" s="16" t="str">
        <f>'Clean Data'!P177</f>
        <v>NaN</v>
      </c>
      <c r="Q178" s="16" t="str">
        <f>'Clean Data'!Q177</f>
        <v>NaN</v>
      </c>
      <c r="R178" s="16">
        <f>'Clean Data'!R177</f>
        <v>800</v>
      </c>
      <c r="S178" s="16" t="str">
        <f>'Clean Data'!S177</f>
        <v>continuous</v>
      </c>
      <c r="T178" s="16" t="str">
        <f>'Clean Data'!T177</f>
        <v>atmospheric</v>
      </c>
      <c r="U178" s="16" t="str">
        <f>'Clean Data'!U177</f>
        <v>NaN</v>
      </c>
      <c r="V178" s="16">
        <f>'Clean Data'!V177</f>
        <v>0.73</v>
      </c>
      <c r="W178" s="16" t="str">
        <f>'Clean Data'!W177</f>
        <v>NaN</v>
      </c>
      <c r="X178" s="16" t="str">
        <f>'Clean Data'!X177</f>
        <v>steam</v>
      </c>
      <c r="Y178" s="16" t="str">
        <f>'Clean Data'!Y177</f>
        <v>fixed bed</v>
      </c>
      <c r="Z178" s="16" t="str">
        <f>'Clean Data'!Z177</f>
        <v>NaN</v>
      </c>
      <c r="AA178" s="16">
        <f>'Clean Data'!AA177</f>
        <v>1</v>
      </c>
      <c r="AB178" s="16" t="str">
        <f>'Clean Data'!AB177</f>
        <v>lab</v>
      </c>
      <c r="AC178" s="16">
        <f>'Clean Data'!AC177</f>
        <v>0</v>
      </c>
      <c r="AD178" s="16">
        <f>'Clean Data'!AD177</f>
        <v>48.5</v>
      </c>
      <c r="AE178" s="16">
        <f>'Clean Data'!AE177</f>
        <v>22.5</v>
      </c>
      <c r="AF178" s="16">
        <f>'Clean Data'!AF177</f>
        <v>15.5</v>
      </c>
      <c r="AG178" s="16">
        <f>'Clean Data'!AG177</f>
        <v>11.5</v>
      </c>
      <c r="AH178" s="16">
        <f>'Clean Data'!AH177</f>
        <v>3</v>
      </c>
      <c r="AI178" s="16">
        <f>'Clean Data'!AI177</f>
        <v>12.11</v>
      </c>
      <c r="AJ178" s="16">
        <f>'Clean Data'!AJ177</f>
        <v>8.02</v>
      </c>
      <c r="AK178" s="16">
        <f>'Clean Data'!AK177</f>
        <v>1.26</v>
      </c>
      <c r="AL178" s="16" t="str">
        <f>'Clean Data'!AL177</f>
        <v>NaN</v>
      </c>
      <c r="AM178" s="16">
        <f>'Clean Data'!AM177</f>
        <v>76.3311655827914</v>
      </c>
      <c r="AN178" s="16">
        <f>'Clean Data'!AN177</f>
        <v>71</v>
      </c>
      <c r="AO178" s="16" t="str">
        <f>'Clean Data'!AO177</f>
        <v>Wang, Int. J. Hydrog 2012, 37, 6503-6510</v>
      </c>
      <c r="AP178" s="16"/>
      <c r="AQ178" s="16"/>
      <c r="AR178" s="16"/>
      <c r="AS178" s="16"/>
      <c r="AT178" s="16"/>
    </row>
    <row r="179" spans="1:46" x14ac:dyDescent="0.3">
      <c r="A179" s="16">
        <f>'Clean Data'!A178</f>
        <v>177</v>
      </c>
      <c r="B179" s="16" t="str">
        <f>'Clean Data'!B178</f>
        <v>municipal solid waste</v>
      </c>
      <c r="C179" s="16" t="str">
        <f>'Clean Data'!C178</f>
        <v>particles</v>
      </c>
      <c r="D179" s="16">
        <f>'Clean Data'!D178</f>
        <v>5</v>
      </c>
      <c r="E179" s="16">
        <f>'Clean Data'!E178</f>
        <v>19.989999999999998</v>
      </c>
      <c r="F179" s="16">
        <f>'Clean Data'!F178</f>
        <v>53.305340223944874</v>
      </c>
      <c r="G179" s="16">
        <f>'Clean Data'!G178</f>
        <v>6.9121447028423768</v>
      </c>
      <c r="H179" s="16">
        <f>'Clean Data'!H178</f>
        <v>0.83979328165374678</v>
      </c>
      <c r="I179" s="16">
        <f>'Clean Data'!I178</f>
        <v>0.51679586563307489</v>
      </c>
      <c r="J179" s="16">
        <f>'Clean Data'!J178</f>
        <v>34.302325581395344</v>
      </c>
      <c r="K179" s="16">
        <f>'Clean Data'!K178</f>
        <v>7.12</v>
      </c>
      <c r="L179" s="16">
        <f>'Clean Data'!L178</f>
        <v>9.34</v>
      </c>
      <c r="M179" s="16">
        <f>'Clean Data'!M178</f>
        <v>77.52</v>
      </c>
      <c r="N179" s="16">
        <f>'Clean Data'!N178</f>
        <v>15.36</v>
      </c>
      <c r="O179" s="16" t="str">
        <f>'Clean Data'!O178</f>
        <v>NaN</v>
      </c>
      <c r="P179" s="16" t="str">
        <f>'Clean Data'!P178</f>
        <v>NaN</v>
      </c>
      <c r="Q179" s="16" t="str">
        <f>'Clean Data'!Q178</f>
        <v>NaN</v>
      </c>
      <c r="R179" s="16">
        <f>'Clean Data'!R178</f>
        <v>800</v>
      </c>
      <c r="S179" s="16" t="str">
        <f>'Clean Data'!S178</f>
        <v>continuous</v>
      </c>
      <c r="T179" s="16" t="str">
        <f>'Clean Data'!T178</f>
        <v>atmospheric</v>
      </c>
      <c r="U179" s="16" t="str">
        <f>'Clean Data'!U178</f>
        <v>NaN</v>
      </c>
      <c r="V179" s="16">
        <f>'Clean Data'!V178</f>
        <v>1.23</v>
      </c>
      <c r="W179" s="16" t="str">
        <f>'Clean Data'!W178</f>
        <v>NaN</v>
      </c>
      <c r="X179" s="16" t="str">
        <f>'Clean Data'!X178</f>
        <v>steam</v>
      </c>
      <c r="Y179" s="16" t="str">
        <f>'Clean Data'!Y178</f>
        <v>fixed bed</v>
      </c>
      <c r="Z179" s="16" t="str">
        <f>'Clean Data'!Z178</f>
        <v>NaN</v>
      </c>
      <c r="AA179" s="16">
        <f>'Clean Data'!AA178</f>
        <v>1</v>
      </c>
      <c r="AB179" s="16" t="str">
        <f>'Clean Data'!AB178</f>
        <v>lab</v>
      </c>
      <c r="AC179" s="16">
        <f>'Clean Data'!AC178</f>
        <v>0</v>
      </c>
      <c r="AD179" s="16">
        <f>'Clean Data'!AD178</f>
        <v>56</v>
      </c>
      <c r="AE179" s="16">
        <f>'Clean Data'!AE178</f>
        <v>17.5</v>
      </c>
      <c r="AF179" s="16">
        <f>'Clean Data'!AF178</f>
        <v>21</v>
      </c>
      <c r="AG179" s="16">
        <f>'Clean Data'!AG178</f>
        <v>5</v>
      </c>
      <c r="AH179" s="16">
        <f>'Clean Data'!AH178</f>
        <v>1</v>
      </c>
      <c r="AI179" s="16">
        <f>'Clean Data'!AI178</f>
        <v>10.09</v>
      </c>
      <c r="AJ179" s="16">
        <f>'Clean Data'!AJ178</f>
        <v>0.23</v>
      </c>
      <c r="AK179" s="16">
        <f>'Clean Data'!AK178</f>
        <v>1.62</v>
      </c>
      <c r="AL179" s="16" t="str">
        <f>'Clean Data'!AL178</f>
        <v>NaN</v>
      </c>
      <c r="AM179" s="16">
        <f>'Clean Data'!AM178</f>
        <v>81.769884942471251</v>
      </c>
      <c r="AN179" s="16">
        <f>'Clean Data'!AN178</f>
        <v>76.790000000000006</v>
      </c>
      <c r="AO179" s="16" t="str">
        <f>'Clean Data'!AO178</f>
        <v>Wang, Int. J. Hydrog 2012, 37, 6503-6510</v>
      </c>
      <c r="AP179" s="16"/>
      <c r="AQ179" s="16"/>
      <c r="AR179" s="16"/>
      <c r="AS179" s="16"/>
      <c r="AT179" s="16"/>
    </row>
    <row r="180" spans="1:46" x14ac:dyDescent="0.3">
      <c r="A180" s="16">
        <f>'Clean Data'!A179</f>
        <v>178</v>
      </c>
      <c r="B180" s="16" t="str">
        <f>'Clean Data'!B179</f>
        <v>municipal solid waste</v>
      </c>
      <c r="C180" s="16" t="str">
        <f>'Clean Data'!C179</f>
        <v>particles</v>
      </c>
      <c r="D180" s="16">
        <f>'Clean Data'!D179</f>
        <v>5</v>
      </c>
      <c r="E180" s="16">
        <f>'Clean Data'!E179</f>
        <v>19.989999999999998</v>
      </c>
      <c r="F180" s="16">
        <f>'Clean Data'!F179</f>
        <v>53.305340223944874</v>
      </c>
      <c r="G180" s="16">
        <f>'Clean Data'!G179</f>
        <v>6.9121447028423768</v>
      </c>
      <c r="H180" s="16">
        <f>'Clean Data'!H179</f>
        <v>0.83979328165374678</v>
      </c>
      <c r="I180" s="16">
        <f>'Clean Data'!I179</f>
        <v>0.51679586563307489</v>
      </c>
      <c r="J180" s="16">
        <f>'Clean Data'!J179</f>
        <v>34.302325581395344</v>
      </c>
      <c r="K180" s="16">
        <f>'Clean Data'!K179</f>
        <v>7.12</v>
      </c>
      <c r="L180" s="16">
        <f>'Clean Data'!L179</f>
        <v>9.34</v>
      </c>
      <c r="M180" s="16">
        <f>'Clean Data'!M179</f>
        <v>77.52</v>
      </c>
      <c r="N180" s="16">
        <f>'Clean Data'!N179</f>
        <v>15.36</v>
      </c>
      <c r="O180" s="16" t="str">
        <f>'Clean Data'!O179</f>
        <v>NaN</v>
      </c>
      <c r="P180" s="16" t="str">
        <f>'Clean Data'!P179</f>
        <v>NaN</v>
      </c>
      <c r="Q180" s="16" t="str">
        <f>'Clean Data'!Q179</f>
        <v>NaN</v>
      </c>
      <c r="R180" s="16">
        <f>'Clean Data'!R179</f>
        <v>800</v>
      </c>
      <c r="S180" s="16" t="str">
        <f>'Clean Data'!S179</f>
        <v>continuous</v>
      </c>
      <c r="T180" s="16" t="str">
        <f>'Clean Data'!T179</f>
        <v>atmospheric</v>
      </c>
      <c r="U180" s="16" t="str">
        <f>'Clean Data'!U179</f>
        <v>NaN</v>
      </c>
      <c r="V180" s="16">
        <f>'Clean Data'!V179</f>
        <v>2.08</v>
      </c>
      <c r="W180" s="16" t="str">
        <f>'Clean Data'!W179</f>
        <v>NaN</v>
      </c>
      <c r="X180" s="16" t="str">
        <f>'Clean Data'!X179</f>
        <v>steam</v>
      </c>
      <c r="Y180" s="16" t="str">
        <f>'Clean Data'!Y179</f>
        <v>fixed bed</v>
      </c>
      <c r="Z180" s="16" t="str">
        <f>'Clean Data'!Z179</f>
        <v>NaN</v>
      </c>
      <c r="AA180" s="16">
        <f>'Clean Data'!AA179</f>
        <v>1</v>
      </c>
      <c r="AB180" s="16" t="str">
        <f>'Clean Data'!AB179</f>
        <v>lab</v>
      </c>
      <c r="AC180" s="16">
        <f>'Clean Data'!AC179</f>
        <v>0</v>
      </c>
      <c r="AD180" s="16">
        <f>'Clean Data'!AD179</f>
        <v>53.5</v>
      </c>
      <c r="AE180" s="16">
        <f>'Clean Data'!AE179</f>
        <v>17</v>
      </c>
      <c r="AF180" s="16">
        <f>'Clean Data'!AF179</f>
        <v>24</v>
      </c>
      <c r="AG180" s="16">
        <f>'Clean Data'!AG179</f>
        <v>4</v>
      </c>
      <c r="AH180" s="16">
        <f>'Clean Data'!AH179</f>
        <v>2</v>
      </c>
      <c r="AI180" s="16">
        <f>'Clean Data'!AI179</f>
        <v>9.3800000000000008</v>
      </c>
      <c r="AJ180" s="16">
        <f>'Clean Data'!AJ179</f>
        <v>0.85</v>
      </c>
      <c r="AK180" s="16">
        <f>'Clean Data'!AK179</f>
        <v>1.5</v>
      </c>
      <c r="AL180" s="16" t="str">
        <f>'Clean Data'!AL179</f>
        <v>NaN</v>
      </c>
      <c r="AM180" s="16">
        <f>'Clean Data'!AM179</f>
        <v>70.385192596298154</v>
      </c>
      <c r="AN180" s="16">
        <f>'Clean Data'!AN179</f>
        <v>75.73</v>
      </c>
      <c r="AO180" s="16" t="str">
        <f>'Clean Data'!AO179</f>
        <v>Wang, Int. J. Hydrog 2012, 37, 6503-6510</v>
      </c>
      <c r="AP180" s="16"/>
      <c r="AQ180" s="16"/>
      <c r="AR180" s="16"/>
      <c r="AS180" s="16"/>
      <c r="AT180" s="16"/>
    </row>
    <row r="181" spans="1:46" x14ac:dyDescent="0.3">
      <c r="A181" s="16">
        <f>'Clean Data'!A180</f>
        <v>179</v>
      </c>
      <c r="B181" s="16" t="str">
        <f>'Clean Data'!B180</f>
        <v>municipal solid waste</v>
      </c>
      <c r="C181" s="16" t="str">
        <f>'Clean Data'!C180</f>
        <v>particles</v>
      </c>
      <c r="D181" s="16">
        <f>'Clean Data'!D180</f>
        <v>5</v>
      </c>
      <c r="E181" s="16">
        <f>'Clean Data'!E180</f>
        <v>19.989999999999998</v>
      </c>
      <c r="F181" s="16">
        <f>'Clean Data'!F180</f>
        <v>53.305340223944874</v>
      </c>
      <c r="G181" s="16">
        <f>'Clean Data'!G180</f>
        <v>6.9121447028423768</v>
      </c>
      <c r="H181" s="16">
        <f>'Clean Data'!H180</f>
        <v>0.83979328165374678</v>
      </c>
      <c r="I181" s="16">
        <f>'Clean Data'!I180</f>
        <v>0.51679586563307489</v>
      </c>
      <c r="J181" s="16">
        <f>'Clean Data'!J180</f>
        <v>34.302325581395344</v>
      </c>
      <c r="K181" s="16">
        <f>'Clean Data'!K180</f>
        <v>7.12</v>
      </c>
      <c r="L181" s="16">
        <f>'Clean Data'!L180</f>
        <v>9.34</v>
      </c>
      <c r="M181" s="16">
        <f>'Clean Data'!M180</f>
        <v>77.52</v>
      </c>
      <c r="N181" s="16">
        <f>'Clean Data'!N180</f>
        <v>15.36</v>
      </c>
      <c r="O181" s="16" t="str">
        <f>'Clean Data'!O180</f>
        <v>NaN</v>
      </c>
      <c r="P181" s="16" t="str">
        <f>'Clean Data'!P180</f>
        <v>NaN</v>
      </c>
      <c r="Q181" s="16" t="str">
        <f>'Clean Data'!Q180</f>
        <v>NaN</v>
      </c>
      <c r="R181" s="16">
        <f>'Clean Data'!R180</f>
        <v>800</v>
      </c>
      <c r="S181" s="16" t="str">
        <f>'Clean Data'!S180</f>
        <v>continuous</v>
      </c>
      <c r="T181" s="16" t="str">
        <f>'Clean Data'!T180</f>
        <v>atmospheric</v>
      </c>
      <c r="U181" s="16" t="str">
        <f>'Clean Data'!U180</f>
        <v>NaN</v>
      </c>
      <c r="V181" s="16">
        <f>'Clean Data'!V180</f>
        <v>2.77</v>
      </c>
      <c r="W181" s="16" t="str">
        <f>'Clean Data'!W180</f>
        <v>NaN</v>
      </c>
      <c r="X181" s="16" t="str">
        <f>'Clean Data'!X180</f>
        <v>steam</v>
      </c>
      <c r="Y181" s="16" t="str">
        <f>'Clean Data'!Y180</f>
        <v>fixed bed</v>
      </c>
      <c r="Z181" s="16" t="str">
        <f>'Clean Data'!Z180</f>
        <v>NaN</v>
      </c>
      <c r="AA181" s="16">
        <f>'Clean Data'!AA180</f>
        <v>1</v>
      </c>
      <c r="AB181" s="16" t="str">
        <f>'Clean Data'!AB180</f>
        <v>lab</v>
      </c>
      <c r="AC181" s="16">
        <f>'Clean Data'!AC180</f>
        <v>0</v>
      </c>
      <c r="AD181" s="16">
        <f>'Clean Data'!AD180</f>
        <v>53</v>
      </c>
      <c r="AE181" s="16">
        <f>'Clean Data'!AE180</f>
        <v>16</v>
      </c>
      <c r="AF181" s="16">
        <f>'Clean Data'!AF180</f>
        <v>25</v>
      </c>
      <c r="AG181" s="16">
        <f>'Clean Data'!AG180</f>
        <v>5.5</v>
      </c>
      <c r="AH181" s="16">
        <f>'Clean Data'!AH180</f>
        <v>1</v>
      </c>
      <c r="AI181" s="16">
        <f>'Clean Data'!AI180</f>
        <v>9.73</v>
      </c>
      <c r="AJ181" s="16">
        <f>'Clean Data'!AJ180</f>
        <v>1.78</v>
      </c>
      <c r="AK181" s="16">
        <f>'Clean Data'!AK180</f>
        <v>1.43</v>
      </c>
      <c r="AL181" s="16" t="str">
        <f>'Clean Data'!AL180</f>
        <v>NaN</v>
      </c>
      <c r="AM181" s="16">
        <f>'Clean Data'!AM180</f>
        <v>69.604302151075544</v>
      </c>
      <c r="AN181" s="16">
        <f>'Clean Data'!AN180</f>
        <v>71.78</v>
      </c>
      <c r="AO181" s="16" t="str">
        <f>'Clean Data'!AO180</f>
        <v>Wang, Int. J. Hydrog 2012, 37, 6503-6510</v>
      </c>
      <c r="AP181" s="16"/>
      <c r="AQ181" s="16"/>
      <c r="AR181" s="16"/>
      <c r="AS181" s="16"/>
      <c r="AT181" s="16"/>
    </row>
    <row r="182" spans="1:46" x14ac:dyDescent="0.3">
      <c r="A182" s="16">
        <f>'Clean Data'!A181</f>
        <v>180</v>
      </c>
      <c r="B182" s="16" t="str">
        <f>'Clean Data'!B181</f>
        <v>municipal solid waste</v>
      </c>
      <c r="C182" s="16" t="str">
        <f>'Clean Data'!C181</f>
        <v>particles</v>
      </c>
      <c r="D182" s="16">
        <f>'Clean Data'!D181</f>
        <v>5</v>
      </c>
      <c r="E182" s="16">
        <f>'Clean Data'!E181</f>
        <v>19.989999999999998</v>
      </c>
      <c r="F182" s="16">
        <f>'Clean Data'!F181</f>
        <v>53.305340223944874</v>
      </c>
      <c r="G182" s="16">
        <f>'Clean Data'!G181</f>
        <v>6.9121447028423768</v>
      </c>
      <c r="H182" s="16">
        <f>'Clean Data'!H181</f>
        <v>0.83979328165374678</v>
      </c>
      <c r="I182" s="16">
        <f>'Clean Data'!I181</f>
        <v>0.51679586563307489</v>
      </c>
      <c r="J182" s="16">
        <f>'Clean Data'!J181</f>
        <v>34.302325581395344</v>
      </c>
      <c r="K182" s="16">
        <f>'Clean Data'!K181</f>
        <v>7.12</v>
      </c>
      <c r="L182" s="16">
        <f>'Clean Data'!L181</f>
        <v>9.34</v>
      </c>
      <c r="M182" s="16">
        <f>'Clean Data'!M181</f>
        <v>77.52</v>
      </c>
      <c r="N182" s="16">
        <f>'Clean Data'!N181</f>
        <v>15.36</v>
      </c>
      <c r="O182" s="16" t="str">
        <f>'Clean Data'!O181</f>
        <v>NaN</v>
      </c>
      <c r="P182" s="16" t="str">
        <f>'Clean Data'!P181</f>
        <v>NaN</v>
      </c>
      <c r="Q182" s="16" t="str">
        <f>'Clean Data'!Q181</f>
        <v>NaN</v>
      </c>
      <c r="R182" s="16">
        <f>'Clean Data'!R181</f>
        <v>800</v>
      </c>
      <c r="S182" s="16" t="str">
        <f>'Clean Data'!S181</f>
        <v>continuous</v>
      </c>
      <c r="T182" s="16" t="str">
        <f>'Clean Data'!T181</f>
        <v>atmospheric</v>
      </c>
      <c r="U182" s="16" t="str">
        <f>'Clean Data'!U181</f>
        <v>NaN</v>
      </c>
      <c r="V182" s="16">
        <f>'Clean Data'!V181</f>
        <v>3.08</v>
      </c>
      <c r="W182" s="16" t="str">
        <f>'Clean Data'!W181</f>
        <v>NaN</v>
      </c>
      <c r="X182" s="16" t="str">
        <f>'Clean Data'!X181</f>
        <v>steam</v>
      </c>
      <c r="Y182" s="16" t="str">
        <f>'Clean Data'!Y181</f>
        <v>fixed bed</v>
      </c>
      <c r="Z182" s="16" t="str">
        <f>'Clean Data'!Z181</f>
        <v>NaN</v>
      </c>
      <c r="AA182" s="16">
        <f>'Clean Data'!AA181</f>
        <v>1</v>
      </c>
      <c r="AB182" s="16" t="str">
        <f>'Clean Data'!AB181</f>
        <v>lab</v>
      </c>
      <c r="AC182" s="16">
        <f>'Clean Data'!AC181</f>
        <v>0</v>
      </c>
      <c r="AD182" s="16">
        <f>'Clean Data'!AD181</f>
        <v>52</v>
      </c>
      <c r="AE182" s="16">
        <f>'Clean Data'!AE181</f>
        <v>15</v>
      </c>
      <c r="AF182" s="16">
        <f>'Clean Data'!AF181</f>
        <v>26.5</v>
      </c>
      <c r="AG182" s="16">
        <f>'Clean Data'!AG181</f>
        <v>5</v>
      </c>
      <c r="AH182" s="16">
        <f>'Clean Data'!AH181</f>
        <v>2</v>
      </c>
      <c r="AI182" s="16">
        <f>'Clean Data'!AI181</f>
        <v>9.4</v>
      </c>
      <c r="AJ182" s="16">
        <f>'Clean Data'!AJ181</f>
        <v>2.86</v>
      </c>
      <c r="AK182" s="16">
        <f>'Clean Data'!AK181</f>
        <v>1.38</v>
      </c>
      <c r="AL182" s="16" t="str">
        <f>'Clean Data'!AL181</f>
        <v>NaN</v>
      </c>
      <c r="AM182" s="16">
        <f>'Clean Data'!AM181</f>
        <v>64.892446223111563</v>
      </c>
      <c r="AN182" s="16">
        <f>'Clean Data'!AN181</f>
        <v>71.16</v>
      </c>
      <c r="AO182" s="16" t="str">
        <f>'Clean Data'!AO181</f>
        <v>Wang, Int. J. Hydrog 2012, 37, 6503-6510</v>
      </c>
      <c r="AP182" s="16"/>
      <c r="AQ182" s="16"/>
      <c r="AR182" s="16"/>
      <c r="AS182" s="16"/>
      <c r="AT182" s="16"/>
    </row>
    <row r="183" spans="1:46" x14ac:dyDescent="0.3">
      <c r="A183" s="16">
        <f>'Clean Data'!A182</f>
        <v>181</v>
      </c>
      <c r="B183" s="16" t="str">
        <f>'Clean Data'!B182</f>
        <v>municipal solid waste</v>
      </c>
      <c r="C183" s="16" t="str">
        <f>'Clean Data'!C182</f>
        <v>particles</v>
      </c>
      <c r="D183" s="16">
        <f>'Clean Data'!D182</f>
        <v>5</v>
      </c>
      <c r="E183" s="16">
        <f>'Clean Data'!E182</f>
        <v>19.989999999999998</v>
      </c>
      <c r="F183" s="16">
        <f>'Clean Data'!F182</f>
        <v>53.305340223944874</v>
      </c>
      <c r="G183" s="16">
        <f>'Clean Data'!G182</f>
        <v>6.9121447028423768</v>
      </c>
      <c r="H183" s="16">
        <f>'Clean Data'!H182</f>
        <v>0.83979328165374678</v>
      </c>
      <c r="I183" s="16">
        <f>'Clean Data'!I182</f>
        <v>0.51679586563307489</v>
      </c>
      <c r="J183" s="16">
        <f>'Clean Data'!J182</f>
        <v>34.302325581395344</v>
      </c>
      <c r="K183" s="16">
        <f>'Clean Data'!K182</f>
        <v>7.12</v>
      </c>
      <c r="L183" s="16">
        <f>'Clean Data'!L182</f>
        <v>9.34</v>
      </c>
      <c r="M183" s="16">
        <f>'Clean Data'!M182</f>
        <v>77.52</v>
      </c>
      <c r="N183" s="16">
        <f>'Clean Data'!N182</f>
        <v>15.36</v>
      </c>
      <c r="O183" s="16" t="str">
        <f>'Clean Data'!O182</f>
        <v>NaN</v>
      </c>
      <c r="P183" s="16" t="str">
        <f>'Clean Data'!P182</f>
        <v>NaN</v>
      </c>
      <c r="Q183" s="16" t="str">
        <f>'Clean Data'!Q182</f>
        <v>NaN</v>
      </c>
      <c r="R183" s="16">
        <f>'Clean Data'!R182</f>
        <v>800</v>
      </c>
      <c r="S183" s="16" t="str">
        <f>'Clean Data'!S182</f>
        <v>continuous</v>
      </c>
      <c r="T183" s="16" t="str">
        <f>'Clean Data'!T182</f>
        <v>atmospheric</v>
      </c>
      <c r="U183" s="16" t="str">
        <f>'Clean Data'!U182</f>
        <v>NaN</v>
      </c>
      <c r="V183" s="16">
        <f>'Clean Data'!V182</f>
        <v>1.23</v>
      </c>
      <c r="W183" s="16" t="str">
        <f>'Clean Data'!W182</f>
        <v>NaN</v>
      </c>
      <c r="X183" s="16" t="str">
        <f>'Clean Data'!X182</f>
        <v>steam</v>
      </c>
      <c r="Y183" s="16" t="str">
        <f>'Clean Data'!Y182</f>
        <v>fixed bed</v>
      </c>
      <c r="Z183" s="16" t="str">
        <f>'Clean Data'!Z182</f>
        <v>NaN</v>
      </c>
      <c r="AA183" s="16">
        <f>'Clean Data'!AA182</f>
        <v>0</v>
      </c>
      <c r="AB183" s="16" t="str">
        <f>'Clean Data'!AB182</f>
        <v>lab</v>
      </c>
      <c r="AC183" s="16">
        <f>'Clean Data'!AC182</f>
        <v>0</v>
      </c>
      <c r="AD183" s="16">
        <f>'Clean Data'!AD182</f>
        <v>31.5</v>
      </c>
      <c r="AE183" s="16">
        <f>'Clean Data'!AE182</f>
        <v>22</v>
      </c>
      <c r="AF183" s="16">
        <f>'Clean Data'!AF182</f>
        <v>23.5</v>
      </c>
      <c r="AG183" s="16">
        <f>'Clean Data'!AG182</f>
        <v>13.5</v>
      </c>
      <c r="AH183" s="16">
        <f>'Clean Data'!AH182</f>
        <v>9.5</v>
      </c>
      <c r="AI183" s="16">
        <f>'Clean Data'!AI182</f>
        <v>11.598874000000002</v>
      </c>
      <c r="AJ183" s="16">
        <f>'Clean Data'!AJ182</f>
        <v>38.67</v>
      </c>
      <c r="AK183" s="16">
        <f>'Clean Data'!AK182</f>
        <v>0.78</v>
      </c>
      <c r="AL183" s="16" t="str">
        <f>'Clean Data'!AL182</f>
        <v>NaN</v>
      </c>
      <c r="AM183" s="16">
        <f>'Clean Data'!AM182</f>
        <v>45.258237718859441</v>
      </c>
      <c r="AN183" s="16">
        <f>'Clean Data'!AN182</f>
        <v>58.09066933721904</v>
      </c>
      <c r="AO183" s="16" t="str">
        <f>'Clean Data'!AO182</f>
        <v>Wang, Int. J. Hydrog 2012, 37, 6503-6510</v>
      </c>
      <c r="AP183" s="16"/>
      <c r="AQ183" s="16"/>
      <c r="AR183" s="16"/>
      <c r="AS183" s="16"/>
      <c r="AT183" s="16"/>
    </row>
    <row r="184" spans="1:46" x14ac:dyDescent="0.3">
      <c r="A184" s="16">
        <f>'Clean Data'!A183</f>
        <v>182</v>
      </c>
      <c r="B184" s="16" t="str">
        <f>'Clean Data'!B183</f>
        <v>municipal solid waste</v>
      </c>
      <c r="C184" s="16" t="str">
        <f>'Clean Data'!C183</f>
        <v>particles</v>
      </c>
      <c r="D184" s="16">
        <f>'Clean Data'!D183</f>
        <v>5</v>
      </c>
      <c r="E184" s="16">
        <f>'Clean Data'!E183</f>
        <v>19.989999999999998</v>
      </c>
      <c r="F184" s="16">
        <f>'Clean Data'!F183</f>
        <v>53.305340223944874</v>
      </c>
      <c r="G184" s="16">
        <f>'Clean Data'!G183</f>
        <v>6.9121447028423768</v>
      </c>
      <c r="H184" s="16">
        <f>'Clean Data'!H183</f>
        <v>0.83979328165374678</v>
      </c>
      <c r="I184" s="16">
        <f>'Clean Data'!I183</f>
        <v>0.51679586563307489</v>
      </c>
      <c r="J184" s="16">
        <f>'Clean Data'!J183</f>
        <v>34.302325581395344</v>
      </c>
      <c r="K184" s="16">
        <f>'Clean Data'!K183</f>
        <v>7.12</v>
      </c>
      <c r="L184" s="16">
        <f>'Clean Data'!L183</f>
        <v>9.34</v>
      </c>
      <c r="M184" s="16">
        <f>'Clean Data'!M183</f>
        <v>77.52</v>
      </c>
      <c r="N184" s="16">
        <f>'Clean Data'!N183</f>
        <v>15.36</v>
      </c>
      <c r="O184" s="16" t="str">
        <f>'Clean Data'!O183</f>
        <v>NaN</v>
      </c>
      <c r="P184" s="16" t="str">
        <f>'Clean Data'!P183</f>
        <v>NaN</v>
      </c>
      <c r="Q184" s="16" t="str">
        <f>'Clean Data'!Q183</f>
        <v>NaN</v>
      </c>
      <c r="R184" s="16">
        <f>'Clean Data'!R183</f>
        <v>800</v>
      </c>
      <c r="S184" s="16" t="str">
        <f>'Clean Data'!S183</f>
        <v>continuous</v>
      </c>
      <c r="T184" s="16" t="str">
        <f>'Clean Data'!T183</f>
        <v>atmospheric</v>
      </c>
      <c r="U184" s="16" t="str">
        <f>'Clean Data'!U183</f>
        <v>NaN</v>
      </c>
      <c r="V184" s="16">
        <f>'Clean Data'!V183</f>
        <v>1.23</v>
      </c>
      <c r="W184" s="16" t="str">
        <f>'Clean Data'!W183</f>
        <v>NaN</v>
      </c>
      <c r="X184" s="16" t="str">
        <f>'Clean Data'!X183</f>
        <v>steam</v>
      </c>
      <c r="Y184" s="16" t="str">
        <f>'Clean Data'!Y183</f>
        <v>fixed bed</v>
      </c>
      <c r="Z184" s="16" t="str">
        <f>'Clean Data'!Z183</f>
        <v>NaN</v>
      </c>
      <c r="AA184" s="16">
        <f>'Clean Data'!AA183</f>
        <v>1</v>
      </c>
      <c r="AB184" s="16" t="str">
        <f>'Clean Data'!AB183</f>
        <v>lab</v>
      </c>
      <c r="AC184" s="16">
        <f>'Clean Data'!AC183</f>
        <v>0</v>
      </c>
      <c r="AD184" s="16">
        <f>'Clean Data'!AD183</f>
        <v>51</v>
      </c>
      <c r="AE184" s="16">
        <f>'Clean Data'!AE183</f>
        <v>19</v>
      </c>
      <c r="AF184" s="16">
        <f>'Clean Data'!AF183</f>
        <v>21.5</v>
      </c>
      <c r="AG184" s="16">
        <f>'Clean Data'!AG183</f>
        <v>7.5</v>
      </c>
      <c r="AH184" s="16">
        <f>'Clean Data'!AH183</f>
        <v>2</v>
      </c>
      <c r="AI184" s="16">
        <f>'Clean Data'!AI183</f>
        <v>10.712242</v>
      </c>
      <c r="AJ184" s="16">
        <f>'Clean Data'!AJ183</f>
        <v>0.76</v>
      </c>
      <c r="AK184" s="16">
        <f>'Clean Data'!AK183</f>
        <v>1.4</v>
      </c>
      <c r="AL184" s="16" t="str">
        <f>'Clean Data'!AL183</f>
        <v>NaN</v>
      </c>
      <c r="AM184" s="16">
        <f>'Clean Data'!AM183</f>
        <v>75.023205602801397</v>
      </c>
      <c r="AN184" s="16">
        <f>'Clean Data'!AN183</f>
        <v>69.891449606140156</v>
      </c>
      <c r="AO184" s="16" t="str">
        <f>'Clean Data'!AO183</f>
        <v>Wang, Int. J. Hydrog 2012, 37, 6503-6510</v>
      </c>
      <c r="AP184" s="16"/>
      <c r="AQ184" s="16"/>
      <c r="AR184" s="16"/>
      <c r="AS184" s="16"/>
      <c r="AT184" s="16"/>
    </row>
    <row r="185" spans="1:46" x14ac:dyDescent="0.3">
      <c r="A185" s="16">
        <f>'Clean Data'!A184</f>
        <v>183</v>
      </c>
      <c r="B185" s="16" t="str">
        <f>'Clean Data'!B184</f>
        <v>woody biomass</v>
      </c>
      <c r="C185" s="16" t="str">
        <f>'Clean Data'!C184</f>
        <v>particles</v>
      </c>
      <c r="D185" s="16">
        <f>'Clean Data'!D184</f>
        <v>1.25</v>
      </c>
      <c r="E185" s="16">
        <f>'Clean Data'!E184</f>
        <v>18.196000000000002</v>
      </c>
      <c r="F185" s="16">
        <f>'Clean Data'!F184</f>
        <v>54.839367669556353</v>
      </c>
      <c r="G185" s="16">
        <f>'Clean Data'!G184</f>
        <v>5.497195308516063</v>
      </c>
      <c r="H185" s="16">
        <f>'Clean Data'!H184</f>
        <v>0.43855175930647627</v>
      </c>
      <c r="I185" s="16">
        <f>'Clean Data'!I184</f>
        <v>0.12238653748087709</v>
      </c>
      <c r="J185" s="16">
        <f>'Clean Data'!J184</f>
        <v>39.102498725140237</v>
      </c>
      <c r="K185" s="16">
        <f>'Clean Data'!K184</f>
        <v>1.95</v>
      </c>
      <c r="L185" s="16">
        <f>'Clean Data'!L184</f>
        <v>0</v>
      </c>
      <c r="M185" s="16">
        <f>'Clean Data'!M184</f>
        <v>74.23</v>
      </c>
      <c r="N185" s="16">
        <f>'Clean Data'!N184</f>
        <v>23.82</v>
      </c>
      <c r="O185" s="16" t="str">
        <f>'Clean Data'!O184</f>
        <v>NaN</v>
      </c>
      <c r="P185" s="16" t="str">
        <f>'Clean Data'!P184</f>
        <v>NaN</v>
      </c>
      <c r="Q185" s="16" t="str">
        <f>'Clean Data'!Q184</f>
        <v>NaN</v>
      </c>
      <c r="R185" s="16">
        <f>'Clean Data'!R184</f>
        <v>770</v>
      </c>
      <c r="S185" s="16" t="str">
        <f>'Clean Data'!S184</f>
        <v>continuous</v>
      </c>
      <c r="T185" s="16" t="str">
        <f>'Clean Data'!T184</f>
        <v>atmospheric</v>
      </c>
      <c r="U185" s="16">
        <f>'Clean Data'!U184</f>
        <v>40</v>
      </c>
      <c r="V185" s="16" t="str">
        <f>'Clean Data'!V184</f>
        <v>NaN</v>
      </c>
      <c r="W185" s="16">
        <f>'Clean Data'!W184</f>
        <v>0.19</v>
      </c>
      <c r="X185" s="16" t="str">
        <f>'Clean Data'!X184</f>
        <v>air</v>
      </c>
      <c r="Y185" s="16" t="str">
        <f>'Clean Data'!Y184</f>
        <v>fluidised bed</v>
      </c>
      <c r="Z185" s="16" t="str">
        <f>'Clean Data'!Z184</f>
        <v>silica</v>
      </c>
      <c r="AA185" s="16">
        <f>'Clean Data'!AA184</f>
        <v>0</v>
      </c>
      <c r="AB185" s="16" t="str">
        <f>'Clean Data'!AB184</f>
        <v>lab</v>
      </c>
      <c r="AC185" s="16">
        <f>'Clean Data'!AC184</f>
        <v>55.5</v>
      </c>
      <c r="AD185" s="16">
        <f>'Clean Data'!AD184</f>
        <v>8.4</v>
      </c>
      <c r="AE185" s="16">
        <f>'Clean Data'!AE184</f>
        <v>17.100000000000001</v>
      </c>
      <c r="AF185" s="16">
        <f>'Clean Data'!AF184</f>
        <v>13.8</v>
      </c>
      <c r="AG185" s="16">
        <f>'Clean Data'!AG184</f>
        <v>5.2</v>
      </c>
      <c r="AH185" s="16" t="str">
        <f>'Clean Data'!AH184</f>
        <v>NaN</v>
      </c>
      <c r="AI185" s="16">
        <f>'Clean Data'!AI184</f>
        <v>5</v>
      </c>
      <c r="AJ185" s="16" t="str">
        <f>'Clean Data'!AJ184</f>
        <v>NaN</v>
      </c>
      <c r="AK185" s="16" t="str">
        <f>'Clean Data'!AK184</f>
        <v>NaN</v>
      </c>
      <c r="AL185" s="16" t="str">
        <f>'Clean Data'!AL184</f>
        <v>NaN</v>
      </c>
      <c r="AM185" s="16" t="str">
        <f>'Clean Data'!AM184</f>
        <v>NaN</v>
      </c>
      <c r="AN185" s="16" t="str">
        <f>'Clean Data'!AN184</f>
        <v>NaN</v>
      </c>
      <c r="AO185" s="16" t="str">
        <f>'Clean Data'!AO184</f>
        <v>Karatas, Fuel 2018, 214, 285-292</v>
      </c>
      <c r="AP185" s="16"/>
      <c r="AQ185" s="16"/>
      <c r="AR185" s="16"/>
      <c r="AS185" s="16"/>
      <c r="AT185" s="16"/>
    </row>
    <row r="186" spans="1:46" x14ac:dyDescent="0.3">
      <c r="A186" s="16">
        <f>'Clean Data'!A185</f>
        <v>184</v>
      </c>
      <c r="B186" s="16" t="str">
        <f>'Clean Data'!B185</f>
        <v>woody biomass</v>
      </c>
      <c r="C186" s="16" t="str">
        <f>'Clean Data'!C185</f>
        <v>particles</v>
      </c>
      <c r="D186" s="16">
        <f>'Clean Data'!D185</f>
        <v>1.25</v>
      </c>
      <c r="E186" s="16">
        <f>'Clean Data'!E185</f>
        <v>18.196000000000002</v>
      </c>
      <c r="F186" s="16">
        <f>'Clean Data'!F185</f>
        <v>54.839367669556353</v>
      </c>
      <c r="G186" s="16">
        <f>'Clean Data'!G185</f>
        <v>5.497195308516063</v>
      </c>
      <c r="H186" s="16">
        <f>'Clean Data'!H185</f>
        <v>0.43855175930647627</v>
      </c>
      <c r="I186" s="16">
        <f>'Clean Data'!I185</f>
        <v>0.12238653748087709</v>
      </c>
      <c r="J186" s="16">
        <f>'Clean Data'!J185</f>
        <v>39.102498725140237</v>
      </c>
      <c r="K186" s="16">
        <f>'Clean Data'!K185</f>
        <v>1.95</v>
      </c>
      <c r="L186" s="16">
        <f>'Clean Data'!L185</f>
        <v>0</v>
      </c>
      <c r="M186" s="16">
        <f>'Clean Data'!M185</f>
        <v>74.23</v>
      </c>
      <c r="N186" s="16">
        <f>'Clean Data'!N185</f>
        <v>23.82</v>
      </c>
      <c r="O186" s="16" t="str">
        <f>'Clean Data'!O185</f>
        <v>NaN</v>
      </c>
      <c r="P186" s="16" t="str">
        <f>'Clean Data'!P185</f>
        <v>NaN</v>
      </c>
      <c r="Q186" s="16" t="str">
        <f>'Clean Data'!Q185</f>
        <v>NaN</v>
      </c>
      <c r="R186" s="16">
        <f>'Clean Data'!R185</f>
        <v>770</v>
      </c>
      <c r="S186" s="16" t="str">
        <f>'Clean Data'!S185</f>
        <v>continuous</v>
      </c>
      <c r="T186" s="16" t="str">
        <f>'Clean Data'!T185</f>
        <v>atmospheric</v>
      </c>
      <c r="U186" s="16">
        <f>'Clean Data'!U185</f>
        <v>40</v>
      </c>
      <c r="V186" s="16" t="str">
        <f>'Clean Data'!V185</f>
        <v>NaN</v>
      </c>
      <c r="W186" s="16">
        <f>'Clean Data'!W185</f>
        <v>0.24</v>
      </c>
      <c r="X186" s="16" t="str">
        <f>'Clean Data'!X185</f>
        <v>air</v>
      </c>
      <c r="Y186" s="16" t="str">
        <f>'Clean Data'!Y185</f>
        <v>fluidised bed</v>
      </c>
      <c r="Z186" s="16" t="str">
        <f>'Clean Data'!Z185</f>
        <v>silica</v>
      </c>
      <c r="AA186" s="16">
        <f>'Clean Data'!AA185</f>
        <v>0</v>
      </c>
      <c r="AB186" s="16" t="str">
        <f>'Clean Data'!AB185</f>
        <v>lab</v>
      </c>
      <c r="AC186" s="16">
        <f>'Clean Data'!AC185</f>
        <v>58.2</v>
      </c>
      <c r="AD186" s="16">
        <f>'Clean Data'!AD185</f>
        <v>6.7</v>
      </c>
      <c r="AE186" s="16">
        <f>'Clean Data'!AE185</f>
        <v>15.6</v>
      </c>
      <c r="AF186" s="16">
        <f>'Clean Data'!AF185</f>
        <v>14.9</v>
      </c>
      <c r="AG186" s="16">
        <f>'Clean Data'!AG185</f>
        <v>4.5999999999999996</v>
      </c>
      <c r="AH186" s="16" t="str">
        <f>'Clean Data'!AH185</f>
        <v>NaN</v>
      </c>
      <c r="AI186" s="16">
        <f>'Clean Data'!AI185</f>
        <v>4.4000000000000004</v>
      </c>
      <c r="AJ186" s="16" t="str">
        <f>'Clean Data'!AJ185</f>
        <v>NaN</v>
      </c>
      <c r="AK186" s="16" t="str">
        <f>'Clean Data'!AK185</f>
        <v>NaN</v>
      </c>
      <c r="AL186" s="16" t="str">
        <f>'Clean Data'!AL185</f>
        <v>NaN</v>
      </c>
      <c r="AM186" s="16" t="str">
        <f>'Clean Data'!AM185</f>
        <v>NaN</v>
      </c>
      <c r="AN186" s="16" t="str">
        <f>'Clean Data'!AN185</f>
        <v>NaN</v>
      </c>
      <c r="AO186" s="16" t="str">
        <f>'Clean Data'!AO185</f>
        <v>Karatas, Fuel 2018, 214, 285-292</v>
      </c>
      <c r="AP186" s="16"/>
      <c r="AQ186" s="16"/>
      <c r="AR186" s="16"/>
      <c r="AS186" s="16"/>
      <c r="AT186" s="16"/>
    </row>
    <row r="187" spans="1:46" x14ac:dyDescent="0.3">
      <c r="A187" s="16">
        <f>'Clean Data'!A186</f>
        <v>185</v>
      </c>
      <c r="B187" s="16" t="str">
        <f>'Clean Data'!B186</f>
        <v>woody biomass</v>
      </c>
      <c r="C187" s="16" t="str">
        <f>'Clean Data'!C186</f>
        <v>particles</v>
      </c>
      <c r="D187" s="16">
        <f>'Clean Data'!D186</f>
        <v>1.25</v>
      </c>
      <c r="E187" s="16">
        <f>'Clean Data'!E186</f>
        <v>18.196000000000002</v>
      </c>
      <c r="F187" s="16">
        <f>'Clean Data'!F186</f>
        <v>54.839367669556353</v>
      </c>
      <c r="G187" s="16">
        <f>'Clean Data'!G186</f>
        <v>5.497195308516063</v>
      </c>
      <c r="H187" s="16">
        <f>'Clean Data'!H186</f>
        <v>0.43855175930647627</v>
      </c>
      <c r="I187" s="16">
        <f>'Clean Data'!I186</f>
        <v>0.12238653748087709</v>
      </c>
      <c r="J187" s="16">
        <f>'Clean Data'!J186</f>
        <v>39.102498725140237</v>
      </c>
      <c r="K187" s="16">
        <f>'Clean Data'!K186</f>
        <v>1.95</v>
      </c>
      <c r="L187" s="16">
        <f>'Clean Data'!L186</f>
        <v>0</v>
      </c>
      <c r="M187" s="16">
        <f>'Clean Data'!M186</f>
        <v>74.23</v>
      </c>
      <c r="N187" s="16">
        <f>'Clean Data'!N186</f>
        <v>23.82</v>
      </c>
      <c r="O187" s="16" t="str">
        <f>'Clean Data'!O186</f>
        <v>NaN</v>
      </c>
      <c r="P187" s="16" t="str">
        <f>'Clean Data'!P186</f>
        <v>NaN</v>
      </c>
      <c r="Q187" s="16" t="str">
        <f>'Clean Data'!Q186</f>
        <v>NaN</v>
      </c>
      <c r="R187" s="16">
        <f>'Clean Data'!R186</f>
        <v>770</v>
      </c>
      <c r="S187" s="16" t="str">
        <f>'Clean Data'!S186</f>
        <v>continuous</v>
      </c>
      <c r="T187" s="16" t="str">
        <f>'Clean Data'!T186</f>
        <v>atmospheric</v>
      </c>
      <c r="U187" s="16">
        <f>'Clean Data'!U186</f>
        <v>40</v>
      </c>
      <c r="V187" s="16" t="str">
        <f>'Clean Data'!V186</f>
        <v>NaN</v>
      </c>
      <c r="W187" s="16">
        <f>'Clean Data'!W186</f>
        <v>0.31</v>
      </c>
      <c r="X187" s="16" t="str">
        <f>'Clean Data'!X186</f>
        <v>air</v>
      </c>
      <c r="Y187" s="16" t="str">
        <f>'Clean Data'!Y186</f>
        <v>fluidised bed</v>
      </c>
      <c r="Z187" s="16" t="str">
        <f>'Clean Data'!Z186</f>
        <v>silica</v>
      </c>
      <c r="AA187" s="16">
        <f>'Clean Data'!AA186</f>
        <v>0</v>
      </c>
      <c r="AB187" s="16" t="str">
        <f>'Clean Data'!AB186</f>
        <v>lab</v>
      </c>
      <c r="AC187" s="16">
        <f>'Clean Data'!AC186</f>
        <v>63.8</v>
      </c>
      <c r="AD187" s="16">
        <f>'Clean Data'!AD186</f>
        <v>4.2</v>
      </c>
      <c r="AE187" s="16">
        <f>'Clean Data'!AE186</f>
        <v>12.2</v>
      </c>
      <c r="AF187" s="16">
        <f>'Clean Data'!AF186</f>
        <v>15.8</v>
      </c>
      <c r="AG187" s="16">
        <f>'Clean Data'!AG186</f>
        <v>4</v>
      </c>
      <c r="AH187" s="16" t="str">
        <f>'Clean Data'!AH186</f>
        <v>NaN</v>
      </c>
      <c r="AI187" s="16">
        <f>'Clean Data'!AI186</f>
        <v>3.4</v>
      </c>
      <c r="AJ187" s="16" t="str">
        <f>'Clean Data'!AJ186</f>
        <v>NaN</v>
      </c>
      <c r="AK187" s="16" t="str">
        <f>'Clean Data'!AK186</f>
        <v>NaN</v>
      </c>
      <c r="AL187" s="16" t="str">
        <f>'Clean Data'!AL186</f>
        <v>NaN</v>
      </c>
      <c r="AM187" s="16" t="str">
        <f>'Clean Data'!AM186</f>
        <v>NaN</v>
      </c>
      <c r="AN187" s="16" t="str">
        <f>'Clean Data'!AN186</f>
        <v>NaN</v>
      </c>
      <c r="AO187" s="16" t="str">
        <f>'Clean Data'!AO186</f>
        <v>Karatas, Fuel 2018, 214, 285-292</v>
      </c>
      <c r="AP187" s="16"/>
      <c r="AQ187" s="16"/>
      <c r="AR187" s="16"/>
      <c r="AS187" s="16"/>
      <c r="AT187" s="16"/>
    </row>
    <row r="188" spans="1:46" x14ac:dyDescent="0.3">
      <c r="A188" s="16">
        <f>'Clean Data'!A187</f>
        <v>186</v>
      </c>
      <c r="B188" s="16" t="str">
        <f>'Clean Data'!B187</f>
        <v>woody biomass</v>
      </c>
      <c r="C188" s="16" t="str">
        <f>'Clean Data'!C187</f>
        <v>particles</v>
      </c>
      <c r="D188" s="16">
        <f>'Clean Data'!D187</f>
        <v>1.25</v>
      </c>
      <c r="E188" s="16">
        <f>'Clean Data'!E187</f>
        <v>18.196000000000002</v>
      </c>
      <c r="F188" s="16">
        <f>'Clean Data'!F187</f>
        <v>54.839367669556353</v>
      </c>
      <c r="G188" s="16">
        <f>'Clean Data'!G187</f>
        <v>5.497195308516063</v>
      </c>
      <c r="H188" s="16">
        <f>'Clean Data'!H187</f>
        <v>0.43855175930647627</v>
      </c>
      <c r="I188" s="16">
        <f>'Clean Data'!I187</f>
        <v>0.12238653748087709</v>
      </c>
      <c r="J188" s="16">
        <f>'Clean Data'!J187</f>
        <v>39.102498725140237</v>
      </c>
      <c r="K188" s="16">
        <f>'Clean Data'!K187</f>
        <v>1.95</v>
      </c>
      <c r="L188" s="16">
        <f>'Clean Data'!L187</f>
        <v>0</v>
      </c>
      <c r="M188" s="16">
        <f>'Clean Data'!M187</f>
        <v>74.23</v>
      </c>
      <c r="N188" s="16">
        <f>'Clean Data'!N187</f>
        <v>23.82</v>
      </c>
      <c r="O188" s="16" t="str">
        <f>'Clean Data'!O187</f>
        <v>NaN</v>
      </c>
      <c r="P188" s="16" t="str">
        <f>'Clean Data'!P187</f>
        <v>NaN</v>
      </c>
      <c r="Q188" s="16" t="str">
        <f>'Clean Data'!Q187</f>
        <v>NaN</v>
      </c>
      <c r="R188" s="16">
        <f>'Clean Data'!R187</f>
        <v>770</v>
      </c>
      <c r="S188" s="16" t="str">
        <f>'Clean Data'!S187</f>
        <v>continuous</v>
      </c>
      <c r="T188" s="16" t="str">
        <f>'Clean Data'!T187</f>
        <v>atmospheric</v>
      </c>
      <c r="U188" s="16">
        <f>'Clean Data'!U187</f>
        <v>40</v>
      </c>
      <c r="V188" s="16" t="str">
        <f>'Clean Data'!V187</f>
        <v>NaN</v>
      </c>
      <c r="W188" s="16">
        <f>'Clean Data'!W187</f>
        <v>0.37</v>
      </c>
      <c r="X188" s="16" t="str">
        <f>'Clean Data'!X187</f>
        <v>air</v>
      </c>
      <c r="Y188" s="16" t="str">
        <f>'Clean Data'!Y187</f>
        <v>fluidised bed</v>
      </c>
      <c r="Z188" s="16" t="str">
        <f>'Clean Data'!Z187</f>
        <v>silica</v>
      </c>
      <c r="AA188" s="16">
        <f>'Clean Data'!AA187</f>
        <v>0</v>
      </c>
      <c r="AB188" s="16" t="str">
        <f>'Clean Data'!AB187</f>
        <v>lab</v>
      </c>
      <c r="AC188" s="16">
        <f>'Clean Data'!AC187</f>
        <v>66.5</v>
      </c>
      <c r="AD188" s="16">
        <f>'Clean Data'!AD187</f>
        <v>3.2</v>
      </c>
      <c r="AE188" s="16">
        <f>'Clean Data'!AE187</f>
        <v>10.7</v>
      </c>
      <c r="AF188" s="16">
        <f>'Clean Data'!AF187</f>
        <v>16.3</v>
      </c>
      <c r="AG188" s="16">
        <f>'Clean Data'!AG187</f>
        <v>3.3</v>
      </c>
      <c r="AH188" s="16" t="str">
        <f>'Clean Data'!AH187</f>
        <v>NaN</v>
      </c>
      <c r="AI188" s="16">
        <f>'Clean Data'!AI187</f>
        <v>2.8</v>
      </c>
      <c r="AJ188" s="16" t="str">
        <f>'Clean Data'!AJ187</f>
        <v>NaN</v>
      </c>
      <c r="AK188" s="16" t="str">
        <f>'Clean Data'!AK187</f>
        <v>NaN</v>
      </c>
      <c r="AL188" s="16" t="str">
        <f>'Clean Data'!AL187</f>
        <v>NaN</v>
      </c>
      <c r="AM188" s="16" t="str">
        <f>'Clean Data'!AM187</f>
        <v>NaN</v>
      </c>
      <c r="AN188" s="16" t="str">
        <f>'Clean Data'!AN187</f>
        <v>NaN</v>
      </c>
      <c r="AO188" s="16" t="str">
        <f>'Clean Data'!AO187</f>
        <v>Karatas, Fuel 2018, 214, 285-292</v>
      </c>
      <c r="AP188" s="16"/>
      <c r="AQ188" s="16"/>
      <c r="AR188" s="16"/>
      <c r="AS188" s="16"/>
      <c r="AT188" s="16"/>
    </row>
    <row r="189" spans="1:46" x14ac:dyDescent="0.3">
      <c r="A189" s="16">
        <f>'Clean Data'!A188</f>
        <v>187</v>
      </c>
      <c r="B189" s="16" t="str">
        <f>'Clean Data'!B188</f>
        <v>woody biomass</v>
      </c>
      <c r="C189" s="16" t="str">
        <f>'Clean Data'!C188</f>
        <v>particles</v>
      </c>
      <c r="D189" s="16">
        <f>'Clean Data'!D188</f>
        <v>1.25</v>
      </c>
      <c r="E189" s="16">
        <f>'Clean Data'!E188</f>
        <v>17.82</v>
      </c>
      <c r="F189" s="16">
        <f>'Clean Data'!F188</f>
        <v>50.025067682743405</v>
      </c>
      <c r="G189" s="16">
        <f>'Clean Data'!G188</f>
        <v>5.9260002005414618</v>
      </c>
      <c r="H189" s="16">
        <f>'Clean Data'!H188</f>
        <v>0.40108292389451522</v>
      </c>
      <c r="I189" s="16">
        <f>'Clean Data'!I188</f>
        <v>0.1002707309736288</v>
      </c>
      <c r="J189" s="16">
        <f>'Clean Data'!J188</f>
        <v>43.547578461846989</v>
      </c>
      <c r="K189" s="16">
        <f>'Clean Data'!K188</f>
        <v>0.27</v>
      </c>
      <c r="L189" s="16">
        <f>'Clean Data'!L188</f>
        <v>0</v>
      </c>
      <c r="M189" s="16">
        <f>'Clean Data'!M188</f>
        <v>83.17</v>
      </c>
      <c r="N189" s="16">
        <f>'Clean Data'!N188</f>
        <v>16.559999999999999</v>
      </c>
      <c r="O189" s="16" t="str">
        <f>'Clean Data'!O188</f>
        <v>NaN</v>
      </c>
      <c r="P189" s="16" t="str">
        <f>'Clean Data'!P188</f>
        <v>NaN</v>
      </c>
      <c r="Q189" s="16" t="str">
        <f>'Clean Data'!Q188</f>
        <v>NaN</v>
      </c>
      <c r="R189" s="16">
        <f>'Clean Data'!R188</f>
        <v>770</v>
      </c>
      <c r="S189" s="16" t="str">
        <f>'Clean Data'!S188</f>
        <v>continuous</v>
      </c>
      <c r="T189" s="16" t="str">
        <f>'Clean Data'!T188</f>
        <v>atmospheric</v>
      </c>
      <c r="U189" s="16">
        <f>'Clean Data'!U188</f>
        <v>40</v>
      </c>
      <c r="V189" s="16" t="str">
        <f>'Clean Data'!V188</f>
        <v>NaN</v>
      </c>
      <c r="W189" s="16">
        <f>'Clean Data'!W188</f>
        <v>0.19</v>
      </c>
      <c r="X189" s="16" t="str">
        <f>'Clean Data'!X188</f>
        <v>air</v>
      </c>
      <c r="Y189" s="16" t="str">
        <f>'Clean Data'!Y188</f>
        <v>fluidised bed</v>
      </c>
      <c r="Z189" s="16" t="str">
        <f>'Clean Data'!Z188</f>
        <v>silica</v>
      </c>
      <c r="AA189" s="16">
        <f>'Clean Data'!AA188</f>
        <v>0</v>
      </c>
      <c r="AB189" s="16" t="str">
        <f>'Clean Data'!AB188</f>
        <v>lab</v>
      </c>
      <c r="AC189" s="16">
        <f>'Clean Data'!AC188</f>
        <v>54.800000000000011</v>
      </c>
      <c r="AD189" s="16">
        <f>'Clean Data'!AD188</f>
        <v>5.6</v>
      </c>
      <c r="AE189" s="16">
        <f>'Clean Data'!AE188</f>
        <v>19.100000000000001</v>
      </c>
      <c r="AF189" s="16">
        <f>'Clean Data'!AF188</f>
        <v>13.8</v>
      </c>
      <c r="AG189" s="16">
        <f>'Clean Data'!AG188</f>
        <v>6.7</v>
      </c>
      <c r="AH189" s="16" t="str">
        <f>'Clean Data'!AH188</f>
        <v>NaN</v>
      </c>
      <c r="AI189" s="16">
        <f>'Clean Data'!AI188</f>
        <v>5.4</v>
      </c>
      <c r="AJ189" s="16" t="str">
        <f>'Clean Data'!AJ188</f>
        <v>NaN</v>
      </c>
      <c r="AK189" s="16" t="str">
        <f>'Clean Data'!AK188</f>
        <v>NaN</v>
      </c>
      <c r="AL189" s="16" t="str">
        <f>'Clean Data'!AL188</f>
        <v>NaN</v>
      </c>
      <c r="AM189" s="16" t="str">
        <f>'Clean Data'!AM188</f>
        <v>NaN</v>
      </c>
      <c r="AN189" s="16" t="str">
        <f>'Clean Data'!AN188</f>
        <v>NaN</v>
      </c>
      <c r="AO189" s="16" t="str">
        <f>'Clean Data'!AO188</f>
        <v>Karatas, Fuel 2018, 214, 285-292</v>
      </c>
      <c r="AP189" s="16"/>
      <c r="AQ189" s="16"/>
      <c r="AR189" s="16"/>
      <c r="AS189" s="16"/>
      <c r="AT189" s="16"/>
    </row>
    <row r="190" spans="1:46" x14ac:dyDescent="0.3">
      <c r="A190" s="16">
        <f>'Clean Data'!A189</f>
        <v>188</v>
      </c>
      <c r="B190" s="16" t="str">
        <f>'Clean Data'!B189</f>
        <v>woody biomass</v>
      </c>
      <c r="C190" s="16" t="str">
        <f>'Clean Data'!C189</f>
        <v>particles</v>
      </c>
      <c r="D190" s="16">
        <f>'Clean Data'!D189</f>
        <v>1.25</v>
      </c>
      <c r="E190" s="16">
        <f>'Clean Data'!E189</f>
        <v>17.82</v>
      </c>
      <c r="F190" s="16">
        <f>'Clean Data'!F189</f>
        <v>50.025067682743405</v>
      </c>
      <c r="G190" s="16">
        <f>'Clean Data'!G189</f>
        <v>5.9260002005414618</v>
      </c>
      <c r="H190" s="16">
        <f>'Clean Data'!H189</f>
        <v>0.40108292389451522</v>
      </c>
      <c r="I190" s="16">
        <f>'Clean Data'!I189</f>
        <v>0.1002707309736288</v>
      </c>
      <c r="J190" s="16">
        <f>'Clean Data'!J189</f>
        <v>43.547578461846989</v>
      </c>
      <c r="K190" s="16">
        <f>'Clean Data'!K189</f>
        <v>0.27</v>
      </c>
      <c r="L190" s="16">
        <f>'Clean Data'!L189</f>
        <v>0</v>
      </c>
      <c r="M190" s="16">
        <f>'Clean Data'!M189</f>
        <v>83.17</v>
      </c>
      <c r="N190" s="16">
        <f>'Clean Data'!N189</f>
        <v>16.559999999999999</v>
      </c>
      <c r="O190" s="16" t="str">
        <f>'Clean Data'!O189</f>
        <v>NaN</v>
      </c>
      <c r="P190" s="16" t="str">
        <f>'Clean Data'!P189</f>
        <v>NaN</v>
      </c>
      <c r="Q190" s="16" t="str">
        <f>'Clean Data'!Q189</f>
        <v>NaN</v>
      </c>
      <c r="R190" s="16">
        <f>'Clean Data'!R189</f>
        <v>770</v>
      </c>
      <c r="S190" s="16" t="str">
        <f>'Clean Data'!S189</f>
        <v>continuous</v>
      </c>
      <c r="T190" s="16" t="str">
        <f>'Clean Data'!T189</f>
        <v>atmospheric</v>
      </c>
      <c r="U190" s="16">
        <f>'Clean Data'!U189</f>
        <v>40</v>
      </c>
      <c r="V190" s="16" t="str">
        <f>'Clean Data'!V189</f>
        <v>NaN</v>
      </c>
      <c r="W190" s="16">
        <f>'Clean Data'!W189</f>
        <v>0.24</v>
      </c>
      <c r="X190" s="16" t="str">
        <f>'Clean Data'!X189</f>
        <v>air</v>
      </c>
      <c r="Y190" s="16" t="str">
        <f>'Clean Data'!Y189</f>
        <v>fluidised bed</v>
      </c>
      <c r="Z190" s="16" t="str">
        <f>'Clean Data'!Z189</f>
        <v>silica</v>
      </c>
      <c r="AA190" s="16">
        <f>'Clean Data'!AA189</f>
        <v>0</v>
      </c>
      <c r="AB190" s="16" t="str">
        <f>'Clean Data'!AB189</f>
        <v>lab</v>
      </c>
      <c r="AC190" s="16">
        <f>'Clean Data'!AC189</f>
        <v>57.199999999999989</v>
      </c>
      <c r="AD190" s="16">
        <f>'Clean Data'!AD189</f>
        <v>4.4000000000000004</v>
      </c>
      <c r="AE190" s="16">
        <f>'Clean Data'!AE189</f>
        <v>17.399999999999999</v>
      </c>
      <c r="AF190" s="16">
        <f>'Clean Data'!AF189</f>
        <v>15.2</v>
      </c>
      <c r="AG190" s="16">
        <f>'Clean Data'!AG189</f>
        <v>5.8</v>
      </c>
      <c r="AH190" s="16" t="str">
        <f>'Clean Data'!AH189</f>
        <v>NaN</v>
      </c>
      <c r="AI190" s="16">
        <f>'Clean Data'!AI189</f>
        <v>4.7</v>
      </c>
      <c r="AJ190" s="16" t="str">
        <f>'Clean Data'!AJ189</f>
        <v>NaN</v>
      </c>
      <c r="AK190" s="16" t="str">
        <f>'Clean Data'!AK189</f>
        <v>NaN</v>
      </c>
      <c r="AL190" s="16" t="str">
        <f>'Clean Data'!AL189</f>
        <v>NaN</v>
      </c>
      <c r="AM190" s="16" t="str">
        <f>'Clean Data'!AM189</f>
        <v>NaN</v>
      </c>
      <c r="AN190" s="16" t="str">
        <f>'Clean Data'!AN189</f>
        <v>NaN</v>
      </c>
      <c r="AO190" s="16" t="str">
        <f>'Clean Data'!AO189</f>
        <v>Karatas, Fuel 2018, 214, 285-292</v>
      </c>
      <c r="AP190" s="16"/>
      <c r="AQ190" s="16"/>
      <c r="AR190" s="16"/>
      <c r="AS190" s="16"/>
      <c r="AT190" s="16"/>
    </row>
    <row r="191" spans="1:46" x14ac:dyDescent="0.3">
      <c r="A191" s="16">
        <f>'Clean Data'!A190</f>
        <v>189</v>
      </c>
      <c r="B191" s="16" t="str">
        <f>'Clean Data'!B190</f>
        <v>woody biomass</v>
      </c>
      <c r="C191" s="16" t="str">
        <f>'Clean Data'!C190</f>
        <v>particles</v>
      </c>
      <c r="D191" s="16">
        <f>'Clean Data'!D190</f>
        <v>1.25</v>
      </c>
      <c r="E191" s="16">
        <f>'Clean Data'!E190</f>
        <v>17.82</v>
      </c>
      <c r="F191" s="16">
        <f>'Clean Data'!F190</f>
        <v>50.025067682743405</v>
      </c>
      <c r="G191" s="16">
        <f>'Clean Data'!G190</f>
        <v>5.9260002005414618</v>
      </c>
      <c r="H191" s="16">
        <f>'Clean Data'!H190</f>
        <v>0.40108292389451522</v>
      </c>
      <c r="I191" s="16">
        <f>'Clean Data'!I190</f>
        <v>0.1002707309736288</v>
      </c>
      <c r="J191" s="16">
        <f>'Clean Data'!J190</f>
        <v>43.547578461846989</v>
      </c>
      <c r="K191" s="16">
        <f>'Clean Data'!K190</f>
        <v>0.27</v>
      </c>
      <c r="L191" s="16">
        <f>'Clean Data'!L190</f>
        <v>0</v>
      </c>
      <c r="M191" s="16">
        <f>'Clean Data'!M190</f>
        <v>83.17</v>
      </c>
      <c r="N191" s="16">
        <f>'Clean Data'!N190</f>
        <v>16.559999999999999</v>
      </c>
      <c r="O191" s="16" t="str">
        <f>'Clean Data'!O190</f>
        <v>NaN</v>
      </c>
      <c r="P191" s="16" t="str">
        <f>'Clean Data'!P190</f>
        <v>NaN</v>
      </c>
      <c r="Q191" s="16" t="str">
        <f>'Clean Data'!Q190</f>
        <v>NaN</v>
      </c>
      <c r="R191" s="16">
        <f>'Clean Data'!R190</f>
        <v>770</v>
      </c>
      <c r="S191" s="16" t="str">
        <f>'Clean Data'!S190</f>
        <v>continuous</v>
      </c>
      <c r="T191" s="16" t="str">
        <f>'Clean Data'!T190</f>
        <v>atmospheric</v>
      </c>
      <c r="U191" s="16">
        <f>'Clean Data'!U190</f>
        <v>40</v>
      </c>
      <c r="V191" s="16" t="str">
        <f>'Clean Data'!V190</f>
        <v>NaN</v>
      </c>
      <c r="W191" s="16">
        <f>'Clean Data'!W190</f>
        <v>0.31</v>
      </c>
      <c r="X191" s="16" t="str">
        <f>'Clean Data'!X190</f>
        <v>air</v>
      </c>
      <c r="Y191" s="16" t="str">
        <f>'Clean Data'!Y190</f>
        <v>fluidised bed</v>
      </c>
      <c r="Z191" s="16" t="str">
        <f>'Clean Data'!Z190</f>
        <v>silica</v>
      </c>
      <c r="AA191" s="16">
        <f>'Clean Data'!AA190</f>
        <v>0</v>
      </c>
      <c r="AB191" s="16" t="str">
        <f>'Clean Data'!AB190</f>
        <v>lab</v>
      </c>
      <c r="AC191" s="16">
        <f>'Clean Data'!AC190</f>
        <v>61.400000000000006</v>
      </c>
      <c r="AD191" s="16">
        <f>'Clean Data'!AD190</f>
        <v>3.6</v>
      </c>
      <c r="AE191" s="16">
        <f>'Clean Data'!AE190</f>
        <v>14.5</v>
      </c>
      <c r="AF191" s="16">
        <f>'Clean Data'!AF190</f>
        <v>16</v>
      </c>
      <c r="AG191" s="16">
        <f>'Clean Data'!AG190</f>
        <v>4.5</v>
      </c>
      <c r="AH191" s="16" t="str">
        <f>'Clean Data'!AH190</f>
        <v>NaN</v>
      </c>
      <c r="AI191" s="16">
        <f>'Clean Data'!AI190</f>
        <v>3.8</v>
      </c>
      <c r="AJ191" s="16" t="str">
        <f>'Clean Data'!AJ190</f>
        <v>NaN</v>
      </c>
      <c r="AK191" s="16" t="str">
        <f>'Clean Data'!AK190</f>
        <v>NaN</v>
      </c>
      <c r="AL191" s="16" t="str">
        <f>'Clean Data'!AL190</f>
        <v>NaN</v>
      </c>
      <c r="AM191" s="16" t="str">
        <f>'Clean Data'!AM190</f>
        <v>NaN</v>
      </c>
      <c r="AN191" s="16" t="str">
        <f>'Clean Data'!AN190</f>
        <v>NaN</v>
      </c>
      <c r="AO191" s="16" t="str">
        <f>'Clean Data'!AO190</f>
        <v>Karatas, Fuel 2018, 214, 285-292</v>
      </c>
      <c r="AP191" s="16"/>
      <c r="AQ191" s="16"/>
      <c r="AR191" s="16"/>
      <c r="AS191" s="16"/>
      <c r="AT191" s="16"/>
    </row>
    <row r="192" spans="1:46" x14ac:dyDescent="0.3">
      <c r="A192" s="16">
        <f>'Clean Data'!A191</f>
        <v>190</v>
      </c>
      <c r="B192" s="16" t="str">
        <f>'Clean Data'!B191</f>
        <v>woody biomass</v>
      </c>
      <c r="C192" s="16" t="str">
        <f>'Clean Data'!C191</f>
        <v>particles</v>
      </c>
      <c r="D192" s="16">
        <f>'Clean Data'!D191</f>
        <v>1.25</v>
      </c>
      <c r="E192" s="16">
        <f>'Clean Data'!E191</f>
        <v>17.82</v>
      </c>
      <c r="F192" s="16">
        <f>'Clean Data'!F191</f>
        <v>50.025067682743405</v>
      </c>
      <c r="G192" s="16">
        <f>'Clean Data'!G191</f>
        <v>5.9260002005414618</v>
      </c>
      <c r="H192" s="16">
        <f>'Clean Data'!H191</f>
        <v>0.40108292389451522</v>
      </c>
      <c r="I192" s="16">
        <f>'Clean Data'!I191</f>
        <v>0.1002707309736288</v>
      </c>
      <c r="J192" s="16">
        <f>'Clean Data'!J191</f>
        <v>43.547578461846989</v>
      </c>
      <c r="K192" s="16">
        <f>'Clean Data'!K191</f>
        <v>0.27</v>
      </c>
      <c r="L192" s="16">
        <f>'Clean Data'!L191</f>
        <v>0</v>
      </c>
      <c r="M192" s="16">
        <f>'Clean Data'!M191</f>
        <v>83.17</v>
      </c>
      <c r="N192" s="16">
        <f>'Clean Data'!N191</f>
        <v>16.559999999999999</v>
      </c>
      <c r="O192" s="16" t="str">
        <f>'Clean Data'!O191</f>
        <v>NaN</v>
      </c>
      <c r="P192" s="16" t="str">
        <f>'Clean Data'!P191</f>
        <v>NaN</v>
      </c>
      <c r="Q192" s="16" t="str">
        <f>'Clean Data'!Q191</f>
        <v>NaN</v>
      </c>
      <c r="R192" s="16">
        <f>'Clean Data'!R191</f>
        <v>770</v>
      </c>
      <c r="S192" s="16" t="str">
        <f>'Clean Data'!S191</f>
        <v>continuous</v>
      </c>
      <c r="T192" s="16" t="str">
        <f>'Clean Data'!T191</f>
        <v>atmospheric</v>
      </c>
      <c r="U192" s="16">
        <f>'Clean Data'!U191</f>
        <v>40</v>
      </c>
      <c r="V192" s="16" t="str">
        <f>'Clean Data'!V191</f>
        <v>NaN</v>
      </c>
      <c r="W192" s="16">
        <f>'Clean Data'!W191</f>
        <v>0.37</v>
      </c>
      <c r="X192" s="16" t="str">
        <f>'Clean Data'!X191</f>
        <v>air</v>
      </c>
      <c r="Y192" s="16" t="str">
        <f>'Clean Data'!Y191</f>
        <v>fluidised bed</v>
      </c>
      <c r="Z192" s="16" t="str">
        <f>'Clean Data'!Z191</f>
        <v>silica</v>
      </c>
      <c r="AA192" s="16">
        <f>'Clean Data'!AA191</f>
        <v>0</v>
      </c>
      <c r="AB192" s="16" t="str">
        <f>'Clean Data'!AB191</f>
        <v>lab</v>
      </c>
      <c r="AC192" s="16">
        <f>'Clean Data'!AC191</f>
        <v>64.600000000000009</v>
      </c>
      <c r="AD192" s="16">
        <f>'Clean Data'!AD191</f>
        <v>3.1</v>
      </c>
      <c r="AE192" s="16">
        <f>'Clean Data'!AE191</f>
        <v>12.4</v>
      </c>
      <c r="AF192" s="16">
        <f>'Clean Data'!AF191</f>
        <v>16.3</v>
      </c>
      <c r="AG192" s="16">
        <f>'Clean Data'!AG191</f>
        <v>3.6</v>
      </c>
      <c r="AH192" s="16" t="str">
        <f>'Clean Data'!AH191</f>
        <v>NaN</v>
      </c>
      <c r="AI192" s="16">
        <f>'Clean Data'!AI191</f>
        <v>3.2</v>
      </c>
      <c r="AJ192" s="16" t="str">
        <f>'Clean Data'!AJ191</f>
        <v>NaN</v>
      </c>
      <c r="AK192" s="16" t="str">
        <f>'Clean Data'!AK191</f>
        <v>NaN</v>
      </c>
      <c r="AL192" s="16" t="str">
        <f>'Clean Data'!AL191</f>
        <v>NaN</v>
      </c>
      <c r="AM192" s="16" t="str">
        <f>'Clean Data'!AM191</f>
        <v>NaN</v>
      </c>
      <c r="AN192" s="16" t="str">
        <f>'Clean Data'!AN191</f>
        <v>NaN</v>
      </c>
      <c r="AO192" s="16" t="str">
        <f>'Clean Data'!AO191</f>
        <v>Karatas, Fuel 2018, 214, 285-292</v>
      </c>
      <c r="AP192" s="16"/>
      <c r="AQ192" s="16"/>
      <c r="AR192" s="16"/>
      <c r="AS192" s="16"/>
      <c r="AT192" s="16"/>
    </row>
    <row r="193" spans="1:46" x14ac:dyDescent="0.3">
      <c r="A193" s="16">
        <f>'Clean Data'!A192</f>
        <v>191</v>
      </c>
      <c r="B193" s="16" t="str">
        <f>'Clean Data'!B192</f>
        <v>woody biomass</v>
      </c>
      <c r="C193" s="16" t="str">
        <f>'Clean Data'!C192</f>
        <v>particles</v>
      </c>
      <c r="D193" s="16">
        <f>'Clean Data'!D192</f>
        <v>1.25</v>
      </c>
      <c r="E193" s="16">
        <f>'Clean Data'!E192</f>
        <v>18.196000000000002</v>
      </c>
      <c r="F193" s="16">
        <f>'Clean Data'!F192</f>
        <v>54.839367669556353</v>
      </c>
      <c r="G193" s="16">
        <f>'Clean Data'!G192</f>
        <v>5.497195308516063</v>
      </c>
      <c r="H193" s="16">
        <f>'Clean Data'!H192</f>
        <v>0.43855175930647627</v>
      </c>
      <c r="I193" s="16">
        <f>'Clean Data'!I192</f>
        <v>0.12238653748087709</v>
      </c>
      <c r="J193" s="16">
        <f>'Clean Data'!J192</f>
        <v>39.102498725140237</v>
      </c>
      <c r="K193" s="16">
        <f>'Clean Data'!K192</f>
        <v>1.95</v>
      </c>
      <c r="L193" s="16">
        <f>'Clean Data'!L192</f>
        <v>0</v>
      </c>
      <c r="M193" s="16">
        <f>'Clean Data'!M192</f>
        <v>74.23</v>
      </c>
      <c r="N193" s="16">
        <f>'Clean Data'!N192</f>
        <v>23.82</v>
      </c>
      <c r="O193" s="16" t="str">
        <f>'Clean Data'!O192</f>
        <v>NaN</v>
      </c>
      <c r="P193" s="16" t="str">
        <f>'Clean Data'!P192</f>
        <v>NaN</v>
      </c>
      <c r="Q193" s="16" t="str">
        <f>'Clean Data'!Q192</f>
        <v>NaN</v>
      </c>
      <c r="R193" s="16">
        <f>'Clean Data'!R192</f>
        <v>770</v>
      </c>
      <c r="S193" s="16" t="str">
        <f>'Clean Data'!S192</f>
        <v>continuous</v>
      </c>
      <c r="T193" s="16" t="str">
        <f>'Clean Data'!T192</f>
        <v>atmospheric</v>
      </c>
      <c r="U193" s="16">
        <f>'Clean Data'!U192</f>
        <v>40</v>
      </c>
      <c r="V193" s="16">
        <f>'Clean Data'!V192</f>
        <v>0.41</v>
      </c>
      <c r="W193" s="16" t="str">
        <f>'Clean Data'!W192</f>
        <v>NaN</v>
      </c>
      <c r="X193" s="16" t="str">
        <f>'Clean Data'!X192</f>
        <v>steam</v>
      </c>
      <c r="Y193" s="16" t="str">
        <f>'Clean Data'!Y192</f>
        <v>fluidised bed</v>
      </c>
      <c r="Z193" s="16" t="str">
        <f>'Clean Data'!Z192</f>
        <v>silica</v>
      </c>
      <c r="AA193" s="16">
        <f>'Clean Data'!AA192</f>
        <v>0</v>
      </c>
      <c r="AB193" s="16" t="str">
        <f>'Clean Data'!AB192</f>
        <v>lab</v>
      </c>
      <c r="AC193" s="16">
        <f>'Clean Data'!AC192</f>
        <v>23.299999999999997</v>
      </c>
      <c r="AD193" s="16">
        <f>'Clean Data'!AD192</f>
        <v>32</v>
      </c>
      <c r="AE193" s="16">
        <f>'Clean Data'!AE192</f>
        <v>23.2</v>
      </c>
      <c r="AF193" s="16">
        <f>'Clean Data'!AF192</f>
        <v>13.1</v>
      </c>
      <c r="AG193" s="16">
        <f>'Clean Data'!AG192</f>
        <v>8.4</v>
      </c>
      <c r="AH193" s="16" t="str">
        <f>'Clean Data'!AH192</f>
        <v>NaN</v>
      </c>
      <c r="AI193" s="16">
        <f>'Clean Data'!AI192</f>
        <v>9.4</v>
      </c>
      <c r="AJ193" s="16" t="str">
        <f>'Clean Data'!AJ192</f>
        <v>NaN</v>
      </c>
      <c r="AK193" s="16" t="str">
        <f>'Clean Data'!AK192</f>
        <v>NaN</v>
      </c>
      <c r="AL193" s="16" t="str">
        <f>'Clean Data'!AL192</f>
        <v>NaN</v>
      </c>
      <c r="AM193" s="16" t="str">
        <f>'Clean Data'!AM192</f>
        <v>NaN</v>
      </c>
      <c r="AN193" s="16" t="str">
        <f>'Clean Data'!AN192</f>
        <v>NaN</v>
      </c>
      <c r="AO193" s="16" t="str">
        <f>'Clean Data'!AO192</f>
        <v>Karatas, Fuel 2018, 214, 285-292</v>
      </c>
      <c r="AP193" s="16"/>
      <c r="AQ193" s="16"/>
      <c r="AR193" s="16"/>
      <c r="AS193" s="16"/>
      <c r="AT193" s="16"/>
    </row>
    <row r="194" spans="1:46" x14ac:dyDescent="0.3">
      <c r="A194" s="16">
        <f>'Clean Data'!A193</f>
        <v>192</v>
      </c>
      <c r="B194" s="16" t="str">
        <f>'Clean Data'!B193</f>
        <v>woody biomass</v>
      </c>
      <c r="C194" s="16" t="str">
        <f>'Clean Data'!C193</f>
        <v>particles</v>
      </c>
      <c r="D194" s="16">
        <f>'Clean Data'!D193</f>
        <v>1.25</v>
      </c>
      <c r="E194" s="16">
        <f>'Clean Data'!E193</f>
        <v>18.196000000000002</v>
      </c>
      <c r="F194" s="16">
        <f>'Clean Data'!F193</f>
        <v>54.839367669556353</v>
      </c>
      <c r="G194" s="16">
        <f>'Clean Data'!G193</f>
        <v>5.497195308516063</v>
      </c>
      <c r="H194" s="16">
        <f>'Clean Data'!H193</f>
        <v>0.43855175930647627</v>
      </c>
      <c r="I194" s="16">
        <f>'Clean Data'!I193</f>
        <v>0.12238653748087709</v>
      </c>
      <c r="J194" s="16">
        <f>'Clean Data'!J193</f>
        <v>39.102498725140237</v>
      </c>
      <c r="K194" s="16">
        <f>'Clean Data'!K193</f>
        <v>1.95</v>
      </c>
      <c r="L194" s="16">
        <f>'Clean Data'!L193</f>
        <v>0</v>
      </c>
      <c r="M194" s="16">
        <f>'Clean Data'!M193</f>
        <v>74.23</v>
      </c>
      <c r="N194" s="16">
        <f>'Clean Data'!N193</f>
        <v>23.82</v>
      </c>
      <c r="O194" s="16" t="str">
        <f>'Clean Data'!O193</f>
        <v>NaN</v>
      </c>
      <c r="P194" s="16" t="str">
        <f>'Clean Data'!P193</f>
        <v>NaN</v>
      </c>
      <c r="Q194" s="16" t="str">
        <f>'Clean Data'!Q193</f>
        <v>NaN</v>
      </c>
      <c r="R194" s="16">
        <f>'Clean Data'!R193</f>
        <v>770</v>
      </c>
      <c r="S194" s="16" t="str">
        <f>'Clean Data'!S193</f>
        <v>continuous</v>
      </c>
      <c r="T194" s="16" t="str">
        <f>'Clean Data'!T193</f>
        <v>atmospheric</v>
      </c>
      <c r="U194" s="16">
        <f>'Clean Data'!U193</f>
        <v>40</v>
      </c>
      <c r="V194" s="16">
        <f>'Clean Data'!V193</f>
        <v>0.63</v>
      </c>
      <c r="W194" s="16" t="str">
        <f>'Clean Data'!W193</f>
        <v>NaN</v>
      </c>
      <c r="X194" s="16" t="str">
        <f>'Clean Data'!X193</f>
        <v>steam</v>
      </c>
      <c r="Y194" s="16" t="str">
        <f>'Clean Data'!Y193</f>
        <v>fluidised bed</v>
      </c>
      <c r="Z194" s="16" t="str">
        <f>'Clean Data'!Z193</f>
        <v>silica</v>
      </c>
      <c r="AA194" s="16">
        <f>'Clean Data'!AA193</f>
        <v>0</v>
      </c>
      <c r="AB194" s="16" t="str">
        <f>'Clean Data'!AB193</f>
        <v>lab</v>
      </c>
      <c r="AC194" s="16">
        <f>'Clean Data'!AC193</f>
        <v>8.9999999999999964</v>
      </c>
      <c r="AD194" s="16">
        <f>'Clean Data'!AD193</f>
        <v>42.4</v>
      </c>
      <c r="AE194" s="16">
        <f>'Clean Data'!AE193</f>
        <v>21.8</v>
      </c>
      <c r="AF194" s="16">
        <f>'Clean Data'!AF193</f>
        <v>19</v>
      </c>
      <c r="AG194" s="16">
        <f>'Clean Data'!AG193</f>
        <v>7.8</v>
      </c>
      <c r="AH194" s="16" t="str">
        <f>'Clean Data'!AH193</f>
        <v>NaN</v>
      </c>
      <c r="AI194" s="16">
        <f>'Clean Data'!AI193</f>
        <v>10.1</v>
      </c>
      <c r="AJ194" s="16" t="str">
        <f>'Clean Data'!AJ193</f>
        <v>NaN</v>
      </c>
      <c r="AK194" s="16" t="str">
        <f>'Clean Data'!AK193</f>
        <v>NaN</v>
      </c>
      <c r="AL194" s="16" t="str">
        <f>'Clean Data'!AL193</f>
        <v>NaN</v>
      </c>
      <c r="AM194" s="16" t="str">
        <f>'Clean Data'!AM193</f>
        <v>NaN</v>
      </c>
      <c r="AN194" s="16" t="str">
        <f>'Clean Data'!AN193</f>
        <v>NaN</v>
      </c>
      <c r="AO194" s="16" t="str">
        <f>'Clean Data'!AO193</f>
        <v>Karatas, Fuel 2018, 214, 285-292</v>
      </c>
      <c r="AP194" s="16"/>
      <c r="AQ194" s="16"/>
      <c r="AR194" s="16"/>
      <c r="AS194" s="16"/>
      <c r="AT194" s="16"/>
    </row>
    <row r="195" spans="1:46" x14ac:dyDescent="0.3">
      <c r="A195" s="16">
        <f>'Clean Data'!A194</f>
        <v>193</v>
      </c>
      <c r="B195" s="16" t="str">
        <f>'Clean Data'!B194</f>
        <v>woody biomass</v>
      </c>
      <c r="C195" s="16" t="str">
        <f>'Clean Data'!C194</f>
        <v>particles</v>
      </c>
      <c r="D195" s="16">
        <f>'Clean Data'!D194</f>
        <v>1.25</v>
      </c>
      <c r="E195" s="16">
        <f>'Clean Data'!E194</f>
        <v>18.196000000000002</v>
      </c>
      <c r="F195" s="16">
        <f>'Clean Data'!F194</f>
        <v>54.839367669556353</v>
      </c>
      <c r="G195" s="16">
        <f>'Clean Data'!G194</f>
        <v>5.497195308516063</v>
      </c>
      <c r="H195" s="16">
        <f>'Clean Data'!H194</f>
        <v>0.43855175930647627</v>
      </c>
      <c r="I195" s="16">
        <f>'Clean Data'!I194</f>
        <v>0.12238653748087709</v>
      </c>
      <c r="J195" s="16">
        <f>'Clean Data'!J194</f>
        <v>39.102498725140237</v>
      </c>
      <c r="K195" s="16">
        <f>'Clean Data'!K194</f>
        <v>1.95</v>
      </c>
      <c r="L195" s="16">
        <f>'Clean Data'!L194</f>
        <v>0</v>
      </c>
      <c r="M195" s="16">
        <f>'Clean Data'!M194</f>
        <v>74.23</v>
      </c>
      <c r="N195" s="16">
        <f>'Clean Data'!N194</f>
        <v>23.82</v>
      </c>
      <c r="O195" s="16" t="str">
        <f>'Clean Data'!O194</f>
        <v>NaN</v>
      </c>
      <c r="P195" s="16" t="str">
        <f>'Clean Data'!P194</f>
        <v>NaN</v>
      </c>
      <c r="Q195" s="16" t="str">
        <f>'Clean Data'!Q194</f>
        <v>NaN</v>
      </c>
      <c r="R195" s="16">
        <f>'Clean Data'!R194</f>
        <v>770</v>
      </c>
      <c r="S195" s="16" t="str">
        <f>'Clean Data'!S194</f>
        <v>continuous</v>
      </c>
      <c r="T195" s="16" t="str">
        <f>'Clean Data'!T194</f>
        <v>atmospheric</v>
      </c>
      <c r="U195" s="16">
        <f>'Clean Data'!U194</f>
        <v>40</v>
      </c>
      <c r="V195" s="16">
        <f>'Clean Data'!V194</f>
        <v>0.97</v>
      </c>
      <c r="W195" s="16" t="str">
        <f>'Clean Data'!W194</f>
        <v>NaN</v>
      </c>
      <c r="X195" s="16" t="str">
        <f>'Clean Data'!X194</f>
        <v>steam</v>
      </c>
      <c r="Y195" s="16" t="str">
        <f>'Clean Data'!Y194</f>
        <v>fluidised bed</v>
      </c>
      <c r="Z195" s="16" t="str">
        <f>'Clean Data'!Z194</f>
        <v>silica</v>
      </c>
      <c r="AA195" s="16">
        <f>'Clean Data'!AA194</f>
        <v>0</v>
      </c>
      <c r="AB195" s="16" t="str">
        <f>'Clean Data'!AB194</f>
        <v>lab</v>
      </c>
      <c r="AC195" s="16">
        <f>'Clean Data'!AC194</f>
        <v>6.700000000000002</v>
      </c>
      <c r="AD195" s="16">
        <f>'Clean Data'!AD194</f>
        <v>48</v>
      </c>
      <c r="AE195" s="16">
        <f>'Clean Data'!AE194</f>
        <v>17.8</v>
      </c>
      <c r="AF195" s="16">
        <f>'Clean Data'!AF194</f>
        <v>21.8</v>
      </c>
      <c r="AG195" s="16">
        <f>'Clean Data'!AG194</f>
        <v>5.7</v>
      </c>
      <c r="AH195" s="16" t="str">
        <f>'Clean Data'!AH194</f>
        <v>NaN</v>
      </c>
      <c r="AI195" s="16">
        <f>'Clean Data'!AI194</f>
        <v>9.3000000000000007</v>
      </c>
      <c r="AJ195" s="16" t="str">
        <f>'Clean Data'!AJ194</f>
        <v>NaN</v>
      </c>
      <c r="AK195" s="16" t="str">
        <f>'Clean Data'!AK194</f>
        <v>NaN</v>
      </c>
      <c r="AL195" s="16" t="str">
        <f>'Clean Data'!AL194</f>
        <v>NaN</v>
      </c>
      <c r="AM195" s="16" t="str">
        <f>'Clean Data'!AM194</f>
        <v>NaN</v>
      </c>
      <c r="AN195" s="16" t="str">
        <f>'Clean Data'!AN194</f>
        <v>NaN</v>
      </c>
      <c r="AO195" s="16" t="str">
        <f>'Clean Data'!AO194</f>
        <v>Karatas, Fuel 2018, 214, 285-292</v>
      </c>
      <c r="AP195" s="16"/>
      <c r="AQ195" s="16"/>
      <c r="AR195" s="16"/>
      <c r="AS195" s="16"/>
      <c r="AT195" s="16"/>
    </row>
    <row r="196" spans="1:46" x14ac:dyDescent="0.3">
      <c r="A196" s="16">
        <f>'Clean Data'!A195</f>
        <v>194</v>
      </c>
      <c r="B196" s="16" t="str">
        <f>'Clean Data'!B195</f>
        <v>woody biomass</v>
      </c>
      <c r="C196" s="16" t="str">
        <f>'Clean Data'!C195</f>
        <v>particles</v>
      </c>
      <c r="D196" s="16">
        <f>'Clean Data'!D195</f>
        <v>1.25</v>
      </c>
      <c r="E196" s="16">
        <f>'Clean Data'!E195</f>
        <v>18.196000000000002</v>
      </c>
      <c r="F196" s="16">
        <f>'Clean Data'!F195</f>
        <v>54.839367669556353</v>
      </c>
      <c r="G196" s="16">
        <f>'Clean Data'!G195</f>
        <v>5.497195308516063</v>
      </c>
      <c r="H196" s="16">
        <f>'Clean Data'!H195</f>
        <v>0.43855175930647627</v>
      </c>
      <c r="I196" s="16">
        <f>'Clean Data'!I195</f>
        <v>0.12238653748087709</v>
      </c>
      <c r="J196" s="16">
        <f>'Clean Data'!J195</f>
        <v>39.102498725140237</v>
      </c>
      <c r="K196" s="16">
        <f>'Clean Data'!K195</f>
        <v>1.95</v>
      </c>
      <c r="L196" s="16">
        <f>'Clean Data'!L195</f>
        <v>0</v>
      </c>
      <c r="M196" s="16">
        <f>'Clean Data'!M195</f>
        <v>74.23</v>
      </c>
      <c r="N196" s="16">
        <f>'Clean Data'!N195</f>
        <v>23.82</v>
      </c>
      <c r="O196" s="16" t="str">
        <f>'Clean Data'!O195</f>
        <v>NaN</v>
      </c>
      <c r="P196" s="16" t="str">
        <f>'Clean Data'!P195</f>
        <v>NaN</v>
      </c>
      <c r="Q196" s="16" t="str">
        <f>'Clean Data'!Q195</f>
        <v>NaN</v>
      </c>
      <c r="R196" s="16">
        <f>'Clean Data'!R195</f>
        <v>770</v>
      </c>
      <c r="S196" s="16" t="str">
        <f>'Clean Data'!S195</f>
        <v>continuous</v>
      </c>
      <c r="T196" s="16" t="str">
        <f>'Clean Data'!T195</f>
        <v>atmospheric</v>
      </c>
      <c r="U196" s="16">
        <f>'Clean Data'!U195</f>
        <v>40</v>
      </c>
      <c r="V196" s="16">
        <f>'Clean Data'!V195</f>
        <v>1.0900000000000001</v>
      </c>
      <c r="W196" s="16" t="str">
        <f>'Clean Data'!W195</f>
        <v>NaN</v>
      </c>
      <c r="X196" s="16" t="str">
        <f>'Clean Data'!X195</f>
        <v>steam</v>
      </c>
      <c r="Y196" s="16" t="str">
        <f>'Clean Data'!Y195</f>
        <v>fluidised bed</v>
      </c>
      <c r="Z196" s="16" t="str">
        <f>'Clean Data'!Z195</f>
        <v>silica</v>
      </c>
      <c r="AA196" s="16">
        <f>'Clean Data'!AA195</f>
        <v>0</v>
      </c>
      <c r="AB196" s="16" t="str">
        <f>'Clean Data'!AB195</f>
        <v>lab</v>
      </c>
      <c r="AC196" s="16">
        <f>'Clean Data'!AC195</f>
        <v>3.2</v>
      </c>
      <c r="AD196" s="16">
        <f>'Clean Data'!AD195</f>
        <v>52</v>
      </c>
      <c r="AE196" s="16">
        <f>'Clean Data'!AE195</f>
        <v>17</v>
      </c>
      <c r="AF196" s="16">
        <f>'Clean Data'!AF195</f>
        <v>22</v>
      </c>
      <c r="AG196" s="16">
        <f>'Clean Data'!AG195</f>
        <v>5.8</v>
      </c>
      <c r="AH196" s="16" t="str">
        <f>'Clean Data'!AH195</f>
        <v>NaN</v>
      </c>
      <c r="AI196" s="16">
        <f>'Clean Data'!AI195</f>
        <v>9.9</v>
      </c>
      <c r="AJ196" s="16" t="str">
        <f>'Clean Data'!AJ195</f>
        <v>NaN</v>
      </c>
      <c r="AK196" s="16" t="str">
        <f>'Clean Data'!AK195</f>
        <v>NaN</v>
      </c>
      <c r="AL196" s="16" t="str">
        <f>'Clean Data'!AL195</f>
        <v>NaN</v>
      </c>
      <c r="AM196" s="16" t="str">
        <f>'Clean Data'!AM195</f>
        <v>NaN</v>
      </c>
      <c r="AN196" s="16" t="str">
        <f>'Clean Data'!AN195</f>
        <v>NaN</v>
      </c>
      <c r="AO196" s="16" t="str">
        <f>'Clean Data'!AO195</f>
        <v>Karatas, Fuel 2018, 214, 285-292</v>
      </c>
      <c r="AP196" s="16"/>
      <c r="AQ196" s="16"/>
      <c r="AR196" s="16"/>
      <c r="AS196" s="16"/>
      <c r="AT196" s="16"/>
    </row>
    <row r="197" spans="1:46" x14ac:dyDescent="0.3">
      <c r="A197" s="16">
        <f>'Clean Data'!A196</f>
        <v>195</v>
      </c>
      <c r="B197" s="16" t="str">
        <f>'Clean Data'!B196</f>
        <v>woody biomass</v>
      </c>
      <c r="C197" s="16" t="str">
        <f>'Clean Data'!C196</f>
        <v>particles</v>
      </c>
      <c r="D197" s="16">
        <f>'Clean Data'!D196</f>
        <v>1.25</v>
      </c>
      <c r="E197" s="16">
        <f>'Clean Data'!E196</f>
        <v>17.82</v>
      </c>
      <c r="F197" s="16">
        <f>'Clean Data'!F196</f>
        <v>50.025067682743405</v>
      </c>
      <c r="G197" s="16">
        <f>'Clean Data'!G196</f>
        <v>5.9260002005414618</v>
      </c>
      <c r="H197" s="16">
        <f>'Clean Data'!H196</f>
        <v>0.40108292389451522</v>
      </c>
      <c r="I197" s="16">
        <f>'Clean Data'!I196</f>
        <v>0.1002707309736288</v>
      </c>
      <c r="J197" s="16">
        <f>'Clean Data'!J196</f>
        <v>43.547578461846989</v>
      </c>
      <c r="K197" s="16">
        <f>'Clean Data'!K196</f>
        <v>0.27</v>
      </c>
      <c r="L197" s="16">
        <f>'Clean Data'!L196</f>
        <v>0</v>
      </c>
      <c r="M197" s="16">
        <f>'Clean Data'!M196</f>
        <v>83.17</v>
      </c>
      <c r="N197" s="16">
        <f>'Clean Data'!N196</f>
        <v>16.559999999999999</v>
      </c>
      <c r="O197" s="16" t="str">
        <f>'Clean Data'!O196</f>
        <v>NaN</v>
      </c>
      <c r="P197" s="16" t="str">
        <f>'Clean Data'!P196</f>
        <v>NaN</v>
      </c>
      <c r="Q197" s="16" t="str">
        <f>'Clean Data'!Q196</f>
        <v>NaN</v>
      </c>
      <c r="R197" s="16">
        <f>'Clean Data'!R196</f>
        <v>770</v>
      </c>
      <c r="S197" s="16" t="str">
        <f>'Clean Data'!S196</f>
        <v>continuous</v>
      </c>
      <c r="T197" s="16" t="str">
        <f>'Clean Data'!T196</f>
        <v>atmospheric</v>
      </c>
      <c r="U197" s="16">
        <f>'Clean Data'!U196</f>
        <v>40</v>
      </c>
      <c r="V197" s="16">
        <f>'Clean Data'!V196</f>
        <v>0.41</v>
      </c>
      <c r="W197" s="16" t="str">
        <f>'Clean Data'!W196</f>
        <v>NaN</v>
      </c>
      <c r="X197" s="16" t="str">
        <f>'Clean Data'!X196</f>
        <v>steam</v>
      </c>
      <c r="Y197" s="16" t="str">
        <f>'Clean Data'!Y196</f>
        <v>fluidised bed</v>
      </c>
      <c r="Z197" s="16" t="str">
        <f>'Clean Data'!Z196</f>
        <v>silica</v>
      </c>
      <c r="AA197" s="16">
        <f>'Clean Data'!AA196</f>
        <v>0</v>
      </c>
      <c r="AB197" s="16" t="str">
        <f>'Clean Data'!AB196</f>
        <v>lab</v>
      </c>
      <c r="AC197" s="16">
        <f>'Clean Data'!AC196</f>
        <v>30.6</v>
      </c>
      <c r="AD197" s="16">
        <f>'Clean Data'!AD196</f>
        <v>19.5</v>
      </c>
      <c r="AE197" s="16">
        <f>'Clean Data'!AE196</f>
        <v>28.8</v>
      </c>
      <c r="AF197" s="16">
        <f>'Clean Data'!AF196</f>
        <v>9.5</v>
      </c>
      <c r="AG197" s="16">
        <f>'Clean Data'!AG196</f>
        <v>11.6</v>
      </c>
      <c r="AH197" s="16" t="str">
        <f>'Clean Data'!AH196</f>
        <v>NaN</v>
      </c>
      <c r="AI197" s="16">
        <f>'Clean Data'!AI196</f>
        <v>10</v>
      </c>
      <c r="AJ197" s="16" t="str">
        <f>'Clean Data'!AJ196</f>
        <v>NaN</v>
      </c>
      <c r="AK197" s="16" t="str">
        <f>'Clean Data'!AK196</f>
        <v>NaN</v>
      </c>
      <c r="AL197" s="16" t="str">
        <f>'Clean Data'!AL196</f>
        <v>NaN</v>
      </c>
      <c r="AM197" s="16" t="str">
        <f>'Clean Data'!AM196</f>
        <v>NaN</v>
      </c>
      <c r="AN197" s="16" t="str">
        <f>'Clean Data'!AN196</f>
        <v>NaN</v>
      </c>
      <c r="AO197" s="16" t="str">
        <f>'Clean Data'!AO196</f>
        <v>Karatas, Fuel 2018, 214, 285-292</v>
      </c>
      <c r="AP197" s="16"/>
      <c r="AQ197" s="16"/>
      <c r="AR197" s="16"/>
      <c r="AS197" s="16"/>
      <c r="AT197" s="16"/>
    </row>
    <row r="198" spans="1:46" x14ac:dyDescent="0.3">
      <c r="A198" s="16">
        <f>'Clean Data'!A197</f>
        <v>196</v>
      </c>
      <c r="B198" s="16" t="str">
        <f>'Clean Data'!B197</f>
        <v>woody biomass</v>
      </c>
      <c r="C198" s="16" t="str">
        <f>'Clean Data'!C197</f>
        <v>particles</v>
      </c>
      <c r="D198" s="16">
        <f>'Clean Data'!D197</f>
        <v>1.25</v>
      </c>
      <c r="E198" s="16">
        <f>'Clean Data'!E197</f>
        <v>17.82</v>
      </c>
      <c r="F198" s="16">
        <f>'Clean Data'!F197</f>
        <v>50.025067682743405</v>
      </c>
      <c r="G198" s="16">
        <f>'Clean Data'!G197</f>
        <v>5.9260002005414618</v>
      </c>
      <c r="H198" s="16">
        <f>'Clean Data'!H197</f>
        <v>0.40108292389451522</v>
      </c>
      <c r="I198" s="16">
        <f>'Clean Data'!I197</f>
        <v>0.1002707309736288</v>
      </c>
      <c r="J198" s="16">
        <f>'Clean Data'!J197</f>
        <v>43.547578461846989</v>
      </c>
      <c r="K198" s="16">
        <f>'Clean Data'!K197</f>
        <v>0.27</v>
      </c>
      <c r="L198" s="16">
        <f>'Clean Data'!L197</f>
        <v>0</v>
      </c>
      <c r="M198" s="16">
        <f>'Clean Data'!M197</f>
        <v>83.17</v>
      </c>
      <c r="N198" s="16">
        <f>'Clean Data'!N197</f>
        <v>16.559999999999999</v>
      </c>
      <c r="O198" s="16" t="str">
        <f>'Clean Data'!O197</f>
        <v>NaN</v>
      </c>
      <c r="P198" s="16" t="str">
        <f>'Clean Data'!P197</f>
        <v>NaN</v>
      </c>
      <c r="Q198" s="16" t="str">
        <f>'Clean Data'!Q197</f>
        <v>NaN</v>
      </c>
      <c r="R198" s="16">
        <f>'Clean Data'!R197</f>
        <v>770</v>
      </c>
      <c r="S198" s="16" t="str">
        <f>'Clean Data'!S197</f>
        <v>continuous</v>
      </c>
      <c r="T198" s="16" t="str">
        <f>'Clean Data'!T197</f>
        <v>atmospheric</v>
      </c>
      <c r="U198" s="16">
        <f>'Clean Data'!U197</f>
        <v>40</v>
      </c>
      <c r="V198" s="16">
        <f>'Clean Data'!V197</f>
        <v>0.65</v>
      </c>
      <c r="W198" s="16" t="str">
        <f>'Clean Data'!W197</f>
        <v>NaN</v>
      </c>
      <c r="X198" s="16" t="str">
        <f>'Clean Data'!X197</f>
        <v>steam</v>
      </c>
      <c r="Y198" s="16" t="str">
        <f>'Clean Data'!Y197</f>
        <v>fluidised bed</v>
      </c>
      <c r="Z198" s="16" t="str">
        <f>'Clean Data'!Z197</f>
        <v>silica</v>
      </c>
      <c r="AA198" s="16">
        <f>'Clean Data'!AA197</f>
        <v>0</v>
      </c>
      <c r="AB198" s="16" t="str">
        <f>'Clean Data'!AB197</f>
        <v>lab</v>
      </c>
      <c r="AC198" s="16">
        <f>'Clean Data'!AC197</f>
        <v>10.599999999999998</v>
      </c>
      <c r="AD198" s="16">
        <f>'Clean Data'!AD197</f>
        <v>35.5</v>
      </c>
      <c r="AE198" s="16">
        <f>'Clean Data'!AE197</f>
        <v>27.1</v>
      </c>
      <c r="AF198" s="16">
        <f>'Clean Data'!AF197</f>
        <v>15.8</v>
      </c>
      <c r="AG198" s="16">
        <f>'Clean Data'!AG197</f>
        <v>11</v>
      </c>
      <c r="AH198" s="16" t="str">
        <f>'Clean Data'!AH197</f>
        <v>NaN</v>
      </c>
      <c r="AI198" s="16">
        <f>'Clean Data'!AI197</f>
        <v>11.2</v>
      </c>
      <c r="AJ198" s="16" t="str">
        <f>'Clean Data'!AJ197</f>
        <v>NaN</v>
      </c>
      <c r="AK198" s="16" t="str">
        <f>'Clean Data'!AK197</f>
        <v>NaN</v>
      </c>
      <c r="AL198" s="16" t="str">
        <f>'Clean Data'!AL197</f>
        <v>NaN</v>
      </c>
      <c r="AM198" s="16" t="str">
        <f>'Clean Data'!AM197</f>
        <v>NaN</v>
      </c>
      <c r="AN198" s="16" t="str">
        <f>'Clean Data'!AN197</f>
        <v>NaN</v>
      </c>
      <c r="AO198" s="16" t="str">
        <f>'Clean Data'!AO197</f>
        <v>Karatas, Fuel 2018, 214, 285-292</v>
      </c>
      <c r="AP198" s="16"/>
      <c r="AQ198" s="16"/>
      <c r="AR198" s="16"/>
      <c r="AS198" s="16"/>
      <c r="AT198" s="16"/>
    </row>
    <row r="199" spans="1:46" x14ac:dyDescent="0.3">
      <c r="A199" s="16">
        <f>'Clean Data'!A198</f>
        <v>197</v>
      </c>
      <c r="B199" s="16" t="str">
        <f>'Clean Data'!B198</f>
        <v>woody biomass</v>
      </c>
      <c r="C199" s="16" t="str">
        <f>'Clean Data'!C198</f>
        <v>particles</v>
      </c>
      <c r="D199" s="16">
        <f>'Clean Data'!D198</f>
        <v>1.25</v>
      </c>
      <c r="E199" s="16">
        <f>'Clean Data'!E198</f>
        <v>17.82</v>
      </c>
      <c r="F199" s="16">
        <f>'Clean Data'!F198</f>
        <v>50.025067682743405</v>
      </c>
      <c r="G199" s="16">
        <f>'Clean Data'!G198</f>
        <v>5.9260002005414618</v>
      </c>
      <c r="H199" s="16">
        <f>'Clean Data'!H198</f>
        <v>0.40108292389451522</v>
      </c>
      <c r="I199" s="16">
        <f>'Clean Data'!I198</f>
        <v>0.1002707309736288</v>
      </c>
      <c r="J199" s="16">
        <f>'Clean Data'!J198</f>
        <v>43.547578461846989</v>
      </c>
      <c r="K199" s="16">
        <f>'Clean Data'!K198</f>
        <v>0.27</v>
      </c>
      <c r="L199" s="16">
        <f>'Clean Data'!L198</f>
        <v>0</v>
      </c>
      <c r="M199" s="16">
        <f>'Clean Data'!M198</f>
        <v>83.17</v>
      </c>
      <c r="N199" s="16">
        <f>'Clean Data'!N198</f>
        <v>16.559999999999999</v>
      </c>
      <c r="O199" s="16" t="str">
        <f>'Clean Data'!O198</f>
        <v>NaN</v>
      </c>
      <c r="P199" s="16" t="str">
        <f>'Clean Data'!P198</f>
        <v>NaN</v>
      </c>
      <c r="Q199" s="16" t="str">
        <f>'Clean Data'!Q198</f>
        <v>NaN</v>
      </c>
      <c r="R199" s="16">
        <f>'Clean Data'!R198</f>
        <v>770</v>
      </c>
      <c r="S199" s="16" t="str">
        <f>'Clean Data'!S198</f>
        <v>continuous</v>
      </c>
      <c r="T199" s="16" t="str">
        <f>'Clean Data'!T198</f>
        <v>atmospheric</v>
      </c>
      <c r="U199" s="16">
        <f>'Clean Data'!U198</f>
        <v>40</v>
      </c>
      <c r="V199" s="16">
        <f>'Clean Data'!V198</f>
        <v>0.96</v>
      </c>
      <c r="W199" s="16" t="str">
        <f>'Clean Data'!W198</f>
        <v>NaN</v>
      </c>
      <c r="X199" s="16" t="str">
        <f>'Clean Data'!X198</f>
        <v>steam</v>
      </c>
      <c r="Y199" s="16" t="str">
        <f>'Clean Data'!Y198</f>
        <v>fluidised bed</v>
      </c>
      <c r="Z199" s="16" t="str">
        <f>'Clean Data'!Z198</f>
        <v>silica</v>
      </c>
      <c r="AA199" s="16">
        <f>'Clean Data'!AA198</f>
        <v>0</v>
      </c>
      <c r="AB199" s="16" t="str">
        <f>'Clean Data'!AB198</f>
        <v>lab</v>
      </c>
      <c r="AC199" s="16">
        <f>'Clean Data'!AC198</f>
        <v>5.2999999999999989</v>
      </c>
      <c r="AD199" s="16">
        <f>'Clean Data'!AD198</f>
        <v>54</v>
      </c>
      <c r="AE199" s="16">
        <f>'Clean Data'!AE198</f>
        <v>13.5</v>
      </c>
      <c r="AF199" s="16">
        <f>'Clean Data'!AF198</f>
        <v>21.6</v>
      </c>
      <c r="AG199" s="16">
        <f>'Clean Data'!AG198</f>
        <v>5.6</v>
      </c>
      <c r="AH199" s="16" t="str">
        <f>'Clean Data'!AH198</f>
        <v>NaN</v>
      </c>
      <c r="AI199" s="16">
        <f>'Clean Data'!AI198</f>
        <v>9.6</v>
      </c>
      <c r="AJ199" s="16" t="str">
        <f>'Clean Data'!AJ198</f>
        <v>NaN</v>
      </c>
      <c r="AK199" s="16" t="str">
        <f>'Clean Data'!AK198</f>
        <v>NaN</v>
      </c>
      <c r="AL199" s="16" t="str">
        <f>'Clean Data'!AL198</f>
        <v>NaN</v>
      </c>
      <c r="AM199" s="16" t="str">
        <f>'Clean Data'!AM198</f>
        <v>NaN</v>
      </c>
      <c r="AN199" s="16" t="str">
        <f>'Clean Data'!AN198</f>
        <v>NaN</v>
      </c>
      <c r="AO199" s="16" t="str">
        <f>'Clean Data'!AO198</f>
        <v>Karatas, Fuel 2018, 214, 285-292</v>
      </c>
      <c r="AP199" s="16"/>
      <c r="AQ199" s="16"/>
      <c r="AR199" s="16"/>
      <c r="AS199" s="16"/>
      <c r="AT199" s="16"/>
    </row>
    <row r="200" spans="1:46" x14ac:dyDescent="0.3">
      <c r="A200" s="16">
        <f>'Clean Data'!A199</f>
        <v>198</v>
      </c>
      <c r="B200" s="16" t="str">
        <f>'Clean Data'!B199</f>
        <v>woody biomass</v>
      </c>
      <c r="C200" s="16" t="str">
        <f>'Clean Data'!C199</f>
        <v>pellets</v>
      </c>
      <c r="D200" s="16">
        <f>'Clean Data'!D199</f>
        <v>12.7</v>
      </c>
      <c r="E200" s="16">
        <f>'Clean Data'!E199</f>
        <v>18.095253614709112</v>
      </c>
      <c r="F200" s="16">
        <f>'Clean Data'!F199</f>
        <v>47.52</v>
      </c>
      <c r="G200" s="16">
        <f>'Clean Data'!G199</f>
        <v>6.5</v>
      </c>
      <c r="H200" s="16">
        <f>'Clean Data'!H199</f>
        <v>0.05</v>
      </c>
      <c r="I200" s="16">
        <f>'Clean Data'!I199</f>
        <v>0.01</v>
      </c>
      <c r="J200" s="16">
        <f>'Clean Data'!J199</f>
        <v>46.36</v>
      </c>
      <c r="K200" s="16">
        <f>'Clean Data'!K199</f>
        <v>0.47200878155872672</v>
      </c>
      <c r="L200" s="16">
        <f>'Clean Data'!L199</f>
        <v>8.9</v>
      </c>
      <c r="M200" s="16">
        <f>'Clean Data'!M199</f>
        <v>81.229418221734363</v>
      </c>
      <c r="N200" s="16">
        <f>'Clean Data'!N199</f>
        <v>18.287596048298575</v>
      </c>
      <c r="O200" s="16" t="str">
        <f>'Clean Data'!O199</f>
        <v>NaN</v>
      </c>
      <c r="P200" s="16" t="str">
        <f>'Clean Data'!P199</f>
        <v>NaN</v>
      </c>
      <c r="Q200" s="16" t="str">
        <f>'Clean Data'!Q199</f>
        <v>NaN</v>
      </c>
      <c r="R200" s="16">
        <f>'Clean Data'!R199</f>
        <v>800</v>
      </c>
      <c r="S200" s="16" t="str">
        <f>'Clean Data'!S199</f>
        <v>continuous</v>
      </c>
      <c r="T200" s="16">
        <f>'Clean Data'!T199</f>
        <v>205</v>
      </c>
      <c r="U200" s="16" t="str">
        <f>'Clean Data'!U199</f>
        <v>NaN</v>
      </c>
      <c r="V200" s="16" t="str">
        <f>'Clean Data'!V199</f>
        <v>NaN</v>
      </c>
      <c r="W200" s="16">
        <f>'Clean Data'!W199</f>
        <v>0.19</v>
      </c>
      <c r="X200" s="16" t="str">
        <f>'Clean Data'!X199</f>
        <v>air</v>
      </c>
      <c r="Y200" s="16" t="str">
        <f>'Clean Data'!Y199</f>
        <v>fluidised bed</v>
      </c>
      <c r="Z200" s="16" t="str">
        <f>'Clean Data'!Z199</f>
        <v>silica</v>
      </c>
      <c r="AA200" s="16">
        <f>'Clean Data'!AA199</f>
        <v>1</v>
      </c>
      <c r="AB200" s="16" t="str">
        <f>'Clean Data'!AB199</f>
        <v>pilot</v>
      </c>
      <c r="AC200" s="16">
        <f>'Clean Data'!AC199</f>
        <v>43.737780333525016</v>
      </c>
      <c r="AD200" s="16">
        <f>'Clean Data'!AD199</f>
        <v>10.891316848763658</v>
      </c>
      <c r="AE200" s="16">
        <f>'Clean Data'!AE199</f>
        <v>18.504887866589993</v>
      </c>
      <c r="AF200" s="16">
        <f>'Clean Data'!AF199</f>
        <v>15.054629097182287</v>
      </c>
      <c r="AG200" s="16">
        <f>'Clean Data'!AG199</f>
        <v>6.3254744105807932</v>
      </c>
      <c r="AH200" s="16">
        <f>'Clean Data'!AH199</f>
        <v>2.3461759631972399</v>
      </c>
      <c r="AI200" s="16">
        <f>'Clean Data'!AI199</f>
        <v>5.77</v>
      </c>
      <c r="AJ200" s="16">
        <f>'Clean Data'!AJ199</f>
        <v>13.78</v>
      </c>
      <c r="AK200" s="16" t="str">
        <f>'Clean Data'!AK199</f>
        <v>NaN</v>
      </c>
      <c r="AL200" s="16" t="str">
        <f>'Clean Data'!AL199</f>
        <v>NaN</v>
      </c>
      <c r="AM200" s="16" t="str">
        <f>'Clean Data'!AM199</f>
        <v>NaN</v>
      </c>
      <c r="AN200" s="16" t="str">
        <f>'Clean Data'!AN199</f>
        <v>NaN</v>
      </c>
      <c r="AO200" s="16" t="str">
        <f>'Clean Data'!AO199</f>
        <v xml:space="preserve">Huynh, Fuel 2013, 103, 987-996 </v>
      </c>
      <c r="AP200" s="16"/>
      <c r="AQ200" s="16"/>
      <c r="AR200" s="16"/>
      <c r="AS200" s="16"/>
      <c r="AT200" s="16"/>
    </row>
    <row r="201" spans="1:46" x14ac:dyDescent="0.3">
      <c r="A201" s="16">
        <f>'Clean Data'!A200</f>
        <v>199</v>
      </c>
      <c r="B201" s="16" t="str">
        <f>'Clean Data'!B200</f>
        <v>woody biomass</v>
      </c>
      <c r="C201" s="16" t="str">
        <f>'Clean Data'!C200</f>
        <v>pellets</v>
      </c>
      <c r="D201" s="16">
        <f>'Clean Data'!D200</f>
        <v>12.7</v>
      </c>
      <c r="E201" s="16">
        <f>'Clean Data'!E200</f>
        <v>18.095253614709112</v>
      </c>
      <c r="F201" s="16">
        <f>'Clean Data'!F200</f>
        <v>47.52</v>
      </c>
      <c r="G201" s="16">
        <f>'Clean Data'!G200</f>
        <v>6.5</v>
      </c>
      <c r="H201" s="16">
        <f>'Clean Data'!H200</f>
        <v>0.05</v>
      </c>
      <c r="I201" s="16">
        <f>'Clean Data'!I200</f>
        <v>0.01</v>
      </c>
      <c r="J201" s="16">
        <f>'Clean Data'!J200</f>
        <v>46.36</v>
      </c>
      <c r="K201" s="16">
        <f>'Clean Data'!K200</f>
        <v>0.47200878155872672</v>
      </c>
      <c r="L201" s="16">
        <f>'Clean Data'!L200</f>
        <v>8.9</v>
      </c>
      <c r="M201" s="16">
        <f>'Clean Data'!M200</f>
        <v>81.229418221734363</v>
      </c>
      <c r="N201" s="16">
        <f>'Clean Data'!N200</f>
        <v>18.287596048298575</v>
      </c>
      <c r="O201" s="16" t="str">
        <f>'Clean Data'!O200</f>
        <v>NaN</v>
      </c>
      <c r="P201" s="16" t="str">
        <f>'Clean Data'!P200</f>
        <v>NaN</v>
      </c>
      <c r="Q201" s="16" t="str">
        <f>'Clean Data'!Q200</f>
        <v>NaN</v>
      </c>
      <c r="R201" s="16">
        <f>'Clean Data'!R200</f>
        <v>800</v>
      </c>
      <c r="S201" s="16" t="str">
        <f>'Clean Data'!S200</f>
        <v>continuous</v>
      </c>
      <c r="T201" s="16">
        <f>'Clean Data'!T200</f>
        <v>205</v>
      </c>
      <c r="U201" s="16" t="str">
        <f>'Clean Data'!U200</f>
        <v>NaN</v>
      </c>
      <c r="V201" s="16">
        <f>'Clean Data'!V200</f>
        <v>0.17</v>
      </c>
      <c r="W201" s="16">
        <f>'Clean Data'!W200</f>
        <v>0.28999999999999998</v>
      </c>
      <c r="X201" s="16" t="str">
        <f>'Clean Data'!X200</f>
        <v>other</v>
      </c>
      <c r="Y201" s="16" t="str">
        <f>'Clean Data'!Y200</f>
        <v>fluidised bed</v>
      </c>
      <c r="Z201" s="16" t="str">
        <f>'Clean Data'!Z200</f>
        <v>silica</v>
      </c>
      <c r="AA201" s="16">
        <f>'Clean Data'!AA200</f>
        <v>1</v>
      </c>
      <c r="AB201" s="16" t="str">
        <f>'Clean Data'!AB200</f>
        <v>pilot</v>
      </c>
      <c r="AC201" s="16">
        <f>'Clean Data'!AC200</f>
        <v>19.907468605419695</v>
      </c>
      <c r="AD201" s="16">
        <f>'Clean Data'!AD200</f>
        <v>19.722405816259087</v>
      </c>
      <c r="AE201" s="16">
        <f>'Clean Data'!AE200</f>
        <v>25.419695968274947</v>
      </c>
      <c r="AF201" s="16">
        <f>'Clean Data'!AF200</f>
        <v>23.833443489755453</v>
      </c>
      <c r="AG201" s="16">
        <f>'Clean Data'!AG200</f>
        <v>8.3146067415730336</v>
      </c>
      <c r="AH201" s="16">
        <f>'Clean Data'!AH200</f>
        <v>2.8420356906807664</v>
      </c>
      <c r="AI201" s="16">
        <f>'Clean Data'!AI200</f>
        <v>7.27</v>
      </c>
      <c r="AJ201" s="16">
        <f>'Clean Data'!AJ200</f>
        <v>18.670000000000002</v>
      </c>
      <c r="AK201" s="16" t="str">
        <f>'Clean Data'!AK200</f>
        <v>NaN</v>
      </c>
      <c r="AL201" s="16" t="str">
        <f>'Clean Data'!AL200</f>
        <v>NaN</v>
      </c>
      <c r="AM201" s="16" t="str">
        <f>'Clean Data'!AM200</f>
        <v>NaN</v>
      </c>
      <c r="AN201" s="16" t="str">
        <f>'Clean Data'!AN200</f>
        <v>NaN</v>
      </c>
      <c r="AO201" s="16" t="str">
        <f>'Clean Data'!AO200</f>
        <v xml:space="preserve">Huynh, Fuel 2013, 103, 987-996 </v>
      </c>
      <c r="AP201" s="16"/>
      <c r="AQ201" s="16"/>
      <c r="AR201" s="16"/>
      <c r="AS201" s="16"/>
      <c r="AT201" s="16"/>
    </row>
    <row r="202" spans="1:46" x14ac:dyDescent="0.3">
      <c r="A202" s="16">
        <f>'Clean Data'!A201</f>
        <v>200</v>
      </c>
      <c r="B202" s="16" t="str">
        <f>'Clean Data'!B201</f>
        <v>woody biomass</v>
      </c>
      <c r="C202" s="16" t="str">
        <f>'Clean Data'!C201</f>
        <v>pellets</v>
      </c>
      <c r="D202" s="16">
        <f>'Clean Data'!D201</f>
        <v>12.7</v>
      </c>
      <c r="E202" s="16">
        <f>'Clean Data'!E201</f>
        <v>18.095253614709112</v>
      </c>
      <c r="F202" s="16">
        <f>'Clean Data'!F201</f>
        <v>47.52</v>
      </c>
      <c r="G202" s="16">
        <f>'Clean Data'!G201</f>
        <v>6.5</v>
      </c>
      <c r="H202" s="16">
        <f>'Clean Data'!H201</f>
        <v>0.05</v>
      </c>
      <c r="I202" s="16">
        <f>'Clean Data'!I201</f>
        <v>0.01</v>
      </c>
      <c r="J202" s="16">
        <f>'Clean Data'!J201</f>
        <v>46.36</v>
      </c>
      <c r="K202" s="16">
        <f>'Clean Data'!K201</f>
        <v>0.47200878155872672</v>
      </c>
      <c r="L202" s="16">
        <f>'Clean Data'!L201</f>
        <v>8.9</v>
      </c>
      <c r="M202" s="16">
        <f>'Clean Data'!M201</f>
        <v>81.229418221734363</v>
      </c>
      <c r="N202" s="16">
        <f>'Clean Data'!N201</f>
        <v>18.287596048298575</v>
      </c>
      <c r="O202" s="16" t="str">
        <f>'Clean Data'!O201</f>
        <v>NaN</v>
      </c>
      <c r="P202" s="16" t="str">
        <f>'Clean Data'!P201</f>
        <v>NaN</v>
      </c>
      <c r="Q202" s="16" t="str">
        <f>'Clean Data'!Q201</f>
        <v>NaN</v>
      </c>
      <c r="R202" s="16">
        <f>'Clean Data'!R201</f>
        <v>800</v>
      </c>
      <c r="S202" s="16" t="str">
        <f>'Clean Data'!S201</f>
        <v>continuous</v>
      </c>
      <c r="T202" s="16">
        <f>'Clean Data'!T201</f>
        <v>205</v>
      </c>
      <c r="U202" s="16" t="str">
        <f>'Clean Data'!U201</f>
        <v>NaN</v>
      </c>
      <c r="V202" s="16">
        <f>'Clean Data'!V201</f>
        <v>0.17</v>
      </c>
      <c r="W202" s="16">
        <f>'Clean Data'!W201</f>
        <v>0.28999999999999998</v>
      </c>
      <c r="X202" s="16" t="str">
        <f>'Clean Data'!X201</f>
        <v>other</v>
      </c>
      <c r="Y202" s="16" t="str">
        <f>'Clean Data'!Y201</f>
        <v>fluidised bed</v>
      </c>
      <c r="Z202" s="16" t="str">
        <f>'Clean Data'!Z201</f>
        <v>silica</v>
      </c>
      <c r="AA202" s="16">
        <f>'Clean Data'!AA201</f>
        <v>1</v>
      </c>
      <c r="AB202" s="16" t="str">
        <f>'Clean Data'!AB201</f>
        <v>pilot</v>
      </c>
      <c r="AC202" s="16">
        <f>'Clean Data'!AC201</f>
        <v>8.1992882562277583</v>
      </c>
      <c r="AD202" s="16">
        <f>'Clean Data'!AD201</f>
        <v>22.90391459074733</v>
      </c>
      <c r="AE202" s="16">
        <f>'Clean Data'!AE201</f>
        <v>30.604982206405694</v>
      </c>
      <c r="AF202" s="16">
        <f>'Clean Data'!AF201</f>
        <v>27.772241992882567</v>
      </c>
      <c r="AG202" s="16">
        <f>'Clean Data'!AG201</f>
        <v>10.106761565836299</v>
      </c>
      <c r="AH202" s="16">
        <f>'Clean Data'!AH201</f>
        <v>3.6583629893238436</v>
      </c>
      <c r="AI202" s="16">
        <f>'Clean Data'!AI201</f>
        <v>8.26</v>
      </c>
      <c r="AJ202" s="16">
        <f>'Clean Data'!AJ201</f>
        <v>19.55</v>
      </c>
      <c r="AK202" s="16" t="str">
        <f>'Clean Data'!AK201</f>
        <v>NaN</v>
      </c>
      <c r="AL202" s="16" t="str">
        <f>'Clean Data'!AL201</f>
        <v>NaN</v>
      </c>
      <c r="AM202" s="16" t="str">
        <f>'Clean Data'!AM201</f>
        <v>NaN</v>
      </c>
      <c r="AN202" s="16" t="str">
        <f>'Clean Data'!AN201</f>
        <v>NaN</v>
      </c>
      <c r="AO202" s="16" t="str">
        <f>'Clean Data'!AO201</f>
        <v xml:space="preserve">Huynh, Fuel 2013, 103, 987-996 </v>
      </c>
      <c r="AP202" s="16"/>
      <c r="AQ202" s="16"/>
      <c r="AR202" s="16"/>
      <c r="AS202" s="16"/>
      <c r="AT202" s="16"/>
    </row>
    <row r="203" spans="1:46" x14ac:dyDescent="0.3">
      <c r="A203" s="16">
        <f>'Clean Data'!A202</f>
        <v>201</v>
      </c>
      <c r="B203" s="16" t="str">
        <f>'Clean Data'!B202</f>
        <v>woody biomass</v>
      </c>
      <c r="C203" s="16" t="str">
        <f>'Clean Data'!C202</f>
        <v>pellets</v>
      </c>
      <c r="D203" s="16">
        <f>'Clean Data'!D202</f>
        <v>12.7</v>
      </c>
      <c r="E203" s="16">
        <f>'Clean Data'!E202</f>
        <v>17.499943600000002</v>
      </c>
      <c r="F203" s="16">
        <f>'Clean Data'!F202</f>
        <v>46.56</v>
      </c>
      <c r="G203" s="16">
        <f>'Clean Data'!G202</f>
        <v>6.24</v>
      </c>
      <c r="H203" s="16">
        <f>'Clean Data'!H202</f>
        <v>0.14000000000000001</v>
      </c>
      <c r="I203" s="16">
        <f>'Clean Data'!I202</f>
        <v>0.02</v>
      </c>
      <c r="J203" s="16">
        <f>'Clean Data'!J202</f>
        <v>46.13</v>
      </c>
      <c r="K203" s="16">
        <f>'Clean Data'!K202</f>
        <v>1.952</v>
      </c>
      <c r="L203" s="16">
        <f>'Clean Data'!L202</f>
        <v>6.25</v>
      </c>
      <c r="M203" s="16">
        <f>'Clean Data'!M202</f>
        <v>80.117333333333335</v>
      </c>
      <c r="N203" s="16">
        <f>'Clean Data'!N202</f>
        <v>17.930666666666664</v>
      </c>
      <c r="O203" s="16" t="str">
        <f>'Clean Data'!O202</f>
        <v>NaN</v>
      </c>
      <c r="P203" s="16" t="str">
        <f>'Clean Data'!P202</f>
        <v>NaN</v>
      </c>
      <c r="Q203" s="16" t="str">
        <f>'Clean Data'!Q202</f>
        <v>NaN</v>
      </c>
      <c r="R203" s="16">
        <f>'Clean Data'!R202</f>
        <v>800</v>
      </c>
      <c r="S203" s="16" t="str">
        <f>'Clean Data'!S202</f>
        <v>continuous</v>
      </c>
      <c r="T203" s="16">
        <f>'Clean Data'!T202</f>
        <v>205</v>
      </c>
      <c r="U203" s="16" t="str">
        <f>'Clean Data'!U202</f>
        <v>NaN</v>
      </c>
      <c r="V203" s="16" t="str">
        <f>'Clean Data'!V202</f>
        <v>-</v>
      </c>
      <c r="W203" s="16">
        <f>'Clean Data'!W202</f>
        <v>0.2</v>
      </c>
      <c r="X203" s="16" t="str">
        <f>'Clean Data'!X202</f>
        <v>air</v>
      </c>
      <c r="Y203" s="16" t="str">
        <f>'Clean Data'!Y202</f>
        <v>fluidised bed</v>
      </c>
      <c r="Z203" s="16" t="str">
        <f>'Clean Data'!Z202</f>
        <v>silica</v>
      </c>
      <c r="AA203" s="16">
        <f>'Clean Data'!AA202</f>
        <v>1</v>
      </c>
      <c r="AB203" s="16" t="str">
        <f>'Clean Data'!AB202</f>
        <v>pilot</v>
      </c>
      <c r="AC203" s="16">
        <f>'Clean Data'!AC202</f>
        <v>43.341108519382431</v>
      </c>
      <c r="AD203" s="16">
        <f>'Clean Data'!AD202</f>
        <v>12.584693990891925</v>
      </c>
      <c r="AE203" s="16">
        <f>'Clean Data'!AE202</f>
        <v>18.782628012884594</v>
      </c>
      <c r="AF203" s="16">
        <f>'Clean Data'!AF202</f>
        <v>15.061646117960679</v>
      </c>
      <c r="AG203" s="16">
        <f>'Clean Data'!AG202</f>
        <v>5.8536043541041867</v>
      </c>
      <c r="AH203" s="16">
        <f>'Clean Data'!AH202</f>
        <v>1.6772187048761524</v>
      </c>
      <c r="AI203" s="16">
        <f>'Clean Data'!AI202</f>
        <v>5.58</v>
      </c>
      <c r="AJ203" s="16" t="str">
        <f>'Clean Data'!AJ202</f>
        <v>NaN</v>
      </c>
      <c r="AK203" s="16" t="str">
        <f>'Clean Data'!AK202</f>
        <v>NaN</v>
      </c>
      <c r="AL203" s="16" t="str">
        <f>'Clean Data'!AL202</f>
        <v>NaN</v>
      </c>
      <c r="AM203" s="16" t="str">
        <f>'Clean Data'!AM202</f>
        <v>NaN</v>
      </c>
      <c r="AN203" s="16" t="str">
        <f>'Clean Data'!AN202</f>
        <v>NaN</v>
      </c>
      <c r="AO203" s="16" t="str">
        <f>'Clean Data'!AO202</f>
        <v>Huynh, Fuel 2013, 103, 987-996</v>
      </c>
      <c r="AP203" s="16"/>
      <c r="AQ203" s="16"/>
      <c r="AR203" s="16"/>
      <c r="AS203" s="16"/>
      <c r="AT203" s="16"/>
    </row>
    <row r="204" spans="1:46" x14ac:dyDescent="0.3">
      <c r="A204" s="16">
        <f>'Clean Data'!A203</f>
        <v>202</v>
      </c>
      <c r="B204" s="16" t="str">
        <f>'Clean Data'!B203</f>
        <v>woody biomass</v>
      </c>
      <c r="C204" s="16" t="str">
        <f>'Clean Data'!C203</f>
        <v>pellets</v>
      </c>
      <c r="D204" s="16">
        <f>'Clean Data'!D203</f>
        <v>12.7</v>
      </c>
      <c r="E204" s="16">
        <f>'Clean Data'!E203</f>
        <v>17.499943600000002</v>
      </c>
      <c r="F204" s="16">
        <f>'Clean Data'!F203</f>
        <v>46.56</v>
      </c>
      <c r="G204" s="16">
        <f>'Clean Data'!G203</f>
        <v>6.24</v>
      </c>
      <c r="H204" s="16">
        <f>'Clean Data'!H203</f>
        <v>0.14000000000000001</v>
      </c>
      <c r="I204" s="16">
        <f>'Clean Data'!I203</f>
        <v>0.02</v>
      </c>
      <c r="J204" s="16">
        <f>'Clean Data'!J203</f>
        <v>46.13</v>
      </c>
      <c r="K204" s="16">
        <f>'Clean Data'!K203</f>
        <v>1.952</v>
      </c>
      <c r="L204" s="16">
        <f>'Clean Data'!L203</f>
        <v>6.25</v>
      </c>
      <c r="M204" s="16">
        <f>'Clean Data'!M203</f>
        <v>80.117333333333335</v>
      </c>
      <c r="N204" s="16">
        <f>'Clean Data'!N203</f>
        <v>17.930666666666664</v>
      </c>
      <c r="O204" s="16" t="str">
        <f>'Clean Data'!O203</f>
        <v>NaN</v>
      </c>
      <c r="P204" s="16" t="str">
        <f>'Clean Data'!P203</f>
        <v>NaN</v>
      </c>
      <c r="Q204" s="16" t="str">
        <f>'Clean Data'!Q203</f>
        <v>NaN</v>
      </c>
      <c r="R204" s="16">
        <f>'Clean Data'!R203</f>
        <v>800</v>
      </c>
      <c r="S204" s="16" t="str">
        <f>'Clean Data'!S203</f>
        <v>continuous</v>
      </c>
      <c r="T204" s="16">
        <f>'Clean Data'!T203</f>
        <v>205</v>
      </c>
      <c r="U204" s="16" t="str">
        <f>'Clean Data'!U203</f>
        <v>NaN</v>
      </c>
      <c r="V204" s="16">
        <f>'Clean Data'!V203</f>
        <v>0.15</v>
      </c>
      <c r="W204" s="16">
        <f>'Clean Data'!W203</f>
        <v>0.28000000000000003</v>
      </c>
      <c r="X204" s="16" t="str">
        <f>'Clean Data'!X203</f>
        <v>other</v>
      </c>
      <c r="Y204" s="16" t="str">
        <f>'Clean Data'!Y203</f>
        <v>fluidised bed</v>
      </c>
      <c r="Z204" s="16" t="str">
        <f>'Clean Data'!Z203</f>
        <v>silica</v>
      </c>
      <c r="AA204" s="16">
        <f>'Clean Data'!AA203</f>
        <v>1</v>
      </c>
      <c r="AB204" s="16" t="str">
        <f>'Clean Data'!AB203</f>
        <v>pilot</v>
      </c>
      <c r="AC204" s="16">
        <f>'Clean Data'!AC203</f>
        <v>22.80297207276454</v>
      </c>
      <c r="AD204" s="16">
        <f>'Clean Data'!AD203</f>
        <v>19.267230335639248</v>
      </c>
      <c r="AE204" s="16">
        <f>'Clean Data'!AE203</f>
        <v>23.571611580835253</v>
      </c>
      <c r="AF204" s="16">
        <f>'Clean Data'!AF203</f>
        <v>22.956699974378683</v>
      </c>
      <c r="AG204" s="16">
        <f>'Clean Data'!AG203</f>
        <v>8.1732001024852661</v>
      </c>
      <c r="AH204" s="16">
        <f>'Clean Data'!AH203</f>
        <v>2.5493210351012037</v>
      </c>
      <c r="AI204" s="16">
        <f>'Clean Data'!AI203</f>
        <v>7.11</v>
      </c>
      <c r="AJ204" s="16">
        <f>'Clean Data'!AJ203</f>
        <v>8.18</v>
      </c>
      <c r="AK204" s="16" t="str">
        <f>'Clean Data'!AK203</f>
        <v>NaN</v>
      </c>
      <c r="AL204" s="16" t="str">
        <f>'Clean Data'!AL203</f>
        <v>NaN</v>
      </c>
      <c r="AM204" s="16" t="str">
        <f>'Clean Data'!AM203</f>
        <v>NaN</v>
      </c>
      <c r="AN204" s="16" t="str">
        <f>'Clean Data'!AN203</f>
        <v>NaN</v>
      </c>
      <c r="AO204" s="16" t="str">
        <f>'Clean Data'!AO203</f>
        <v>Huynh, Fuel 2013, 103, 987-996</v>
      </c>
      <c r="AP204" s="16"/>
      <c r="AQ204" s="16"/>
      <c r="AR204" s="16"/>
      <c r="AS204" s="16"/>
      <c r="AT204" s="16"/>
    </row>
    <row r="205" spans="1:46" x14ac:dyDescent="0.3">
      <c r="A205" s="16">
        <f>'Clean Data'!A204</f>
        <v>203</v>
      </c>
      <c r="B205" s="16" t="str">
        <f>'Clean Data'!B204</f>
        <v>woody biomass</v>
      </c>
      <c r="C205" s="16" t="str">
        <f>'Clean Data'!C204</f>
        <v>pellets</v>
      </c>
      <c r="D205" s="16">
        <f>'Clean Data'!D204</f>
        <v>12.7</v>
      </c>
      <c r="E205" s="16">
        <f>'Clean Data'!E204</f>
        <v>17.499943600000002</v>
      </c>
      <c r="F205" s="16">
        <f>'Clean Data'!F204</f>
        <v>46.56</v>
      </c>
      <c r="G205" s="16">
        <f>'Clean Data'!G204</f>
        <v>6.24</v>
      </c>
      <c r="H205" s="16">
        <f>'Clean Data'!H204</f>
        <v>0.14000000000000001</v>
      </c>
      <c r="I205" s="16">
        <f>'Clean Data'!I204</f>
        <v>0.02</v>
      </c>
      <c r="J205" s="16">
        <f>'Clean Data'!J204</f>
        <v>46.13</v>
      </c>
      <c r="K205" s="16">
        <f>'Clean Data'!K204</f>
        <v>1.952</v>
      </c>
      <c r="L205" s="16">
        <f>'Clean Data'!L204</f>
        <v>6.25</v>
      </c>
      <c r="M205" s="16">
        <f>'Clean Data'!M204</f>
        <v>80.117333333333335</v>
      </c>
      <c r="N205" s="16">
        <f>'Clean Data'!N204</f>
        <v>17.930666666666664</v>
      </c>
      <c r="O205" s="16" t="str">
        <f>'Clean Data'!O204</f>
        <v>NaN</v>
      </c>
      <c r="P205" s="16" t="str">
        <f>'Clean Data'!P204</f>
        <v>NaN</v>
      </c>
      <c r="Q205" s="16" t="str">
        <f>'Clean Data'!Q204</f>
        <v>NaN</v>
      </c>
      <c r="R205" s="16">
        <f>'Clean Data'!R204</f>
        <v>800</v>
      </c>
      <c r="S205" s="16" t="str">
        <f>'Clean Data'!S204</f>
        <v>continuous</v>
      </c>
      <c r="T205" s="16">
        <f>'Clean Data'!T204</f>
        <v>205</v>
      </c>
      <c r="U205" s="16" t="str">
        <f>'Clean Data'!U204</f>
        <v>NaN</v>
      </c>
      <c r="V205" s="16">
        <f>'Clean Data'!V204</f>
        <v>0.18</v>
      </c>
      <c r="W205" s="16">
        <f>'Clean Data'!W204</f>
        <v>0.31</v>
      </c>
      <c r="X205" s="16" t="str">
        <f>'Clean Data'!X204</f>
        <v>other</v>
      </c>
      <c r="Y205" s="16" t="str">
        <f>'Clean Data'!Y204</f>
        <v>fluidised bed</v>
      </c>
      <c r="Z205" s="16" t="str">
        <f>'Clean Data'!Z204</f>
        <v>silica</v>
      </c>
      <c r="AA205" s="16">
        <f>'Clean Data'!AA204</f>
        <v>1</v>
      </c>
      <c r="AB205" s="16" t="str">
        <f>'Clean Data'!AB204</f>
        <v>pilot</v>
      </c>
      <c r="AC205" s="16">
        <f>'Clean Data'!AC204</f>
        <v>7.1566198733828799</v>
      </c>
      <c r="AD205" s="16">
        <f>'Clean Data'!AD204</f>
        <v>22.914946325350947</v>
      </c>
      <c r="AE205" s="16">
        <f>'Clean Data'!AE204</f>
        <v>27.429121937792459</v>
      </c>
      <c r="AF205" s="16">
        <f>'Clean Data'!AF204</f>
        <v>27.08505367464905</v>
      </c>
      <c r="AG205" s="16">
        <f>'Clean Data'!AG204</f>
        <v>9.3861822185521611</v>
      </c>
      <c r="AH205" s="16">
        <f>'Clean Data'!AH204</f>
        <v>3.0553261767134599</v>
      </c>
      <c r="AI205" s="16">
        <f>'Clean Data'!AI204</f>
        <v>8.09</v>
      </c>
      <c r="AJ205" s="16">
        <f>'Clean Data'!AJ204</f>
        <v>6.62</v>
      </c>
      <c r="AK205" s="16" t="str">
        <f>'Clean Data'!AK204</f>
        <v>NaN</v>
      </c>
      <c r="AL205" s="16" t="str">
        <f>'Clean Data'!AL204</f>
        <v>NaN</v>
      </c>
      <c r="AM205" s="16" t="str">
        <f>'Clean Data'!AM204</f>
        <v>NaN</v>
      </c>
      <c r="AN205" s="16" t="str">
        <f>'Clean Data'!AN204</f>
        <v>NaN</v>
      </c>
      <c r="AO205" s="16" t="str">
        <f>'Clean Data'!AO204</f>
        <v>Huynh, Fuel 2013, 103, 987-996</v>
      </c>
      <c r="AP205" s="16"/>
      <c r="AQ205" s="16"/>
      <c r="AR205" s="16"/>
      <c r="AS205" s="16"/>
      <c r="AT205" s="16"/>
    </row>
    <row r="206" spans="1:46" x14ac:dyDescent="0.3">
      <c r="A206" s="16">
        <f>'Clean Data'!A205</f>
        <v>204</v>
      </c>
      <c r="B206" s="16" t="str">
        <f>'Clean Data'!B205</f>
        <v>herbaceous biomass</v>
      </c>
      <c r="C206" s="16" t="str">
        <f>'Clean Data'!C205</f>
        <v>other</v>
      </c>
      <c r="D206" s="16" t="str">
        <f>'Clean Data'!D205</f>
        <v>NaN</v>
      </c>
      <c r="E206" s="16">
        <f>'Clean Data'!E205</f>
        <v>15.619681969761155</v>
      </c>
      <c r="F206" s="16">
        <f>'Clean Data'!F205</f>
        <v>40.07</v>
      </c>
      <c r="G206" s="16">
        <f>'Clean Data'!G205</f>
        <v>7.1</v>
      </c>
      <c r="H206" s="16">
        <f>'Clean Data'!H205</f>
        <v>1.4</v>
      </c>
      <c r="I206" s="16">
        <f>'Clean Data'!I205</f>
        <v>0.17</v>
      </c>
      <c r="J206" s="16">
        <f>'Clean Data'!J205</f>
        <v>50.5</v>
      </c>
      <c r="K206" s="16">
        <f>'Clean Data'!K205</f>
        <v>1.6472526179550537</v>
      </c>
      <c r="L206" s="16">
        <f>'Clean Data'!L205</f>
        <v>15.01</v>
      </c>
      <c r="M206" s="16">
        <f>'Clean Data'!M205</f>
        <v>78.162136721967315</v>
      </c>
      <c r="N206" s="16">
        <f>'Clean Data'!N205</f>
        <v>20.178844569949405</v>
      </c>
      <c r="O206" s="16" t="str">
        <f>'Clean Data'!O205</f>
        <v>NaN</v>
      </c>
      <c r="P206" s="16" t="str">
        <f>'Clean Data'!P205</f>
        <v>NaN</v>
      </c>
      <c r="Q206" s="16" t="str">
        <f>'Clean Data'!Q205</f>
        <v>NaN</v>
      </c>
      <c r="R206" s="16">
        <f>'Clean Data'!R205</f>
        <v>800</v>
      </c>
      <c r="S206" s="16" t="str">
        <f>'Clean Data'!S205</f>
        <v>continuous</v>
      </c>
      <c r="T206" s="16">
        <f>'Clean Data'!T205</f>
        <v>205</v>
      </c>
      <c r="U206" s="16" t="str">
        <f>'Clean Data'!U205</f>
        <v>NaN</v>
      </c>
      <c r="V206" s="16" t="str">
        <f>'Clean Data'!V205</f>
        <v>-</v>
      </c>
      <c r="W206" s="16">
        <f>'Clean Data'!W205</f>
        <v>0.22</v>
      </c>
      <c r="X206" s="16" t="str">
        <f>'Clean Data'!X205</f>
        <v>air</v>
      </c>
      <c r="Y206" s="16" t="str">
        <f>'Clean Data'!Y205</f>
        <v>fluidised bed</v>
      </c>
      <c r="Z206" s="16" t="str">
        <f>'Clean Data'!Z205</f>
        <v>silica</v>
      </c>
      <c r="AA206" s="16">
        <f>'Clean Data'!AA205</f>
        <v>1</v>
      </c>
      <c r="AB206" s="16" t="str">
        <f>'Clean Data'!AB205</f>
        <v>pilot</v>
      </c>
      <c r="AC206" s="16">
        <f>'Clean Data'!AC205</f>
        <v>53.095086151882583</v>
      </c>
      <c r="AD206" s="16">
        <f>'Clean Data'!AD205</f>
        <v>5.6541161455009572</v>
      </c>
      <c r="AE206" s="16">
        <f>'Clean Data'!AE205</f>
        <v>15.851946394384173</v>
      </c>
      <c r="AF206" s="16">
        <f>'Clean Data'!AF205</f>
        <v>13.924696873005743</v>
      </c>
      <c r="AG206" s="16">
        <f>'Clean Data'!AG205</f>
        <v>4.5820038289725593</v>
      </c>
      <c r="AH206" s="16">
        <f>'Clean Data'!AH205</f>
        <v>2.7951499680918954</v>
      </c>
      <c r="AI206" s="16">
        <f>'Clean Data'!AI205</f>
        <v>4.28</v>
      </c>
      <c r="AJ206" s="16">
        <f>'Clean Data'!AJ205</f>
        <v>13.47</v>
      </c>
      <c r="AK206" s="16" t="str">
        <f>'Clean Data'!AK205</f>
        <v>NaN</v>
      </c>
      <c r="AL206" s="16" t="str">
        <f>'Clean Data'!AL205</f>
        <v>NaN</v>
      </c>
      <c r="AM206" s="16" t="str">
        <f>'Clean Data'!AM205</f>
        <v>NaN</v>
      </c>
      <c r="AN206" s="16" t="str">
        <f>'Clean Data'!AN205</f>
        <v>NaN</v>
      </c>
      <c r="AO206" s="16" t="str">
        <f>'Clean Data'!AO205</f>
        <v>Huynh, Fuel 2013, 103, 987-996</v>
      </c>
      <c r="AP206" s="16"/>
      <c r="AQ206" s="16"/>
      <c r="AR206" s="16"/>
      <c r="AS206" s="16"/>
      <c r="AT206" s="16"/>
    </row>
    <row r="207" spans="1:46" x14ac:dyDescent="0.3">
      <c r="A207" s="16">
        <f>'Clean Data'!A206</f>
        <v>205</v>
      </c>
      <c r="B207" s="16" t="str">
        <f>'Clean Data'!B206</f>
        <v>herbaceous biomass</v>
      </c>
      <c r="C207" s="16" t="str">
        <f>'Clean Data'!C206</f>
        <v>other</v>
      </c>
      <c r="D207" s="16" t="str">
        <f>'Clean Data'!D206</f>
        <v>NaN</v>
      </c>
      <c r="E207" s="16">
        <f>'Clean Data'!E206</f>
        <v>15.619681969761155</v>
      </c>
      <c r="F207" s="16">
        <f>'Clean Data'!F206</f>
        <v>40.07</v>
      </c>
      <c r="G207" s="16">
        <f>'Clean Data'!G206</f>
        <v>7.1</v>
      </c>
      <c r="H207" s="16">
        <f>'Clean Data'!H206</f>
        <v>1.4</v>
      </c>
      <c r="I207" s="16">
        <f>'Clean Data'!I206</f>
        <v>0.17</v>
      </c>
      <c r="J207" s="16">
        <f>'Clean Data'!J206</f>
        <v>50.5</v>
      </c>
      <c r="K207" s="16">
        <f>'Clean Data'!K206</f>
        <v>1.6472526179550537</v>
      </c>
      <c r="L207" s="16">
        <f>'Clean Data'!L206</f>
        <v>15.01</v>
      </c>
      <c r="M207" s="16">
        <f>'Clean Data'!M206</f>
        <v>78.162136721967315</v>
      </c>
      <c r="N207" s="16">
        <f>'Clean Data'!N206</f>
        <v>20.178844569949405</v>
      </c>
      <c r="O207" s="16" t="str">
        <f>'Clean Data'!O206</f>
        <v>NaN</v>
      </c>
      <c r="P207" s="16" t="str">
        <f>'Clean Data'!P206</f>
        <v>NaN</v>
      </c>
      <c r="Q207" s="16" t="str">
        <f>'Clean Data'!Q206</f>
        <v>NaN</v>
      </c>
      <c r="R207" s="16">
        <f>'Clean Data'!R206</f>
        <v>800</v>
      </c>
      <c r="S207" s="16" t="str">
        <f>'Clean Data'!S206</f>
        <v>continuous</v>
      </c>
      <c r="T207" s="16">
        <f>'Clean Data'!T206</f>
        <v>205</v>
      </c>
      <c r="U207" s="16" t="str">
        <f>'Clean Data'!U206</f>
        <v>NaN</v>
      </c>
      <c r="V207" s="16">
        <f>'Clean Data'!V206</f>
        <v>0.17</v>
      </c>
      <c r="W207" s="16">
        <f>'Clean Data'!W206</f>
        <v>0.34</v>
      </c>
      <c r="X207" s="16" t="str">
        <f>'Clean Data'!X206</f>
        <v>other</v>
      </c>
      <c r="Y207" s="16" t="str">
        <f>'Clean Data'!Y206</f>
        <v>fluidised bed</v>
      </c>
      <c r="Z207" s="16" t="str">
        <f>'Clean Data'!Z206</f>
        <v>silica</v>
      </c>
      <c r="AA207" s="16">
        <f>'Clean Data'!AA206</f>
        <v>1</v>
      </c>
      <c r="AB207" s="16" t="str">
        <f>'Clean Data'!AB206</f>
        <v>pilot</v>
      </c>
      <c r="AC207" s="16">
        <f>'Clean Data'!AC206</f>
        <v>27.705627705627705</v>
      </c>
      <c r="AD207" s="16">
        <f>'Clean Data'!AD206</f>
        <v>9.8484848484848495</v>
      </c>
      <c r="AE207" s="16">
        <f>'Clean Data'!AE206</f>
        <v>23.611111111111114</v>
      </c>
      <c r="AF207" s="16">
        <f>'Clean Data'!AF206</f>
        <v>21.951659451659452</v>
      </c>
      <c r="AG207" s="16">
        <f>'Clean Data'!AG206</f>
        <v>7.4675324675324672</v>
      </c>
      <c r="AH207" s="16">
        <f>'Clean Data'!AH206</f>
        <v>4.220779220779221</v>
      </c>
      <c r="AI207" s="16">
        <f>'Clean Data'!AI206</f>
        <v>5.22</v>
      </c>
      <c r="AJ207" s="16" t="str">
        <f>'Clean Data'!AJ206</f>
        <v>NaN</v>
      </c>
      <c r="AK207" s="16" t="str">
        <f>'Clean Data'!AK206</f>
        <v>NaN</v>
      </c>
      <c r="AL207" s="16" t="str">
        <f>'Clean Data'!AL206</f>
        <v>NaN</v>
      </c>
      <c r="AM207" s="16" t="str">
        <f>'Clean Data'!AM206</f>
        <v>NaN</v>
      </c>
      <c r="AN207" s="16" t="str">
        <f>'Clean Data'!AN206</f>
        <v>NaN</v>
      </c>
      <c r="AO207" s="16" t="str">
        <f>'Clean Data'!AO206</f>
        <v>Huynh, Fuel 2013, 103, 987-996</v>
      </c>
      <c r="AP207" s="16"/>
      <c r="AQ207" s="16"/>
      <c r="AR207" s="16"/>
      <c r="AS207" s="16"/>
      <c r="AT207" s="16"/>
    </row>
    <row r="208" spans="1:46" x14ac:dyDescent="0.3">
      <c r="A208" s="16">
        <f>'Clean Data'!A207</f>
        <v>206</v>
      </c>
      <c r="B208" s="16" t="str">
        <f>'Clean Data'!B207</f>
        <v>herbaceous biomass</v>
      </c>
      <c r="C208" s="16" t="str">
        <f>'Clean Data'!C207</f>
        <v>other</v>
      </c>
      <c r="D208" s="16" t="str">
        <f>'Clean Data'!D207</f>
        <v>NaN</v>
      </c>
      <c r="E208" s="16">
        <f>'Clean Data'!E207</f>
        <v>15.619681969761155</v>
      </c>
      <c r="F208" s="16">
        <f>'Clean Data'!F207</f>
        <v>40.07</v>
      </c>
      <c r="G208" s="16">
        <f>'Clean Data'!G207</f>
        <v>7.1</v>
      </c>
      <c r="H208" s="16">
        <f>'Clean Data'!H207</f>
        <v>1.4</v>
      </c>
      <c r="I208" s="16">
        <f>'Clean Data'!I207</f>
        <v>0.17</v>
      </c>
      <c r="J208" s="16">
        <f>'Clean Data'!J207</f>
        <v>50.5</v>
      </c>
      <c r="K208" s="16">
        <f>'Clean Data'!K207</f>
        <v>1.6472526179550537</v>
      </c>
      <c r="L208" s="16">
        <f>'Clean Data'!L207</f>
        <v>15.01</v>
      </c>
      <c r="M208" s="16">
        <f>'Clean Data'!M207</f>
        <v>78.162136721967315</v>
      </c>
      <c r="N208" s="16">
        <f>'Clean Data'!N207</f>
        <v>20.178844569949405</v>
      </c>
      <c r="O208" s="16" t="str">
        <f>'Clean Data'!O207</f>
        <v>NaN</v>
      </c>
      <c r="P208" s="16" t="str">
        <f>'Clean Data'!P207</f>
        <v>NaN</v>
      </c>
      <c r="Q208" s="16" t="str">
        <f>'Clean Data'!Q207</f>
        <v>NaN</v>
      </c>
      <c r="R208" s="16">
        <f>'Clean Data'!R207</f>
        <v>800</v>
      </c>
      <c r="S208" s="16" t="str">
        <f>'Clean Data'!S207</f>
        <v>continuous</v>
      </c>
      <c r="T208" s="16">
        <f>'Clean Data'!T207</f>
        <v>205</v>
      </c>
      <c r="U208" s="16" t="str">
        <f>'Clean Data'!U207</f>
        <v>NaN</v>
      </c>
      <c r="V208" s="16">
        <f>'Clean Data'!V207</f>
        <v>0.17</v>
      </c>
      <c r="W208" s="16">
        <f>'Clean Data'!W207</f>
        <v>0.34</v>
      </c>
      <c r="X208" s="16" t="str">
        <f>'Clean Data'!X207</f>
        <v>other</v>
      </c>
      <c r="Y208" s="16" t="str">
        <f>'Clean Data'!Y207</f>
        <v>fluidised bed</v>
      </c>
      <c r="Z208" s="16" t="str">
        <f>'Clean Data'!Z207</f>
        <v>silica</v>
      </c>
      <c r="AA208" s="16">
        <f>'Clean Data'!AA207</f>
        <v>1</v>
      </c>
      <c r="AB208" s="16" t="str">
        <f>'Clean Data'!AB207</f>
        <v>pilot</v>
      </c>
      <c r="AC208" s="16">
        <f>'Clean Data'!AC207</f>
        <v>11.370328425821064</v>
      </c>
      <c r="AD208" s="16">
        <f>'Clean Data'!AD207</f>
        <v>13.272933182332958</v>
      </c>
      <c r="AE208" s="16">
        <f>'Clean Data'!AE207</f>
        <v>30.55492638731597</v>
      </c>
      <c r="AF208" s="16">
        <f>'Clean Data'!AF207</f>
        <v>28.856172140430353</v>
      </c>
      <c r="AG208" s="16">
        <f>'Clean Data'!AG207</f>
        <v>9.6036240090600238</v>
      </c>
      <c r="AH208" s="16">
        <f>'Clean Data'!AH207</f>
        <v>5.5039637599094</v>
      </c>
      <c r="AI208" s="16">
        <f>'Clean Data'!AI207</f>
        <v>5.49</v>
      </c>
      <c r="AJ208" s="16">
        <f>'Clean Data'!AJ207</f>
        <v>11.39</v>
      </c>
      <c r="AK208" s="16" t="str">
        <f>'Clean Data'!AK207</f>
        <v>NaN</v>
      </c>
      <c r="AL208" s="16" t="str">
        <f>'Clean Data'!AL207</f>
        <v>NaN</v>
      </c>
      <c r="AM208" s="16" t="str">
        <f>'Clean Data'!AM207</f>
        <v>NaN</v>
      </c>
      <c r="AN208" s="16" t="str">
        <f>'Clean Data'!AN207</f>
        <v>NaN</v>
      </c>
      <c r="AO208" s="16" t="str">
        <f>'Clean Data'!AO207</f>
        <v>Huynh, Fuel 2013, 103, 987-996</v>
      </c>
      <c r="AP208" s="16"/>
      <c r="AQ208" s="16"/>
      <c r="AR208" s="16"/>
      <c r="AS208" s="16"/>
      <c r="AT208" s="16"/>
    </row>
    <row r="209" spans="1:46" x14ac:dyDescent="0.3">
      <c r="A209" s="16">
        <f>'Clean Data'!A208</f>
        <v>207</v>
      </c>
      <c r="B209" s="16" t="str">
        <f>'Clean Data'!B208</f>
        <v>woody biomass</v>
      </c>
      <c r="C209" s="16" t="str">
        <f>'Clean Data'!C208</f>
        <v>particles</v>
      </c>
      <c r="D209" s="16">
        <f>'Clean Data'!D208</f>
        <v>1.5</v>
      </c>
      <c r="E209" s="16">
        <f>'Clean Data'!E208</f>
        <v>18.4533212268</v>
      </c>
      <c r="F209" s="16">
        <f>'Clean Data'!F208</f>
        <v>49.33</v>
      </c>
      <c r="G209" s="16">
        <f>'Clean Data'!G208</f>
        <v>6.06</v>
      </c>
      <c r="H209" s="16">
        <f>'Clean Data'!H208</f>
        <v>0.04</v>
      </c>
      <c r="I209" s="16">
        <f>'Clean Data'!I208</f>
        <v>0</v>
      </c>
      <c r="J209" s="16">
        <f>'Clean Data'!J208</f>
        <v>44.57</v>
      </c>
      <c r="K209" s="16">
        <f>'Clean Data'!K208</f>
        <v>0.55187637969094927</v>
      </c>
      <c r="L209" s="16">
        <f>'Clean Data'!L208</f>
        <v>9.4</v>
      </c>
      <c r="M209" s="16">
        <f>'Clean Data'!M208</f>
        <v>81.015452538631365</v>
      </c>
      <c r="N209" s="16">
        <f>'Clean Data'!N208</f>
        <v>18.432671081677704</v>
      </c>
      <c r="O209" s="16" t="str">
        <f>'Clean Data'!O208</f>
        <v>NaN</v>
      </c>
      <c r="P209" s="16" t="str">
        <f>'Clean Data'!P208</f>
        <v>NaN</v>
      </c>
      <c r="Q209" s="16" t="str">
        <f>'Clean Data'!Q208</f>
        <v>NaN</v>
      </c>
      <c r="R209" s="16">
        <f>'Clean Data'!R208</f>
        <v>800</v>
      </c>
      <c r="S209" s="16" t="str">
        <f>'Clean Data'!S208</f>
        <v>continuous</v>
      </c>
      <c r="T209" s="16" t="str">
        <f>'Clean Data'!T208</f>
        <v>NaN</v>
      </c>
      <c r="U209" s="16">
        <f>'Clean Data'!U208</f>
        <v>20</v>
      </c>
      <c r="V209" s="16">
        <f>'Clean Data'!V208</f>
        <v>1.22</v>
      </c>
      <c r="W209" s="16" t="str">
        <f>'Clean Data'!W208</f>
        <v>NaN</v>
      </c>
      <c r="X209" s="16" t="str">
        <f>'Clean Data'!X208</f>
        <v>steam</v>
      </c>
      <c r="Y209" s="16" t="str">
        <f>'Clean Data'!Y208</f>
        <v>fluidised bed</v>
      </c>
      <c r="Z209" s="16" t="str">
        <f>'Clean Data'!Z208</f>
        <v>silica</v>
      </c>
      <c r="AA209" s="16">
        <f>'Clean Data'!AA208</f>
        <v>0</v>
      </c>
      <c r="AB209" s="16" t="str">
        <f>'Clean Data'!AB208</f>
        <v>lab</v>
      </c>
      <c r="AC209" s="16">
        <f>'Clean Data'!AC208</f>
        <v>0</v>
      </c>
      <c r="AD209" s="16">
        <f>'Clean Data'!AD208</f>
        <v>28</v>
      </c>
      <c r="AE209" s="16">
        <f>'Clean Data'!AE208</f>
        <v>41</v>
      </c>
      <c r="AF209" s="16">
        <f>'Clean Data'!AF208</f>
        <v>12.5</v>
      </c>
      <c r="AG209" s="16">
        <f>'Clean Data'!AG208</f>
        <v>11.5</v>
      </c>
      <c r="AH209" s="16">
        <f>'Clean Data'!AH208</f>
        <v>5.5</v>
      </c>
      <c r="AI209" s="16">
        <f>'Clean Data'!AI208</f>
        <v>15.595450000000001</v>
      </c>
      <c r="AJ209" s="16">
        <f>'Clean Data'!AJ208</f>
        <v>364</v>
      </c>
      <c r="AK209" s="16">
        <f>'Clean Data'!AK208</f>
        <v>0.73</v>
      </c>
      <c r="AL209" s="16">
        <f>'Clean Data'!AL208</f>
        <v>8.9</v>
      </c>
      <c r="AM209" s="16">
        <f>'Clean Data'!AM208</f>
        <v>61.694468762977394</v>
      </c>
      <c r="AN209" s="16">
        <f>'Clean Data'!AN208</f>
        <v>50</v>
      </c>
      <c r="AO209" s="16" t="str">
        <f>'Clean Data'!AO208</f>
        <v>Erkiaga, Chem. Eng. J. 2014, 237, 259-267</v>
      </c>
      <c r="AP209" s="16"/>
      <c r="AQ209" s="16"/>
      <c r="AR209" s="16"/>
      <c r="AS209" s="16"/>
      <c r="AT209" s="16"/>
    </row>
    <row r="210" spans="1:46" x14ac:dyDescent="0.3">
      <c r="A210" s="16">
        <f>'Clean Data'!A209</f>
        <v>208</v>
      </c>
      <c r="B210" s="16" t="str">
        <f>'Clean Data'!B209</f>
        <v>woody biomass</v>
      </c>
      <c r="C210" s="16" t="str">
        <f>'Clean Data'!C209</f>
        <v>particles</v>
      </c>
      <c r="D210" s="16">
        <f>'Clean Data'!D209</f>
        <v>1.5</v>
      </c>
      <c r="E210" s="16">
        <f>'Clean Data'!E209</f>
        <v>18.4533212268</v>
      </c>
      <c r="F210" s="16">
        <f>'Clean Data'!F209</f>
        <v>49.33</v>
      </c>
      <c r="G210" s="16">
        <f>'Clean Data'!G209</f>
        <v>6.06</v>
      </c>
      <c r="H210" s="16">
        <f>'Clean Data'!H209</f>
        <v>0.04</v>
      </c>
      <c r="I210" s="16">
        <f>'Clean Data'!I209</f>
        <v>0</v>
      </c>
      <c r="J210" s="16">
        <f>'Clean Data'!J209</f>
        <v>44.57</v>
      </c>
      <c r="K210" s="16">
        <f>'Clean Data'!K209</f>
        <v>0.55187637969094927</v>
      </c>
      <c r="L210" s="16">
        <f>'Clean Data'!L209</f>
        <v>9.4</v>
      </c>
      <c r="M210" s="16">
        <f>'Clean Data'!M209</f>
        <v>81.015452538631365</v>
      </c>
      <c r="N210" s="16">
        <f>'Clean Data'!N209</f>
        <v>18.432671081677704</v>
      </c>
      <c r="O210" s="16" t="str">
        <f>'Clean Data'!O209</f>
        <v>NaN</v>
      </c>
      <c r="P210" s="16" t="str">
        <f>'Clean Data'!P209</f>
        <v>NaN</v>
      </c>
      <c r="Q210" s="16" t="str">
        <f>'Clean Data'!Q209</f>
        <v>NaN</v>
      </c>
      <c r="R210" s="16">
        <f>'Clean Data'!R209</f>
        <v>850</v>
      </c>
      <c r="S210" s="16" t="str">
        <f>'Clean Data'!S209</f>
        <v>continuous</v>
      </c>
      <c r="T210" s="16" t="str">
        <f>'Clean Data'!T209</f>
        <v>NaN</v>
      </c>
      <c r="U210" s="16">
        <f>'Clean Data'!U209</f>
        <v>20</v>
      </c>
      <c r="V210" s="16">
        <f>'Clean Data'!V209</f>
        <v>1.22</v>
      </c>
      <c r="W210" s="16" t="str">
        <f>'Clean Data'!W209</f>
        <v>NaN</v>
      </c>
      <c r="X210" s="16" t="str">
        <f>'Clean Data'!X209</f>
        <v>steam</v>
      </c>
      <c r="Y210" s="16" t="str">
        <f>'Clean Data'!Y209</f>
        <v>fluidised bed</v>
      </c>
      <c r="Z210" s="16" t="str">
        <f>'Clean Data'!Z209</f>
        <v>silica</v>
      </c>
      <c r="AA210" s="16">
        <f>'Clean Data'!AA209</f>
        <v>0</v>
      </c>
      <c r="AB210" s="16" t="str">
        <f>'Clean Data'!AB209</f>
        <v>lab</v>
      </c>
      <c r="AC210" s="16">
        <f>'Clean Data'!AC209</f>
        <v>0</v>
      </c>
      <c r="AD210" s="16">
        <f>'Clean Data'!AD209</f>
        <v>33</v>
      </c>
      <c r="AE210" s="16">
        <f>'Clean Data'!AE209</f>
        <v>37.5</v>
      </c>
      <c r="AF210" s="16">
        <f>'Clean Data'!AF209</f>
        <v>14</v>
      </c>
      <c r="AG210" s="16">
        <f>'Clean Data'!AG209</f>
        <v>10</v>
      </c>
      <c r="AH210" s="16">
        <f>'Clean Data'!AH209</f>
        <v>4</v>
      </c>
      <c r="AI210" s="16">
        <f>'Clean Data'!AI209</f>
        <v>14.262345</v>
      </c>
      <c r="AJ210" s="16">
        <f>'Clean Data'!AJ209</f>
        <v>245</v>
      </c>
      <c r="AK210" s="16">
        <f>'Clean Data'!AK209</f>
        <v>0.84499999999999997</v>
      </c>
      <c r="AL210" s="16">
        <f>'Clean Data'!AL209</f>
        <v>6.3</v>
      </c>
      <c r="AM210" s="16">
        <f>'Clean Data'!AM209</f>
        <v>65.309010648431055</v>
      </c>
      <c r="AN210" s="16">
        <f>'Clean Data'!AN209</f>
        <v>59</v>
      </c>
      <c r="AO210" s="16" t="str">
        <f>'Clean Data'!AO209</f>
        <v>Erkiaga, Chem. Eng. J. 2014, 237, 259-267</v>
      </c>
      <c r="AP210" s="16"/>
      <c r="AQ210" s="16"/>
      <c r="AR210" s="16"/>
      <c r="AS210" s="16"/>
      <c r="AT210" s="16"/>
    </row>
    <row r="211" spans="1:46" x14ac:dyDescent="0.3">
      <c r="A211" s="16">
        <f>'Clean Data'!A210</f>
        <v>209</v>
      </c>
      <c r="B211" s="16" t="str">
        <f>'Clean Data'!B210</f>
        <v>woody biomass</v>
      </c>
      <c r="C211" s="16" t="str">
        <f>'Clean Data'!C210</f>
        <v>particles</v>
      </c>
      <c r="D211" s="16">
        <f>'Clean Data'!D210</f>
        <v>1.5</v>
      </c>
      <c r="E211" s="16">
        <f>'Clean Data'!E210</f>
        <v>18.4533212268</v>
      </c>
      <c r="F211" s="16">
        <f>'Clean Data'!F210</f>
        <v>49.33</v>
      </c>
      <c r="G211" s="16">
        <f>'Clean Data'!G210</f>
        <v>6.06</v>
      </c>
      <c r="H211" s="16">
        <f>'Clean Data'!H210</f>
        <v>0.04</v>
      </c>
      <c r="I211" s="16">
        <f>'Clean Data'!I210</f>
        <v>0</v>
      </c>
      <c r="J211" s="16">
        <f>'Clean Data'!J210</f>
        <v>44.57</v>
      </c>
      <c r="K211" s="16">
        <f>'Clean Data'!K210</f>
        <v>0.55187637969094927</v>
      </c>
      <c r="L211" s="16">
        <f>'Clean Data'!L210</f>
        <v>9.4</v>
      </c>
      <c r="M211" s="16">
        <f>'Clean Data'!M210</f>
        <v>81.015452538631365</v>
      </c>
      <c r="N211" s="16">
        <f>'Clean Data'!N210</f>
        <v>18.432671081677704</v>
      </c>
      <c r="O211" s="16" t="str">
        <f>'Clean Data'!O210</f>
        <v>NaN</v>
      </c>
      <c r="P211" s="16" t="str">
        <f>'Clean Data'!P210</f>
        <v>NaN</v>
      </c>
      <c r="Q211" s="16" t="str">
        <f>'Clean Data'!Q210</f>
        <v>NaN</v>
      </c>
      <c r="R211" s="16">
        <f>'Clean Data'!R210</f>
        <v>900</v>
      </c>
      <c r="S211" s="16" t="str">
        <f>'Clean Data'!S210</f>
        <v>continuous</v>
      </c>
      <c r="T211" s="16" t="str">
        <f>'Clean Data'!T210</f>
        <v>NaN</v>
      </c>
      <c r="U211" s="16">
        <f>'Clean Data'!U210</f>
        <v>20</v>
      </c>
      <c r="V211" s="16">
        <f>'Clean Data'!V210</f>
        <v>1.22</v>
      </c>
      <c r="W211" s="16" t="str">
        <f>'Clean Data'!W210</f>
        <v>NaN</v>
      </c>
      <c r="X211" s="16" t="str">
        <f>'Clean Data'!X210</f>
        <v>steam</v>
      </c>
      <c r="Y211" s="16" t="str">
        <f>'Clean Data'!Y210</f>
        <v>fluidised bed</v>
      </c>
      <c r="Z211" s="16" t="str">
        <f>'Clean Data'!Z210</f>
        <v>silica</v>
      </c>
      <c r="AA211" s="16">
        <f>'Clean Data'!AA210</f>
        <v>0</v>
      </c>
      <c r="AB211" s="16" t="str">
        <f>'Clean Data'!AB210</f>
        <v>lab</v>
      </c>
      <c r="AC211" s="16">
        <f>'Clean Data'!AC210</f>
        <v>0</v>
      </c>
      <c r="AD211" s="16">
        <f>'Clean Data'!AD210</f>
        <v>38</v>
      </c>
      <c r="AE211" s="16">
        <f>'Clean Data'!AE210</f>
        <v>32.5</v>
      </c>
      <c r="AF211" s="16">
        <f>'Clean Data'!AF210</f>
        <v>16.5</v>
      </c>
      <c r="AG211" s="16">
        <f>'Clean Data'!AG210</f>
        <v>8.5</v>
      </c>
      <c r="AH211" s="16">
        <f>'Clean Data'!AH210</f>
        <v>4</v>
      </c>
      <c r="AI211" s="16">
        <f>'Clean Data'!AI210</f>
        <v>13.631599999999999</v>
      </c>
      <c r="AJ211" s="16">
        <f>'Clean Data'!AJ210</f>
        <v>142</v>
      </c>
      <c r="AK211" s="16">
        <f>'Clean Data'!AK210</f>
        <v>0.96</v>
      </c>
      <c r="AL211" s="16">
        <f>'Clean Data'!AL210</f>
        <v>4.5</v>
      </c>
      <c r="AM211" s="16">
        <f>'Clean Data'!AM210</f>
        <v>70.915884675515969</v>
      </c>
      <c r="AN211" s="16">
        <f>'Clean Data'!AN210</f>
        <v>70</v>
      </c>
      <c r="AO211" s="16" t="str">
        <f>'Clean Data'!AO210</f>
        <v>Erkiaga, Chem. Eng. J. 2014, 237, 259-267</v>
      </c>
      <c r="AP211" s="16"/>
      <c r="AQ211" s="16"/>
      <c r="AR211" s="16"/>
      <c r="AS211" s="16"/>
      <c r="AT211" s="16"/>
    </row>
    <row r="212" spans="1:46" x14ac:dyDescent="0.3">
      <c r="A212" s="16">
        <f>'Clean Data'!A211</f>
        <v>210</v>
      </c>
      <c r="B212" s="16" t="str">
        <f>'Clean Data'!B211</f>
        <v>woody biomass</v>
      </c>
      <c r="C212" s="16" t="str">
        <f>'Clean Data'!C211</f>
        <v>particles</v>
      </c>
      <c r="D212" s="16">
        <f>'Clean Data'!D211</f>
        <v>1.5</v>
      </c>
      <c r="E212" s="16">
        <f>'Clean Data'!E211</f>
        <v>18.4533212268</v>
      </c>
      <c r="F212" s="16">
        <f>'Clean Data'!F211</f>
        <v>49.33</v>
      </c>
      <c r="G212" s="16">
        <f>'Clean Data'!G211</f>
        <v>6.06</v>
      </c>
      <c r="H212" s="16">
        <f>'Clean Data'!H211</f>
        <v>0.04</v>
      </c>
      <c r="I212" s="16">
        <f>'Clean Data'!I211</f>
        <v>0</v>
      </c>
      <c r="J212" s="16">
        <f>'Clean Data'!J211</f>
        <v>44.57</v>
      </c>
      <c r="K212" s="16">
        <f>'Clean Data'!K211</f>
        <v>0.55187637969094927</v>
      </c>
      <c r="L212" s="16">
        <f>'Clean Data'!L211</f>
        <v>9.4</v>
      </c>
      <c r="M212" s="16">
        <f>'Clean Data'!M211</f>
        <v>81.015452538631365</v>
      </c>
      <c r="N212" s="16">
        <f>'Clean Data'!N211</f>
        <v>18.432671081677704</v>
      </c>
      <c r="O212" s="16" t="str">
        <f>'Clean Data'!O211</f>
        <v>NaN</v>
      </c>
      <c r="P212" s="16" t="str">
        <f>'Clean Data'!P211</f>
        <v>NaN</v>
      </c>
      <c r="Q212" s="16" t="str">
        <f>'Clean Data'!Q211</f>
        <v>NaN</v>
      </c>
      <c r="R212" s="16">
        <f>'Clean Data'!R211</f>
        <v>900</v>
      </c>
      <c r="S212" s="16" t="str">
        <f>'Clean Data'!S211</f>
        <v>continuous</v>
      </c>
      <c r="T212" s="16" t="str">
        <f>'Clean Data'!T211</f>
        <v>NaN</v>
      </c>
      <c r="U212" s="16">
        <f>'Clean Data'!U211</f>
        <v>20</v>
      </c>
      <c r="V212" s="16">
        <f>'Clean Data'!V211</f>
        <v>0.11</v>
      </c>
      <c r="W212" s="16" t="str">
        <f>'Clean Data'!W211</f>
        <v>NaN</v>
      </c>
      <c r="X212" s="16" t="str">
        <f>'Clean Data'!X211</f>
        <v>steam</v>
      </c>
      <c r="Y212" s="16" t="str">
        <f>'Clean Data'!Y211</f>
        <v>fluidised bed</v>
      </c>
      <c r="Z212" s="16" t="str">
        <f>'Clean Data'!Z211</f>
        <v>silica</v>
      </c>
      <c r="AA212" s="16">
        <f>'Clean Data'!AA211</f>
        <v>0</v>
      </c>
      <c r="AB212" s="16" t="str">
        <f>'Clean Data'!AB211</f>
        <v>lab</v>
      </c>
      <c r="AC212" s="16">
        <f>'Clean Data'!AC211</f>
        <v>0</v>
      </c>
      <c r="AD212" s="16">
        <f>'Clean Data'!AD211</f>
        <v>28.5</v>
      </c>
      <c r="AE212" s="16">
        <f>'Clean Data'!AE211</f>
        <v>50</v>
      </c>
      <c r="AF212" s="16">
        <f>'Clean Data'!AF211</f>
        <v>7</v>
      </c>
      <c r="AG212" s="16">
        <f>'Clean Data'!AG211</f>
        <v>10</v>
      </c>
      <c r="AH212" s="16">
        <f>'Clean Data'!AH211</f>
        <v>4</v>
      </c>
      <c r="AI212" s="16">
        <f>'Clean Data'!AI211</f>
        <v>15.356235000000002</v>
      </c>
      <c r="AJ212" s="16">
        <f>'Clean Data'!AJ211</f>
        <v>154</v>
      </c>
      <c r="AK212" s="16">
        <f>'Clean Data'!AK211</f>
        <v>0.78501664117231684</v>
      </c>
      <c r="AL212" s="16">
        <f>'Clean Data'!AL211</f>
        <v>10.7</v>
      </c>
      <c r="AM212" s="16">
        <f>'Clean Data'!AM211</f>
        <v>65.326451930210183</v>
      </c>
      <c r="AN212" s="16">
        <f>'Clean Data'!AN211</f>
        <v>62.5</v>
      </c>
      <c r="AO212" s="16" t="str">
        <f>'Clean Data'!AO211</f>
        <v>Erkiaga, Chem. Eng. J. 2014, 237, 259-267</v>
      </c>
      <c r="AP212" s="16"/>
      <c r="AQ212" s="16"/>
      <c r="AR212" s="16"/>
      <c r="AS212" s="16"/>
      <c r="AT212" s="16"/>
    </row>
    <row r="213" spans="1:46" x14ac:dyDescent="0.3">
      <c r="A213" s="16">
        <f>'Clean Data'!A212</f>
        <v>211</v>
      </c>
      <c r="B213" s="16" t="str">
        <f>'Clean Data'!B212</f>
        <v>woody biomass</v>
      </c>
      <c r="C213" s="16" t="str">
        <f>'Clean Data'!C212</f>
        <v>particles</v>
      </c>
      <c r="D213" s="16">
        <f>'Clean Data'!D212</f>
        <v>1.5</v>
      </c>
      <c r="E213" s="16">
        <f>'Clean Data'!E212</f>
        <v>18.4533212268</v>
      </c>
      <c r="F213" s="16">
        <f>'Clean Data'!F212</f>
        <v>49.33</v>
      </c>
      <c r="G213" s="16">
        <f>'Clean Data'!G212</f>
        <v>6.06</v>
      </c>
      <c r="H213" s="16">
        <f>'Clean Data'!H212</f>
        <v>0.04</v>
      </c>
      <c r="I213" s="16">
        <f>'Clean Data'!I212</f>
        <v>0</v>
      </c>
      <c r="J213" s="16">
        <f>'Clean Data'!J212</f>
        <v>44.57</v>
      </c>
      <c r="K213" s="16">
        <f>'Clean Data'!K212</f>
        <v>0.55187637969094927</v>
      </c>
      <c r="L213" s="16">
        <f>'Clean Data'!L212</f>
        <v>9.4</v>
      </c>
      <c r="M213" s="16">
        <f>'Clean Data'!M212</f>
        <v>81.015452538631365</v>
      </c>
      <c r="N213" s="16">
        <f>'Clean Data'!N212</f>
        <v>18.432671081677704</v>
      </c>
      <c r="O213" s="16" t="str">
        <f>'Clean Data'!O212</f>
        <v>NaN</v>
      </c>
      <c r="P213" s="16" t="str">
        <f>'Clean Data'!P212</f>
        <v>NaN</v>
      </c>
      <c r="Q213" s="16" t="str">
        <f>'Clean Data'!Q212</f>
        <v>NaN</v>
      </c>
      <c r="R213" s="16">
        <f>'Clean Data'!R212</f>
        <v>900</v>
      </c>
      <c r="S213" s="16" t="str">
        <f>'Clean Data'!S212</f>
        <v>continuous</v>
      </c>
      <c r="T213" s="16" t="str">
        <f>'Clean Data'!T212</f>
        <v>NaN</v>
      </c>
      <c r="U213" s="16">
        <f>'Clean Data'!U212</f>
        <v>20</v>
      </c>
      <c r="V213" s="16">
        <f>'Clean Data'!V212</f>
        <v>2.33</v>
      </c>
      <c r="W213" s="16" t="str">
        <f>'Clean Data'!W212</f>
        <v>NaN</v>
      </c>
      <c r="X213" s="16" t="str">
        <f>'Clean Data'!X212</f>
        <v>steam</v>
      </c>
      <c r="Y213" s="16" t="str">
        <f>'Clean Data'!Y212</f>
        <v>fluidised bed</v>
      </c>
      <c r="Z213" s="16" t="str">
        <f>'Clean Data'!Z212</f>
        <v>silica</v>
      </c>
      <c r="AA213" s="16">
        <f>'Clean Data'!AA212</f>
        <v>0</v>
      </c>
      <c r="AB213" s="16" t="str">
        <f>'Clean Data'!AB212</f>
        <v>lab</v>
      </c>
      <c r="AC213" s="16">
        <f>'Clean Data'!AC212</f>
        <v>0</v>
      </c>
      <c r="AD213" s="16">
        <f>'Clean Data'!AD212</f>
        <v>41</v>
      </c>
      <c r="AE213" s="16">
        <f>'Clean Data'!AE212</f>
        <v>30</v>
      </c>
      <c r="AF213" s="16">
        <f>'Clean Data'!AF212</f>
        <v>18</v>
      </c>
      <c r="AG213" s="16">
        <f>'Clean Data'!AG212</f>
        <v>7.5</v>
      </c>
      <c r="AH213" s="16">
        <f>'Clean Data'!AH212</f>
        <v>3.5</v>
      </c>
      <c r="AI213" s="16">
        <f>'Clean Data'!AI212</f>
        <v>12.983149999999998</v>
      </c>
      <c r="AJ213" s="16">
        <f>'Clean Data'!AJ212</f>
        <v>142</v>
      </c>
      <c r="AK213" s="16">
        <f>'Clean Data'!AK212</f>
        <v>1.0111091225292308</v>
      </c>
      <c r="AL213" s="16">
        <f>'Clean Data'!AL212</f>
        <v>3.6</v>
      </c>
      <c r="AM213" s="16">
        <f>'Clean Data'!AM212</f>
        <v>71.1383129509517</v>
      </c>
      <c r="AN213" s="16">
        <f>'Clean Data'!AN212</f>
        <v>70</v>
      </c>
      <c r="AO213" s="16" t="str">
        <f>'Clean Data'!AO212</f>
        <v>Erkiaga, Chem. Eng. J. 2014, 237, 259-267</v>
      </c>
      <c r="AP213" s="16"/>
      <c r="AQ213" s="16"/>
      <c r="AR213" s="16"/>
      <c r="AS213" s="16"/>
      <c r="AT213" s="16"/>
    </row>
    <row r="214" spans="1:46" x14ac:dyDescent="0.3">
      <c r="A214" s="16">
        <f>'Clean Data'!A213</f>
        <v>212</v>
      </c>
      <c r="B214" s="16" t="str">
        <f>'Clean Data'!B213</f>
        <v>woody biomass</v>
      </c>
      <c r="C214" s="16" t="str">
        <f>'Clean Data'!C213</f>
        <v>particles</v>
      </c>
      <c r="D214" s="16">
        <f>'Clean Data'!D213</f>
        <v>0.65</v>
      </c>
      <c r="E214" s="16">
        <f>'Clean Data'!E213</f>
        <v>18.4533212268</v>
      </c>
      <c r="F214" s="16">
        <f>'Clean Data'!F213</f>
        <v>49.33</v>
      </c>
      <c r="G214" s="16">
        <f>'Clean Data'!G213</f>
        <v>6.06</v>
      </c>
      <c r="H214" s="16">
        <f>'Clean Data'!H213</f>
        <v>0.04</v>
      </c>
      <c r="I214" s="16">
        <f>'Clean Data'!I213</f>
        <v>0</v>
      </c>
      <c r="J214" s="16">
        <f>'Clean Data'!J213</f>
        <v>44.57</v>
      </c>
      <c r="K214" s="16">
        <f>'Clean Data'!K213</f>
        <v>0.55187637969094927</v>
      </c>
      <c r="L214" s="16">
        <f>'Clean Data'!L213</f>
        <v>9.4</v>
      </c>
      <c r="M214" s="16">
        <f>'Clean Data'!M213</f>
        <v>81.015452538631365</v>
      </c>
      <c r="N214" s="16">
        <f>'Clean Data'!N213</f>
        <v>18.432671081677704</v>
      </c>
      <c r="O214" s="16" t="str">
        <f>'Clean Data'!O213</f>
        <v>NaN</v>
      </c>
      <c r="P214" s="16" t="str">
        <f>'Clean Data'!P213</f>
        <v>NaN</v>
      </c>
      <c r="Q214" s="16" t="str">
        <f>'Clean Data'!Q213</f>
        <v>NaN</v>
      </c>
      <c r="R214" s="16">
        <f>'Clean Data'!R213</f>
        <v>850</v>
      </c>
      <c r="S214" s="16" t="str">
        <f>'Clean Data'!S213</f>
        <v>continuous</v>
      </c>
      <c r="T214" s="16" t="str">
        <f>'Clean Data'!T213</f>
        <v>NaN</v>
      </c>
      <c r="U214" s="16">
        <f>'Clean Data'!U213</f>
        <v>20</v>
      </c>
      <c r="V214" s="16">
        <f>'Clean Data'!V213</f>
        <v>1.22</v>
      </c>
      <c r="W214" s="16" t="str">
        <f>'Clean Data'!W213</f>
        <v>NaN</v>
      </c>
      <c r="X214" s="16" t="str">
        <f>'Clean Data'!X213</f>
        <v>steam</v>
      </c>
      <c r="Y214" s="16" t="str">
        <f>'Clean Data'!Y213</f>
        <v>fluidised bed</v>
      </c>
      <c r="Z214" s="16" t="str">
        <f>'Clean Data'!Z213</f>
        <v>silica</v>
      </c>
      <c r="AA214" s="16">
        <f>'Clean Data'!AA213</f>
        <v>0</v>
      </c>
      <c r="AB214" s="16" t="str">
        <f>'Clean Data'!AB213</f>
        <v>lab</v>
      </c>
      <c r="AC214" s="16">
        <f>'Clean Data'!AC213</f>
        <v>0</v>
      </c>
      <c r="AD214" s="16">
        <f>'Clean Data'!AD213</f>
        <v>31.5</v>
      </c>
      <c r="AE214" s="16">
        <f>'Clean Data'!AE213</f>
        <v>40</v>
      </c>
      <c r="AF214" s="16">
        <f>'Clean Data'!AF213</f>
        <v>13.5</v>
      </c>
      <c r="AG214" s="16">
        <f>'Clean Data'!AG213</f>
        <v>10</v>
      </c>
      <c r="AH214" s="16">
        <f>'Clean Data'!AH213</f>
        <v>5</v>
      </c>
      <c r="AI214" s="16">
        <f>'Clean Data'!AI213</f>
        <v>15.010995000000001</v>
      </c>
      <c r="AJ214" s="16">
        <f>'Clean Data'!AJ213</f>
        <v>243</v>
      </c>
      <c r="AK214" s="16">
        <f>'Clean Data'!AK213</f>
        <v>0.74402707163040749</v>
      </c>
      <c r="AL214" s="16">
        <f>'Clean Data'!AL213</f>
        <v>6.2</v>
      </c>
      <c r="AM214" s="16">
        <f>'Clean Data'!AM213</f>
        <v>60.523450032877584</v>
      </c>
      <c r="AN214" s="16">
        <f>'Clean Data'!AN213</f>
        <v>59</v>
      </c>
      <c r="AO214" s="16" t="str">
        <f>'Clean Data'!AO213</f>
        <v>Erkiaga, Chem. Eng. J. 2014, 237, 259-267</v>
      </c>
      <c r="AP214" s="16"/>
      <c r="AQ214" s="16"/>
      <c r="AR214" s="16"/>
      <c r="AS214" s="16"/>
      <c r="AT214" s="16"/>
    </row>
    <row r="215" spans="1:46" x14ac:dyDescent="0.3">
      <c r="A215" s="16">
        <f>'Clean Data'!A214</f>
        <v>213</v>
      </c>
      <c r="B215" s="16" t="str">
        <f>'Clean Data'!B214</f>
        <v>woody biomass</v>
      </c>
      <c r="C215" s="16" t="str">
        <f>'Clean Data'!C214</f>
        <v>particles</v>
      </c>
      <c r="D215" s="16">
        <f>'Clean Data'!D214</f>
        <v>4</v>
      </c>
      <c r="E215" s="16">
        <f>'Clean Data'!E214</f>
        <v>18.4533212268</v>
      </c>
      <c r="F215" s="16">
        <f>'Clean Data'!F214</f>
        <v>49.33</v>
      </c>
      <c r="G215" s="16">
        <f>'Clean Data'!G214</f>
        <v>6.06</v>
      </c>
      <c r="H215" s="16">
        <f>'Clean Data'!H214</f>
        <v>0.04</v>
      </c>
      <c r="I215" s="16">
        <f>'Clean Data'!I214</f>
        <v>0</v>
      </c>
      <c r="J215" s="16">
        <f>'Clean Data'!J214</f>
        <v>44.57</v>
      </c>
      <c r="K215" s="16">
        <f>'Clean Data'!K214</f>
        <v>0.55187637969094927</v>
      </c>
      <c r="L215" s="16">
        <f>'Clean Data'!L214</f>
        <v>9.4</v>
      </c>
      <c r="M215" s="16">
        <f>'Clean Data'!M214</f>
        <v>81.015452538631365</v>
      </c>
      <c r="N215" s="16">
        <f>'Clean Data'!N214</f>
        <v>18.432671081677704</v>
      </c>
      <c r="O215" s="16" t="str">
        <f>'Clean Data'!O214</f>
        <v>NaN</v>
      </c>
      <c r="P215" s="16" t="str">
        <f>'Clean Data'!P214</f>
        <v>NaN</v>
      </c>
      <c r="Q215" s="16" t="str">
        <f>'Clean Data'!Q214</f>
        <v>NaN</v>
      </c>
      <c r="R215" s="16">
        <f>'Clean Data'!R214</f>
        <v>850</v>
      </c>
      <c r="S215" s="16" t="str">
        <f>'Clean Data'!S214</f>
        <v>continuous</v>
      </c>
      <c r="T215" s="16" t="str">
        <f>'Clean Data'!T214</f>
        <v>NaN</v>
      </c>
      <c r="U215" s="16">
        <f>'Clean Data'!U214</f>
        <v>20</v>
      </c>
      <c r="V215" s="16">
        <f>'Clean Data'!V214</f>
        <v>1.22</v>
      </c>
      <c r="W215" s="16" t="str">
        <f>'Clean Data'!W214</f>
        <v>NaN</v>
      </c>
      <c r="X215" s="16" t="str">
        <f>'Clean Data'!X214</f>
        <v>steam</v>
      </c>
      <c r="Y215" s="16" t="str">
        <f>'Clean Data'!Y214</f>
        <v>fluidised bed</v>
      </c>
      <c r="Z215" s="16" t="str">
        <f>'Clean Data'!Z214</f>
        <v>silica</v>
      </c>
      <c r="AA215" s="16">
        <f>'Clean Data'!AA214</f>
        <v>0</v>
      </c>
      <c r="AB215" s="16" t="str">
        <f>'Clean Data'!AB214</f>
        <v>lab</v>
      </c>
      <c r="AC215" s="16">
        <f>'Clean Data'!AC214</f>
        <v>0</v>
      </c>
      <c r="AD215" s="16">
        <f>'Clean Data'!AD214</f>
        <v>28.5</v>
      </c>
      <c r="AE215" s="16">
        <f>'Clean Data'!AE214</f>
        <v>37.5</v>
      </c>
      <c r="AF215" s="16">
        <f>'Clean Data'!AF214</f>
        <v>17</v>
      </c>
      <c r="AG215" s="16">
        <f>'Clean Data'!AG214</f>
        <v>11.5</v>
      </c>
      <c r="AH215" s="16">
        <f>'Clean Data'!AH214</f>
        <v>5</v>
      </c>
      <c r="AI215" s="16">
        <f>'Clean Data'!AI214</f>
        <v>14.909925000000001</v>
      </c>
      <c r="AJ215" s="16">
        <f>'Clean Data'!AJ214</f>
        <v>263</v>
      </c>
      <c r="AK215" s="16">
        <f>'Clean Data'!AK214</f>
        <v>0.71624030533042926</v>
      </c>
      <c r="AL215" s="16">
        <f>'Clean Data'!AL214</f>
        <v>6.4</v>
      </c>
      <c r="AM215" s="16">
        <f>'Clean Data'!AM214</f>
        <v>57.870825003275947</v>
      </c>
      <c r="AN215" s="16">
        <f>'Clean Data'!AN214</f>
        <v>59</v>
      </c>
      <c r="AO215" s="16" t="str">
        <f>'Clean Data'!AO214</f>
        <v>Erkiaga, Chem. Eng. J. 2014, 237, 259-267</v>
      </c>
      <c r="AP215" s="16"/>
      <c r="AQ215" s="16"/>
      <c r="AR215" s="16"/>
      <c r="AS215" s="16"/>
      <c r="AT215" s="16"/>
    </row>
    <row r="216" spans="1:46" x14ac:dyDescent="0.3">
      <c r="A216" s="16">
        <f>'Clean Data'!A215</f>
        <v>214</v>
      </c>
      <c r="B216" s="16" t="str">
        <f>'Clean Data'!B215</f>
        <v>woody biomass</v>
      </c>
      <c r="C216" s="16" t="str">
        <f>'Clean Data'!C215</f>
        <v>pellets</v>
      </c>
      <c r="D216" s="16">
        <f>'Clean Data'!D215</f>
        <v>6</v>
      </c>
      <c r="E216" s="16">
        <f>'Clean Data'!E215</f>
        <v>18.5</v>
      </c>
      <c r="F216" s="16">
        <f>'Clean Data'!F215</f>
        <v>49.4</v>
      </c>
      <c r="G216" s="16">
        <f>'Clean Data'!G215</f>
        <v>5.9</v>
      </c>
      <c r="H216" s="16">
        <f>'Clean Data'!H215</f>
        <v>0.1</v>
      </c>
      <c r="I216" s="16">
        <f>'Clean Data'!I215</f>
        <v>0</v>
      </c>
      <c r="J216" s="16">
        <f>'Clean Data'!J215</f>
        <v>44.5</v>
      </c>
      <c r="K216" s="16">
        <f>'Clean Data'!K215</f>
        <v>0.32786885245901642</v>
      </c>
      <c r="L216" s="16">
        <f>'Clean Data'!L215</f>
        <v>8.5</v>
      </c>
      <c r="M216" s="16">
        <f>'Clean Data'!M215</f>
        <v>80.983606557377044</v>
      </c>
      <c r="N216" s="16">
        <f>'Clean Data'!N215</f>
        <v>18.688524590163937</v>
      </c>
      <c r="O216" s="16" t="str">
        <f>'Clean Data'!O215</f>
        <v>NaN</v>
      </c>
      <c r="P216" s="16" t="str">
        <f>'Clean Data'!P215</f>
        <v>NaN</v>
      </c>
      <c r="Q216" s="16" t="str">
        <f>'Clean Data'!Q215</f>
        <v>NaN</v>
      </c>
      <c r="R216" s="16">
        <f>'Clean Data'!R215</f>
        <v>780</v>
      </c>
      <c r="S216" s="16" t="str">
        <f>'Clean Data'!S215</f>
        <v>continuous</v>
      </c>
      <c r="T216" s="16" t="str">
        <f>'Clean Data'!T215</f>
        <v>atmospheric</v>
      </c>
      <c r="U216" s="16">
        <f>'Clean Data'!U215</f>
        <v>40</v>
      </c>
      <c r="V216" s="16">
        <f>'Clean Data'!V215</f>
        <v>0</v>
      </c>
      <c r="W216" s="16">
        <f>'Clean Data'!W215</f>
        <v>0.3</v>
      </c>
      <c r="X216" s="16" t="str">
        <f>'Clean Data'!X215</f>
        <v>air</v>
      </c>
      <c r="Y216" s="16" t="str">
        <f>'Clean Data'!Y215</f>
        <v>fluidised bed</v>
      </c>
      <c r="Z216" s="16" t="str">
        <f>'Clean Data'!Z215</f>
        <v xml:space="preserve">alumina </v>
      </c>
      <c r="AA216" s="16">
        <f>'Clean Data'!AA215</f>
        <v>1</v>
      </c>
      <c r="AB216" s="16" t="str">
        <f>'Clean Data'!AB215</f>
        <v>pilot</v>
      </c>
      <c r="AC216" s="16">
        <f>'Clean Data'!AC215</f>
        <v>52.85</v>
      </c>
      <c r="AD216" s="16">
        <f>'Clean Data'!AD215</f>
        <v>14</v>
      </c>
      <c r="AE216" s="16">
        <f>'Clean Data'!AE215</f>
        <v>16.5</v>
      </c>
      <c r="AF216" s="16">
        <f>'Clean Data'!AF215</f>
        <v>13</v>
      </c>
      <c r="AG216" s="16">
        <f>'Clean Data'!AG215</f>
        <v>3.5</v>
      </c>
      <c r="AH216" s="16">
        <f>'Clean Data'!AH215</f>
        <v>0.15</v>
      </c>
      <c r="AI216" s="16">
        <f>'Clean Data'!AI215</f>
        <v>4.5751612000000002</v>
      </c>
      <c r="AJ216" s="16" t="str">
        <f>'Clean Data'!AJ215</f>
        <v>NaN</v>
      </c>
      <c r="AK216" s="16">
        <f>'Clean Data'!AK215</f>
        <v>2.1835296207705204</v>
      </c>
      <c r="AL216" s="16" t="str">
        <f>'Clean Data'!AL215</f>
        <v>NaN</v>
      </c>
      <c r="AM216" s="16">
        <f>'Clean Data'!AM215</f>
        <v>54</v>
      </c>
      <c r="AN216" s="16">
        <f>'Clean Data'!AN215</f>
        <v>74.955037283849492</v>
      </c>
      <c r="AO216" s="16" t="str">
        <f>'Clean Data'!AO215</f>
        <v>Ruoppolo, Waste Management 2012, 32, 724-732</v>
      </c>
      <c r="AP216" s="16"/>
      <c r="AQ216" s="16"/>
      <c r="AR216" s="16"/>
      <c r="AS216" s="16"/>
      <c r="AT216" s="16"/>
    </row>
    <row r="217" spans="1:46" x14ac:dyDescent="0.3">
      <c r="A217" s="16">
        <f>'Clean Data'!A216</f>
        <v>215</v>
      </c>
      <c r="B217" s="16" t="str">
        <f>'Clean Data'!B216</f>
        <v>woody biomass</v>
      </c>
      <c r="C217" s="16" t="str">
        <f>'Clean Data'!C216</f>
        <v>pellets</v>
      </c>
      <c r="D217" s="16">
        <f>'Clean Data'!D216</f>
        <v>6</v>
      </c>
      <c r="E217" s="16">
        <f>'Clean Data'!E216</f>
        <v>18.5</v>
      </c>
      <c r="F217" s="16">
        <f>'Clean Data'!F216</f>
        <v>49.4</v>
      </c>
      <c r="G217" s="16">
        <f>'Clean Data'!G216</f>
        <v>5.9</v>
      </c>
      <c r="H217" s="16">
        <f>'Clean Data'!H216</f>
        <v>0.1</v>
      </c>
      <c r="I217" s="16">
        <f>'Clean Data'!I216</f>
        <v>0</v>
      </c>
      <c r="J217" s="16">
        <f>'Clean Data'!J216</f>
        <v>44.5</v>
      </c>
      <c r="K217" s="16">
        <f>'Clean Data'!K216</f>
        <v>0.32786885245901642</v>
      </c>
      <c r="L217" s="16">
        <f>'Clean Data'!L216</f>
        <v>8.5</v>
      </c>
      <c r="M217" s="16">
        <f>'Clean Data'!M216</f>
        <v>80.983606557377044</v>
      </c>
      <c r="N217" s="16">
        <f>'Clean Data'!N216</f>
        <v>18.688524590163937</v>
      </c>
      <c r="O217" s="16" t="str">
        <f>'Clean Data'!O216</f>
        <v>NaN</v>
      </c>
      <c r="P217" s="16" t="str">
        <f>'Clean Data'!P216</f>
        <v>NaN</v>
      </c>
      <c r="Q217" s="16" t="str">
        <f>'Clean Data'!Q216</f>
        <v>NaN</v>
      </c>
      <c r="R217" s="16">
        <f>'Clean Data'!R216</f>
        <v>780</v>
      </c>
      <c r="S217" s="16" t="str">
        <f>'Clean Data'!S216</f>
        <v>continuous</v>
      </c>
      <c r="T217" s="16" t="str">
        <f>'Clean Data'!T216</f>
        <v>atmospheric</v>
      </c>
      <c r="U217" s="16">
        <f>'Clean Data'!U216</f>
        <v>40</v>
      </c>
      <c r="V217" s="16">
        <f>'Clean Data'!V216</f>
        <v>0.65</v>
      </c>
      <c r="W217" s="16">
        <f>'Clean Data'!W216</f>
        <v>0.28999999999999998</v>
      </c>
      <c r="X217" s="16" t="str">
        <f>'Clean Data'!X216</f>
        <v>air + steam</v>
      </c>
      <c r="Y217" s="16" t="str">
        <f>'Clean Data'!Y216</f>
        <v>fluidised bed</v>
      </c>
      <c r="Z217" s="16" t="str">
        <f>'Clean Data'!Z216</f>
        <v xml:space="preserve">alumina </v>
      </c>
      <c r="AA217" s="16">
        <f>'Clean Data'!AA216</f>
        <v>1</v>
      </c>
      <c r="AB217" s="16" t="str">
        <f>'Clean Data'!AB216</f>
        <v>pilot</v>
      </c>
      <c r="AC217" s="16">
        <f>'Clean Data'!AC216</f>
        <v>42.44</v>
      </c>
      <c r="AD217" s="16">
        <f>'Clean Data'!AD216</f>
        <v>25</v>
      </c>
      <c r="AE217" s="16">
        <f>'Clean Data'!AE216</f>
        <v>14</v>
      </c>
      <c r="AF217" s="16">
        <f>'Clean Data'!AF216</f>
        <v>16.5</v>
      </c>
      <c r="AG217" s="16">
        <f>'Clean Data'!AG216</f>
        <v>2</v>
      </c>
      <c r="AH217" s="16">
        <f>'Clean Data'!AH216</f>
        <v>0.06</v>
      </c>
      <c r="AI217" s="16">
        <f>'Clean Data'!AI216</f>
        <v>5.0561886719999993</v>
      </c>
      <c r="AJ217" s="16" t="str">
        <f>'Clean Data'!AJ216</f>
        <v>NaN</v>
      </c>
      <c r="AK217" s="16">
        <f>'Clean Data'!AK216</f>
        <v>2.5978065400799983</v>
      </c>
      <c r="AL217" s="16" t="str">
        <f>'Clean Data'!AL216</f>
        <v>NaN</v>
      </c>
      <c r="AM217" s="16">
        <f>'Clean Data'!AM216</f>
        <v>71</v>
      </c>
      <c r="AN217" s="16">
        <f>'Clean Data'!AN216</f>
        <v>88.32639898171999</v>
      </c>
      <c r="AO217" s="16" t="str">
        <f>'Clean Data'!AO216</f>
        <v>Ruoppolo, Waste Management 2012, 32, 724-732</v>
      </c>
      <c r="AP217" s="16"/>
      <c r="AQ217" s="16"/>
      <c r="AR217" s="16"/>
      <c r="AS217" s="16"/>
      <c r="AT217" s="16"/>
    </row>
    <row r="218" spans="1:46" x14ac:dyDescent="0.3">
      <c r="A218" s="16">
        <f>'Clean Data'!A217</f>
        <v>216</v>
      </c>
      <c r="B218" s="16" t="str">
        <f>'Clean Data'!B217</f>
        <v>woody biomass</v>
      </c>
      <c r="C218" s="16" t="str">
        <f>'Clean Data'!C217</f>
        <v>pellets</v>
      </c>
      <c r="D218" s="16">
        <f>'Clean Data'!D217</f>
        <v>6</v>
      </c>
      <c r="E218" s="16">
        <f>'Clean Data'!E217</f>
        <v>18.5</v>
      </c>
      <c r="F218" s="16">
        <f>'Clean Data'!F217</f>
        <v>49.4</v>
      </c>
      <c r="G218" s="16">
        <f>'Clean Data'!G217</f>
        <v>5.9</v>
      </c>
      <c r="H218" s="16">
        <f>'Clean Data'!H217</f>
        <v>0.1</v>
      </c>
      <c r="I218" s="16">
        <f>'Clean Data'!I217</f>
        <v>0</v>
      </c>
      <c r="J218" s="16">
        <f>'Clean Data'!J217</f>
        <v>44.5</v>
      </c>
      <c r="K218" s="16">
        <f>'Clean Data'!K217</f>
        <v>0.32786885245901642</v>
      </c>
      <c r="L218" s="16">
        <f>'Clean Data'!L217</f>
        <v>8.5</v>
      </c>
      <c r="M218" s="16">
        <f>'Clean Data'!M217</f>
        <v>80.983606557377044</v>
      </c>
      <c r="N218" s="16">
        <f>'Clean Data'!N217</f>
        <v>18.688524590163937</v>
      </c>
      <c r="O218" s="16" t="str">
        <f>'Clean Data'!O217</f>
        <v>NaN</v>
      </c>
      <c r="P218" s="16" t="str">
        <f>'Clean Data'!P217</f>
        <v>NaN</v>
      </c>
      <c r="Q218" s="16" t="str">
        <f>'Clean Data'!Q217</f>
        <v>NaN</v>
      </c>
      <c r="R218" s="16">
        <f>'Clean Data'!R217</f>
        <v>780</v>
      </c>
      <c r="S218" s="16" t="str">
        <f>'Clean Data'!S217</f>
        <v>continuous</v>
      </c>
      <c r="T218" s="16" t="str">
        <f>'Clean Data'!T217</f>
        <v>atmospheric</v>
      </c>
      <c r="U218" s="16">
        <f>'Clean Data'!U217</f>
        <v>40</v>
      </c>
      <c r="V218" s="16">
        <f>'Clean Data'!V217</f>
        <v>0.91</v>
      </c>
      <c r="W218" s="16">
        <f>'Clean Data'!W217</f>
        <v>0.28999999999999998</v>
      </c>
      <c r="X218" s="16" t="str">
        <f>'Clean Data'!X217</f>
        <v>air + steam</v>
      </c>
      <c r="Y218" s="16" t="str">
        <f>'Clean Data'!Y217</f>
        <v>fluidised bed</v>
      </c>
      <c r="Z218" s="16" t="str">
        <f>'Clean Data'!Z217</f>
        <v xml:space="preserve">alumina </v>
      </c>
      <c r="AA218" s="16">
        <f>'Clean Data'!AA217</f>
        <v>1</v>
      </c>
      <c r="AB218" s="16" t="str">
        <f>'Clean Data'!AB217</f>
        <v>pilot</v>
      </c>
      <c r="AC218" s="16">
        <f>'Clean Data'!AC217</f>
        <v>47.96</v>
      </c>
      <c r="AD218" s="16">
        <f>'Clean Data'!AD217</f>
        <v>23.5</v>
      </c>
      <c r="AE218" s="16">
        <f>'Clean Data'!AE217</f>
        <v>11.5</v>
      </c>
      <c r="AF218" s="16">
        <f>'Clean Data'!AF217</f>
        <v>15</v>
      </c>
      <c r="AG218" s="16">
        <f>'Clean Data'!AG217</f>
        <v>2</v>
      </c>
      <c r="AH218" s="16">
        <f>'Clean Data'!AH217</f>
        <v>0.04</v>
      </c>
      <c r="AI218" s="16">
        <f>'Clean Data'!AI217</f>
        <v>4.4630105520000001</v>
      </c>
      <c r="AJ218" s="16" t="str">
        <f>'Clean Data'!AJ217</f>
        <v>NaN</v>
      </c>
      <c r="AK218" s="16">
        <f>'Clean Data'!AK217</f>
        <v>2.5700140894490988</v>
      </c>
      <c r="AL218" s="16" t="str">
        <f>'Clean Data'!AL217</f>
        <v>NaN</v>
      </c>
      <c r="AM218" s="16">
        <f>'Clean Data'!AM217</f>
        <v>62</v>
      </c>
      <c r="AN218" s="16">
        <f>'Clean Data'!AN217</f>
        <v>76.707785770963994</v>
      </c>
      <c r="AO218" s="16" t="str">
        <f>'Clean Data'!AO217</f>
        <v>Ruoppolo, Waste Management 2012, 32, 724-732</v>
      </c>
      <c r="AP218" s="16"/>
      <c r="AQ218" s="16"/>
      <c r="AR218" s="16"/>
      <c r="AS218" s="16"/>
      <c r="AT218" s="16"/>
    </row>
    <row r="219" spans="1:46" x14ac:dyDescent="0.3">
      <c r="A219" s="16">
        <f>'Clean Data'!A218</f>
        <v>217</v>
      </c>
      <c r="B219" s="16" t="str">
        <f>'Clean Data'!B218</f>
        <v>woody biomass</v>
      </c>
      <c r="C219" s="16" t="str">
        <f>'Clean Data'!C218</f>
        <v>pellets</v>
      </c>
      <c r="D219" s="16">
        <f>'Clean Data'!D218</f>
        <v>6</v>
      </c>
      <c r="E219" s="16">
        <f>'Clean Data'!E218</f>
        <v>18.5</v>
      </c>
      <c r="F219" s="16">
        <f>'Clean Data'!F218</f>
        <v>49.4</v>
      </c>
      <c r="G219" s="16">
        <f>'Clean Data'!G218</f>
        <v>5.9</v>
      </c>
      <c r="H219" s="16">
        <f>'Clean Data'!H218</f>
        <v>0.1</v>
      </c>
      <c r="I219" s="16">
        <f>'Clean Data'!I218</f>
        <v>0</v>
      </c>
      <c r="J219" s="16">
        <f>'Clean Data'!J218</f>
        <v>44.5</v>
      </c>
      <c r="K219" s="16">
        <f>'Clean Data'!K218</f>
        <v>0.32786885245901642</v>
      </c>
      <c r="L219" s="16">
        <f>'Clean Data'!L218</f>
        <v>8.5</v>
      </c>
      <c r="M219" s="16">
        <f>'Clean Data'!M218</f>
        <v>80.983606557377044</v>
      </c>
      <c r="N219" s="16">
        <f>'Clean Data'!N218</f>
        <v>18.688524590163937</v>
      </c>
      <c r="O219" s="16" t="str">
        <f>'Clean Data'!O218</f>
        <v>NaN</v>
      </c>
      <c r="P219" s="16" t="str">
        <f>'Clean Data'!P218</f>
        <v>NaN</v>
      </c>
      <c r="Q219" s="16" t="str">
        <f>'Clean Data'!Q218</f>
        <v>NaN</v>
      </c>
      <c r="R219" s="16">
        <f>'Clean Data'!R218</f>
        <v>780</v>
      </c>
      <c r="S219" s="16" t="str">
        <f>'Clean Data'!S218</f>
        <v>continuous</v>
      </c>
      <c r="T219" s="16" t="str">
        <f>'Clean Data'!T218</f>
        <v>atmospheric</v>
      </c>
      <c r="U219" s="16">
        <f>'Clean Data'!U218</f>
        <v>40</v>
      </c>
      <c r="V219" s="16">
        <f>'Clean Data'!V218</f>
        <v>0.65</v>
      </c>
      <c r="W219" s="16">
        <f>'Clean Data'!W218</f>
        <v>0.17</v>
      </c>
      <c r="X219" s="16" t="str">
        <f>'Clean Data'!X218</f>
        <v>air + steam</v>
      </c>
      <c r="Y219" s="16" t="str">
        <f>'Clean Data'!Y218</f>
        <v>fluidised bed</v>
      </c>
      <c r="Z219" s="16" t="str">
        <f>'Clean Data'!Z218</f>
        <v xml:space="preserve">alumina </v>
      </c>
      <c r="AA219" s="16">
        <f>'Clean Data'!AA218</f>
        <v>1</v>
      </c>
      <c r="AB219" s="16" t="str">
        <f>'Clean Data'!AB218</f>
        <v>pilot</v>
      </c>
      <c r="AC219" s="16">
        <f>'Clean Data'!AC218</f>
        <v>50.5</v>
      </c>
      <c r="AD219" s="16">
        <f>'Clean Data'!AD218</f>
        <v>17.5</v>
      </c>
      <c r="AE219" s="16">
        <f>'Clean Data'!AE218</f>
        <v>12</v>
      </c>
      <c r="AF219" s="16">
        <f>'Clean Data'!AF218</f>
        <v>16</v>
      </c>
      <c r="AG219" s="16">
        <f>'Clean Data'!AG218</f>
        <v>4</v>
      </c>
      <c r="AH219" s="16">
        <f>'Clean Data'!AH218</f>
        <v>0</v>
      </c>
      <c r="AI219" s="16">
        <f>'Clean Data'!AI218</f>
        <v>6.8756881999999999</v>
      </c>
      <c r="AJ219" s="16" t="str">
        <f>'Clean Data'!AJ218</f>
        <v>NaN</v>
      </c>
      <c r="AK219" s="16">
        <f>'Clean Data'!AK218</f>
        <v>1.8565414295546443</v>
      </c>
      <c r="AL219" s="16" t="str">
        <f>'Clean Data'!AL218</f>
        <v>NaN</v>
      </c>
      <c r="AM219" s="16">
        <f>'Clean Data'!AM218</f>
        <v>69</v>
      </c>
      <c r="AN219" s="16">
        <f>'Clean Data'!AN218</f>
        <v>61.911737429714549</v>
      </c>
      <c r="AO219" s="16" t="str">
        <f>'Clean Data'!AO218</f>
        <v>Ruoppolo, Waste Management 2012, 32, 724-732</v>
      </c>
      <c r="AP219" s="16"/>
      <c r="AQ219" s="16"/>
      <c r="AR219" s="16"/>
      <c r="AS219" s="16"/>
      <c r="AT219" s="16"/>
    </row>
    <row r="220" spans="1:46" x14ac:dyDescent="0.3">
      <c r="A220" s="16">
        <f>'Clean Data'!A219</f>
        <v>218</v>
      </c>
      <c r="B220" s="16" t="str">
        <f>'Clean Data'!B219</f>
        <v>woody biomass</v>
      </c>
      <c r="C220" s="16" t="str">
        <f>'Clean Data'!C219</f>
        <v>pellets</v>
      </c>
      <c r="D220" s="16">
        <f>'Clean Data'!D219</f>
        <v>6</v>
      </c>
      <c r="E220" s="16">
        <f>'Clean Data'!E219</f>
        <v>18.5</v>
      </c>
      <c r="F220" s="16">
        <f>'Clean Data'!F219</f>
        <v>49.4</v>
      </c>
      <c r="G220" s="16">
        <f>'Clean Data'!G219</f>
        <v>5.9</v>
      </c>
      <c r="H220" s="16">
        <f>'Clean Data'!H219</f>
        <v>0.1</v>
      </c>
      <c r="I220" s="16">
        <f>'Clean Data'!I219</f>
        <v>0</v>
      </c>
      <c r="J220" s="16">
        <f>'Clean Data'!J219</f>
        <v>44.5</v>
      </c>
      <c r="K220" s="16">
        <f>'Clean Data'!K219</f>
        <v>0.32786885245901642</v>
      </c>
      <c r="L220" s="16">
        <f>'Clean Data'!L219</f>
        <v>8.5</v>
      </c>
      <c r="M220" s="16">
        <f>'Clean Data'!M219</f>
        <v>80.983606557377044</v>
      </c>
      <c r="N220" s="16">
        <f>'Clean Data'!N219</f>
        <v>18.688524590163937</v>
      </c>
      <c r="O220" s="16" t="str">
        <f>'Clean Data'!O219</f>
        <v>NaN</v>
      </c>
      <c r="P220" s="16" t="str">
        <f>'Clean Data'!P219</f>
        <v>NaN</v>
      </c>
      <c r="Q220" s="16" t="str">
        <f>'Clean Data'!Q219</f>
        <v>NaN</v>
      </c>
      <c r="R220" s="16">
        <f>'Clean Data'!R219</f>
        <v>780</v>
      </c>
      <c r="S220" s="16" t="str">
        <f>'Clean Data'!S219</f>
        <v>continuous</v>
      </c>
      <c r="T220" s="16" t="str">
        <f>'Clean Data'!T219</f>
        <v>atmospheric</v>
      </c>
      <c r="U220" s="16">
        <f>'Clean Data'!U219</f>
        <v>40</v>
      </c>
      <c r="V220" s="16">
        <f>'Clean Data'!V219</f>
        <v>0</v>
      </c>
      <c r="W220" s="16">
        <f>'Clean Data'!W219</f>
        <v>0.3</v>
      </c>
      <c r="X220" s="16" t="str">
        <f>'Clean Data'!X219</f>
        <v>air</v>
      </c>
      <c r="Y220" s="16" t="str">
        <f>'Clean Data'!Y219</f>
        <v>fluidised bed</v>
      </c>
      <c r="Z220" s="16" t="str">
        <f>'Clean Data'!Z219</f>
        <v>silica</v>
      </c>
      <c r="AA220" s="16">
        <f>'Clean Data'!AA219</f>
        <v>0</v>
      </c>
      <c r="AB220" s="16" t="str">
        <f>'Clean Data'!AB219</f>
        <v>pilot</v>
      </c>
      <c r="AC220" s="16">
        <f>'Clean Data'!AC219</f>
        <v>53.03</v>
      </c>
      <c r="AD220" s="16">
        <f>'Clean Data'!AD219</f>
        <v>11</v>
      </c>
      <c r="AE220" s="16">
        <f>'Clean Data'!AE219</f>
        <v>17.5</v>
      </c>
      <c r="AF220" s="16">
        <f>'Clean Data'!AF219</f>
        <v>12.5</v>
      </c>
      <c r="AG220" s="16">
        <f>'Clean Data'!AG219</f>
        <v>4.5</v>
      </c>
      <c r="AH220" s="16">
        <f>'Clean Data'!AH219</f>
        <v>1.4700000000000002</v>
      </c>
      <c r="AI220" s="16">
        <f>'Clean Data'!AI219</f>
        <v>5.8349548999999996</v>
      </c>
      <c r="AJ220" s="16" t="str">
        <f>'Clean Data'!AJ219</f>
        <v>NaN</v>
      </c>
      <c r="AK220" s="16">
        <f>'Clean Data'!AK219</f>
        <v>1.4584517182814902</v>
      </c>
      <c r="AL220" s="16" t="str">
        <f>'Clean Data'!AL219</f>
        <v>NaN</v>
      </c>
      <c r="AM220" s="16">
        <f>'Clean Data'!AM219</f>
        <v>46</v>
      </c>
      <c r="AN220" s="16">
        <f>'Clean Data'!AN219</f>
        <v>56.10662284063185</v>
      </c>
      <c r="AO220" s="16" t="str">
        <f>'Clean Data'!AO219</f>
        <v>Ruoppolo, Waste Management 2012, 32, 724-732</v>
      </c>
      <c r="AP220" s="16"/>
      <c r="AQ220" s="16"/>
      <c r="AR220" s="16"/>
      <c r="AS220" s="16"/>
      <c r="AT220" s="16"/>
    </row>
    <row r="221" spans="1:46" x14ac:dyDescent="0.3">
      <c r="A221" s="16">
        <f>'Clean Data'!A220</f>
        <v>219</v>
      </c>
      <c r="B221" s="16" t="str">
        <f>'Clean Data'!B220</f>
        <v>woody biomass</v>
      </c>
      <c r="C221" s="16" t="str">
        <f>'Clean Data'!C220</f>
        <v>pellets</v>
      </c>
      <c r="D221" s="16">
        <f>'Clean Data'!D220</f>
        <v>6</v>
      </c>
      <c r="E221" s="16">
        <f>'Clean Data'!E220</f>
        <v>18.5</v>
      </c>
      <c r="F221" s="16">
        <f>'Clean Data'!F220</f>
        <v>49.4</v>
      </c>
      <c r="G221" s="16">
        <f>'Clean Data'!G220</f>
        <v>5.9</v>
      </c>
      <c r="H221" s="16">
        <f>'Clean Data'!H220</f>
        <v>0.1</v>
      </c>
      <c r="I221" s="16">
        <f>'Clean Data'!I220</f>
        <v>0</v>
      </c>
      <c r="J221" s="16">
        <f>'Clean Data'!J220</f>
        <v>44.5</v>
      </c>
      <c r="K221" s="16">
        <f>'Clean Data'!K220</f>
        <v>0.32786885245901642</v>
      </c>
      <c r="L221" s="16">
        <f>'Clean Data'!L220</f>
        <v>8.5</v>
      </c>
      <c r="M221" s="16">
        <f>'Clean Data'!M220</f>
        <v>80.983606557377044</v>
      </c>
      <c r="N221" s="16">
        <f>'Clean Data'!N220</f>
        <v>18.688524590163937</v>
      </c>
      <c r="O221" s="16" t="str">
        <f>'Clean Data'!O220</f>
        <v>NaN</v>
      </c>
      <c r="P221" s="16" t="str">
        <f>'Clean Data'!P220</f>
        <v>NaN</v>
      </c>
      <c r="Q221" s="16" t="str">
        <f>'Clean Data'!Q220</f>
        <v>NaN</v>
      </c>
      <c r="R221" s="16">
        <f>'Clean Data'!R220</f>
        <v>780</v>
      </c>
      <c r="S221" s="16" t="str">
        <f>'Clean Data'!S220</f>
        <v>continuous</v>
      </c>
      <c r="T221" s="16" t="str">
        <f>'Clean Data'!T220</f>
        <v>atmospheric</v>
      </c>
      <c r="U221" s="16">
        <f>'Clean Data'!U220</f>
        <v>40</v>
      </c>
      <c r="V221" s="16">
        <f>'Clean Data'!V220</f>
        <v>0.65</v>
      </c>
      <c r="W221" s="16">
        <f>'Clean Data'!W220</f>
        <v>0.28999999999999998</v>
      </c>
      <c r="X221" s="16" t="str">
        <f>'Clean Data'!X220</f>
        <v>air + steam</v>
      </c>
      <c r="Y221" s="16" t="str">
        <f>'Clean Data'!Y220</f>
        <v>fluidised bed</v>
      </c>
      <c r="Z221" s="16" t="str">
        <f>'Clean Data'!Z220</f>
        <v>silica</v>
      </c>
      <c r="AA221" s="16">
        <f>'Clean Data'!AA220</f>
        <v>0</v>
      </c>
      <c r="AB221" s="16" t="str">
        <f>'Clean Data'!AB220</f>
        <v>pilot</v>
      </c>
      <c r="AC221" s="16">
        <f>'Clean Data'!AC220</f>
        <v>51.44</v>
      </c>
      <c r="AD221" s="16">
        <f>'Clean Data'!AD220</f>
        <v>17</v>
      </c>
      <c r="AE221" s="16">
        <f>'Clean Data'!AE220</f>
        <v>12</v>
      </c>
      <c r="AF221" s="16">
        <f>'Clean Data'!AF220</f>
        <v>15</v>
      </c>
      <c r="AG221" s="16">
        <f>'Clean Data'!AG220</f>
        <v>3.5</v>
      </c>
      <c r="AH221" s="16">
        <f>'Clean Data'!AH220</f>
        <v>1.06</v>
      </c>
      <c r="AI221" s="16">
        <f>'Clean Data'!AI220</f>
        <v>4.5115649599999985</v>
      </c>
      <c r="AJ221" s="16" t="str">
        <f>'Clean Data'!AJ220</f>
        <v>NaN</v>
      </c>
      <c r="AK221" s="16">
        <f>'Clean Data'!AK220</f>
        <v>2.2143092449232968</v>
      </c>
      <c r="AL221" s="16" t="str">
        <f>'Clean Data'!AL220</f>
        <v>NaN</v>
      </c>
      <c r="AM221" s="16">
        <f>'Clean Data'!AM220</f>
        <v>54</v>
      </c>
      <c r="AN221" s="16">
        <f>'Clean Data'!AN220</f>
        <v>75.123338690221004</v>
      </c>
      <c r="AO221" s="16" t="str">
        <f>'Clean Data'!AO220</f>
        <v>Ruoppolo, Waste Management 2012, 32, 724-732</v>
      </c>
      <c r="AP221" s="16"/>
      <c r="AQ221" s="16"/>
      <c r="AR221" s="16"/>
      <c r="AS221" s="16"/>
      <c r="AT221" s="16"/>
    </row>
    <row r="222" spans="1:46" x14ac:dyDescent="0.3">
      <c r="A222" s="16">
        <f>'Clean Data'!A221</f>
        <v>220</v>
      </c>
      <c r="B222" s="16" t="str">
        <f>'Clean Data'!B221</f>
        <v>woody biomass</v>
      </c>
      <c r="C222" s="16" t="str">
        <f>'Clean Data'!C221</f>
        <v>pellets</v>
      </c>
      <c r="D222" s="16">
        <f>'Clean Data'!D221</f>
        <v>6</v>
      </c>
      <c r="E222" s="16">
        <f>'Clean Data'!E221</f>
        <v>18.5</v>
      </c>
      <c r="F222" s="16">
        <f>'Clean Data'!F221</f>
        <v>49.4</v>
      </c>
      <c r="G222" s="16">
        <f>'Clean Data'!G221</f>
        <v>5.9</v>
      </c>
      <c r="H222" s="16">
        <f>'Clean Data'!H221</f>
        <v>0.1</v>
      </c>
      <c r="I222" s="16">
        <f>'Clean Data'!I221</f>
        <v>0</v>
      </c>
      <c r="J222" s="16">
        <f>'Clean Data'!J221</f>
        <v>44.5</v>
      </c>
      <c r="K222" s="16">
        <f>'Clean Data'!K221</f>
        <v>0.32786885245901642</v>
      </c>
      <c r="L222" s="16">
        <f>'Clean Data'!L221</f>
        <v>8.5</v>
      </c>
      <c r="M222" s="16">
        <f>'Clean Data'!M221</f>
        <v>80.983606557377044</v>
      </c>
      <c r="N222" s="16">
        <f>'Clean Data'!N221</f>
        <v>18.688524590163937</v>
      </c>
      <c r="O222" s="16" t="str">
        <f>'Clean Data'!O221</f>
        <v>NaN</v>
      </c>
      <c r="P222" s="16" t="str">
        <f>'Clean Data'!P221</f>
        <v>NaN</v>
      </c>
      <c r="Q222" s="16" t="str">
        <f>'Clean Data'!Q221</f>
        <v>NaN</v>
      </c>
      <c r="R222" s="16">
        <f>'Clean Data'!R221</f>
        <v>780</v>
      </c>
      <c r="S222" s="16" t="str">
        <f>'Clean Data'!S221</f>
        <v>continuous</v>
      </c>
      <c r="T222" s="16" t="str">
        <f>'Clean Data'!T221</f>
        <v>atmospheric</v>
      </c>
      <c r="U222" s="16">
        <f>'Clean Data'!U221</f>
        <v>40</v>
      </c>
      <c r="V222" s="16">
        <f>'Clean Data'!V221</f>
        <v>0.91</v>
      </c>
      <c r="W222" s="16">
        <f>'Clean Data'!W221</f>
        <v>0.28999999999999998</v>
      </c>
      <c r="X222" s="16" t="str">
        <f>'Clean Data'!X221</f>
        <v>air + steam</v>
      </c>
      <c r="Y222" s="16" t="str">
        <f>'Clean Data'!Y221</f>
        <v>fluidised bed</v>
      </c>
      <c r="Z222" s="16" t="str">
        <f>'Clean Data'!Z221</f>
        <v>silica</v>
      </c>
      <c r="AA222" s="16">
        <f>'Clean Data'!AA221</f>
        <v>0</v>
      </c>
      <c r="AB222" s="16" t="str">
        <f>'Clean Data'!AB221</f>
        <v>pilot</v>
      </c>
      <c r="AC222" s="16">
        <f>'Clean Data'!AC221</f>
        <v>50.04</v>
      </c>
      <c r="AD222" s="16">
        <f>'Clean Data'!AD221</f>
        <v>17.5</v>
      </c>
      <c r="AE222" s="16">
        <f>'Clean Data'!AE221</f>
        <v>11.5</v>
      </c>
      <c r="AF222" s="16">
        <f>'Clean Data'!AF221</f>
        <v>16</v>
      </c>
      <c r="AG222" s="16">
        <f>'Clean Data'!AG221</f>
        <v>4</v>
      </c>
      <c r="AH222" s="16">
        <f>'Clean Data'!AH221</f>
        <v>0.96</v>
      </c>
      <c r="AI222" s="16">
        <f>'Clean Data'!AI221</f>
        <v>4.733556408000001</v>
      </c>
      <c r="AJ222" s="16" t="str">
        <f>'Clean Data'!AJ221</f>
        <v>NaN</v>
      </c>
      <c r="AK222" s="16">
        <f>'Clean Data'!AK221</f>
        <v>2.1886292476605886</v>
      </c>
      <c r="AL222" s="16" t="str">
        <f>'Clean Data'!AL221</f>
        <v>NaN</v>
      </c>
      <c r="AM222" s="16">
        <f>'Clean Data'!AM221</f>
        <v>56.000000000000007</v>
      </c>
      <c r="AN222" s="16">
        <f>'Clean Data'!AN221</f>
        <v>76.205690633162504</v>
      </c>
      <c r="AO222" s="16" t="str">
        <f>'Clean Data'!AO221</f>
        <v>Ruoppolo, Waste Management 2012, 32, 724-732</v>
      </c>
      <c r="AP222" s="16"/>
      <c r="AQ222" s="16"/>
      <c r="AR222" s="16"/>
      <c r="AS222" s="16"/>
      <c r="AT222" s="16"/>
    </row>
    <row r="223" spans="1:46" x14ac:dyDescent="0.3">
      <c r="A223" s="16">
        <f>'Clean Data'!A222</f>
        <v>221</v>
      </c>
      <c r="B223" s="16" t="str">
        <f>'Clean Data'!B222</f>
        <v>woody biomass</v>
      </c>
      <c r="C223" s="16" t="str">
        <f>'Clean Data'!C222</f>
        <v>pellets</v>
      </c>
      <c r="D223" s="16">
        <f>'Clean Data'!D222</f>
        <v>6</v>
      </c>
      <c r="E223" s="16">
        <f>'Clean Data'!E222</f>
        <v>18.5</v>
      </c>
      <c r="F223" s="16">
        <f>'Clean Data'!F222</f>
        <v>49.4</v>
      </c>
      <c r="G223" s="16">
        <f>'Clean Data'!G222</f>
        <v>5.9</v>
      </c>
      <c r="H223" s="16">
        <f>'Clean Data'!H222</f>
        <v>0.1</v>
      </c>
      <c r="I223" s="16">
        <f>'Clean Data'!I222</f>
        <v>0</v>
      </c>
      <c r="J223" s="16">
        <f>'Clean Data'!J222</f>
        <v>44.5</v>
      </c>
      <c r="K223" s="16">
        <f>'Clean Data'!K222</f>
        <v>0.32786885245901642</v>
      </c>
      <c r="L223" s="16">
        <f>'Clean Data'!L222</f>
        <v>8.5</v>
      </c>
      <c r="M223" s="16">
        <f>'Clean Data'!M222</f>
        <v>80.983606557377044</v>
      </c>
      <c r="N223" s="16">
        <f>'Clean Data'!N222</f>
        <v>18.688524590163937</v>
      </c>
      <c r="O223" s="16" t="str">
        <f>'Clean Data'!O222</f>
        <v>NaN</v>
      </c>
      <c r="P223" s="16" t="str">
        <f>'Clean Data'!P222</f>
        <v>NaN</v>
      </c>
      <c r="Q223" s="16" t="str">
        <f>'Clean Data'!Q222</f>
        <v>NaN</v>
      </c>
      <c r="R223" s="16">
        <f>'Clean Data'!R222</f>
        <v>780</v>
      </c>
      <c r="S223" s="16" t="str">
        <f>'Clean Data'!S222</f>
        <v>continuous</v>
      </c>
      <c r="T223" s="16" t="str">
        <f>'Clean Data'!T222</f>
        <v>atmospheric</v>
      </c>
      <c r="U223" s="16">
        <f>'Clean Data'!U222</f>
        <v>40</v>
      </c>
      <c r="V223" s="16">
        <f>'Clean Data'!V222</f>
        <v>0</v>
      </c>
      <c r="W223" s="16">
        <f>'Clean Data'!W222</f>
        <v>0.17</v>
      </c>
      <c r="X223" s="16" t="str">
        <f>'Clean Data'!X222</f>
        <v>air</v>
      </c>
      <c r="Y223" s="16" t="str">
        <f>'Clean Data'!Y222</f>
        <v>fluidised bed</v>
      </c>
      <c r="Z223" s="16" t="str">
        <f>'Clean Data'!Z222</f>
        <v>silica</v>
      </c>
      <c r="AA223" s="16">
        <f>'Clean Data'!AA222</f>
        <v>0</v>
      </c>
      <c r="AB223" s="16" t="str">
        <f>'Clean Data'!AB222</f>
        <v>pilot</v>
      </c>
      <c r="AC223" s="16">
        <f>'Clean Data'!AC222</f>
        <v>38.508000000000003</v>
      </c>
      <c r="AD223" s="16">
        <f>'Clean Data'!AD222</f>
        <v>16</v>
      </c>
      <c r="AE223" s="16">
        <f>'Clean Data'!AE222</f>
        <v>23.5</v>
      </c>
      <c r="AF223" s="16">
        <f>'Clean Data'!AF222</f>
        <v>14.5</v>
      </c>
      <c r="AG223" s="16">
        <f>'Clean Data'!AG222</f>
        <v>7</v>
      </c>
      <c r="AH223" s="16">
        <f>'Clean Data'!AH222</f>
        <v>0.49199999999999999</v>
      </c>
      <c r="AI223" s="16">
        <f>'Clean Data'!AI222</f>
        <v>7.4987506464000013</v>
      </c>
      <c r="AJ223" s="16" t="str">
        <f>'Clean Data'!AJ222</f>
        <v>NaN</v>
      </c>
      <c r="AK223" s="16">
        <f>'Clean Data'!AK222</f>
        <v>1.6282712382044302</v>
      </c>
      <c r="AL223" s="16" t="str">
        <f>'Clean Data'!AL222</f>
        <v>NaN</v>
      </c>
      <c r="AM223" s="16">
        <f>'Clean Data'!AM222</f>
        <v>66</v>
      </c>
      <c r="AN223" s="16">
        <f>'Clean Data'!AN222</f>
        <v>76.661585557959242</v>
      </c>
      <c r="AO223" s="16" t="str">
        <f>'Clean Data'!AO222</f>
        <v>Ruoppolo, Waste Management 2012, 32, 724-732</v>
      </c>
      <c r="AP223" s="16"/>
      <c r="AQ223" s="16"/>
      <c r="AR223" s="16"/>
      <c r="AS223" s="16"/>
      <c r="AT223" s="16"/>
    </row>
    <row r="224" spans="1:46" x14ac:dyDescent="0.3">
      <c r="A224" s="16">
        <f>'Clean Data'!A223</f>
        <v>222</v>
      </c>
      <c r="B224" s="16" t="str">
        <f>'Clean Data'!B223</f>
        <v>woody biomass</v>
      </c>
      <c r="C224" s="16" t="str">
        <f>'Clean Data'!C223</f>
        <v>pellets</v>
      </c>
      <c r="D224" s="16">
        <f>'Clean Data'!D223</f>
        <v>6</v>
      </c>
      <c r="E224" s="16">
        <f>'Clean Data'!E223</f>
        <v>18.5</v>
      </c>
      <c r="F224" s="16">
        <f>'Clean Data'!F223</f>
        <v>49.4</v>
      </c>
      <c r="G224" s="16">
        <f>'Clean Data'!G223</f>
        <v>5.9</v>
      </c>
      <c r="H224" s="16">
        <f>'Clean Data'!H223</f>
        <v>0.1</v>
      </c>
      <c r="I224" s="16">
        <f>'Clean Data'!I223</f>
        <v>0</v>
      </c>
      <c r="J224" s="16">
        <f>'Clean Data'!J223</f>
        <v>44.5</v>
      </c>
      <c r="K224" s="16">
        <f>'Clean Data'!K223</f>
        <v>0.32786885245901642</v>
      </c>
      <c r="L224" s="16">
        <f>'Clean Data'!L223</f>
        <v>8.5</v>
      </c>
      <c r="M224" s="16">
        <f>'Clean Data'!M223</f>
        <v>80.983606557377044</v>
      </c>
      <c r="N224" s="16">
        <f>'Clean Data'!N223</f>
        <v>18.688524590163937</v>
      </c>
      <c r="O224" s="16" t="str">
        <f>'Clean Data'!O223</f>
        <v>NaN</v>
      </c>
      <c r="P224" s="16" t="str">
        <f>'Clean Data'!P223</f>
        <v>NaN</v>
      </c>
      <c r="Q224" s="16" t="str">
        <f>'Clean Data'!Q223</f>
        <v>NaN</v>
      </c>
      <c r="R224" s="16">
        <f>'Clean Data'!R223</f>
        <v>780</v>
      </c>
      <c r="S224" s="16" t="str">
        <f>'Clean Data'!S223</f>
        <v>continuous</v>
      </c>
      <c r="T224" s="16" t="str">
        <f>'Clean Data'!T223</f>
        <v>atmospheric</v>
      </c>
      <c r="U224" s="16">
        <f>'Clean Data'!U223</f>
        <v>40</v>
      </c>
      <c r="V224" s="16">
        <f>'Clean Data'!V223</f>
        <v>0.65</v>
      </c>
      <c r="W224" s="16">
        <f>'Clean Data'!W223</f>
        <v>0.17</v>
      </c>
      <c r="X224" s="16" t="str">
        <f>'Clean Data'!X223</f>
        <v>air + steam</v>
      </c>
      <c r="Y224" s="16" t="str">
        <f>'Clean Data'!Y223</f>
        <v>fluidised bed</v>
      </c>
      <c r="Z224" s="16" t="str">
        <f>'Clean Data'!Z223</f>
        <v>silica</v>
      </c>
      <c r="AA224" s="16">
        <f>'Clean Data'!AA223</f>
        <v>0</v>
      </c>
      <c r="AB224" s="16" t="str">
        <f>'Clean Data'!AB223</f>
        <v>pilot</v>
      </c>
      <c r="AC224" s="16">
        <f>'Clean Data'!AC223</f>
        <v>42.04</v>
      </c>
      <c r="AD224" s="16">
        <f>'Clean Data'!AD223</f>
        <v>20</v>
      </c>
      <c r="AE224" s="16">
        <f>'Clean Data'!AE223</f>
        <v>15.5</v>
      </c>
      <c r="AF224" s="16">
        <f>'Clean Data'!AF223</f>
        <v>16.5</v>
      </c>
      <c r="AG224" s="16">
        <f>'Clean Data'!AG223</f>
        <v>5</v>
      </c>
      <c r="AH224" s="16">
        <f>'Clean Data'!AH223</f>
        <v>0.96</v>
      </c>
      <c r="AI224" s="16">
        <f>'Clean Data'!AI223</f>
        <v>6.5478374400000003</v>
      </c>
      <c r="AJ224" s="16" t="str">
        <f>'Clean Data'!AJ223</f>
        <v>NaN</v>
      </c>
      <c r="AK224" s="16">
        <f>'Clean Data'!AK223</f>
        <v>1.8364841995833054</v>
      </c>
      <c r="AL224" s="16" t="str">
        <f>'Clean Data'!AL223</f>
        <v>NaN</v>
      </c>
      <c r="AM224" s="16">
        <f>'Clean Data'!AM223</f>
        <v>65</v>
      </c>
      <c r="AN224" s="16">
        <f>'Clean Data'!AN223</f>
        <v>74.045178826695533</v>
      </c>
      <c r="AO224" s="16" t="str">
        <f>'Clean Data'!AO223</f>
        <v>Ruoppolo, Waste Management 2012, 32, 724-732</v>
      </c>
      <c r="AP224" s="16"/>
      <c r="AQ224" s="16"/>
      <c r="AR224" s="16"/>
      <c r="AS224" s="16"/>
      <c r="AT224" s="16"/>
    </row>
    <row r="225" spans="1:46" x14ac:dyDescent="0.3">
      <c r="A225" s="16">
        <f>'Clean Data'!A224</f>
        <v>223</v>
      </c>
      <c r="B225" s="16" t="str">
        <f>'Clean Data'!B224</f>
        <v>other</v>
      </c>
      <c r="C225" s="16" t="str">
        <f>'Clean Data'!C224</f>
        <v>pellets</v>
      </c>
      <c r="D225" s="16">
        <f>'Clean Data'!D224</f>
        <v>6</v>
      </c>
      <c r="E225" s="16">
        <f>'Clean Data'!E224</f>
        <v>21.9</v>
      </c>
      <c r="F225" s="16">
        <f>'Clean Data'!F224</f>
        <v>54.9</v>
      </c>
      <c r="G225" s="16">
        <f>'Clean Data'!G224</f>
        <v>6.8</v>
      </c>
      <c r="H225" s="16">
        <f>'Clean Data'!H224</f>
        <v>0.5</v>
      </c>
      <c r="I225" s="16">
        <f>'Clean Data'!I224</f>
        <v>0</v>
      </c>
      <c r="J225" s="16">
        <f>'Clean Data'!J224</f>
        <v>37.799999999999997</v>
      </c>
      <c r="K225" s="16">
        <f>'Clean Data'!K224</f>
        <v>1.4846235418875928</v>
      </c>
      <c r="L225" s="16">
        <f>'Clean Data'!L224</f>
        <v>5.7</v>
      </c>
      <c r="M225" s="16">
        <f>'Clean Data'!M224</f>
        <v>82.608695652173921</v>
      </c>
      <c r="N225" s="16">
        <f>'Clean Data'!N224</f>
        <v>15.906680805938494</v>
      </c>
      <c r="O225" s="16" t="str">
        <f>'Clean Data'!O224</f>
        <v>NaN</v>
      </c>
      <c r="P225" s="16" t="str">
        <f>'Clean Data'!P224</f>
        <v>NaN</v>
      </c>
      <c r="Q225" s="16" t="str">
        <f>'Clean Data'!Q224</f>
        <v>NaN</v>
      </c>
      <c r="R225" s="16">
        <f>'Clean Data'!R224</f>
        <v>780</v>
      </c>
      <c r="S225" s="16" t="str">
        <f>'Clean Data'!S224</f>
        <v>continuous</v>
      </c>
      <c r="T225" s="16" t="str">
        <f>'Clean Data'!T224</f>
        <v>atmospheric</v>
      </c>
      <c r="U225" s="16">
        <f>'Clean Data'!U224</f>
        <v>40</v>
      </c>
      <c r="V225" s="16">
        <f>'Clean Data'!V224</f>
        <v>0</v>
      </c>
      <c r="W225" s="16">
        <f>'Clean Data'!W224</f>
        <v>0.23</v>
      </c>
      <c r="X225" s="16" t="str">
        <f>'Clean Data'!X224</f>
        <v>air</v>
      </c>
      <c r="Y225" s="16" t="str">
        <f>'Clean Data'!Y224</f>
        <v>fluidised bed</v>
      </c>
      <c r="Z225" s="16" t="str">
        <f>'Clean Data'!Z224</f>
        <v xml:space="preserve">alumina </v>
      </c>
      <c r="AA225" s="16">
        <f>'Clean Data'!AA224</f>
        <v>1</v>
      </c>
      <c r="AB225" s="16" t="str">
        <f>'Clean Data'!AB224</f>
        <v>pilot</v>
      </c>
      <c r="AC225" s="16">
        <f>'Clean Data'!AC224</f>
        <v>36.270000000000003</v>
      </c>
      <c r="AD225" s="16">
        <f>'Clean Data'!AD224</f>
        <v>30</v>
      </c>
      <c r="AE225" s="16">
        <f>'Clean Data'!AE224</f>
        <v>13.5</v>
      </c>
      <c r="AF225" s="16">
        <f>'Clean Data'!AF224</f>
        <v>16</v>
      </c>
      <c r="AG225" s="16">
        <f>'Clean Data'!AG224</f>
        <v>3.5</v>
      </c>
      <c r="AH225" s="16">
        <f>'Clean Data'!AH224</f>
        <v>0.73</v>
      </c>
      <c r="AI225" s="16">
        <f>'Clean Data'!AI224</f>
        <v>6.5851996540000002</v>
      </c>
      <c r="AJ225" s="16" t="str">
        <f>'Clean Data'!AJ224</f>
        <v>NaN</v>
      </c>
      <c r="AK225" s="16">
        <f>'Clean Data'!AK224</f>
        <v>2.6272551948354335</v>
      </c>
      <c r="AL225" s="16" t="str">
        <f>'Clean Data'!AL224</f>
        <v>NaN</v>
      </c>
      <c r="AM225" s="16">
        <f>'Clean Data'!AM224</f>
        <v>79</v>
      </c>
      <c r="AN225" s="16">
        <f>'Clean Data'!AN224</f>
        <v>84.697549365323397</v>
      </c>
      <c r="AO225" s="16" t="str">
        <f>'Clean Data'!AO224</f>
        <v>Ruoppolo, Waste Management 2012, 32, 724-732</v>
      </c>
      <c r="AP225" s="16"/>
      <c r="AQ225" s="16"/>
      <c r="AR225" s="16"/>
      <c r="AS225" s="16"/>
      <c r="AT225" s="16"/>
    </row>
    <row r="226" spans="1:46" x14ac:dyDescent="0.3">
      <c r="A226" s="16">
        <f>'Clean Data'!A225</f>
        <v>224</v>
      </c>
      <c r="B226" s="16" t="str">
        <f>'Clean Data'!B225</f>
        <v>other</v>
      </c>
      <c r="C226" s="16" t="str">
        <f>'Clean Data'!C225</f>
        <v>pellets</v>
      </c>
      <c r="D226" s="16">
        <f>'Clean Data'!D225</f>
        <v>6</v>
      </c>
      <c r="E226" s="16">
        <f>'Clean Data'!E225</f>
        <v>21.9</v>
      </c>
      <c r="F226" s="16">
        <f>'Clean Data'!F225</f>
        <v>54.9</v>
      </c>
      <c r="G226" s="16">
        <f>'Clean Data'!G225</f>
        <v>6.8</v>
      </c>
      <c r="H226" s="16">
        <f>'Clean Data'!H225</f>
        <v>0.5</v>
      </c>
      <c r="I226" s="16">
        <f>'Clean Data'!I225</f>
        <v>0</v>
      </c>
      <c r="J226" s="16">
        <f>'Clean Data'!J225</f>
        <v>37.799999999999997</v>
      </c>
      <c r="K226" s="16">
        <f>'Clean Data'!K225</f>
        <v>1.4846235418875928</v>
      </c>
      <c r="L226" s="16">
        <f>'Clean Data'!L225</f>
        <v>5.7</v>
      </c>
      <c r="M226" s="16">
        <f>'Clean Data'!M225</f>
        <v>82.608695652173921</v>
      </c>
      <c r="N226" s="16">
        <f>'Clean Data'!N225</f>
        <v>15.906680805938494</v>
      </c>
      <c r="O226" s="16" t="str">
        <f>'Clean Data'!O225</f>
        <v>NaN</v>
      </c>
      <c r="P226" s="16" t="str">
        <f>'Clean Data'!P225</f>
        <v>NaN</v>
      </c>
      <c r="Q226" s="16" t="str">
        <f>'Clean Data'!Q225</f>
        <v>NaN</v>
      </c>
      <c r="R226" s="16">
        <f>'Clean Data'!R225</f>
        <v>780</v>
      </c>
      <c r="S226" s="16" t="str">
        <f>'Clean Data'!S225</f>
        <v>continuous</v>
      </c>
      <c r="T226" s="16" t="str">
        <f>'Clean Data'!T225</f>
        <v>atmospheric</v>
      </c>
      <c r="U226" s="16">
        <f>'Clean Data'!U225</f>
        <v>40</v>
      </c>
      <c r="V226" s="16">
        <f>'Clean Data'!V225</f>
        <v>0</v>
      </c>
      <c r="W226" s="16">
        <f>'Clean Data'!W225</f>
        <v>0.19</v>
      </c>
      <c r="X226" s="16" t="str">
        <f>'Clean Data'!X225</f>
        <v>air</v>
      </c>
      <c r="Y226" s="16" t="str">
        <f>'Clean Data'!Y225</f>
        <v>fluidised bed</v>
      </c>
      <c r="Z226" s="16" t="str">
        <f>'Clean Data'!Z225</f>
        <v xml:space="preserve">alumina </v>
      </c>
      <c r="AA226" s="16">
        <f>'Clean Data'!AA225</f>
        <v>1</v>
      </c>
      <c r="AB226" s="16" t="str">
        <f>'Clean Data'!AB225</f>
        <v>pilot</v>
      </c>
      <c r="AC226" s="16">
        <f>'Clean Data'!AC225</f>
        <v>46.31</v>
      </c>
      <c r="AD226" s="16">
        <f>'Clean Data'!AD225</f>
        <v>22</v>
      </c>
      <c r="AE226" s="16">
        <f>'Clean Data'!AE225</f>
        <v>10</v>
      </c>
      <c r="AF226" s="16">
        <f>'Clean Data'!AF225</f>
        <v>19.5</v>
      </c>
      <c r="AG226" s="16">
        <f>'Clean Data'!AG225</f>
        <v>2</v>
      </c>
      <c r="AH226" s="16">
        <f>'Clean Data'!AH225</f>
        <v>0.19</v>
      </c>
      <c r="AI226" s="16">
        <f>'Clean Data'!AI225</f>
        <v>4.3461929939999999</v>
      </c>
      <c r="AJ226" s="16" t="str">
        <f>'Clean Data'!AJ225</f>
        <v>NaN</v>
      </c>
      <c r="AK226" s="16">
        <f>'Clean Data'!AK225</f>
        <v>2.6202241860224214</v>
      </c>
      <c r="AL226" s="16" t="str">
        <f>'Clean Data'!AL225</f>
        <v>NaN</v>
      </c>
      <c r="AM226" s="16">
        <f>'Clean Data'!AM225</f>
        <v>52</v>
      </c>
      <c r="AN226" s="16">
        <f>'Clean Data'!AN225</f>
        <v>79.195611250583511</v>
      </c>
      <c r="AO226" s="16" t="str">
        <f>'Clean Data'!AO225</f>
        <v>Ruoppolo, Waste Management 2012, 32, 724-732</v>
      </c>
      <c r="AP226" s="16"/>
      <c r="AQ226" s="16"/>
      <c r="AR226" s="16"/>
      <c r="AS226" s="16"/>
      <c r="AT226" s="16"/>
    </row>
    <row r="227" spans="1:46" x14ac:dyDescent="0.3">
      <c r="A227" s="16">
        <f>'Clean Data'!A226</f>
        <v>225</v>
      </c>
      <c r="B227" s="16" t="str">
        <f>'Clean Data'!B226</f>
        <v>other</v>
      </c>
      <c r="C227" s="16" t="str">
        <f>'Clean Data'!C226</f>
        <v>pellets</v>
      </c>
      <c r="D227" s="16">
        <f>'Clean Data'!D226</f>
        <v>6</v>
      </c>
      <c r="E227" s="16">
        <f>'Clean Data'!E226</f>
        <v>21.9</v>
      </c>
      <c r="F227" s="16">
        <f>'Clean Data'!F226</f>
        <v>54.9</v>
      </c>
      <c r="G227" s="16">
        <f>'Clean Data'!G226</f>
        <v>6.8</v>
      </c>
      <c r="H227" s="16">
        <f>'Clean Data'!H226</f>
        <v>0.5</v>
      </c>
      <c r="I227" s="16">
        <f>'Clean Data'!I226</f>
        <v>0</v>
      </c>
      <c r="J227" s="16">
        <f>'Clean Data'!J226</f>
        <v>37.799999999999997</v>
      </c>
      <c r="K227" s="16">
        <f>'Clean Data'!K226</f>
        <v>1.4846235418875928</v>
      </c>
      <c r="L227" s="16">
        <f>'Clean Data'!L226</f>
        <v>5.7</v>
      </c>
      <c r="M227" s="16">
        <f>'Clean Data'!M226</f>
        <v>82.608695652173921</v>
      </c>
      <c r="N227" s="16">
        <f>'Clean Data'!N226</f>
        <v>15.906680805938494</v>
      </c>
      <c r="O227" s="16" t="str">
        <f>'Clean Data'!O226</f>
        <v>NaN</v>
      </c>
      <c r="P227" s="16" t="str">
        <f>'Clean Data'!P226</f>
        <v>NaN</v>
      </c>
      <c r="Q227" s="16" t="str">
        <f>'Clean Data'!Q226</f>
        <v>NaN</v>
      </c>
      <c r="R227" s="16">
        <f>'Clean Data'!R226</f>
        <v>780</v>
      </c>
      <c r="S227" s="16" t="str">
        <f>'Clean Data'!S226</f>
        <v>continuous</v>
      </c>
      <c r="T227" s="16" t="str">
        <f>'Clean Data'!T226</f>
        <v>atmospheric</v>
      </c>
      <c r="U227" s="16">
        <f>'Clean Data'!U226</f>
        <v>40</v>
      </c>
      <c r="V227" s="16">
        <f>'Clean Data'!V226</f>
        <v>0.6</v>
      </c>
      <c r="W227" s="16">
        <f>'Clean Data'!W226</f>
        <v>0.12</v>
      </c>
      <c r="X227" s="16" t="str">
        <f>'Clean Data'!X226</f>
        <v>air + steam</v>
      </c>
      <c r="Y227" s="16" t="str">
        <f>'Clean Data'!Y226</f>
        <v>fluidised bed</v>
      </c>
      <c r="Z227" s="16" t="str">
        <f>'Clean Data'!Z226</f>
        <v xml:space="preserve">alumina </v>
      </c>
      <c r="AA227" s="16">
        <f>'Clean Data'!AA226</f>
        <v>1</v>
      </c>
      <c r="AB227" s="16" t="str">
        <f>'Clean Data'!AB226</f>
        <v>pilot</v>
      </c>
      <c r="AC227" s="16">
        <f>'Clean Data'!AC226</f>
        <v>32.08</v>
      </c>
      <c r="AD227" s="16">
        <f>'Clean Data'!AD226</f>
        <v>32</v>
      </c>
      <c r="AE227" s="16">
        <f>'Clean Data'!AE226</f>
        <v>14</v>
      </c>
      <c r="AF227" s="16">
        <f>'Clean Data'!AF226</f>
        <v>16.5</v>
      </c>
      <c r="AG227" s="16">
        <f>'Clean Data'!AG226</f>
        <v>4</v>
      </c>
      <c r="AH227" s="16">
        <f>'Clean Data'!AH226</f>
        <v>1.42</v>
      </c>
      <c r="AI227" s="16">
        <f>'Clean Data'!AI226</f>
        <v>7.4824626239999992</v>
      </c>
      <c r="AJ227" s="16" t="str">
        <f>'Clean Data'!AJ226</f>
        <v>NaN</v>
      </c>
      <c r="AK227" s="16">
        <f>'Clean Data'!AK226</f>
        <v>2.1365960384114309</v>
      </c>
      <c r="AL227" s="16" t="str">
        <f>'Clean Data'!AL226</f>
        <v>NaN</v>
      </c>
      <c r="AM227" s="16">
        <f>'Clean Data'!AM226</f>
        <v>73</v>
      </c>
      <c r="AN227" s="16">
        <f>'Clean Data'!AN226</f>
        <v>74.556026726150392</v>
      </c>
      <c r="AO227" s="16" t="str">
        <f>'Clean Data'!AO226</f>
        <v>Ruoppolo, Waste Management 2012, 32, 724-732</v>
      </c>
      <c r="AP227" s="16"/>
      <c r="AQ227" s="16"/>
      <c r="AR227" s="16"/>
      <c r="AS227" s="16"/>
      <c r="AT227" s="16"/>
    </row>
    <row r="228" spans="1:46" x14ac:dyDescent="0.3">
      <c r="A228" s="16">
        <f>'Clean Data'!A227</f>
        <v>226</v>
      </c>
      <c r="B228" s="16" t="str">
        <f>'Clean Data'!B227</f>
        <v>other</v>
      </c>
      <c r="C228" s="16" t="str">
        <f>'Clean Data'!C227</f>
        <v>pellets</v>
      </c>
      <c r="D228" s="16">
        <f>'Clean Data'!D227</f>
        <v>6</v>
      </c>
      <c r="E228" s="16">
        <f>'Clean Data'!E227</f>
        <v>21.9</v>
      </c>
      <c r="F228" s="16">
        <f>'Clean Data'!F227</f>
        <v>54.9</v>
      </c>
      <c r="G228" s="16">
        <f>'Clean Data'!G227</f>
        <v>6.8</v>
      </c>
      <c r="H228" s="16">
        <f>'Clean Data'!H227</f>
        <v>0.5</v>
      </c>
      <c r="I228" s="16">
        <f>'Clean Data'!I227</f>
        <v>0</v>
      </c>
      <c r="J228" s="16">
        <f>'Clean Data'!J227</f>
        <v>37.799999999999997</v>
      </c>
      <c r="K228" s="16">
        <f>'Clean Data'!K227</f>
        <v>1.4846235418875928</v>
      </c>
      <c r="L228" s="16">
        <f>'Clean Data'!L227</f>
        <v>5.7</v>
      </c>
      <c r="M228" s="16">
        <f>'Clean Data'!M227</f>
        <v>82.608695652173921</v>
      </c>
      <c r="N228" s="16">
        <f>'Clean Data'!N227</f>
        <v>15.906680805938494</v>
      </c>
      <c r="O228" s="16" t="str">
        <f>'Clean Data'!O227</f>
        <v>NaN</v>
      </c>
      <c r="P228" s="16" t="str">
        <f>'Clean Data'!P227</f>
        <v>NaN</v>
      </c>
      <c r="Q228" s="16" t="str">
        <f>'Clean Data'!Q227</f>
        <v>NaN</v>
      </c>
      <c r="R228" s="16">
        <f>'Clean Data'!R227</f>
        <v>780</v>
      </c>
      <c r="S228" s="16" t="str">
        <f>'Clean Data'!S227</f>
        <v>continuous</v>
      </c>
      <c r="T228" s="16" t="str">
        <f>'Clean Data'!T227</f>
        <v>atmospheric</v>
      </c>
      <c r="U228" s="16">
        <f>'Clean Data'!U227</f>
        <v>40</v>
      </c>
      <c r="V228" s="16">
        <f>'Clean Data'!V227</f>
        <v>0</v>
      </c>
      <c r="W228" s="16">
        <f>'Clean Data'!W227</f>
        <v>0.23</v>
      </c>
      <c r="X228" s="16" t="str">
        <f>'Clean Data'!X227</f>
        <v>air</v>
      </c>
      <c r="Y228" s="16" t="str">
        <f>'Clean Data'!Y227</f>
        <v>fluidised bed</v>
      </c>
      <c r="Z228" s="16" t="str">
        <f>'Clean Data'!Z227</f>
        <v>silica</v>
      </c>
      <c r="AA228" s="16">
        <f>'Clean Data'!AA227</f>
        <v>0</v>
      </c>
      <c r="AB228" s="16" t="str">
        <f>'Clean Data'!AB227</f>
        <v>pilot</v>
      </c>
      <c r="AC228" s="16">
        <f>'Clean Data'!AC227</f>
        <v>44.5</v>
      </c>
      <c r="AD228" s="16">
        <f>'Clean Data'!AD227</f>
        <v>17</v>
      </c>
      <c r="AE228" s="16">
        <f>'Clean Data'!AE227</f>
        <v>16</v>
      </c>
      <c r="AF228" s="16">
        <f>'Clean Data'!AF227</f>
        <v>10.5</v>
      </c>
      <c r="AG228" s="16">
        <f>'Clean Data'!AG227</f>
        <v>12</v>
      </c>
      <c r="AH228" s="16">
        <f>'Clean Data'!AH227</f>
        <v>0</v>
      </c>
      <c r="AI228" s="16">
        <f>'Clean Data'!AI227</f>
        <v>7.807024499999998</v>
      </c>
      <c r="AJ228" s="16" t="str">
        <f>'Clean Data'!AJ227</f>
        <v>NaN</v>
      </c>
      <c r="AK228" s="16">
        <f>'Clean Data'!AK227</f>
        <v>2.6368560774979</v>
      </c>
      <c r="AL228" s="16" t="str">
        <f>'Clean Data'!AL227</f>
        <v>NaN</v>
      </c>
      <c r="AM228" s="16">
        <f>'Clean Data'!AM227</f>
        <v>94</v>
      </c>
      <c r="AN228" s="16">
        <f>'Clean Data'!AN227</f>
        <v>93.179206916547557</v>
      </c>
      <c r="AO228" s="16" t="str">
        <f>'Clean Data'!AO227</f>
        <v>Ruoppolo, Waste Management 2012, 32, 724-732</v>
      </c>
      <c r="AP228" s="16"/>
      <c r="AQ228" s="16"/>
      <c r="AR228" s="16"/>
      <c r="AS228" s="16"/>
      <c r="AT228" s="16"/>
    </row>
    <row r="229" spans="1:46" x14ac:dyDescent="0.3">
      <c r="A229" s="16">
        <f>'Clean Data'!A228</f>
        <v>227</v>
      </c>
      <c r="B229" s="16" t="str">
        <f>'Clean Data'!B228</f>
        <v>other</v>
      </c>
      <c r="C229" s="16" t="str">
        <f>'Clean Data'!C228</f>
        <v>pellets</v>
      </c>
      <c r="D229" s="16">
        <f>'Clean Data'!D228</f>
        <v>6</v>
      </c>
      <c r="E229" s="16">
        <f>'Clean Data'!E228</f>
        <v>21.9</v>
      </c>
      <c r="F229" s="16">
        <f>'Clean Data'!F228</f>
        <v>54.9</v>
      </c>
      <c r="G229" s="16">
        <f>'Clean Data'!G228</f>
        <v>6.8</v>
      </c>
      <c r="H229" s="16">
        <f>'Clean Data'!H228</f>
        <v>0.5</v>
      </c>
      <c r="I229" s="16">
        <f>'Clean Data'!I228</f>
        <v>0</v>
      </c>
      <c r="J229" s="16">
        <f>'Clean Data'!J228</f>
        <v>37.799999999999997</v>
      </c>
      <c r="K229" s="16">
        <f>'Clean Data'!K228</f>
        <v>1.4846235418875928</v>
      </c>
      <c r="L229" s="16">
        <f>'Clean Data'!L228</f>
        <v>5.7</v>
      </c>
      <c r="M229" s="16">
        <f>'Clean Data'!M228</f>
        <v>82.608695652173921</v>
      </c>
      <c r="N229" s="16">
        <f>'Clean Data'!N228</f>
        <v>15.906680805938494</v>
      </c>
      <c r="O229" s="16" t="str">
        <f>'Clean Data'!O228</f>
        <v>NaN</v>
      </c>
      <c r="P229" s="16" t="str">
        <f>'Clean Data'!P228</f>
        <v>NaN</v>
      </c>
      <c r="Q229" s="16" t="str">
        <f>'Clean Data'!Q228</f>
        <v>NaN</v>
      </c>
      <c r="R229" s="16">
        <f>'Clean Data'!R228</f>
        <v>780</v>
      </c>
      <c r="S229" s="16" t="str">
        <f>'Clean Data'!S228</f>
        <v>continuous</v>
      </c>
      <c r="T229" s="16" t="str">
        <f>'Clean Data'!T228</f>
        <v>atmospheric</v>
      </c>
      <c r="U229" s="16">
        <f>'Clean Data'!U228</f>
        <v>40</v>
      </c>
      <c r="V229" s="16">
        <f>'Clean Data'!V228</f>
        <v>0</v>
      </c>
      <c r="W229" s="16">
        <f>'Clean Data'!W228</f>
        <v>0.19</v>
      </c>
      <c r="X229" s="16" t="str">
        <f>'Clean Data'!X228</f>
        <v>air</v>
      </c>
      <c r="Y229" s="16" t="str">
        <f>'Clean Data'!Y228</f>
        <v>fluidised bed</v>
      </c>
      <c r="Z229" s="16" t="str">
        <f>'Clean Data'!Z228</f>
        <v>silica</v>
      </c>
      <c r="AA229" s="16">
        <f>'Clean Data'!AA228</f>
        <v>0</v>
      </c>
      <c r="AB229" s="16" t="str">
        <f>'Clean Data'!AB228</f>
        <v>pilot</v>
      </c>
      <c r="AC229" s="16">
        <f>'Clean Data'!AC228</f>
        <v>48.5</v>
      </c>
      <c r="AD229" s="16">
        <f>'Clean Data'!AD228</f>
        <v>16</v>
      </c>
      <c r="AE229" s="16">
        <f>'Clean Data'!AE228</f>
        <v>15</v>
      </c>
      <c r="AF229" s="16">
        <f>'Clean Data'!AF228</f>
        <v>11.5</v>
      </c>
      <c r="AG229" s="16">
        <f>'Clean Data'!AG228</f>
        <v>9</v>
      </c>
      <c r="AH229" s="16">
        <f>'Clean Data'!AH228</f>
        <v>0</v>
      </c>
      <c r="AI229" s="16">
        <f>'Clean Data'!AI228</f>
        <v>6.6882611599999988</v>
      </c>
      <c r="AJ229" s="16" t="str">
        <f>'Clean Data'!AJ228</f>
        <v>NaN</v>
      </c>
      <c r="AK229" s="16">
        <f>'Clean Data'!AK228</f>
        <v>1.9318922648050425</v>
      </c>
      <c r="AL229" s="16" t="str">
        <f>'Clean Data'!AL228</f>
        <v>NaN</v>
      </c>
      <c r="AM229" s="16">
        <f>'Clean Data'!AM228</f>
        <v>59</v>
      </c>
      <c r="AN229" s="16">
        <f>'Clean Data'!AN228</f>
        <v>63.246849983081709</v>
      </c>
      <c r="AO229" s="16" t="str">
        <f>'Clean Data'!AO228</f>
        <v>Ruoppolo, Waste Management 2012, 32, 724-732</v>
      </c>
      <c r="AP229" s="16"/>
      <c r="AQ229" s="16"/>
      <c r="AR229" s="16"/>
      <c r="AS229" s="16"/>
      <c r="AT229" s="16"/>
    </row>
    <row r="230" spans="1:46" x14ac:dyDescent="0.3">
      <c r="A230" s="16">
        <f>'Clean Data'!A229</f>
        <v>228</v>
      </c>
      <c r="B230" s="16" t="str">
        <f>'Clean Data'!B229</f>
        <v>herbaceous biomass</v>
      </c>
      <c r="C230" s="16" t="str">
        <f>'Clean Data'!C229</f>
        <v>pellets</v>
      </c>
      <c r="D230" s="16">
        <f>'Clean Data'!D229</f>
        <v>6</v>
      </c>
      <c r="E230" s="16">
        <f>'Clean Data'!E229</f>
        <v>19.3</v>
      </c>
      <c r="F230" s="16">
        <f>'Clean Data'!F229</f>
        <v>53.5</v>
      </c>
      <c r="G230" s="16">
        <f>'Clean Data'!G229</f>
        <v>5.7</v>
      </c>
      <c r="H230" s="16">
        <f>'Clean Data'!H229</f>
        <v>1</v>
      </c>
      <c r="I230" s="16">
        <f>'Clean Data'!I229</f>
        <v>0</v>
      </c>
      <c r="J230" s="16">
        <f>'Clean Data'!J229</f>
        <v>39.799999999999997</v>
      </c>
      <c r="K230" s="16">
        <f>'Clean Data'!K229</f>
        <v>3.5126234906695943</v>
      </c>
      <c r="L230" s="16">
        <f>'Clean Data'!L229</f>
        <v>8.9</v>
      </c>
      <c r="M230" s="16">
        <f>'Clean Data'!M229</f>
        <v>74.862788144895731</v>
      </c>
      <c r="N230" s="16">
        <f>'Clean Data'!N229</f>
        <v>21.62458836443469</v>
      </c>
      <c r="O230" s="16" t="str">
        <f>'Clean Data'!O229</f>
        <v>NaN</v>
      </c>
      <c r="P230" s="16" t="str">
        <f>'Clean Data'!P229</f>
        <v>NaN</v>
      </c>
      <c r="Q230" s="16" t="str">
        <f>'Clean Data'!Q229</f>
        <v>NaN</v>
      </c>
      <c r="R230" s="16">
        <f>'Clean Data'!R229</f>
        <v>780</v>
      </c>
      <c r="S230" s="16" t="str">
        <f>'Clean Data'!S229</f>
        <v>continuous</v>
      </c>
      <c r="T230" s="16" t="str">
        <f>'Clean Data'!T229</f>
        <v>atmospheric</v>
      </c>
      <c r="U230" s="16">
        <f>'Clean Data'!U229</f>
        <v>40</v>
      </c>
      <c r="V230" s="16">
        <f>'Clean Data'!V229</f>
        <v>0</v>
      </c>
      <c r="W230" s="16">
        <f>'Clean Data'!W229</f>
        <v>0.17</v>
      </c>
      <c r="X230" s="16" t="str">
        <f>'Clean Data'!X229</f>
        <v>air</v>
      </c>
      <c r="Y230" s="16" t="str">
        <f>'Clean Data'!Y229</f>
        <v>fluidised bed</v>
      </c>
      <c r="Z230" s="16" t="str">
        <f>'Clean Data'!Z229</f>
        <v xml:space="preserve">alumina </v>
      </c>
      <c r="AA230" s="16">
        <f>'Clean Data'!AA229</f>
        <v>1</v>
      </c>
      <c r="AB230" s="16" t="str">
        <f>'Clean Data'!AB229</f>
        <v>pilot</v>
      </c>
      <c r="AC230" s="16">
        <f>'Clean Data'!AC229</f>
        <v>43.17</v>
      </c>
      <c r="AD230" s="16">
        <f>'Clean Data'!AD229</f>
        <v>17.5</v>
      </c>
      <c r="AE230" s="16">
        <f>'Clean Data'!AE229</f>
        <v>19</v>
      </c>
      <c r="AF230" s="16">
        <f>'Clean Data'!AF229</f>
        <v>13</v>
      </c>
      <c r="AG230" s="16">
        <f>'Clean Data'!AG229</f>
        <v>6.5</v>
      </c>
      <c r="AH230" s="16">
        <f>'Clean Data'!AH229</f>
        <v>0.83</v>
      </c>
      <c r="AI230" s="16">
        <f>'Clean Data'!AI229</f>
        <v>5.9516161099999989</v>
      </c>
      <c r="AJ230" s="16" t="str">
        <f>'Clean Data'!AJ229</f>
        <v>NaN</v>
      </c>
      <c r="AK230" s="16">
        <f>'Clean Data'!AK229</f>
        <v>1.9781181753673294</v>
      </c>
      <c r="AL230" s="16" t="str">
        <f>'Clean Data'!AL229</f>
        <v>NaN</v>
      </c>
      <c r="AM230" s="16">
        <f>'Clean Data'!AM229</f>
        <v>61</v>
      </c>
      <c r="AN230" s="16">
        <f>'Clean Data'!AN229</f>
        <v>75.224757429948085</v>
      </c>
      <c r="AO230" s="16" t="str">
        <f>'Clean Data'!AO229</f>
        <v>Ruoppolo, Waste Management 2012, 32, 724-732</v>
      </c>
      <c r="AP230" s="16"/>
      <c r="AQ230" s="16"/>
      <c r="AR230" s="16"/>
      <c r="AS230" s="16"/>
      <c r="AT230" s="16"/>
    </row>
    <row r="231" spans="1:46" x14ac:dyDescent="0.3">
      <c r="A231" s="16">
        <f>'Clean Data'!A230</f>
        <v>229</v>
      </c>
      <c r="B231" s="16" t="str">
        <f>'Clean Data'!B230</f>
        <v>herbaceous biomass</v>
      </c>
      <c r="C231" s="16" t="str">
        <f>'Clean Data'!C230</f>
        <v>pellets</v>
      </c>
      <c r="D231" s="16">
        <f>'Clean Data'!D230</f>
        <v>6</v>
      </c>
      <c r="E231" s="16">
        <f>'Clean Data'!E230</f>
        <v>19.3</v>
      </c>
      <c r="F231" s="16">
        <f>'Clean Data'!F230</f>
        <v>53.5</v>
      </c>
      <c r="G231" s="16">
        <f>'Clean Data'!G230</f>
        <v>5.7</v>
      </c>
      <c r="H231" s="16">
        <f>'Clean Data'!H230</f>
        <v>1</v>
      </c>
      <c r="I231" s="16">
        <f>'Clean Data'!I230</f>
        <v>0</v>
      </c>
      <c r="J231" s="16">
        <f>'Clean Data'!J230</f>
        <v>39.799999999999997</v>
      </c>
      <c r="K231" s="16">
        <f>'Clean Data'!K230</f>
        <v>3.5126234906695943</v>
      </c>
      <c r="L231" s="16">
        <f>'Clean Data'!L230</f>
        <v>8.9</v>
      </c>
      <c r="M231" s="16">
        <f>'Clean Data'!M230</f>
        <v>74.862788144895731</v>
      </c>
      <c r="N231" s="16">
        <f>'Clean Data'!N230</f>
        <v>21.62458836443469</v>
      </c>
      <c r="O231" s="16" t="str">
        <f>'Clean Data'!O230</f>
        <v>NaN</v>
      </c>
      <c r="P231" s="16" t="str">
        <f>'Clean Data'!P230</f>
        <v>NaN</v>
      </c>
      <c r="Q231" s="16" t="str">
        <f>'Clean Data'!Q230</f>
        <v>NaN</v>
      </c>
      <c r="R231" s="16">
        <f>'Clean Data'!R230</f>
        <v>780</v>
      </c>
      <c r="S231" s="16" t="str">
        <f>'Clean Data'!S230</f>
        <v>continuous</v>
      </c>
      <c r="T231" s="16" t="str">
        <f>'Clean Data'!T230</f>
        <v>atmospheric</v>
      </c>
      <c r="U231" s="16">
        <f>'Clean Data'!U230</f>
        <v>40</v>
      </c>
      <c r="V231" s="16">
        <f>'Clean Data'!V230</f>
        <v>0.44</v>
      </c>
      <c r="W231" s="16">
        <f>'Clean Data'!W230</f>
        <v>0.09</v>
      </c>
      <c r="X231" s="16" t="str">
        <f>'Clean Data'!X230</f>
        <v>air + steam</v>
      </c>
      <c r="Y231" s="16" t="str">
        <f>'Clean Data'!Y230</f>
        <v>fluidised bed</v>
      </c>
      <c r="Z231" s="16" t="str">
        <f>'Clean Data'!Z230</f>
        <v xml:space="preserve">alumina </v>
      </c>
      <c r="AA231" s="16">
        <f>'Clean Data'!AA230</f>
        <v>1</v>
      </c>
      <c r="AB231" s="16" t="str">
        <f>'Clean Data'!AB230</f>
        <v>pilot</v>
      </c>
      <c r="AC231" s="16">
        <f>'Clean Data'!AC230</f>
        <v>42.11</v>
      </c>
      <c r="AD231" s="16">
        <f>'Clean Data'!AD230</f>
        <v>21</v>
      </c>
      <c r="AE231" s="16">
        <f>'Clean Data'!AE230</f>
        <v>18</v>
      </c>
      <c r="AF231" s="16">
        <f>'Clean Data'!AF230</f>
        <v>12.5</v>
      </c>
      <c r="AG231" s="16">
        <f>'Clean Data'!AG230</f>
        <v>5</v>
      </c>
      <c r="AH231" s="16">
        <f>'Clean Data'!AH230</f>
        <v>1.3900000000000001</v>
      </c>
      <c r="AI231" s="16">
        <f>'Clean Data'!AI230</f>
        <v>8.6414992949999991</v>
      </c>
      <c r="AJ231" s="16" t="str">
        <f>'Clean Data'!AJ230</f>
        <v>NaN</v>
      </c>
      <c r="AK231" s="16">
        <f>'Clean Data'!AK230</f>
        <v>1.4740497644164887</v>
      </c>
      <c r="AL231" s="16" t="str">
        <f>'Clean Data'!AL230</f>
        <v>NaN</v>
      </c>
      <c r="AM231" s="16">
        <f>'Clean Data'!AM230</f>
        <v>66</v>
      </c>
      <c r="AN231" s="16">
        <f>'Clean Data'!AN230</f>
        <v>53.489880949880245</v>
      </c>
      <c r="AO231" s="16" t="str">
        <f>'Clean Data'!AO230</f>
        <v>Ruoppolo, Waste Management 2012, 32, 724-732</v>
      </c>
      <c r="AP231" s="16"/>
      <c r="AQ231" s="16"/>
      <c r="AR231" s="16"/>
      <c r="AS231" s="16"/>
      <c r="AT231" s="16"/>
    </row>
    <row r="232" spans="1:46" x14ac:dyDescent="0.3">
      <c r="A232" s="16">
        <f>'Clean Data'!A231</f>
        <v>230</v>
      </c>
      <c r="B232" s="16" t="str">
        <f>'Clean Data'!B231</f>
        <v>herbaceous biomass</v>
      </c>
      <c r="C232" s="16" t="str">
        <f>'Clean Data'!C231</f>
        <v>pellets</v>
      </c>
      <c r="D232" s="16">
        <f>'Clean Data'!D231</f>
        <v>6</v>
      </c>
      <c r="E232" s="16">
        <f>'Clean Data'!E231</f>
        <v>19.3</v>
      </c>
      <c r="F232" s="16">
        <f>'Clean Data'!F231</f>
        <v>53.5</v>
      </c>
      <c r="G232" s="16">
        <f>'Clean Data'!G231</f>
        <v>5.7</v>
      </c>
      <c r="H232" s="16">
        <f>'Clean Data'!H231</f>
        <v>1</v>
      </c>
      <c r="I232" s="16">
        <f>'Clean Data'!I231</f>
        <v>0</v>
      </c>
      <c r="J232" s="16">
        <f>'Clean Data'!J231</f>
        <v>39.799999999999997</v>
      </c>
      <c r="K232" s="16">
        <f>'Clean Data'!K231</f>
        <v>3.5126234906695943</v>
      </c>
      <c r="L232" s="16">
        <f>'Clean Data'!L231</f>
        <v>8.9</v>
      </c>
      <c r="M232" s="16">
        <f>'Clean Data'!M231</f>
        <v>74.862788144895731</v>
      </c>
      <c r="N232" s="16">
        <f>'Clean Data'!N231</f>
        <v>21.62458836443469</v>
      </c>
      <c r="O232" s="16" t="str">
        <f>'Clean Data'!O231</f>
        <v>NaN</v>
      </c>
      <c r="P232" s="16" t="str">
        <f>'Clean Data'!P231</f>
        <v>NaN</v>
      </c>
      <c r="Q232" s="16" t="str">
        <f>'Clean Data'!Q231</f>
        <v>NaN</v>
      </c>
      <c r="R232" s="16">
        <f>'Clean Data'!R231</f>
        <v>780</v>
      </c>
      <c r="S232" s="16" t="str">
        <f>'Clean Data'!S231</f>
        <v>continuous</v>
      </c>
      <c r="T232" s="16" t="str">
        <f>'Clean Data'!T231</f>
        <v>atmospheric</v>
      </c>
      <c r="U232" s="16">
        <f>'Clean Data'!U231</f>
        <v>40</v>
      </c>
      <c r="V232" s="16">
        <f>'Clean Data'!V231</f>
        <v>0</v>
      </c>
      <c r="W232" s="16">
        <f>'Clean Data'!W231</f>
        <v>0.17</v>
      </c>
      <c r="X232" s="16" t="str">
        <f>'Clean Data'!X231</f>
        <v>air</v>
      </c>
      <c r="Y232" s="16" t="str">
        <f>'Clean Data'!Y231</f>
        <v>fluidised bed</v>
      </c>
      <c r="Z232" s="16" t="str">
        <f>'Clean Data'!Z231</f>
        <v>silica</v>
      </c>
      <c r="AA232" s="16">
        <f>'Clean Data'!AA231</f>
        <v>0</v>
      </c>
      <c r="AB232" s="16" t="str">
        <f>'Clean Data'!AB231</f>
        <v>pilot</v>
      </c>
      <c r="AC232" s="16">
        <f>'Clean Data'!AC231</f>
        <v>48.5</v>
      </c>
      <c r="AD232" s="16">
        <f>'Clean Data'!AD231</f>
        <v>16</v>
      </c>
      <c r="AE232" s="16">
        <f>'Clean Data'!AE231</f>
        <v>17.5</v>
      </c>
      <c r="AF232" s="16">
        <f>'Clean Data'!AF231</f>
        <v>12</v>
      </c>
      <c r="AG232" s="16">
        <f>'Clean Data'!AG231</f>
        <v>6</v>
      </c>
      <c r="AH232" s="16">
        <f>'Clean Data'!AH231</f>
        <v>0</v>
      </c>
      <c r="AI232" s="16">
        <f>'Clean Data'!AI231</f>
        <v>6.5846507999999995</v>
      </c>
      <c r="AJ232" s="16" t="str">
        <f>'Clean Data'!AJ231</f>
        <v>NaN</v>
      </c>
      <c r="AK232" s="16">
        <f>'Clean Data'!AK231</f>
        <v>1.7586354009843621</v>
      </c>
      <c r="AL232" s="16" t="str">
        <f>'Clean Data'!AL231</f>
        <v>NaN</v>
      </c>
      <c r="AM232" s="16">
        <f>'Clean Data'!AM231</f>
        <v>60</v>
      </c>
      <c r="AN232" s="16">
        <f>'Clean Data'!AN231</f>
        <v>59.124664747299498</v>
      </c>
      <c r="AO232" s="16" t="str">
        <f>'Clean Data'!AO231</f>
        <v>Ruoppolo, Waste Management 2012, 32, 724-732</v>
      </c>
      <c r="AP232" s="16"/>
      <c r="AQ232" s="16"/>
      <c r="AR232" s="16"/>
      <c r="AS232" s="16"/>
      <c r="AT232" s="16"/>
    </row>
    <row r="233" spans="1:46" x14ac:dyDescent="0.3">
      <c r="A233" s="16">
        <f>'Clean Data'!A232</f>
        <v>231</v>
      </c>
      <c r="B233" s="16" t="str">
        <f>'Clean Data'!B232</f>
        <v>herbaceous biomass</v>
      </c>
      <c r="C233" s="16" t="str">
        <f>'Clean Data'!C232</f>
        <v>pellets</v>
      </c>
      <c r="D233" s="16">
        <f>'Clean Data'!D232</f>
        <v>6</v>
      </c>
      <c r="E233" s="16">
        <f>'Clean Data'!E232</f>
        <v>19.3</v>
      </c>
      <c r="F233" s="16">
        <f>'Clean Data'!F232</f>
        <v>53.5</v>
      </c>
      <c r="G233" s="16">
        <f>'Clean Data'!G232</f>
        <v>5.7</v>
      </c>
      <c r="H233" s="16">
        <f>'Clean Data'!H232</f>
        <v>1</v>
      </c>
      <c r="I233" s="16">
        <f>'Clean Data'!I232</f>
        <v>0</v>
      </c>
      <c r="J233" s="16">
        <f>'Clean Data'!J232</f>
        <v>39.799999999999997</v>
      </c>
      <c r="K233" s="16">
        <f>'Clean Data'!K232</f>
        <v>3.5126234906695943</v>
      </c>
      <c r="L233" s="16">
        <f>'Clean Data'!L232</f>
        <v>8.9</v>
      </c>
      <c r="M233" s="16">
        <f>'Clean Data'!M232</f>
        <v>74.862788144895731</v>
      </c>
      <c r="N233" s="16">
        <f>'Clean Data'!N232</f>
        <v>21.62458836443469</v>
      </c>
      <c r="O233" s="16" t="str">
        <f>'Clean Data'!O232</f>
        <v>NaN</v>
      </c>
      <c r="P233" s="16" t="str">
        <f>'Clean Data'!P232</f>
        <v>NaN</v>
      </c>
      <c r="Q233" s="16" t="str">
        <f>'Clean Data'!Q232</f>
        <v>NaN</v>
      </c>
      <c r="R233" s="16">
        <f>'Clean Data'!R232</f>
        <v>780</v>
      </c>
      <c r="S233" s="16" t="str">
        <f>'Clean Data'!S232</f>
        <v>continuous</v>
      </c>
      <c r="T233" s="16" t="str">
        <f>'Clean Data'!T232</f>
        <v>atmospheric</v>
      </c>
      <c r="U233" s="16">
        <f>'Clean Data'!U232</f>
        <v>40</v>
      </c>
      <c r="V233" s="16">
        <f>'Clean Data'!V232</f>
        <v>0.44</v>
      </c>
      <c r="W233" s="16">
        <f>'Clean Data'!W232</f>
        <v>0.09</v>
      </c>
      <c r="X233" s="16" t="str">
        <f>'Clean Data'!X232</f>
        <v>air + steam</v>
      </c>
      <c r="Y233" s="16" t="str">
        <f>'Clean Data'!Y232</f>
        <v>fluidised bed</v>
      </c>
      <c r="Z233" s="16" t="str">
        <f>'Clean Data'!Z232</f>
        <v>silica</v>
      </c>
      <c r="AA233" s="16">
        <f>'Clean Data'!AA232</f>
        <v>0</v>
      </c>
      <c r="AB233" s="16" t="str">
        <f>'Clean Data'!AB232</f>
        <v>pilot</v>
      </c>
      <c r="AC233" s="16">
        <f>'Clean Data'!AC232</f>
        <v>54</v>
      </c>
      <c r="AD233" s="16">
        <f>'Clean Data'!AD232</f>
        <v>17</v>
      </c>
      <c r="AE233" s="16">
        <f>'Clean Data'!AE232</f>
        <v>15</v>
      </c>
      <c r="AF233" s="16">
        <f>'Clean Data'!AF232</f>
        <v>10</v>
      </c>
      <c r="AG233" s="16">
        <f>'Clean Data'!AG232</f>
        <v>4</v>
      </c>
      <c r="AH233" s="16">
        <f>'Clean Data'!AH232</f>
        <v>0</v>
      </c>
      <c r="AI233" s="16">
        <f>'Clean Data'!AI232</f>
        <v>6.515301599999999</v>
      </c>
      <c r="AJ233" s="16" t="str">
        <f>'Clean Data'!AJ232</f>
        <v>NaN</v>
      </c>
      <c r="AK233" s="16">
        <f>'Clean Data'!AK232</f>
        <v>0.94792234944273357</v>
      </c>
      <c r="AL233" s="16" t="str">
        <f>'Clean Data'!AL232</f>
        <v>NaN</v>
      </c>
      <c r="AM233" s="16">
        <f>'Clean Data'!AM232</f>
        <v>32</v>
      </c>
      <c r="AN233" s="16">
        <f>'Clean Data'!AN232</f>
        <v>26.044957540883569</v>
      </c>
      <c r="AO233" s="16" t="str">
        <f>'Clean Data'!AO232</f>
        <v>Ruoppolo, Waste Management 2012, 32, 724-732</v>
      </c>
      <c r="AP233" s="16"/>
      <c r="AQ233" s="16"/>
      <c r="AR233" s="16"/>
      <c r="AS233" s="16"/>
      <c r="AT233" s="16"/>
    </row>
    <row r="234" spans="1:46" x14ac:dyDescent="0.3">
      <c r="A234" s="16">
        <f>'Clean Data'!A233</f>
        <v>232</v>
      </c>
      <c r="B234" s="16" t="str">
        <f>'Clean Data'!B233</f>
        <v>woody biomass</v>
      </c>
      <c r="C234" s="16" t="str">
        <f>'Clean Data'!C233</f>
        <v>dust</v>
      </c>
      <c r="D234" s="16">
        <f>'Clean Data'!D233</f>
        <v>2.5</v>
      </c>
      <c r="E234" s="16">
        <f>'Clean Data'!E233</f>
        <v>16.236912768253966</v>
      </c>
      <c r="F234" s="16">
        <f>'Clean Data'!F233</f>
        <v>48.324514991181665</v>
      </c>
      <c r="G234" s="16">
        <f>'Clean Data'!G233</f>
        <v>7.4514991181657857</v>
      </c>
      <c r="H234" s="16">
        <f>'Clean Data'!H233</f>
        <v>1.2786596119929454</v>
      </c>
      <c r="I234" s="16">
        <f>'Clean Data'!I233</f>
        <v>5.5114638447971792E-2</v>
      </c>
      <c r="J234" s="16">
        <f>'Clean Data'!J233</f>
        <v>43.066578483245152</v>
      </c>
      <c r="K234" s="16">
        <f>'Clean Data'!K233</f>
        <v>0.91490299823633159</v>
      </c>
      <c r="L234" s="16">
        <f>'Clean Data'!L233</f>
        <v>9.2799999999999994</v>
      </c>
      <c r="M234" s="16">
        <f>'Clean Data'!M233</f>
        <v>84.854497354497369</v>
      </c>
      <c r="N234" s="16">
        <f>'Clean Data'!N233</f>
        <v>14.219576719576722</v>
      </c>
      <c r="O234" s="16" t="str">
        <f>'Clean Data'!O233</f>
        <v>NaN</v>
      </c>
      <c r="P234" s="16" t="str">
        <f>'Clean Data'!P233</f>
        <v>NaN</v>
      </c>
      <c r="Q234" s="16" t="str">
        <f>'Clean Data'!Q233</f>
        <v>NaN</v>
      </c>
      <c r="R234" s="16">
        <f>'Clean Data'!R233</f>
        <v>750</v>
      </c>
      <c r="S234" s="16" t="str">
        <f>'Clean Data'!S233</f>
        <v>continuous</v>
      </c>
      <c r="T234" s="16" t="str">
        <f>'Clean Data'!T233</f>
        <v>atmospheric</v>
      </c>
      <c r="U234" s="16" t="str">
        <f>'Clean Data'!U233</f>
        <v>NaN</v>
      </c>
      <c r="V234" s="16" t="str">
        <f>'Clean Data'!V233</f>
        <v>NaN</v>
      </c>
      <c r="W234" s="16">
        <f>'Clean Data'!W233</f>
        <v>0.2</v>
      </c>
      <c r="X234" s="16" t="str">
        <f>'Clean Data'!X233</f>
        <v>air</v>
      </c>
      <c r="Y234" s="16" t="str">
        <f>'Clean Data'!Y233</f>
        <v>fixed bed</v>
      </c>
      <c r="Z234" s="16" t="str">
        <f>'Clean Data'!Z233</f>
        <v>NaN</v>
      </c>
      <c r="AA234" s="16">
        <f>'Clean Data'!AA233</f>
        <v>0</v>
      </c>
      <c r="AB234" s="16" t="str">
        <f>'Clean Data'!AB233</f>
        <v>lab</v>
      </c>
      <c r="AC234" s="16">
        <f>'Clean Data'!AC233</f>
        <v>55</v>
      </c>
      <c r="AD234" s="16">
        <f>'Clean Data'!AD233</f>
        <v>6.8</v>
      </c>
      <c r="AE234" s="16">
        <f>'Clean Data'!AE233</f>
        <v>18.7</v>
      </c>
      <c r="AF234" s="16">
        <f>'Clean Data'!AF233</f>
        <v>11.4</v>
      </c>
      <c r="AG234" s="16">
        <f>'Clean Data'!AG233</f>
        <v>6</v>
      </c>
      <c r="AH234" s="16">
        <f>'Clean Data'!AH233</f>
        <v>2.1</v>
      </c>
      <c r="AI234" s="16">
        <f>'Clean Data'!AI233</f>
        <v>6.6</v>
      </c>
      <c r="AJ234" s="16">
        <f>'Clean Data'!AJ233</f>
        <v>87.1</v>
      </c>
      <c r="AK234" s="16">
        <f>'Clean Data'!AK233</f>
        <v>1.44</v>
      </c>
      <c r="AL234" s="16" t="str">
        <f>'Clean Data'!AL233</f>
        <v>NaN</v>
      </c>
      <c r="AM234" s="16">
        <f>'Clean Data'!AM233</f>
        <v>58.533294694925011</v>
      </c>
      <c r="AN234" s="16">
        <f>'Clean Data'!AN233</f>
        <v>60.707927299270068</v>
      </c>
      <c r="AO234" s="16" t="str">
        <f>'Clean Data'!AO233</f>
        <v>Huili Liu, J. Nat. Gas Chem. 2012, 21, 374-380</v>
      </c>
      <c r="AP234" s="16"/>
      <c r="AQ234" s="16"/>
      <c r="AR234" s="16"/>
      <c r="AS234" s="16"/>
      <c r="AT234" s="16"/>
    </row>
    <row r="235" spans="1:46" x14ac:dyDescent="0.3">
      <c r="A235" s="16">
        <f>'Clean Data'!A234</f>
        <v>233</v>
      </c>
      <c r="B235" s="16" t="str">
        <f>'Clean Data'!B234</f>
        <v>woody biomass</v>
      </c>
      <c r="C235" s="16" t="str">
        <f>'Clean Data'!C234</f>
        <v>dust</v>
      </c>
      <c r="D235" s="16">
        <f>'Clean Data'!D234</f>
        <v>2.5</v>
      </c>
      <c r="E235" s="16">
        <f>'Clean Data'!E234</f>
        <v>16.236912768253966</v>
      </c>
      <c r="F235" s="16">
        <f>'Clean Data'!F234</f>
        <v>48.324514991181665</v>
      </c>
      <c r="G235" s="16">
        <f>'Clean Data'!G234</f>
        <v>7.4514991181657857</v>
      </c>
      <c r="H235" s="16">
        <f>'Clean Data'!H234</f>
        <v>1.2786596119929454</v>
      </c>
      <c r="I235" s="16">
        <f>'Clean Data'!I234</f>
        <v>5.5114638447971792E-2</v>
      </c>
      <c r="J235" s="16">
        <f>'Clean Data'!J234</f>
        <v>43.066578483245152</v>
      </c>
      <c r="K235" s="16">
        <f>'Clean Data'!K234</f>
        <v>0.91490299823633159</v>
      </c>
      <c r="L235" s="16">
        <f>'Clean Data'!L234</f>
        <v>9.2799999999999994</v>
      </c>
      <c r="M235" s="16">
        <f>'Clean Data'!M234</f>
        <v>84.854497354497369</v>
      </c>
      <c r="N235" s="16">
        <f>'Clean Data'!N234</f>
        <v>14.219576719576722</v>
      </c>
      <c r="O235" s="16" t="str">
        <f>'Clean Data'!O234</f>
        <v>NaN</v>
      </c>
      <c r="P235" s="16" t="str">
        <f>'Clean Data'!P234</f>
        <v>NaN</v>
      </c>
      <c r="Q235" s="16" t="str">
        <f>'Clean Data'!Q234</f>
        <v>NaN</v>
      </c>
      <c r="R235" s="16">
        <f>'Clean Data'!R234</f>
        <v>800</v>
      </c>
      <c r="S235" s="16" t="str">
        <f>'Clean Data'!S234</f>
        <v>continuous</v>
      </c>
      <c r="T235" s="16" t="str">
        <f>'Clean Data'!T234</f>
        <v>atmospheric</v>
      </c>
      <c r="U235" s="16" t="str">
        <f>'Clean Data'!U234</f>
        <v>NaN</v>
      </c>
      <c r="V235" s="16" t="str">
        <f>'Clean Data'!V234</f>
        <v>NaN</v>
      </c>
      <c r="W235" s="16">
        <f>'Clean Data'!W234</f>
        <v>0.2</v>
      </c>
      <c r="X235" s="16" t="str">
        <f>'Clean Data'!X234</f>
        <v>air</v>
      </c>
      <c r="Y235" s="16" t="str">
        <f>'Clean Data'!Y234</f>
        <v>fixed bed</v>
      </c>
      <c r="Z235" s="16" t="str">
        <f>'Clean Data'!Z234</f>
        <v>NaN</v>
      </c>
      <c r="AA235" s="16">
        <f>'Clean Data'!AA234</f>
        <v>0</v>
      </c>
      <c r="AB235" s="16" t="str">
        <f>'Clean Data'!AB234</f>
        <v>lab</v>
      </c>
      <c r="AC235" s="16">
        <f>'Clean Data'!AC234</f>
        <v>49.900000000000006</v>
      </c>
      <c r="AD235" s="16">
        <f>'Clean Data'!AD234</f>
        <v>9.3000000000000007</v>
      </c>
      <c r="AE235" s="16">
        <f>'Clean Data'!AE234</f>
        <v>21.8</v>
      </c>
      <c r="AF235" s="16">
        <f>'Clean Data'!AF234</f>
        <v>11</v>
      </c>
      <c r="AG235" s="16">
        <f>'Clean Data'!AG234</f>
        <v>6</v>
      </c>
      <c r="AH235" s="16">
        <f>'Clean Data'!AH234</f>
        <v>2</v>
      </c>
      <c r="AI235" s="16">
        <f>'Clean Data'!AI234</f>
        <v>7.06</v>
      </c>
      <c r="AJ235" s="16">
        <f>'Clean Data'!AJ234</f>
        <v>55.2</v>
      </c>
      <c r="AK235" s="16">
        <f>'Clean Data'!AK234</f>
        <v>1.59</v>
      </c>
      <c r="AL235" s="16" t="str">
        <f>'Clean Data'!AL234</f>
        <v>NaN</v>
      </c>
      <c r="AM235" s="16">
        <f>'Clean Data'!AM234</f>
        <v>69.135063790868173</v>
      </c>
      <c r="AN235" s="16">
        <f>'Clean Data'!AN234</f>
        <v>70.971515638686128</v>
      </c>
      <c r="AO235" s="16" t="str">
        <f>'Clean Data'!AO234</f>
        <v>Huili Liu, J. Nat. Gas Chem. 2012, 21, 374-380</v>
      </c>
      <c r="AP235" s="16"/>
      <c r="AQ235" s="16"/>
      <c r="AR235" s="16"/>
      <c r="AS235" s="16"/>
      <c r="AT235" s="16"/>
    </row>
    <row r="236" spans="1:46" x14ac:dyDescent="0.3">
      <c r="A236" s="16">
        <f>'Clean Data'!A235</f>
        <v>234</v>
      </c>
      <c r="B236" s="16" t="str">
        <f>'Clean Data'!B235</f>
        <v>woody biomass</v>
      </c>
      <c r="C236" s="16" t="str">
        <f>'Clean Data'!C235</f>
        <v>dust</v>
      </c>
      <c r="D236" s="16">
        <f>'Clean Data'!D235</f>
        <v>2.5</v>
      </c>
      <c r="E236" s="16">
        <f>'Clean Data'!E235</f>
        <v>16.236912768253966</v>
      </c>
      <c r="F236" s="16">
        <f>'Clean Data'!F235</f>
        <v>48.324514991181665</v>
      </c>
      <c r="G236" s="16">
        <f>'Clean Data'!G235</f>
        <v>7.4514991181657857</v>
      </c>
      <c r="H236" s="16">
        <f>'Clean Data'!H235</f>
        <v>1.2786596119929454</v>
      </c>
      <c r="I236" s="16">
        <f>'Clean Data'!I235</f>
        <v>5.5114638447971792E-2</v>
      </c>
      <c r="J236" s="16">
        <f>'Clean Data'!J235</f>
        <v>43.066578483245152</v>
      </c>
      <c r="K236" s="16">
        <f>'Clean Data'!K235</f>
        <v>0.91490299823633159</v>
      </c>
      <c r="L236" s="16">
        <f>'Clean Data'!L235</f>
        <v>9.2799999999999994</v>
      </c>
      <c r="M236" s="16">
        <f>'Clean Data'!M235</f>
        <v>84.854497354497369</v>
      </c>
      <c r="N236" s="16">
        <f>'Clean Data'!N235</f>
        <v>14.219576719576722</v>
      </c>
      <c r="O236" s="16" t="str">
        <f>'Clean Data'!O235</f>
        <v>NaN</v>
      </c>
      <c r="P236" s="16" t="str">
        <f>'Clean Data'!P235</f>
        <v>NaN</v>
      </c>
      <c r="Q236" s="16" t="str">
        <f>'Clean Data'!Q235</f>
        <v>NaN</v>
      </c>
      <c r="R236" s="16">
        <f>'Clean Data'!R235</f>
        <v>850</v>
      </c>
      <c r="S236" s="16" t="str">
        <f>'Clean Data'!S235</f>
        <v>continuous</v>
      </c>
      <c r="T236" s="16" t="str">
        <f>'Clean Data'!T235</f>
        <v>atmospheric</v>
      </c>
      <c r="U236" s="16" t="str">
        <f>'Clean Data'!U235</f>
        <v>NaN</v>
      </c>
      <c r="V236" s="16" t="str">
        <f>'Clean Data'!V235</f>
        <v>NaN</v>
      </c>
      <c r="W236" s="16">
        <f>'Clean Data'!W235</f>
        <v>0.2</v>
      </c>
      <c r="X236" s="16" t="str">
        <f>'Clean Data'!X235</f>
        <v>air</v>
      </c>
      <c r="Y236" s="16" t="str">
        <f>'Clean Data'!Y235</f>
        <v>fixed bed</v>
      </c>
      <c r="Z236" s="16" t="str">
        <f>'Clean Data'!Z235</f>
        <v>NaN</v>
      </c>
      <c r="AA236" s="16">
        <f>'Clean Data'!AA235</f>
        <v>0</v>
      </c>
      <c r="AB236" s="16" t="str">
        <f>'Clean Data'!AB235</f>
        <v>lab</v>
      </c>
      <c r="AC236" s="16">
        <f>'Clean Data'!AC235</f>
        <v>44.2</v>
      </c>
      <c r="AD236" s="16">
        <f>'Clean Data'!AD235</f>
        <v>13</v>
      </c>
      <c r="AE236" s="16">
        <f>'Clean Data'!AE235</f>
        <v>24.7</v>
      </c>
      <c r="AF236" s="16">
        <f>'Clean Data'!AF235</f>
        <v>10.8</v>
      </c>
      <c r="AG236" s="16">
        <f>'Clean Data'!AG235</f>
        <v>5.5</v>
      </c>
      <c r="AH236" s="16">
        <f>'Clean Data'!AH235</f>
        <v>1.8</v>
      </c>
      <c r="AI236" s="16">
        <f>'Clean Data'!AI235</f>
        <v>7.45</v>
      </c>
      <c r="AJ236" s="16">
        <f>'Clean Data'!AJ235</f>
        <v>48.9</v>
      </c>
      <c r="AK236" s="16">
        <f>'Clean Data'!AK235</f>
        <v>1.8</v>
      </c>
      <c r="AL236" s="16" t="str">
        <f>'Clean Data'!AL235</f>
        <v>NaN</v>
      </c>
      <c r="AM236" s="16">
        <f>'Clean Data'!AM235</f>
        <v>82.58959194643775</v>
      </c>
      <c r="AN236" s="16">
        <f>'Clean Data'!AN235</f>
        <v>83.549186770072978</v>
      </c>
      <c r="AO236" s="16" t="str">
        <f>'Clean Data'!AO235</f>
        <v>Huili Liu, J. Nat. Gas Chem. 2012, 21, 374-380</v>
      </c>
      <c r="AP236" s="16"/>
      <c r="AQ236" s="16"/>
      <c r="AR236" s="16"/>
      <c r="AS236" s="16"/>
      <c r="AT236" s="16"/>
    </row>
    <row r="237" spans="1:46" x14ac:dyDescent="0.3">
      <c r="A237" s="16">
        <f>'Clean Data'!A236</f>
        <v>235</v>
      </c>
      <c r="B237" s="16" t="str">
        <f>'Clean Data'!B236</f>
        <v>woody biomass</v>
      </c>
      <c r="C237" s="16" t="str">
        <f>'Clean Data'!C236</f>
        <v>dust</v>
      </c>
      <c r="D237" s="16">
        <f>'Clean Data'!D236</f>
        <v>2.5</v>
      </c>
      <c r="E237" s="16">
        <f>'Clean Data'!E236</f>
        <v>16.236912768253966</v>
      </c>
      <c r="F237" s="16">
        <f>'Clean Data'!F236</f>
        <v>48.324514991181665</v>
      </c>
      <c r="G237" s="16">
        <f>'Clean Data'!G236</f>
        <v>7.4514991181657857</v>
      </c>
      <c r="H237" s="16">
        <f>'Clean Data'!H236</f>
        <v>1.2786596119929454</v>
      </c>
      <c r="I237" s="16">
        <f>'Clean Data'!I236</f>
        <v>5.5114638447971792E-2</v>
      </c>
      <c r="J237" s="16">
        <f>'Clean Data'!J236</f>
        <v>43.066578483245152</v>
      </c>
      <c r="K237" s="16">
        <f>'Clean Data'!K236</f>
        <v>0.91490299823633159</v>
      </c>
      <c r="L237" s="16">
        <f>'Clean Data'!L236</f>
        <v>9.2799999999999994</v>
      </c>
      <c r="M237" s="16">
        <f>'Clean Data'!M236</f>
        <v>84.854497354497369</v>
      </c>
      <c r="N237" s="16">
        <f>'Clean Data'!N236</f>
        <v>14.219576719576722</v>
      </c>
      <c r="O237" s="16" t="str">
        <f>'Clean Data'!O236</f>
        <v>NaN</v>
      </c>
      <c r="P237" s="16" t="str">
        <f>'Clean Data'!P236</f>
        <v>NaN</v>
      </c>
      <c r="Q237" s="16" t="str">
        <f>'Clean Data'!Q236</f>
        <v>NaN</v>
      </c>
      <c r="R237" s="16">
        <f>'Clean Data'!R236</f>
        <v>900</v>
      </c>
      <c r="S237" s="16" t="str">
        <f>'Clean Data'!S236</f>
        <v>continuous</v>
      </c>
      <c r="T237" s="16" t="str">
        <f>'Clean Data'!T236</f>
        <v>atmospheric</v>
      </c>
      <c r="U237" s="16" t="str">
        <f>'Clean Data'!U236</f>
        <v>NaN</v>
      </c>
      <c r="V237" s="16" t="str">
        <f>'Clean Data'!V236</f>
        <v>NaN</v>
      </c>
      <c r="W237" s="16">
        <f>'Clean Data'!W236</f>
        <v>0.2</v>
      </c>
      <c r="X237" s="16" t="str">
        <f>'Clean Data'!X236</f>
        <v>air</v>
      </c>
      <c r="Y237" s="16" t="str">
        <f>'Clean Data'!Y236</f>
        <v>fixed bed</v>
      </c>
      <c r="Z237" s="16" t="str">
        <f>'Clean Data'!Z236</f>
        <v>NaN</v>
      </c>
      <c r="AA237" s="16">
        <f>'Clean Data'!AA236</f>
        <v>0</v>
      </c>
      <c r="AB237" s="16" t="str">
        <f>'Clean Data'!AB236</f>
        <v>lab</v>
      </c>
      <c r="AC237" s="16">
        <f>'Clean Data'!AC236</f>
        <v>39</v>
      </c>
      <c r="AD237" s="16">
        <f>'Clean Data'!AD236</f>
        <v>16</v>
      </c>
      <c r="AE237" s="16">
        <f>'Clean Data'!AE236</f>
        <v>27.9</v>
      </c>
      <c r="AF237" s="16">
        <f>'Clean Data'!AF236</f>
        <v>11</v>
      </c>
      <c r="AG237" s="16">
        <f>'Clean Data'!AG236</f>
        <v>5.0999999999999996</v>
      </c>
      <c r="AH237" s="16">
        <f>'Clean Data'!AH236</f>
        <v>1</v>
      </c>
      <c r="AI237" s="16">
        <f>'Clean Data'!AI236</f>
        <v>7.72</v>
      </c>
      <c r="AJ237" s="16">
        <f>'Clean Data'!AJ236</f>
        <v>41.7</v>
      </c>
      <c r="AK237" s="16">
        <f>'Clean Data'!AK236</f>
        <v>2.0099999999999998</v>
      </c>
      <c r="AL237" s="16" t="str">
        <f>'Clean Data'!AL236</f>
        <v>NaN</v>
      </c>
      <c r="AM237" s="16">
        <f>'Clean Data'!AM236</f>
        <v>95.567428497484244</v>
      </c>
      <c r="AN237" s="16">
        <f>'Clean Data'!AN236</f>
        <v>96.063351758211638</v>
      </c>
      <c r="AO237" s="16" t="str">
        <f>'Clean Data'!AO236</f>
        <v>Huili Liu, J. Nat. Gas Chem. 2012, 21, 374-380</v>
      </c>
      <c r="AP237" s="16"/>
      <c r="AQ237" s="16"/>
      <c r="AR237" s="16"/>
      <c r="AS237" s="16"/>
      <c r="AT237" s="16"/>
    </row>
    <row r="238" spans="1:46" x14ac:dyDescent="0.3">
      <c r="A238" s="16">
        <f>'Clean Data'!A237</f>
        <v>236</v>
      </c>
      <c r="B238" s="16" t="str">
        <f>'Clean Data'!B237</f>
        <v>woody biomass</v>
      </c>
      <c r="C238" s="16" t="str">
        <f>'Clean Data'!C237</f>
        <v>dust</v>
      </c>
      <c r="D238" s="16">
        <f>'Clean Data'!D237</f>
        <v>2.5</v>
      </c>
      <c r="E238" s="16">
        <f>'Clean Data'!E237</f>
        <v>16.236912768253966</v>
      </c>
      <c r="F238" s="16">
        <f>'Clean Data'!F237</f>
        <v>48.324514991181665</v>
      </c>
      <c r="G238" s="16">
        <f>'Clean Data'!G237</f>
        <v>7.4514991181657857</v>
      </c>
      <c r="H238" s="16">
        <f>'Clean Data'!H237</f>
        <v>1.2786596119929454</v>
      </c>
      <c r="I238" s="16">
        <f>'Clean Data'!I237</f>
        <v>5.5114638447971792E-2</v>
      </c>
      <c r="J238" s="16">
        <f>'Clean Data'!J237</f>
        <v>43.066578483245152</v>
      </c>
      <c r="K238" s="16">
        <f>'Clean Data'!K237</f>
        <v>0.91490299823633159</v>
      </c>
      <c r="L238" s="16">
        <f>'Clean Data'!L237</f>
        <v>9.2799999999999994</v>
      </c>
      <c r="M238" s="16">
        <f>'Clean Data'!M237</f>
        <v>84.854497354497369</v>
      </c>
      <c r="N238" s="16">
        <f>'Clean Data'!N237</f>
        <v>14.219576719576722</v>
      </c>
      <c r="O238" s="16" t="str">
        <f>'Clean Data'!O237</f>
        <v>NaN</v>
      </c>
      <c r="P238" s="16" t="str">
        <f>'Clean Data'!P237</f>
        <v>NaN</v>
      </c>
      <c r="Q238" s="16" t="str">
        <f>'Clean Data'!Q237</f>
        <v>NaN</v>
      </c>
      <c r="R238" s="16">
        <f>'Clean Data'!R237</f>
        <v>950</v>
      </c>
      <c r="S238" s="16" t="str">
        <f>'Clean Data'!S237</f>
        <v>continuous</v>
      </c>
      <c r="T238" s="16" t="str">
        <f>'Clean Data'!T237</f>
        <v>atmospheric</v>
      </c>
      <c r="U238" s="16" t="str">
        <f>'Clean Data'!U237</f>
        <v>NaN</v>
      </c>
      <c r="V238" s="16" t="str">
        <f>'Clean Data'!V237</f>
        <v>NaN</v>
      </c>
      <c r="W238" s="16">
        <f>'Clean Data'!W237</f>
        <v>0.2</v>
      </c>
      <c r="X238" s="16" t="str">
        <f>'Clean Data'!X237</f>
        <v>air</v>
      </c>
      <c r="Y238" s="16" t="str">
        <f>'Clean Data'!Y237</f>
        <v>fixed bed</v>
      </c>
      <c r="Z238" s="16" t="str">
        <f>'Clean Data'!Z237</f>
        <v>NaN</v>
      </c>
      <c r="AA238" s="16">
        <f>'Clean Data'!AA237</f>
        <v>0</v>
      </c>
      <c r="AB238" s="16" t="str">
        <f>'Clean Data'!AB237</f>
        <v>lab</v>
      </c>
      <c r="AC238" s="16">
        <f>'Clean Data'!AC237</f>
        <v>35.100000000000009</v>
      </c>
      <c r="AD238" s="16">
        <f>'Clean Data'!AD237</f>
        <v>18.600000000000001</v>
      </c>
      <c r="AE238" s="16">
        <f>'Clean Data'!AE237</f>
        <v>31.3</v>
      </c>
      <c r="AF238" s="16">
        <f>'Clean Data'!AF237</f>
        <v>10.4</v>
      </c>
      <c r="AG238" s="16">
        <f>'Clean Data'!AG237</f>
        <v>4.0999999999999996</v>
      </c>
      <c r="AH238" s="16">
        <f>'Clean Data'!AH237</f>
        <v>0.5</v>
      </c>
      <c r="AI238" s="16">
        <f>'Clean Data'!AI237</f>
        <v>7.7</v>
      </c>
      <c r="AJ238" s="16">
        <f>'Clean Data'!AJ237</f>
        <v>38.1</v>
      </c>
      <c r="AK238" s="16">
        <f>'Clean Data'!AK237</f>
        <v>2.0699999999999998</v>
      </c>
      <c r="AL238" s="16" t="str">
        <f>'Clean Data'!AL237</f>
        <v>NaN</v>
      </c>
      <c r="AM238" s="16">
        <f>'Clean Data'!AM237</f>
        <v>98.165212977947149</v>
      </c>
      <c r="AN238" s="16">
        <f>'Clean Data'!AN237</f>
        <v>100.381657754562</v>
      </c>
      <c r="AO238" s="16" t="str">
        <f>'Clean Data'!AO237</f>
        <v>Huili Liu, J. Nat. Gas Chem. 2012, 21, 374-380</v>
      </c>
      <c r="AP238" s="16"/>
      <c r="AQ238" s="16"/>
      <c r="AR238" s="16"/>
      <c r="AS238" s="16"/>
      <c r="AT238" s="16"/>
    </row>
    <row r="239" spans="1:46" x14ac:dyDescent="0.3">
      <c r="A239" s="16">
        <f>'Clean Data'!A238</f>
        <v>237</v>
      </c>
      <c r="B239" s="16" t="str">
        <f>'Clean Data'!B238</f>
        <v>woody biomass</v>
      </c>
      <c r="C239" s="16" t="str">
        <f>'Clean Data'!C238</f>
        <v>dust</v>
      </c>
      <c r="D239" s="16">
        <f>'Clean Data'!D238</f>
        <v>2.5</v>
      </c>
      <c r="E239" s="16">
        <f>'Clean Data'!E238</f>
        <v>16.236912768253966</v>
      </c>
      <c r="F239" s="16">
        <f>'Clean Data'!F238</f>
        <v>48.324514991181665</v>
      </c>
      <c r="G239" s="16">
        <f>'Clean Data'!G238</f>
        <v>7.4514991181657857</v>
      </c>
      <c r="H239" s="16">
        <f>'Clean Data'!H238</f>
        <v>1.2786596119929454</v>
      </c>
      <c r="I239" s="16">
        <f>'Clean Data'!I238</f>
        <v>5.5114638447971792E-2</v>
      </c>
      <c r="J239" s="16">
        <f>'Clean Data'!J238</f>
        <v>43.066578483245152</v>
      </c>
      <c r="K239" s="16">
        <f>'Clean Data'!K238</f>
        <v>0.91490299823633159</v>
      </c>
      <c r="L239" s="16">
        <f>'Clean Data'!L238</f>
        <v>9.2799999999999994</v>
      </c>
      <c r="M239" s="16">
        <f>'Clean Data'!M238</f>
        <v>84.854497354497369</v>
      </c>
      <c r="N239" s="16">
        <f>'Clean Data'!N238</f>
        <v>14.219576719576722</v>
      </c>
      <c r="O239" s="16" t="str">
        <f>'Clean Data'!O238</f>
        <v>NaN</v>
      </c>
      <c r="P239" s="16" t="str">
        <f>'Clean Data'!P238</f>
        <v>NaN</v>
      </c>
      <c r="Q239" s="16" t="str">
        <f>'Clean Data'!Q238</f>
        <v>NaN</v>
      </c>
      <c r="R239" s="16">
        <f>'Clean Data'!R238</f>
        <v>800</v>
      </c>
      <c r="S239" s="16" t="str">
        <f>'Clean Data'!S238</f>
        <v>continuous</v>
      </c>
      <c r="T239" s="16" t="str">
        <f>'Clean Data'!T238</f>
        <v>atmospheric</v>
      </c>
      <c r="U239" s="16" t="str">
        <f>'Clean Data'!U238</f>
        <v>NaN</v>
      </c>
      <c r="V239" s="16" t="str">
        <f>'Clean Data'!V238</f>
        <v>NaN</v>
      </c>
      <c r="W239" s="16">
        <f>'Clean Data'!W238</f>
        <v>0.1</v>
      </c>
      <c r="X239" s="16" t="str">
        <f>'Clean Data'!X238</f>
        <v>air</v>
      </c>
      <c r="Y239" s="16" t="str">
        <f>'Clean Data'!Y238</f>
        <v>fixed bed</v>
      </c>
      <c r="Z239" s="16" t="str">
        <f>'Clean Data'!Z238</f>
        <v>NaN</v>
      </c>
      <c r="AA239" s="16">
        <f>'Clean Data'!AA238</f>
        <v>0</v>
      </c>
      <c r="AB239" s="16" t="str">
        <f>'Clean Data'!AB238</f>
        <v>lab</v>
      </c>
      <c r="AC239" s="16">
        <f>'Clean Data'!AC238</f>
        <v>52.500000000000007</v>
      </c>
      <c r="AD239" s="16">
        <f>'Clean Data'!AD238</f>
        <v>9.8000000000000007</v>
      </c>
      <c r="AE239" s="16">
        <f>'Clean Data'!AE238</f>
        <v>21.4</v>
      </c>
      <c r="AF239" s="16">
        <f>'Clean Data'!AF238</f>
        <v>8.1</v>
      </c>
      <c r="AG239" s="16">
        <f>'Clean Data'!AG238</f>
        <v>6</v>
      </c>
      <c r="AH239" s="16">
        <f>'Clean Data'!AH238</f>
        <v>2.2000000000000002</v>
      </c>
      <c r="AI239" s="16">
        <f>'Clean Data'!AI238</f>
        <v>7.26</v>
      </c>
      <c r="AJ239" s="16">
        <f>'Clean Data'!AJ238</f>
        <v>80.400000000000006</v>
      </c>
      <c r="AK239" s="16">
        <f>'Clean Data'!AK238</f>
        <v>1.3</v>
      </c>
      <c r="AL239" s="16" t="str">
        <f>'Clean Data'!AL238</f>
        <v>NaN</v>
      </c>
      <c r="AM239" s="16">
        <f>'Clean Data'!AM238</f>
        <v>58.126813481765815</v>
      </c>
      <c r="AN239" s="16">
        <f>'Clean Data'!AN238</f>
        <v>53.832703467153266</v>
      </c>
      <c r="AO239" s="16" t="str">
        <f>'Clean Data'!AO238</f>
        <v>Huili Liu, J. Nat. Gas Chem. 2012, 21, 374-380</v>
      </c>
      <c r="AP239" s="16"/>
      <c r="AQ239" s="16"/>
      <c r="AR239" s="16"/>
      <c r="AS239" s="16"/>
      <c r="AT239" s="16"/>
    </row>
    <row r="240" spans="1:46" x14ac:dyDescent="0.3">
      <c r="A240" s="16">
        <f>'Clean Data'!A239</f>
        <v>238</v>
      </c>
      <c r="B240" s="16" t="str">
        <f>'Clean Data'!B239</f>
        <v>woody biomass</v>
      </c>
      <c r="C240" s="16" t="str">
        <f>'Clean Data'!C239</f>
        <v>dust</v>
      </c>
      <c r="D240" s="16">
        <f>'Clean Data'!D239</f>
        <v>2.5</v>
      </c>
      <c r="E240" s="16">
        <f>'Clean Data'!E239</f>
        <v>16.236912768253966</v>
      </c>
      <c r="F240" s="16">
        <f>'Clean Data'!F239</f>
        <v>48.324514991181665</v>
      </c>
      <c r="G240" s="16">
        <f>'Clean Data'!G239</f>
        <v>7.4514991181657857</v>
      </c>
      <c r="H240" s="16">
        <f>'Clean Data'!H239</f>
        <v>1.2786596119929454</v>
      </c>
      <c r="I240" s="16">
        <f>'Clean Data'!I239</f>
        <v>5.5114638447971792E-2</v>
      </c>
      <c r="J240" s="16">
        <f>'Clean Data'!J239</f>
        <v>43.066578483245152</v>
      </c>
      <c r="K240" s="16">
        <f>'Clean Data'!K239</f>
        <v>0.91490299823633159</v>
      </c>
      <c r="L240" s="16">
        <f>'Clean Data'!L239</f>
        <v>9.2799999999999994</v>
      </c>
      <c r="M240" s="16">
        <f>'Clean Data'!M239</f>
        <v>84.854497354497369</v>
      </c>
      <c r="N240" s="16">
        <f>'Clean Data'!N239</f>
        <v>14.219576719576722</v>
      </c>
      <c r="O240" s="16" t="str">
        <f>'Clean Data'!O239</f>
        <v>NaN</v>
      </c>
      <c r="P240" s="16" t="str">
        <f>'Clean Data'!P239</f>
        <v>NaN</v>
      </c>
      <c r="Q240" s="16" t="str">
        <f>'Clean Data'!Q239</f>
        <v>NaN</v>
      </c>
      <c r="R240" s="16">
        <f>'Clean Data'!R239</f>
        <v>800</v>
      </c>
      <c r="S240" s="16" t="str">
        <f>'Clean Data'!S239</f>
        <v>continuous</v>
      </c>
      <c r="T240" s="16" t="str">
        <f>'Clean Data'!T239</f>
        <v>atmospheric</v>
      </c>
      <c r="U240" s="16" t="str">
        <f>'Clean Data'!U239</f>
        <v>NaN</v>
      </c>
      <c r="V240" s="16" t="str">
        <f>'Clean Data'!V239</f>
        <v>NaN</v>
      </c>
      <c r="W240" s="16">
        <f>'Clean Data'!W239</f>
        <v>0.3</v>
      </c>
      <c r="X240" s="16" t="str">
        <f>'Clean Data'!X239</f>
        <v>air</v>
      </c>
      <c r="Y240" s="16" t="str">
        <f>'Clean Data'!Y239</f>
        <v>fixed bed</v>
      </c>
      <c r="Z240" s="16" t="str">
        <f>'Clean Data'!Z239</f>
        <v>NaN</v>
      </c>
      <c r="AA240" s="16">
        <f>'Clean Data'!AA239</f>
        <v>0</v>
      </c>
      <c r="AB240" s="16" t="str">
        <f>'Clean Data'!AB239</f>
        <v>lab</v>
      </c>
      <c r="AC240" s="16">
        <f>'Clean Data'!AC239</f>
        <v>50.800000000000004</v>
      </c>
      <c r="AD240" s="16">
        <f>'Clean Data'!AD239</f>
        <v>9</v>
      </c>
      <c r="AE240" s="16">
        <f>'Clean Data'!AE239</f>
        <v>20.100000000000001</v>
      </c>
      <c r="AF240" s="16">
        <f>'Clean Data'!AF239</f>
        <v>13.5</v>
      </c>
      <c r="AG240" s="16">
        <f>'Clean Data'!AG239</f>
        <v>5.0999999999999996</v>
      </c>
      <c r="AH240" s="16">
        <f>'Clean Data'!AH239</f>
        <v>1.5</v>
      </c>
      <c r="AI240" s="16">
        <f>'Clean Data'!AI239</f>
        <v>6.32</v>
      </c>
      <c r="AJ240" s="16">
        <f>'Clean Data'!AJ239</f>
        <v>43.5</v>
      </c>
      <c r="AK240" s="16">
        <f>'Clean Data'!AK239</f>
        <v>1.89</v>
      </c>
      <c r="AL240" s="16" t="str">
        <f>'Clean Data'!AL239</f>
        <v>NaN</v>
      </c>
      <c r="AM240" s="16">
        <f>'Clean Data'!AM239</f>
        <v>73.565709014303479</v>
      </c>
      <c r="AN240" s="16">
        <f>'Clean Data'!AN239</f>
        <v>82.681548396897796</v>
      </c>
      <c r="AO240" s="16" t="str">
        <f>'Clean Data'!AO239</f>
        <v>Huili Liu, J. Nat. Gas Chem. 2012, 21, 374-380</v>
      </c>
      <c r="AP240" s="16"/>
      <c r="AQ240" s="16"/>
      <c r="AR240" s="16"/>
      <c r="AS240" s="16"/>
      <c r="AT240" s="16"/>
    </row>
    <row r="241" spans="1:46" x14ac:dyDescent="0.3">
      <c r="A241" s="16">
        <f>'Clean Data'!A240</f>
        <v>239</v>
      </c>
      <c r="B241" s="16" t="str">
        <f>'Clean Data'!B240</f>
        <v>woody biomass</v>
      </c>
      <c r="C241" s="16" t="str">
        <f>'Clean Data'!C240</f>
        <v>dust</v>
      </c>
      <c r="D241" s="16">
        <f>'Clean Data'!D240</f>
        <v>2.5</v>
      </c>
      <c r="E241" s="16">
        <f>'Clean Data'!E240</f>
        <v>16.236912768253966</v>
      </c>
      <c r="F241" s="16">
        <f>'Clean Data'!F240</f>
        <v>48.324514991181665</v>
      </c>
      <c r="G241" s="16">
        <f>'Clean Data'!G240</f>
        <v>7.4514991181657857</v>
      </c>
      <c r="H241" s="16">
        <f>'Clean Data'!H240</f>
        <v>1.2786596119929454</v>
      </c>
      <c r="I241" s="16">
        <f>'Clean Data'!I240</f>
        <v>5.5114638447971792E-2</v>
      </c>
      <c r="J241" s="16">
        <f>'Clean Data'!J240</f>
        <v>43.066578483245152</v>
      </c>
      <c r="K241" s="16">
        <f>'Clean Data'!K240</f>
        <v>0.91490299823633159</v>
      </c>
      <c r="L241" s="16">
        <f>'Clean Data'!L240</f>
        <v>9.2799999999999994</v>
      </c>
      <c r="M241" s="16">
        <f>'Clean Data'!M240</f>
        <v>84.854497354497369</v>
      </c>
      <c r="N241" s="16">
        <f>'Clean Data'!N240</f>
        <v>14.219576719576722</v>
      </c>
      <c r="O241" s="16" t="str">
        <f>'Clean Data'!O240</f>
        <v>NaN</v>
      </c>
      <c r="P241" s="16" t="str">
        <f>'Clean Data'!P240</f>
        <v>NaN</v>
      </c>
      <c r="Q241" s="16" t="str">
        <f>'Clean Data'!Q240</f>
        <v>NaN</v>
      </c>
      <c r="R241" s="16">
        <f>'Clean Data'!R240</f>
        <v>800</v>
      </c>
      <c r="S241" s="16" t="str">
        <f>'Clean Data'!S240</f>
        <v>continuous</v>
      </c>
      <c r="T241" s="16" t="str">
        <f>'Clean Data'!T240</f>
        <v>atmospheric</v>
      </c>
      <c r="U241" s="16" t="str">
        <f>'Clean Data'!U240</f>
        <v>NaN</v>
      </c>
      <c r="V241" s="16" t="str">
        <f>'Clean Data'!V240</f>
        <v>NaN</v>
      </c>
      <c r="W241" s="16">
        <f>'Clean Data'!W240</f>
        <v>0.4</v>
      </c>
      <c r="X241" s="16" t="str">
        <f>'Clean Data'!X240</f>
        <v>air</v>
      </c>
      <c r="Y241" s="16" t="str">
        <f>'Clean Data'!Y240</f>
        <v>fixed bed</v>
      </c>
      <c r="Z241" s="16" t="str">
        <f>'Clean Data'!Z240</f>
        <v>NaN</v>
      </c>
      <c r="AA241" s="16">
        <f>'Clean Data'!AA240</f>
        <v>0</v>
      </c>
      <c r="AB241" s="16" t="str">
        <f>'Clean Data'!AB240</f>
        <v>lab</v>
      </c>
      <c r="AC241" s="16">
        <f>'Clean Data'!AC240</f>
        <v>51.999999999999993</v>
      </c>
      <c r="AD241" s="16">
        <f>'Clean Data'!AD240</f>
        <v>7.9</v>
      </c>
      <c r="AE241" s="16">
        <f>'Clean Data'!AE240</f>
        <v>18.899999999999999</v>
      </c>
      <c r="AF241" s="16">
        <f>'Clean Data'!AF240</f>
        <v>16.100000000000001</v>
      </c>
      <c r="AG241" s="16">
        <f>'Clean Data'!AG240</f>
        <v>4.3</v>
      </c>
      <c r="AH241" s="16">
        <f>'Clean Data'!AH240</f>
        <v>0.8</v>
      </c>
      <c r="AI241" s="16">
        <f>'Clean Data'!AI240</f>
        <v>5.37</v>
      </c>
      <c r="AJ241" s="16">
        <f>'Clean Data'!AJ240</f>
        <v>36.4</v>
      </c>
      <c r="AK241" s="16">
        <f>'Clean Data'!AK240</f>
        <v>2.31</v>
      </c>
      <c r="AL241" s="16" t="str">
        <f>'Clean Data'!AL240</f>
        <v>NaN</v>
      </c>
      <c r="AM241" s="16">
        <f>'Clean Data'!AM240</f>
        <v>76.398144013271917</v>
      </c>
      <c r="AN241" s="16">
        <f>'Clean Data'!AN240</f>
        <v>99.695332190693406</v>
      </c>
      <c r="AO241" s="16" t="str">
        <f>'Clean Data'!AO240</f>
        <v>Huili Liu, J. Nat. Gas Chem. 2012, 21, 374-380</v>
      </c>
      <c r="AP241" s="16"/>
      <c r="AQ241" s="16"/>
      <c r="AR241" s="16"/>
      <c r="AS241" s="16"/>
      <c r="AT241" s="16"/>
    </row>
    <row r="242" spans="1:46" x14ac:dyDescent="0.3">
      <c r="A242" s="16">
        <f>'Clean Data'!A241</f>
        <v>240</v>
      </c>
      <c r="B242" s="16" t="str">
        <f>'Clean Data'!B241</f>
        <v>woody biomass</v>
      </c>
      <c r="C242" s="16" t="str">
        <f>'Clean Data'!C241</f>
        <v>dust</v>
      </c>
      <c r="D242" s="16">
        <f>'Clean Data'!D241</f>
        <v>2.5</v>
      </c>
      <c r="E242" s="16">
        <f>'Clean Data'!E241</f>
        <v>16.236912768253966</v>
      </c>
      <c r="F242" s="16">
        <f>'Clean Data'!F241</f>
        <v>48.324514991181665</v>
      </c>
      <c r="G242" s="16">
        <f>'Clean Data'!G241</f>
        <v>7.4514991181657857</v>
      </c>
      <c r="H242" s="16">
        <f>'Clean Data'!H241</f>
        <v>1.2786596119929454</v>
      </c>
      <c r="I242" s="16">
        <f>'Clean Data'!I241</f>
        <v>5.5114638447971792E-2</v>
      </c>
      <c r="J242" s="16">
        <f>'Clean Data'!J241</f>
        <v>43.066578483245152</v>
      </c>
      <c r="K242" s="16">
        <f>'Clean Data'!K241</f>
        <v>0.91490299823633159</v>
      </c>
      <c r="L242" s="16">
        <f>'Clean Data'!L241</f>
        <v>9.2799999999999994</v>
      </c>
      <c r="M242" s="16">
        <f>'Clean Data'!M241</f>
        <v>84.854497354497369</v>
      </c>
      <c r="N242" s="16">
        <f>'Clean Data'!N241</f>
        <v>14.219576719576722</v>
      </c>
      <c r="O242" s="16" t="str">
        <f>'Clean Data'!O241</f>
        <v>NaN</v>
      </c>
      <c r="P242" s="16" t="str">
        <f>'Clean Data'!P241</f>
        <v>NaN</v>
      </c>
      <c r="Q242" s="16" t="str">
        <f>'Clean Data'!Q241</f>
        <v>NaN</v>
      </c>
      <c r="R242" s="16">
        <f>'Clean Data'!R241</f>
        <v>800</v>
      </c>
      <c r="S242" s="16" t="str">
        <f>'Clean Data'!S241</f>
        <v>continuous</v>
      </c>
      <c r="T242" s="16" t="str">
        <f>'Clean Data'!T241</f>
        <v>atmospheric</v>
      </c>
      <c r="U242" s="16" t="str">
        <f>'Clean Data'!U241</f>
        <v>NaN</v>
      </c>
      <c r="V242" s="16" t="str">
        <f>'Clean Data'!V241</f>
        <v>NaN</v>
      </c>
      <c r="W242" s="16">
        <f>'Clean Data'!W241</f>
        <v>0.5</v>
      </c>
      <c r="X242" s="16" t="str">
        <f>'Clean Data'!X241</f>
        <v>air</v>
      </c>
      <c r="Y242" s="16" t="str">
        <f>'Clean Data'!Y241</f>
        <v>fixed bed</v>
      </c>
      <c r="Z242" s="16" t="str">
        <f>'Clean Data'!Z241</f>
        <v>NaN</v>
      </c>
      <c r="AA242" s="16">
        <f>'Clean Data'!AA241</f>
        <v>0</v>
      </c>
      <c r="AB242" s="16" t="str">
        <f>'Clean Data'!AB241</f>
        <v>lab</v>
      </c>
      <c r="AC242" s="16">
        <f>'Clean Data'!AC241</f>
        <v>55.4</v>
      </c>
      <c r="AD242" s="16">
        <f>'Clean Data'!AD241</f>
        <v>6.5</v>
      </c>
      <c r="AE242" s="16">
        <f>'Clean Data'!AE241</f>
        <v>15.8</v>
      </c>
      <c r="AF242" s="16">
        <f>'Clean Data'!AF241</f>
        <v>18.7</v>
      </c>
      <c r="AG242" s="16">
        <f>'Clean Data'!AG241</f>
        <v>3.1</v>
      </c>
      <c r="AH242" s="16">
        <f>'Clean Data'!AH241</f>
        <v>0.5</v>
      </c>
      <c r="AI242" s="16">
        <f>'Clean Data'!AI241</f>
        <v>4.1500000000000004</v>
      </c>
      <c r="AJ242" s="16">
        <f>'Clean Data'!AJ241</f>
        <v>31.9</v>
      </c>
      <c r="AK242" s="16">
        <f>'Clean Data'!AK241</f>
        <v>2.84</v>
      </c>
      <c r="AL242" s="16" t="str">
        <f>'Clean Data'!AL241</f>
        <v>NaN</v>
      </c>
      <c r="AM242" s="16">
        <f>'Clean Data'!AM241</f>
        <v>72.587690580217398</v>
      </c>
      <c r="AN242" s="16">
        <f>'Clean Data'!AN241</f>
        <v>116.6610709379562</v>
      </c>
      <c r="AO242" s="16" t="str">
        <f>'Clean Data'!AO241</f>
        <v>Huili Liu, J. Nat. Gas Chem. 2012, 21, 374-380</v>
      </c>
      <c r="AP242" s="16"/>
      <c r="AQ242" s="16"/>
      <c r="AR242" s="16"/>
      <c r="AS242" s="16"/>
      <c r="AT242" s="16"/>
    </row>
    <row r="243" spans="1:46" x14ac:dyDescent="0.3">
      <c r="A243" s="16">
        <f>'Clean Data'!A242</f>
        <v>241</v>
      </c>
      <c r="B243" s="16" t="str">
        <f>'Clean Data'!B242</f>
        <v>herbaceous biomass</v>
      </c>
      <c r="C243" s="16" t="str">
        <f>'Clean Data'!C242</f>
        <v>particles</v>
      </c>
      <c r="D243" s="16">
        <f>'Clean Data'!D242</f>
        <v>3.75</v>
      </c>
      <c r="E243" s="16">
        <f>'Clean Data'!E242</f>
        <v>15.834076717216769</v>
      </c>
      <c r="F243" s="16">
        <f>'Clean Data'!F242</f>
        <v>43.83</v>
      </c>
      <c r="G243" s="16">
        <f>'Clean Data'!G242</f>
        <v>5.95</v>
      </c>
      <c r="H243" s="16">
        <f>'Clean Data'!H242</f>
        <v>0.97</v>
      </c>
      <c r="I243" s="16">
        <f>'Clean Data'!I242</f>
        <v>0.13</v>
      </c>
      <c r="J243" s="16">
        <f>'Clean Data'!J242</f>
        <v>45.01</v>
      </c>
      <c r="K243" s="16">
        <f>'Clean Data'!K242</f>
        <v>5.93</v>
      </c>
      <c r="L243" s="16">
        <f>'Clean Data'!L242</f>
        <v>6.17</v>
      </c>
      <c r="M243" s="16">
        <f>'Clean Data'!M242</f>
        <v>75.95</v>
      </c>
      <c r="N243" s="16">
        <f>'Clean Data'!N242</f>
        <v>13.75</v>
      </c>
      <c r="O243" s="16" t="str">
        <f>'Clean Data'!O242</f>
        <v>NaN</v>
      </c>
      <c r="P243" s="16" t="str">
        <f>'Clean Data'!P242</f>
        <v>NaN</v>
      </c>
      <c r="Q243" s="16" t="str">
        <f>'Clean Data'!Q242</f>
        <v>NaN</v>
      </c>
      <c r="R243" s="16">
        <f>'Clean Data'!R242</f>
        <v>900</v>
      </c>
      <c r="S243" s="16" t="str">
        <f>'Clean Data'!S242</f>
        <v>continuous</v>
      </c>
      <c r="T243" s="16" t="str">
        <f>'Clean Data'!T242</f>
        <v>atmospheric</v>
      </c>
      <c r="U243" s="16" t="str">
        <f>'Clean Data'!U242</f>
        <v>NaN</v>
      </c>
      <c r="V243" s="16" t="str">
        <f>'Clean Data'!V242</f>
        <v>NaN</v>
      </c>
      <c r="W243" s="16">
        <f>'Clean Data'!W242</f>
        <v>0.18</v>
      </c>
      <c r="X243" s="16" t="str">
        <f>'Clean Data'!X242</f>
        <v>air</v>
      </c>
      <c r="Y243" s="16" t="str">
        <f>'Clean Data'!Y242</f>
        <v>fixed bed</v>
      </c>
      <c r="Z243" s="16" t="str">
        <f>'Clean Data'!Z242</f>
        <v>NaN</v>
      </c>
      <c r="AA243" s="16">
        <f>'Clean Data'!AA242</f>
        <v>0</v>
      </c>
      <c r="AB243" s="16" t="str">
        <f>'Clean Data'!AB242</f>
        <v>lab</v>
      </c>
      <c r="AC243" s="16">
        <f>'Clean Data'!AC242</f>
        <v>48.58</v>
      </c>
      <c r="AD243" s="16">
        <f>'Clean Data'!AD242</f>
        <v>6.91</v>
      </c>
      <c r="AE243" s="16">
        <f>'Clean Data'!AE242</f>
        <v>11.35</v>
      </c>
      <c r="AF243" s="16">
        <f>'Clean Data'!AF242</f>
        <v>23.93</v>
      </c>
      <c r="AG243" s="16">
        <f>'Clean Data'!AG242</f>
        <v>1.27</v>
      </c>
      <c r="AH243" s="16">
        <f>'Clean Data'!AH242</f>
        <v>0.98</v>
      </c>
      <c r="AI243" s="16">
        <f>'Clean Data'!AI242</f>
        <v>2.69</v>
      </c>
      <c r="AJ243" s="16">
        <f>'Clean Data'!AJ242</f>
        <v>7.2149999999999999</v>
      </c>
      <c r="AK243" s="16">
        <f>'Clean Data'!AK242</f>
        <v>1.35</v>
      </c>
      <c r="AL243" s="16" t="str">
        <f>'Clean Data'!AL242</f>
        <v>NaN</v>
      </c>
      <c r="AM243" s="16">
        <f>'Clean Data'!AM242</f>
        <v>21.17</v>
      </c>
      <c r="AN243" s="16">
        <f>'Clean Data'!AN242</f>
        <v>61.861842549134636</v>
      </c>
      <c r="AO243" s="16" t="str">
        <f>'Clean Data'!AO242</f>
        <v>Gai, Int. J. Hydrog 2012, 37, 4935-4944</v>
      </c>
      <c r="AP243" s="16"/>
      <c r="AQ243" s="16"/>
      <c r="AR243" s="16"/>
      <c r="AS243" s="16"/>
      <c r="AT243" s="16"/>
    </row>
    <row r="244" spans="1:46" x14ac:dyDescent="0.3">
      <c r="A244" s="16">
        <f>'Clean Data'!A243</f>
        <v>242</v>
      </c>
      <c r="B244" s="16" t="str">
        <f>'Clean Data'!B243</f>
        <v>herbaceous biomass</v>
      </c>
      <c r="C244" s="16" t="str">
        <f>'Clean Data'!C243</f>
        <v>particles</v>
      </c>
      <c r="D244" s="16">
        <f>'Clean Data'!D243</f>
        <v>3.75</v>
      </c>
      <c r="E244" s="16">
        <f>'Clean Data'!E243</f>
        <v>15.834076717216769</v>
      </c>
      <c r="F244" s="16">
        <f>'Clean Data'!F243</f>
        <v>43.83</v>
      </c>
      <c r="G244" s="16">
        <f>'Clean Data'!G243</f>
        <v>5.95</v>
      </c>
      <c r="H244" s="16">
        <f>'Clean Data'!H243</f>
        <v>0.97</v>
      </c>
      <c r="I244" s="16">
        <f>'Clean Data'!I243</f>
        <v>0.13</v>
      </c>
      <c r="J244" s="16">
        <f>'Clean Data'!J243</f>
        <v>45.01</v>
      </c>
      <c r="K244" s="16">
        <f>'Clean Data'!K243</f>
        <v>5.93</v>
      </c>
      <c r="L244" s="16">
        <f>'Clean Data'!L243</f>
        <v>6.17</v>
      </c>
      <c r="M244" s="16">
        <f>'Clean Data'!M243</f>
        <v>75.95</v>
      </c>
      <c r="N244" s="16">
        <f>'Clean Data'!N243</f>
        <v>13.75</v>
      </c>
      <c r="O244" s="16" t="str">
        <f>'Clean Data'!O243</f>
        <v>NaN</v>
      </c>
      <c r="P244" s="16" t="str">
        <f>'Clean Data'!P243</f>
        <v>NaN</v>
      </c>
      <c r="Q244" s="16" t="str">
        <f>'Clean Data'!Q243</f>
        <v>NaN</v>
      </c>
      <c r="R244" s="16">
        <f>'Clean Data'!R243</f>
        <v>950</v>
      </c>
      <c r="S244" s="16" t="str">
        <f>'Clean Data'!S243</f>
        <v>continuous</v>
      </c>
      <c r="T244" s="16" t="str">
        <f>'Clean Data'!T243</f>
        <v>atmospheric</v>
      </c>
      <c r="U244" s="16" t="str">
        <f>'Clean Data'!U243</f>
        <v>NaN</v>
      </c>
      <c r="V244" s="16" t="str">
        <f>'Clean Data'!V243</f>
        <v>NaN</v>
      </c>
      <c r="W244" s="16">
        <f>'Clean Data'!W243</f>
        <v>0.21</v>
      </c>
      <c r="X244" s="16" t="str">
        <f>'Clean Data'!X243</f>
        <v>air</v>
      </c>
      <c r="Y244" s="16" t="str">
        <f>'Clean Data'!Y243</f>
        <v>fixed bed</v>
      </c>
      <c r="Z244" s="16" t="str">
        <f>'Clean Data'!Z243</f>
        <v>NaN</v>
      </c>
      <c r="AA244" s="16">
        <f>'Clean Data'!AA243</f>
        <v>0</v>
      </c>
      <c r="AB244" s="16" t="str">
        <f>'Clean Data'!AB243</f>
        <v>lab</v>
      </c>
      <c r="AC244" s="16">
        <f>'Clean Data'!AC243</f>
        <v>51.15</v>
      </c>
      <c r="AD244" s="16">
        <f>'Clean Data'!AD243</f>
        <v>8.23</v>
      </c>
      <c r="AE244" s="16">
        <f>'Clean Data'!AE243</f>
        <v>13.55</v>
      </c>
      <c r="AF244" s="16">
        <f>'Clean Data'!AF243</f>
        <v>20.37</v>
      </c>
      <c r="AG244" s="16">
        <f>'Clean Data'!AG243</f>
        <v>1.84</v>
      </c>
      <c r="AH244" s="16">
        <f>'Clean Data'!AH243</f>
        <v>1.1200000000000001</v>
      </c>
      <c r="AI244" s="16">
        <f>'Clean Data'!AI243</f>
        <v>3.32</v>
      </c>
      <c r="AJ244" s="16">
        <f>'Clean Data'!AJ243</f>
        <v>6.8520000000000003</v>
      </c>
      <c r="AK244" s="16">
        <f>'Clean Data'!AK243</f>
        <v>1.47</v>
      </c>
      <c r="AL244" s="16" t="str">
        <f>'Clean Data'!AL243</f>
        <v>NaN</v>
      </c>
      <c r="AM244" s="16">
        <f>'Clean Data'!AM243</f>
        <v>28.46</v>
      </c>
      <c r="AN244" s="16">
        <f>'Clean Data'!AN243</f>
        <v>65.935026694045163</v>
      </c>
      <c r="AO244" s="16" t="str">
        <f>'Clean Data'!AO243</f>
        <v>Gai, Int. J. Hydrog 2012, 37, 4935-4944</v>
      </c>
      <c r="AP244" s="16"/>
      <c r="AQ244" s="16"/>
      <c r="AR244" s="16"/>
      <c r="AS244" s="16"/>
      <c r="AT244" s="16"/>
    </row>
    <row r="245" spans="1:46" x14ac:dyDescent="0.3">
      <c r="A245" s="16">
        <f>'Clean Data'!A244</f>
        <v>243</v>
      </c>
      <c r="B245" s="16" t="str">
        <f>'Clean Data'!B244</f>
        <v>herbaceous biomass</v>
      </c>
      <c r="C245" s="16" t="str">
        <f>'Clean Data'!C244</f>
        <v>particles</v>
      </c>
      <c r="D245" s="16">
        <f>'Clean Data'!D244</f>
        <v>3.75</v>
      </c>
      <c r="E245" s="16">
        <f>'Clean Data'!E244</f>
        <v>15.834076717216769</v>
      </c>
      <c r="F245" s="16">
        <f>'Clean Data'!F244</f>
        <v>43.83</v>
      </c>
      <c r="G245" s="16">
        <f>'Clean Data'!G244</f>
        <v>5.95</v>
      </c>
      <c r="H245" s="16">
        <f>'Clean Data'!H244</f>
        <v>0.97</v>
      </c>
      <c r="I245" s="16">
        <f>'Clean Data'!I244</f>
        <v>0.13</v>
      </c>
      <c r="J245" s="16">
        <f>'Clean Data'!J244</f>
        <v>45.01</v>
      </c>
      <c r="K245" s="16">
        <f>'Clean Data'!K244</f>
        <v>5.93</v>
      </c>
      <c r="L245" s="16">
        <f>'Clean Data'!L244</f>
        <v>6.17</v>
      </c>
      <c r="M245" s="16">
        <f>'Clean Data'!M244</f>
        <v>75.95</v>
      </c>
      <c r="N245" s="16">
        <f>'Clean Data'!N244</f>
        <v>13.75</v>
      </c>
      <c r="O245" s="16" t="str">
        <f>'Clean Data'!O244</f>
        <v>NaN</v>
      </c>
      <c r="P245" s="16" t="str">
        <f>'Clean Data'!P244</f>
        <v>NaN</v>
      </c>
      <c r="Q245" s="16" t="str">
        <f>'Clean Data'!Q244</f>
        <v>NaN</v>
      </c>
      <c r="R245" s="16">
        <f>'Clean Data'!R244</f>
        <v>965</v>
      </c>
      <c r="S245" s="16" t="str">
        <f>'Clean Data'!S244</f>
        <v>continuous</v>
      </c>
      <c r="T245" s="16" t="str">
        <f>'Clean Data'!T244</f>
        <v>atmospheric</v>
      </c>
      <c r="U245" s="16" t="str">
        <f>'Clean Data'!U244</f>
        <v>NaN</v>
      </c>
      <c r="V245" s="16" t="str">
        <f>'Clean Data'!V244</f>
        <v>NaN</v>
      </c>
      <c r="W245" s="16">
        <f>'Clean Data'!W244</f>
        <v>0.24</v>
      </c>
      <c r="X245" s="16" t="str">
        <f>'Clean Data'!X244</f>
        <v>air</v>
      </c>
      <c r="Y245" s="16" t="str">
        <f>'Clean Data'!Y244</f>
        <v>fixed bed</v>
      </c>
      <c r="Z245" s="16" t="str">
        <f>'Clean Data'!Z244</f>
        <v>NaN</v>
      </c>
      <c r="AA245" s="16">
        <f>'Clean Data'!AA244</f>
        <v>0</v>
      </c>
      <c r="AB245" s="16" t="str">
        <f>'Clean Data'!AB244</f>
        <v>lab</v>
      </c>
      <c r="AC245" s="16">
        <f>'Clean Data'!AC244</f>
        <v>52.73</v>
      </c>
      <c r="AD245" s="16">
        <f>'Clean Data'!AD244</f>
        <v>10.92</v>
      </c>
      <c r="AE245" s="16">
        <f>'Clean Data'!AE244</f>
        <v>16.72</v>
      </c>
      <c r="AF245" s="16">
        <f>'Clean Data'!AF244</f>
        <v>16.48</v>
      </c>
      <c r="AG245" s="16">
        <f>'Clean Data'!AG244</f>
        <v>2.98</v>
      </c>
      <c r="AH245" s="16">
        <f>'Clean Data'!AH244</f>
        <v>1.27</v>
      </c>
      <c r="AI245" s="16">
        <f>'Clean Data'!AI244</f>
        <v>4.43</v>
      </c>
      <c r="AJ245" s="16">
        <f>'Clean Data'!AJ244</f>
        <v>6.3209999999999997</v>
      </c>
      <c r="AK245" s="16">
        <f>'Clean Data'!AK244</f>
        <v>1.62</v>
      </c>
      <c r="AL245" s="16" t="str">
        <f>'Clean Data'!AL244</f>
        <v>NaN</v>
      </c>
      <c r="AM245" s="16">
        <f>'Clean Data'!AM244</f>
        <v>41.85</v>
      </c>
      <c r="AN245" s="16">
        <f>'Clean Data'!AN244</f>
        <v>73.26045673217952</v>
      </c>
      <c r="AO245" s="16" t="str">
        <f>'Clean Data'!AO244</f>
        <v>Gai, Int. J. Hydrog 2012, 37, 4935-4944</v>
      </c>
      <c r="AP245" s="16"/>
      <c r="AQ245" s="16"/>
      <c r="AR245" s="16"/>
      <c r="AS245" s="16"/>
      <c r="AT245" s="16"/>
    </row>
    <row r="246" spans="1:46" x14ac:dyDescent="0.3">
      <c r="A246" s="16">
        <f>'Clean Data'!A245</f>
        <v>244</v>
      </c>
      <c r="B246" s="16" t="str">
        <f>'Clean Data'!B245</f>
        <v>herbaceous biomass</v>
      </c>
      <c r="C246" s="16" t="str">
        <f>'Clean Data'!C245</f>
        <v>particles</v>
      </c>
      <c r="D246" s="16">
        <f>'Clean Data'!D245</f>
        <v>3.75</v>
      </c>
      <c r="E246" s="16">
        <f>'Clean Data'!E245</f>
        <v>15.834076717216769</v>
      </c>
      <c r="F246" s="16">
        <f>'Clean Data'!F245</f>
        <v>43.83</v>
      </c>
      <c r="G246" s="16">
        <f>'Clean Data'!G245</f>
        <v>5.95</v>
      </c>
      <c r="H246" s="16">
        <f>'Clean Data'!H245</f>
        <v>0.97</v>
      </c>
      <c r="I246" s="16">
        <f>'Clean Data'!I245</f>
        <v>0.13</v>
      </c>
      <c r="J246" s="16">
        <f>'Clean Data'!J245</f>
        <v>45.01</v>
      </c>
      <c r="K246" s="16">
        <f>'Clean Data'!K245</f>
        <v>5.93</v>
      </c>
      <c r="L246" s="16">
        <f>'Clean Data'!L245</f>
        <v>6.17</v>
      </c>
      <c r="M246" s="16">
        <f>'Clean Data'!M245</f>
        <v>75.95</v>
      </c>
      <c r="N246" s="16">
        <f>'Clean Data'!N245</f>
        <v>13.75</v>
      </c>
      <c r="O246" s="16" t="str">
        <f>'Clean Data'!O245</f>
        <v>NaN</v>
      </c>
      <c r="P246" s="16" t="str">
        <f>'Clean Data'!P245</f>
        <v>NaN</v>
      </c>
      <c r="Q246" s="16" t="str">
        <f>'Clean Data'!Q245</f>
        <v>NaN</v>
      </c>
      <c r="R246" s="16">
        <f>'Clean Data'!R245</f>
        <v>975</v>
      </c>
      <c r="S246" s="16" t="str">
        <f>'Clean Data'!S245</f>
        <v>continuous</v>
      </c>
      <c r="T246" s="16" t="str">
        <f>'Clean Data'!T245</f>
        <v>atmospheric</v>
      </c>
      <c r="U246" s="16" t="str">
        <f>'Clean Data'!U245</f>
        <v>NaN</v>
      </c>
      <c r="V246" s="16" t="str">
        <f>'Clean Data'!V245</f>
        <v>NaN</v>
      </c>
      <c r="W246" s="16">
        <f>'Clean Data'!W245</f>
        <v>0.28000000000000003</v>
      </c>
      <c r="X246" s="16" t="str">
        <f>'Clean Data'!X245</f>
        <v>air</v>
      </c>
      <c r="Y246" s="16" t="str">
        <f>'Clean Data'!Y245</f>
        <v>fixed bed</v>
      </c>
      <c r="Z246" s="16" t="str">
        <f>'Clean Data'!Z245</f>
        <v>NaN</v>
      </c>
      <c r="AA246" s="16">
        <f>'Clean Data'!AA245</f>
        <v>0</v>
      </c>
      <c r="AB246" s="16" t="str">
        <f>'Clean Data'!AB245</f>
        <v>lab</v>
      </c>
      <c r="AC246" s="16">
        <f>'Clean Data'!AC245</f>
        <v>53.49</v>
      </c>
      <c r="AD246" s="16">
        <f>'Clean Data'!AD245</f>
        <v>12.78</v>
      </c>
      <c r="AE246" s="16">
        <f>'Clean Data'!AE245</f>
        <v>18.989999999999998</v>
      </c>
      <c r="AF246" s="16">
        <f>'Clean Data'!AF245</f>
        <v>13.11</v>
      </c>
      <c r="AG246" s="16">
        <f>'Clean Data'!AG245</f>
        <v>3.96</v>
      </c>
      <c r="AH246" s="16">
        <f>'Clean Data'!AH245</f>
        <v>1.75</v>
      </c>
      <c r="AI246" s="16">
        <f>'Clean Data'!AI245</f>
        <v>5.3</v>
      </c>
      <c r="AJ246" s="16">
        <f>'Clean Data'!AJ245</f>
        <v>5.6859999999999999</v>
      </c>
      <c r="AK246" s="16">
        <f>'Clean Data'!AK245</f>
        <v>1.81</v>
      </c>
      <c r="AL246" s="16" t="str">
        <f>'Clean Data'!AL245</f>
        <v>NaN</v>
      </c>
      <c r="AM246" s="16">
        <f>'Clean Data'!AM245</f>
        <v>55.94</v>
      </c>
      <c r="AN246" s="16">
        <f>'Clean Data'!AN245</f>
        <v>82.916671653466295</v>
      </c>
      <c r="AO246" s="16" t="str">
        <f>'Clean Data'!AO245</f>
        <v>Gai, Int. J. Hydrog 2012, 37, 4935-4944</v>
      </c>
      <c r="AP246" s="16"/>
      <c r="AQ246" s="16"/>
      <c r="AR246" s="16"/>
      <c r="AS246" s="16"/>
      <c r="AT246" s="16"/>
    </row>
    <row r="247" spans="1:46" x14ac:dyDescent="0.3">
      <c r="A247" s="16">
        <f>'Clean Data'!A246</f>
        <v>245</v>
      </c>
      <c r="B247" s="16" t="str">
        <f>'Clean Data'!B246</f>
        <v>herbaceous biomass</v>
      </c>
      <c r="C247" s="16" t="str">
        <f>'Clean Data'!C246</f>
        <v>particles</v>
      </c>
      <c r="D247" s="16">
        <f>'Clean Data'!D246</f>
        <v>3.75</v>
      </c>
      <c r="E247" s="16">
        <f>'Clean Data'!E246</f>
        <v>15.834076717216769</v>
      </c>
      <c r="F247" s="16">
        <f>'Clean Data'!F246</f>
        <v>43.83</v>
      </c>
      <c r="G247" s="16">
        <f>'Clean Data'!G246</f>
        <v>5.95</v>
      </c>
      <c r="H247" s="16">
        <f>'Clean Data'!H246</f>
        <v>0.97</v>
      </c>
      <c r="I247" s="16">
        <f>'Clean Data'!I246</f>
        <v>0.13</v>
      </c>
      <c r="J247" s="16">
        <f>'Clean Data'!J246</f>
        <v>45.01</v>
      </c>
      <c r="K247" s="16">
        <f>'Clean Data'!K246</f>
        <v>5.93</v>
      </c>
      <c r="L247" s="16">
        <f>'Clean Data'!L246</f>
        <v>6.17</v>
      </c>
      <c r="M247" s="16">
        <f>'Clean Data'!M246</f>
        <v>75.95</v>
      </c>
      <c r="N247" s="16">
        <f>'Clean Data'!N246</f>
        <v>13.75</v>
      </c>
      <c r="O247" s="16" t="str">
        <f>'Clean Data'!O246</f>
        <v>NaN</v>
      </c>
      <c r="P247" s="16" t="str">
        <f>'Clean Data'!P246</f>
        <v>NaN</v>
      </c>
      <c r="Q247" s="16" t="str">
        <f>'Clean Data'!Q246</f>
        <v>NaN</v>
      </c>
      <c r="R247" s="16">
        <f>'Clean Data'!R246</f>
        <v>985</v>
      </c>
      <c r="S247" s="16" t="str">
        <f>'Clean Data'!S246</f>
        <v>continuous</v>
      </c>
      <c r="T247" s="16" t="str">
        <f>'Clean Data'!T246</f>
        <v>atmospheric</v>
      </c>
      <c r="U247" s="16" t="str">
        <f>'Clean Data'!U246</f>
        <v>NaN</v>
      </c>
      <c r="V247" s="16" t="str">
        <f>'Clean Data'!V246</f>
        <v>NaN</v>
      </c>
      <c r="W247" s="16">
        <f>'Clean Data'!W246</f>
        <v>0.32</v>
      </c>
      <c r="X247" s="16" t="str">
        <f>'Clean Data'!X246</f>
        <v>air</v>
      </c>
      <c r="Y247" s="16" t="str">
        <f>'Clean Data'!Y246</f>
        <v>fixed bed</v>
      </c>
      <c r="Z247" s="16" t="str">
        <f>'Clean Data'!Z246</f>
        <v>NaN</v>
      </c>
      <c r="AA247" s="16">
        <f>'Clean Data'!AA246</f>
        <v>0</v>
      </c>
      <c r="AB247" s="16" t="str">
        <f>'Clean Data'!AB246</f>
        <v>lab</v>
      </c>
      <c r="AC247" s="16">
        <f>'Clean Data'!AC246</f>
        <v>55.67</v>
      </c>
      <c r="AD247" s="16">
        <f>'Clean Data'!AD246</f>
        <v>13.51</v>
      </c>
      <c r="AE247" s="16">
        <f>'Clean Data'!AE246</f>
        <v>19.809999999999999</v>
      </c>
      <c r="AF247" s="16">
        <f>'Clean Data'!AF246</f>
        <v>11.58</v>
      </c>
      <c r="AG247" s="16">
        <f>'Clean Data'!AG246</f>
        <v>3.72</v>
      </c>
      <c r="AH247" s="16">
        <f>'Clean Data'!AH246</f>
        <v>1.62</v>
      </c>
      <c r="AI247" s="16">
        <f>'Clean Data'!AI246</f>
        <v>5.39</v>
      </c>
      <c r="AJ247" s="16">
        <f>'Clean Data'!AJ246</f>
        <v>5.125</v>
      </c>
      <c r="AK247" s="16">
        <f>'Clean Data'!AK246</f>
        <v>2.14</v>
      </c>
      <c r="AL247" s="16" t="str">
        <f>'Clean Data'!AL246</f>
        <v>NaN</v>
      </c>
      <c r="AM247" s="16">
        <f>'Clean Data'!AM246</f>
        <v>67.260000000000005</v>
      </c>
      <c r="AN247" s="16">
        <f>'Clean Data'!AN246</f>
        <v>94.736839542387784</v>
      </c>
      <c r="AO247" s="16" t="str">
        <f>'Clean Data'!AO246</f>
        <v>Gai, Int. J. Hydrog 2012, 37, 4935-4944</v>
      </c>
      <c r="AP247" s="16"/>
      <c r="AQ247" s="16"/>
      <c r="AR247" s="16"/>
      <c r="AS247" s="16"/>
      <c r="AT247" s="16"/>
    </row>
    <row r="248" spans="1:46" x14ac:dyDescent="0.3">
      <c r="A248" s="16">
        <f>'Clean Data'!A247</f>
        <v>246</v>
      </c>
      <c r="B248" s="16" t="str">
        <f>'Clean Data'!B247</f>
        <v>herbaceous biomass</v>
      </c>
      <c r="C248" s="16" t="str">
        <f>'Clean Data'!C247</f>
        <v>particles</v>
      </c>
      <c r="D248" s="16">
        <f>'Clean Data'!D247</f>
        <v>3.75</v>
      </c>
      <c r="E248" s="16">
        <f>'Clean Data'!E247</f>
        <v>15.834076717216769</v>
      </c>
      <c r="F248" s="16">
        <f>'Clean Data'!F247</f>
        <v>43.83</v>
      </c>
      <c r="G248" s="16">
        <f>'Clean Data'!G247</f>
        <v>5.95</v>
      </c>
      <c r="H248" s="16">
        <f>'Clean Data'!H247</f>
        <v>0.97</v>
      </c>
      <c r="I248" s="16">
        <f>'Clean Data'!I247</f>
        <v>0.13</v>
      </c>
      <c r="J248" s="16">
        <f>'Clean Data'!J247</f>
        <v>45.01</v>
      </c>
      <c r="K248" s="16">
        <f>'Clean Data'!K247</f>
        <v>5.93</v>
      </c>
      <c r="L248" s="16">
        <f>'Clean Data'!L247</f>
        <v>6.17</v>
      </c>
      <c r="M248" s="16">
        <f>'Clean Data'!M247</f>
        <v>75.95</v>
      </c>
      <c r="N248" s="16">
        <f>'Clean Data'!N247</f>
        <v>13.75</v>
      </c>
      <c r="O248" s="16" t="str">
        <f>'Clean Data'!O247</f>
        <v>NaN</v>
      </c>
      <c r="P248" s="16" t="str">
        <f>'Clean Data'!P247</f>
        <v>NaN</v>
      </c>
      <c r="Q248" s="16" t="str">
        <f>'Clean Data'!Q247</f>
        <v>NaN</v>
      </c>
      <c r="R248" s="16">
        <f>'Clean Data'!R247</f>
        <v>995</v>
      </c>
      <c r="S248" s="16" t="str">
        <f>'Clean Data'!S247</f>
        <v>continuous</v>
      </c>
      <c r="T248" s="16" t="str">
        <f>'Clean Data'!T247</f>
        <v>atmospheric</v>
      </c>
      <c r="U248" s="16" t="str">
        <f>'Clean Data'!U247</f>
        <v>NaN</v>
      </c>
      <c r="V248" s="16" t="str">
        <f>'Clean Data'!V247</f>
        <v>NaN</v>
      </c>
      <c r="W248" s="16">
        <f>'Clean Data'!W247</f>
        <v>0.36</v>
      </c>
      <c r="X248" s="16" t="str">
        <f>'Clean Data'!X247</f>
        <v>air</v>
      </c>
      <c r="Y248" s="16" t="str">
        <f>'Clean Data'!Y247</f>
        <v>fixed bed</v>
      </c>
      <c r="Z248" s="16" t="str">
        <f>'Clean Data'!Z247</f>
        <v>NaN</v>
      </c>
      <c r="AA248" s="16">
        <f>'Clean Data'!AA247</f>
        <v>0</v>
      </c>
      <c r="AB248" s="16" t="str">
        <f>'Clean Data'!AB247</f>
        <v>lab</v>
      </c>
      <c r="AC248" s="16">
        <f>'Clean Data'!AC247</f>
        <v>56.88</v>
      </c>
      <c r="AD248" s="16">
        <f>'Clean Data'!AD247</f>
        <v>12.26</v>
      </c>
      <c r="AE248" s="16">
        <f>'Clean Data'!AE247</f>
        <v>17.97</v>
      </c>
      <c r="AF248" s="16">
        <f>'Clean Data'!AF247</f>
        <v>13.82</v>
      </c>
      <c r="AG248" s="16">
        <f>'Clean Data'!AG247</f>
        <v>3.65</v>
      </c>
      <c r="AH248" s="16">
        <f>'Clean Data'!AH247</f>
        <v>1.54</v>
      </c>
      <c r="AI248" s="16">
        <f>'Clean Data'!AI247</f>
        <v>4.99</v>
      </c>
      <c r="AJ248" s="16">
        <f>'Clean Data'!AJ247</f>
        <v>4.8730000000000002</v>
      </c>
      <c r="AK248" s="16">
        <f>'Clean Data'!AK247</f>
        <v>2.5299999999999998</v>
      </c>
      <c r="AL248" s="16" t="str">
        <f>'Clean Data'!AL247</f>
        <v>NaN</v>
      </c>
      <c r="AM248" s="16">
        <f>'Clean Data'!AM247</f>
        <v>73.61</v>
      </c>
      <c r="AN248" s="16">
        <f>'Clean Data'!AN247</f>
        <v>113.12884362471885</v>
      </c>
      <c r="AO248" s="16" t="str">
        <f>'Clean Data'!AO247</f>
        <v>Gai, Int. J. Hydrog 2012, 37, 4935-4944</v>
      </c>
      <c r="AP248" s="16"/>
      <c r="AQ248" s="16"/>
      <c r="AR248" s="16"/>
      <c r="AS248" s="16"/>
      <c r="AT248" s="16"/>
    </row>
    <row r="249" spans="1:46" x14ac:dyDescent="0.3">
      <c r="A249" s="16">
        <f>'Clean Data'!A248</f>
        <v>247</v>
      </c>
      <c r="B249" s="16" t="str">
        <f>'Clean Data'!B248</f>
        <v>herbaceous biomass</v>
      </c>
      <c r="C249" s="16" t="str">
        <f>'Clean Data'!C248</f>
        <v>particles</v>
      </c>
      <c r="D249" s="16">
        <f>'Clean Data'!D248</f>
        <v>3.75</v>
      </c>
      <c r="E249" s="16">
        <f>'Clean Data'!E248</f>
        <v>15.834076717216769</v>
      </c>
      <c r="F249" s="16">
        <f>'Clean Data'!F248</f>
        <v>43.83</v>
      </c>
      <c r="G249" s="16">
        <f>'Clean Data'!G248</f>
        <v>5.95</v>
      </c>
      <c r="H249" s="16">
        <f>'Clean Data'!H248</f>
        <v>0.97</v>
      </c>
      <c r="I249" s="16">
        <f>'Clean Data'!I248</f>
        <v>0.13</v>
      </c>
      <c r="J249" s="16">
        <f>'Clean Data'!J248</f>
        <v>45.01</v>
      </c>
      <c r="K249" s="16">
        <f>'Clean Data'!K248</f>
        <v>5.93</v>
      </c>
      <c r="L249" s="16">
        <f>'Clean Data'!L248</f>
        <v>6.17</v>
      </c>
      <c r="M249" s="16">
        <f>'Clean Data'!M248</f>
        <v>75.95</v>
      </c>
      <c r="N249" s="16">
        <f>'Clean Data'!N248</f>
        <v>13.75</v>
      </c>
      <c r="O249" s="16" t="str">
        <f>'Clean Data'!O248</f>
        <v>NaN</v>
      </c>
      <c r="P249" s="16" t="str">
        <f>'Clean Data'!P248</f>
        <v>NaN</v>
      </c>
      <c r="Q249" s="16" t="str">
        <f>'Clean Data'!Q248</f>
        <v>NaN</v>
      </c>
      <c r="R249" s="16">
        <f>'Clean Data'!R248</f>
        <v>1025</v>
      </c>
      <c r="S249" s="16" t="str">
        <f>'Clean Data'!S248</f>
        <v>continuous</v>
      </c>
      <c r="T249" s="16" t="str">
        <f>'Clean Data'!T248</f>
        <v>atmospheric</v>
      </c>
      <c r="U249" s="16" t="str">
        <f>'Clean Data'!U248</f>
        <v>NaN</v>
      </c>
      <c r="V249" s="16" t="str">
        <f>'Clean Data'!V248</f>
        <v>NaN</v>
      </c>
      <c r="W249" s="16">
        <f>'Clean Data'!W248</f>
        <v>0.41</v>
      </c>
      <c r="X249" s="16" t="str">
        <f>'Clean Data'!X248</f>
        <v>air</v>
      </c>
      <c r="Y249" s="16" t="str">
        <f>'Clean Data'!Y248</f>
        <v>fixed bed</v>
      </c>
      <c r="Z249" s="16" t="str">
        <f>'Clean Data'!Z248</f>
        <v>NaN</v>
      </c>
      <c r="AA249" s="16">
        <f>'Clean Data'!AA248</f>
        <v>0</v>
      </c>
      <c r="AB249" s="16" t="str">
        <f>'Clean Data'!AB248</f>
        <v>lab</v>
      </c>
      <c r="AC249" s="16">
        <f>'Clean Data'!AC248</f>
        <v>59.71</v>
      </c>
      <c r="AD249" s="16">
        <f>'Clean Data'!AD248</f>
        <v>10.58</v>
      </c>
      <c r="AE249" s="16">
        <f>'Clean Data'!AE248</f>
        <v>15.16</v>
      </c>
      <c r="AF249" s="16">
        <f>'Clean Data'!AF248</f>
        <v>18.41</v>
      </c>
      <c r="AG249" s="16">
        <f>'Clean Data'!AG248</f>
        <v>1.57</v>
      </c>
      <c r="AH249" s="16">
        <f>'Clean Data'!AH248</f>
        <v>1.31</v>
      </c>
      <c r="AI249" s="16">
        <f>'Clean Data'!AI248</f>
        <v>3.69</v>
      </c>
      <c r="AJ249" s="16">
        <f>'Clean Data'!AJ248</f>
        <v>4.617</v>
      </c>
      <c r="AK249" s="16">
        <f>'Clean Data'!AK248</f>
        <v>2.86</v>
      </c>
      <c r="AL249" s="16" t="str">
        <f>'Clean Data'!AL248</f>
        <v>NaN</v>
      </c>
      <c r="AM249" s="16">
        <f>'Clean Data'!AM248</f>
        <v>61.54</v>
      </c>
      <c r="AN249" s="16">
        <f>'Clean Data'!AN248</f>
        <v>126.89402899188418</v>
      </c>
      <c r="AO249" s="16" t="str">
        <f>'Clean Data'!AO248</f>
        <v>Gai, Int. J. Hydrog 2012, 37, 4935-4944</v>
      </c>
      <c r="AP249" s="16"/>
      <c r="AQ249" s="16"/>
      <c r="AR249" s="16"/>
      <c r="AS249" s="16"/>
      <c r="AT249" s="16"/>
    </row>
    <row r="250" spans="1:46" x14ac:dyDescent="0.3">
      <c r="A250" s="16">
        <f>'Clean Data'!A249</f>
        <v>248</v>
      </c>
      <c r="B250" s="16" t="str">
        <f>'Clean Data'!B249</f>
        <v>woody biomass</v>
      </c>
      <c r="C250" s="16" t="str">
        <f>'Clean Data'!C249</f>
        <v>dust</v>
      </c>
      <c r="D250" s="16">
        <f>'Clean Data'!D249</f>
        <v>2.4</v>
      </c>
      <c r="E250" s="16">
        <f>'Clean Data'!E249</f>
        <v>14.636107760353841</v>
      </c>
      <c r="F250" s="16">
        <f>'Clean Data'!F249</f>
        <v>50</v>
      </c>
      <c r="G250" s="16">
        <f>'Clean Data'!G249</f>
        <v>5.7</v>
      </c>
      <c r="H250" s="16">
        <f>'Clean Data'!H249</f>
        <v>0.2</v>
      </c>
      <c r="I250" s="16">
        <f>'Clean Data'!I249</f>
        <v>0.03</v>
      </c>
      <c r="J250" s="16">
        <f>'Clean Data'!J249</f>
        <v>44.1</v>
      </c>
      <c r="K250" s="16">
        <f>'Clean Data'!K249</f>
        <v>0.85</v>
      </c>
      <c r="L250" s="16">
        <f>'Clean Data'!L249</f>
        <v>23.5</v>
      </c>
      <c r="M250" s="16">
        <f>'Clean Data'!M249</f>
        <v>82</v>
      </c>
      <c r="N250" s="16">
        <f>'Clean Data'!N249</f>
        <v>16.5</v>
      </c>
      <c r="O250" s="16" t="str">
        <f>'Clean Data'!O249</f>
        <v>NaN</v>
      </c>
      <c r="P250" s="16" t="str">
        <f>'Clean Data'!P249</f>
        <v>NaN</v>
      </c>
      <c r="Q250" s="16" t="str">
        <f>'Clean Data'!Q249</f>
        <v>NaN</v>
      </c>
      <c r="R250" s="16">
        <f>'Clean Data'!R249</f>
        <v>800</v>
      </c>
      <c r="S250" s="16" t="str">
        <f>'Clean Data'!S249</f>
        <v>continuous</v>
      </c>
      <c r="T250" s="16" t="str">
        <f>'Clean Data'!T249</f>
        <v>atmospheric</v>
      </c>
      <c r="U250" s="16">
        <f>'Clean Data'!U249</f>
        <v>300</v>
      </c>
      <c r="V250" s="16" t="str">
        <f>'Clean Data'!V249</f>
        <v>NaN</v>
      </c>
      <c r="W250" s="16">
        <f>'Clean Data'!W249</f>
        <v>0.32</v>
      </c>
      <c r="X250" s="16" t="str">
        <f>'Clean Data'!X249</f>
        <v>air</v>
      </c>
      <c r="Y250" s="16" t="str">
        <f>'Clean Data'!Y249</f>
        <v>fluidised bed</v>
      </c>
      <c r="Z250" s="16" t="str">
        <f>'Clean Data'!Z249</f>
        <v>silica</v>
      </c>
      <c r="AA250" s="16">
        <f>'Clean Data'!AA249</f>
        <v>0</v>
      </c>
      <c r="AB250" s="16" t="str">
        <f>'Clean Data'!AB249</f>
        <v>pilot</v>
      </c>
      <c r="AC250" s="16">
        <f>'Clean Data'!AC249</f>
        <v>61.3</v>
      </c>
      <c r="AD250" s="16">
        <f>'Clean Data'!AD249</f>
        <v>7</v>
      </c>
      <c r="AE250" s="16">
        <f>'Clean Data'!AE249</f>
        <v>14</v>
      </c>
      <c r="AF250" s="16">
        <f>'Clean Data'!AF249</f>
        <v>13.5</v>
      </c>
      <c r="AG250" s="16">
        <f>'Clean Data'!AG249</f>
        <v>3</v>
      </c>
      <c r="AH250" s="16">
        <f>'Clean Data'!AH249</f>
        <v>1.2</v>
      </c>
      <c r="AI250" s="16">
        <f>'Clean Data'!AI249</f>
        <v>4.3</v>
      </c>
      <c r="AJ250" s="16">
        <f>'Clean Data'!AJ249</f>
        <v>3.7330000000000001</v>
      </c>
      <c r="AK250" s="16">
        <f>'Clean Data'!AK249</f>
        <v>1.8496180136710898</v>
      </c>
      <c r="AL250" s="16" t="str">
        <f>'Clean Data'!AL249</f>
        <v>NaN</v>
      </c>
      <c r="AM250" s="16">
        <f>'Clean Data'!AM249</f>
        <v>54.340659340659336</v>
      </c>
      <c r="AN250" s="16">
        <f>'Clean Data'!AN249</f>
        <v>62.228416336377734</v>
      </c>
      <c r="AO250" s="16" t="str">
        <f>'Clean Data'!AO249</f>
        <v>Narváez, Ind. Eng. Chem. Res. 1996, 35, 2110-2120</v>
      </c>
      <c r="AP250" s="16"/>
      <c r="AQ250" s="16"/>
      <c r="AR250" s="16"/>
      <c r="AS250" s="16"/>
      <c r="AT250" s="16"/>
    </row>
    <row r="251" spans="1:46" x14ac:dyDescent="0.3">
      <c r="A251" s="16">
        <f>'Clean Data'!A250</f>
        <v>249</v>
      </c>
      <c r="B251" s="16" t="str">
        <f>'Clean Data'!B250</f>
        <v>woody biomass</v>
      </c>
      <c r="C251" s="16" t="str">
        <f>'Clean Data'!C250</f>
        <v>dust</v>
      </c>
      <c r="D251" s="16">
        <f>'Clean Data'!D250</f>
        <v>2.4</v>
      </c>
      <c r="E251" s="16">
        <f>'Clean Data'!E250</f>
        <v>14.936397209684039</v>
      </c>
      <c r="F251" s="16">
        <f>'Clean Data'!F250</f>
        <v>50</v>
      </c>
      <c r="G251" s="16">
        <f>'Clean Data'!G250</f>
        <v>5.7</v>
      </c>
      <c r="H251" s="16">
        <f>'Clean Data'!H250</f>
        <v>0.2</v>
      </c>
      <c r="I251" s="16">
        <f>'Clean Data'!I250</f>
        <v>0.03</v>
      </c>
      <c r="J251" s="16">
        <f>'Clean Data'!J250</f>
        <v>44.1</v>
      </c>
      <c r="K251" s="16">
        <f>'Clean Data'!K250</f>
        <v>0.85</v>
      </c>
      <c r="L251" s="16">
        <f>'Clean Data'!L250</f>
        <v>21</v>
      </c>
      <c r="M251" s="16">
        <f>'Clean Data'!M250</f>
        <v>82</v>
      </c>
      <c r="N251" s="16">
        <f>'Clean Data'!N250</f>
        <v>16.5</v>
      </c>
      <c r="O251" s="16" t="str">
        <f>'Clean Data'!O250</f>
        <v>NaN</v>
      </c>
      <c r="P251" s="16" t="str">
        <f>'Clean Data'!P250</f>
        <v>NaN</v>
      </c>
      <c r="Q251" s="16" t="str">
        <f>'Clean Data'!Q250</f>
        <v>NaN</v>
      </c>
      <c r="R251" s="16">
        <f>'Clean Data'!R250</f>
        <v>800</v>
      </c>
      <c r="S251" s="16" t="str">
        <f>'Clean Data'!S250</f>
        <v>continuous</v>
      </c>
      <c r="T251" s="16" t="str">
        <f>'Clean Data'!T250</f>
        <v>atmospheric</v>
      </c>
      <c r="U251" s="16">
        <f>'Clean Data'!U250</f>
        <v>300</v>
      </c>
      <c r="V251" s="16" t="str">
        <f>'Clean Data'!V250</f>
        <v>NaN</v>
      </c>
      <c r="W251" s="16">
        <f>'Clean Data'!W250</f>
        <v>0.37</v>
      </c>
      <c r="X251" s="16" t="str">
        <f>'Clean Data'!X250</f>
        <v>air</v>
      </c>
      <c r="Y251" s="16" t="str">
        <f>'Clean Data'!Y250</f>
        <v>fluidised bed</v>
      </c>
      <c r="Z251" s="16" t="str">
        <f>'Clean Data'!Z250</f>
        <v>silica</v>
      </c>
      <c r="AA251" s="16">
        <f>'Clean Data'!AA250</f>
        <v>0</v>
      </c>
      <c r="AB251" s="16" t="str">
        <f>'Clean Data'!AB250</f>
        <v>pilot</v>
      </c>
      <c r="AC251" s="16">
        <f>'Clean Data'!AC250</f>
        <v>58.3</v>
      </c>
      <c r="AD251" s="16">
        <f>'Clean Data'!AD250</f>
        <v>9.5</v>
      </c>
      <c r="AE251" s="16">
        <f>'Clean Data'!AE250</f>
        <v>13</v>
      </c>
      <c r="AF251" s="16">
        <f>'Clean Data'!AF250</f>
        <v>15</v>
      </c>
      <c r="AG251" s="16">
        <f>'Clean Data'!AG250</f>
        <v>2.7</v>
      </c>
      <c r="AH251" s="16">
        <f>'Clean Data'!AH250</f>
        <v>1.6</v>
      </c>
      <c r="AI251" s="16">
        <f>'Clean Data'!AI250</f>
        <v>4.5999999999999996</v>
      </c>
      <c r="AJ251" s="16">
        <f>'Clean Data'!AJ250</f>
        <v>7.1630000000000003</v>
      </c>
      <c r="AK251" s="16">
        <f>'Clean Data'!AK250</f>
        <v>2.0661157024793391</v>
      </c>
      <c r="AL251" s="16" t="str">
        <f>'Clean Data'!AL250</f>
        <v>NaN</v>
      </c>
      <c r="AM251" s="16">
        <f>'Clean Data'!AM250</f>
        <v>63.630687494323858</v>
      </c>
      <c r="AN251" s="16">
        <f>'Clean Data'!AN250</f>
        <v>71.901402007083831</v>
      </c>
      <c r="AO251" s="16" t="str">
        <f>'Clean Data'!AO250</f>
        <v>Narváez, Ind. Eng. Chem. Res. 1996, 35, 2110-2120</v>
      </c>
      <c r="AP251" s="16"/>
      <c r="AQ251" s="16"/>
      <c r="AR251" s="16"/>
      <c r="AS251" s="16"/>
      <c r="AT251" s="16"/>
    </row>
    <row r="252" spans="1:46" x14ac:dyDescent="0.3">
      <c r="A252" s="16">
        <f>'Clean Data'!A251</f>
        <v>250</v>
      </c>
      <c r="B252" s="16" t="str">
        <f>'Clean Data'!B251</f>
        <v>woody biomass</v>
      </c>
      <c r="C252" s="16" t="str">
        <f>'Clean Data'!C251</f>
        <v>dust</v>
      </c>
      <c r="D252" s="16">
        <f>'Clean Data'!D251</f>
        <v>2.4</v>
      </c>
      <c r="E252" s="16">
        <f>'Clean Data'!E251</f>
        <v>14.695195801372627</v>
      </c>
      <c r="F252" s="16">
        <f>'Clean Data'!F251</f>
        <v>50</v>
      </c>
      <c r="G252" s="16">
        <f>'Clean Data'!G251</f>
        <v>5.7</v>
      </c>
      <c r="H252" s="16">
        <f>'Clean Data'!H251</f>
        <v>0.2</v>
      </c>
      <c r="I252" s="16">
        <f>'Clean Data'!I251</f>
        <v>0.03</v>
      </c>
      <c r="J252" s="16">
        <f>'Clean Data'!J251</f>
        <v>44.1</v>
      </c>
      <c r="K252" s="16">
        <f>'Clean Data'!K251</f>
        <v>0.85</v>
      </c>
      <c r="L252" s="16">
        <f>'Clean Data'!L251</f>
        <v>23</v>
      </c>
      <c r="M252" s="16">
        <f>'Clean Data'!M251</f>
        <v>82</v>
      </c>
      <c r="N252" s="16">
        <f>'Clean Data'!N251</f>
        <v>16.5</v>
      </c>
      <c r="O252" s="16" t="str">
        <f>'Clean Data'!O251</f>
        <v>NaN</v>
      </c>
      <c r="P252" s="16" t="str">
        <f>'Clean Data'!P251</f>
        <v>NaN</v>
      </c>
      <c r="Q252" s="16" t="str">
        <f>'Clean Data'!Q251</f>
        <v>NaN</v>
      </c>
      <c r="R252" s="16">
        <f>'Clean Data'!R251</f>
        <v>810</v>
      </c>
      <c r="S252" s="16" t="str">
        <f>'Clean Data'!S251</f>
        <v>continuous</v>
      </c>
      <c r="T252" s="16" t="str">
        <f>'Clean Data'!T251</f>
        <v>atmospheric</v>
      </c>
      <c r="U252" s="16">
        <f>'Clean Data'!U251</f>
        <v>162</v>
      </c>
      <c r="V252" s="16" t="str">
        <f>'Clean Data'!V251</f>
        <v>NaN</v>
      </c>
      <c r="W252" s="16">
        <f>'Clean Data'!W251</f>
        <v>0.47</v>
      </c>
      <c r="X252" s="16" t="str">
        <f>'Clean Data'!X251</f>
        <v>air</v>
      </c>
      <c r="Y252" s="16" t="str">
        <f>'Clean Data'!Y251</f>
        <v>fluidised bed</v>
      </c>
      <c r="Z252" s="16" t="str">
        <f>'Clean Data'!Z251</f>
        <v>silica</v>
      </c>
      <c r="AA252" s="16">
        <f>'Clean Data'!AA251</f>
        <v>0</v>
      </c>
      <c r="AB252" s="16" t="str">
        <f>'Clean Data'!AB251</f>
        <v>pilot</v>
      </c>
      <c r="AC252" s="16">
        <f>'Clean Data'!AC251</f>
        <v>66.5</v>
      </c>
      <c r="AD252" s="16">
        <f>'Clean Data'!AD251</f>
        <v>8</v>
      </c>
      <c r="AE252" s="16">
        <f>'Clean Data'!AE251</f>
        <v>10</v>
      </c>
      <c r="AF252" s="16">
        <f>'Clean Data'!AF251</f>
        <v>12</v>
      </c>
      <c r="AG252" s="16">
        <f>'Clean Data'!AG251</f>
        <v>2.4</v>
      </c>
      <c r="AH252" s="16">
        <f>'Clean Data'!AH251</f>
        <v>1.1000000000000001</v>
      </c>
      <c r="AI252" s="16">
        <f>'Clean Data'!AI251</f>
        <v>3.7</v>
      </c>
      <c r="AJ252" s="16">
        <f>'Clean Data'!AJ251</f>
        <v>2.9870000000000001</v>
      </c>
      <c r="AK252" s="16">
        <f>'Clean Data'!AK251</f>
        <v>2.0325203252032518</v>
      </c>
      <c r="AL252" s="16" t="str">
        <f>'Clean Data'!AL251</f>
        <v>NaN</v>
      </c>
      <c r="AM252" s="16">
        <f>'Clean Data'!AM251</f>
        <v>51.175399803448585</v>
      </c>
      <c r="AN252" s="16">
        <f>'Clean Data'!AN251</f>
        <v>55.532055749128901</v>
      </c>
      <c r="AO252" s="16" t="str">
        <f>'Clean Data'!AO251</f>
        <v>Narváez, Ind. Eng. Chem. Res. 1996, 35, 2110-2120</v>
      </c>
      <c r="AP252" s="16"/>
      <c r="AQ252" s="16"/>
      <c r="AR252" s="16"/>
      <c r="AS252" s="16"/>
      <c r="AT252" s="16"/>
    </row>
    <row r="253" spans="1:46" x14ac:dyDescent="0.3">
      <c r="A253" s="16">
        <f>'Clean Data'!A252</f>
        <v>251</v>
      </c>
      <c r="B253" s="16" t="str">
        <f>'Clean Data'!B252</f>
        <v>woody biomass</v>
      </c>
      <c r="C253" s="16" t="str">
        <f>'Clean Data'!C252</f>
        <v>dust</v>
      </c>
      <c r="D253" s="16">
        <f>'Clean Data'!D252</f>
        <v>2.4</v>
      </c>
      <c r="E253" s="16">
        <f>'Clean Data'!E252</f>
        <v>14.814814814814815</v>
      </c>
      <c r="F253" s="16">
        <f>'Clean Data'!F252</f>
        <v>50</v>
      </c>
      <c r="G253" s="16">
        <f>'Clean Data'!G252</f>
        <v>5.7</v>
      </c>
      <c r="H253" s="16">
        <f>'Clean Data'!H252</f>
        <v>0.2</v>
      </c>
      <c r="I253" s="16">
        <f>'Clean Data'!I252</f>
        <v>0.03</v>
      </c>
      <c r="J253" s="16">
        <f>'Clean Data'!J252</f>
        <v>44.1</v>
      </c>
      <c r="K253" s="16">
        <f>'Clean Data'!K252</f>
        <v>0.85</v>
      </c>
      <c r="L253" s="16">
        <f>'Clean Data'!L252</f>
        <v>22</v>
      </c>
      <c r="M253" s="16">
        <f>'Clean Data'!M252</f>
        <v>82</v>
      </c>
      <c r="N253" s="16">
        <f>'Clean Data'!N252</f>
        <v>16.5</v>
      </c>
      <c r="O253" s="16" t="str">
        <f>'Clean Data'!O252</f>
        <v>NaN</v>
      </c>
      <c r="P253" s="16" t="str">
        <f>'Clean Data'!P252</f>
        <v>NaN</v>
      </c>
      <c r="Q253" s="16" t="str">
        <f>'Clean Data'!Q252</f>
        <v>NaN</v>
      </c>
      <c r="R253" s="16">
        <f>'Clean Data'!R252</f>
        <v>800</v>
      </c>
      <c r="S253" s="16" t="str">
        <f>'Clean Data'!S252</f>
        <v>continuous</v>
      </c>
      <c r="T253" s="16" t="str">
        <f>'Clean Data'!T252</f>
        <v>atmospheric</v>
      </c>
      <c r="U253" s="16">
        <f>'Clean Data'!U252</f>
        <v>240</v>
      </c>
      <c r="V253" s="16" t="str">
        <f>'Clean Data'!V252</f>
        <v>NaN</v>
      </c>
      <c r="W253" s="16">
        <f>'Clean Data'!W252</f>
        <v>0.26</v>
      </c>
      <c r="X253" s="16" t="str">
        <f>'Clean Data'!X252</f>
        <v>air</v>
      </c>
      <c r="Y253" s="16" t="str">
        <f>'Clean Data'!Y252</f>
        <v>fluidised bed</v>
      </c>
      <c r="Z253" s="16" t="str">
        <f>'Clean Data'!Z252</f>
        <v>silica</v>
      </c>
      <c r="AA253" s="16">
        <f>'Clean Data'!AA252</f>
        <v>0</v>
      </c>
      <c r="AB253" s="16" t="str">
        <f>'Clean Data'!AB252</f>
        <v>pilot</v>
      </c>
      <c r="AC253" s="16">
        <f>'Clean Data'!AC252</f>
        <v>58.3</v>
      </c>
      <c r="AD253" s="16">
        <f>'Clean Data'!AD252</f>
        <v>9.5</v>
      </c>
      <c r="AE253" s="16">
        <f>'Clean Data'!AE252</f>
        <v>13</v>
      </c>
      <c r="AF253" s="16">
        <f>'Clean Data'!AF252</f>
        <v>15</v>
      </c>
      <c r="AG253" s="16">
        <f>'Clean Data'!AG252</f>
        <v>2.7</v>
      </c>
      <c r="AH253" s="16">
        <f>'Clean Data'!AH252</f>
        <v>1.6</v>
      </c>
      <c r="AI253" s="16">
        <f>'Clean Data'!AI252</f>
        <v>4.5999999999999996</v>
      </c>
      <c r="AJ253" s="16">
        <f>'Clean Data'!AJ252</f>
        <v>2.0110000000000001</v>
      </c>
      <c r="AK253" s="16">
        <f>'Clean Data'!AK252</f>
        <v>1.7213114754098362</v>
      </c>
      <c r="AL253" s="16" t="str">
        <f>'Clean Data'!AL252</f>
        <v>NaN</v>
      </c>
      <c r="AM253" s="16">
        <f>'Clean Data'!AM252</f>
        <v>53.446721311475414</v>
      </c>
      <c r="AN253" s="16">
        <f>'Clean Data'!AN252</f>
        <v>59.902118852459019</v>
      </c>
      <c r="AO253" s="16" t="str">
        <f>'Clean Data'!AO252</f>
        <v>Narváez, Ind. Eng. Chem. Res. 1996, 35, 2110-2120</v>
      </c>
      <c r="AP253" s="16"/>
      <c r="AQ253" s="16"/>
      <c r="AR253" s="16"/>
      <c r="AS253" s="16"/>
      <c r="AT253" s="16"/>
    </row>
    <row r="254" spans="1:46" x14ac:dyDescent="0.3">
      <c r="A254" s="16">
        <f>'Clean Data'!A253</f>
        <v>252</v>
      </c>
      <c r="B254" s="16" t="str">
        <f>'Clean Data'!B253</f>
        <v>woody biomass</v>
      </c>
      <c r="C254" s="16" t="str">
        <f>'Clean Data'!C253</f>
        <v>dust</v>
      </c>
      <c r="D254" s="16">
        <f>'Clean Data'!D253</f>
        <v>2.4</v>
      </c>
      <c r="E254" s="16">
        <f>'Clean Data'!E253</f>
        <v>14.461660707191101</v>
      </c>
      <c r="F254" s="16">
        <f>'Clean Data'!F253</f>
        <v>50</v>
      </c>
      <c r="G254" s="16">
        <f>'Clean Data'!G253</f>
        <v>5.7</v>
      </c>
      <c r="H254" s="16">
        <f>'Clean Data'!H253</f>
        <v>0.2</v>
      </c>
      <c r="I254" s="16">
        <f>'Clean Data'!I253</f>
        <v>0.03</v>
      </c>
      <c r="J254" s="16">
        <f>'Clean Data'!J253</f>
        <v>44.1</v>
      </c>
      <c r="K254" s="16">
        <f>'Clean Data'!K253</f>
        <v>0.85</v>
      </c>
      <c r="L254" s="16">
        <f>'Clean Data'!L253</f>
        <v>25</v>
      </c>
      <c r="M254" s="16">
        <f>'Clean Data'!M253</f>
        <v>82</v>
      </c>
      <c r="N254" s="16">
        <f>'Clean Data'!N253</f>
        <v>16.5</v>
      </c>
      <c r="O254" s="16" t="str">
        <f>'Clean Data'!O253</f>
        <v>NaN</v>
      </c>
      <c r="P254" s="16" t="str">
        <f>'Clean Data'!P253</f>
        <v>NaN</v>
      </c>
      <c r="Q254" s="16" t="str">
        <f>'Clean Data'!Q253</f>
        <v>NaN</v>
      </c>
      <c r="R254" s="16">
        <f>'Clean Data'!R253</f>
        <v>790</v>
      </c>
      <c r="S254" s="16" t="str">
        <f>'Clean Data'!S253</f>
        <v>continuous</v>
      </c>
      <c r="T254" s="16" t="str">
        <f>'Clean Data'!T253</f>
        <v>atmospheric</v>
      </c>
      <c r="U254" s="16">
        <f>'Clean Data'!U253</f>
        <v>300</v>
      </c>
      <c r="V254" s="16" t="str">
        <f>'Clean Data'!V253</f>
        <v>NaN</v>
      </c>
      <c r="W254" s="16">
        <f>'Clean Data'!W253</f>
        <v>0.36</v>
      </c>
      <c r="X254" s="16" t="str">
        <f>'Clean Data'!X253</f>
        <v>air</v>
      </c>
      <c r="Y254" s="16" t="str">
        <f>'Clean Data'!Y253</f>
        <v>fluidised bed</v>
      </c>
      <c r="Z254" s="16" t="str">
        <f>'Clean Data'!Z253</f>
        <v>silica</v>
      </c>
      <c r="AA254" s="16">
        <f>'Clean Data'!AA253</f>
        <v>0</v>
      </c>
      <c r="AB254" s="16" t="str">
        <f>'Clean Data'!AB253</f>
        <v>pilot</v>
      </c>
      <c r="AC254" s="16">
        <f>'Clean Data'!AC253</f>
        <v>58.3</v>
      </c>
      <c r="AD254" s="16">
        <f>'Clean Data'!AD253</f>
        <v>9.5</v>
      </c>
      <c r="AE254" s="16">
        <f>'Clean Data'!AE253</f>
        <v>13</v>
      </c>
      <c r="AF254" s="16">
        <f>'Clean Data'!AF253</f>
        <v>15</v>
      </c>
      <c r="AG254" s="16">
        <f>'Clean Data'!AG253</f>
        <v>2.7</v>
      </c>
      <c r="AH254" s="16">
        <f>'Clean Data'!AH253</f>
        <v>1.6</v>
      </c>
      <c r="AI254" s="16">
        <f>'Clean Data'!AI253</f>
        <v>4.5999999999999996</v>
      </c>
      <c r="AJ254" s="16">
        <f>'Clean Data'!AJ253</f>
        <v>2.0110000000000001</v>
      </c>
      <c r="AK254" s="16">
        <f>'Clean Data'!AK253</f>
        <v>1.92</v>
      </c>
      <c r="AL254" s="16" t="str">
        <f>'Clean Data'!AL253</f>
        <v>NaN</v>
      </c>
      <c r="AM254" s="16">
        <f>'Clean Data'!AM253</f>
        <v>61.071824175824169</v>
      </c>
      <c r="AN254" s="16">
        <f>'Clean Data'!AN253</f>
        <v>66.816534857142855</v>
      </c>
      <c r="AO254" s="16" t="str">
        <f>'Clean Data'!AO253</f>
        <v>Narváez, Ind. Eng. Chem. Res. 1996, 35, 2110-2120</v>
      </c>
      <c r="AP254" s="16"/>
      <c r="AQ254" s="16"/>
      <c r="AR254" s="16"/>
      <c r="AS254" s="16"/>
      <c r="AT254" s="16"/>
    </row>
    <row r="255" spans="1:46" x14ac:dyDescent="0.3">
      <c r="A255" s="16">
        <f>'Clean Data'!A254</f>
        <v>253</v>
      </c>
      <c r="B255" s="16" t="str">
        <f>'Clean Data'!B254</f>
        <v>woody biomass</v>
      </c>
      <c r="C255" s="16" t="str">
        <f>'Clean Data'!C254</f>
        <v>dust</v>
      </c>
      <c r="D255" s="16">
        <f>'Clean Data'!D254</f>
        <v>2.4</v>
      </c>
      <c r="E255" s="16">
        <f>'Clean Data'!E254</f>
        <v>15.185648727576137</v>
      </c>
      <c r="F255" s="16">
        <f>'Clean Data'!F254</f>
        <v>50</v>
      </c>
      <c r="G255" s="16">
        <f>'Clean Data'!G254</f>
        <v>5.7</v>
      </c>
      <c r="H255" s="16">
        <f>'Clean Data'!H254</f>
        <v>0.2</v>
      </c>
      <c r="I255" s="16">
        <f>'Clean Data'!I254</f>
        <v>0.03</v>
      </c>
      <c r="J255" s="16">
        <f>'Clean Data'!J254</f>
        <v>44.1</v>
      </c>
      <c r="K255" s="16">
        <f>'Clean Data'!K254</f>
        <v>0.85</v>
      </c>
      <c r="L255" s="16">
        <f>'Clean Data'!L254</f>
        <v>19</v>
      </c>
      <c r="M255" s="16">
        <f>'Clean Data'!M254</f>
        <v>82</v>
      </c>
      <c r="N255" s="16">
        <f>'Clean Data'!N254</f>
        <v>16.5</v>
      </c>
      <c r="O255" s="16" t="str">
        <f>'Clean Data'!O254</f>
        <v>NaN</v>
      </c>
      <c r="P255" s="16" t="str">
        <f>'Clean Data'!P254</f>
        <v>NaN</v>
      </c>
      <c r="Q255" s="16" t="str">
        <f>'Clean Data'!Q254</f>
        <v>NaN</v>
      </c>
      <c r="R255" s="16">
        <f>'Clean Data'!R254</f>
        <v>800</v>
      </c>
      <c r="S255" s="16" t="str">
        <f>'Clean Data'!S254</f>
        <v>continuous</v>
      </c>
      <c r="T255" s="16" t="str">
        <f>'Clean Data'!T254</f>
        <v>atmospheric</v>
      </c>
      <c r="U255" s="16">
        <f>'Clean Data'!U254</f>
        <v>312</v>
      </c>
      <c r="V255" s="16" t="str">
        <f>'Clean Data'!V254</f>
        <v>NaN</v>
      </c>
      <c r="W255" s="16">
        <f>'Clean Data'!W254</f>
        <v>0.32</v>
      </c>
      <c r="X255" s="16" t="str">
        <f>'Clean Data'!X254</f>
        <v>air</v>
      </c>
      <c r="Y255" s="16" t="str">
        <f>'Clean Data'!Y254</f>
        <v>fluidised bed</v>
      </c>
      <c r="Z255" s="16" t="str">
        <f>'Clean Data'!Z254</f>
        <v>silica</v>
      </c>
      <c r="AA255" s="16">
        <f>'Clean Data'!AA254</f>
        <v>0</v>
      </c>
      <c r="AB255" s="16" t="str">
        <f>'Clean Data'!AB254</f>
        <v>pilot</v>
      </c>
      <c r="AC255" s="16">
        <f>'Clean Data'!AC254</f>
        <v>45</v>
      </c>
      <c r="AD255" s="16">
        <f>'Clean Data'!AD254</f>
        <v>9.5</v>
      </c>
      <c r="AE255" s="16">
        <f>'Clean Data'!AE254</f>
        <v>18</v>
      </c>
      <c r="AF255" s="16">
        <f>'Clean Data'!AF254</f>
        <v>13.5</v>
      </c>
      <c r="AG255" s="16">
        <f>'Clean Data'!AG254</f>
        <v>4.5</v>
      </c>
      <c r="AH255" s="16">
        <f>'Clean Data'!AH254</f>
        <v>2.2999999999999998</v>
      </c>
      <c r="AI255" s="16">
        <f>'Clean Data'!AI254</f>
        <v>6.3</v>
      </c>
      <c r="AJ255" s="16">
        <f>'Clean Data'!AJ254</f>
        <v>9.9809999999999999</v>
      </c>
      <c r="AK255" s="16">
        <f>'Clean Data'!AK254</f>
        <v>1.7647058823529413</v>
      </c>
      <c r="AL255" s="16" t="str">
        <f>'Clean Data'!AL254</f>
        <v>NaN</v>
      </c>
      <c r="AM255" s="16">
        <f>'Clean Data'!AM254</f>
        <v>73.211538461538481</v>
      </c>
      <c r="AN255" s="16">
        <f>'Clean Data'!AN254</f>
        <v>72.804516806722702</v>
      </c>
      <c r="AO255" s="16" t="str">
        <f>'Clean Data'!AO254</f>
        <v>Narváez, Ind. Eng. Chem. Res. 1996, 35, 2110-2120</v>
      </c>
      <c r="AP255" s="16"/>
      <c r="AQ255" s="16"/>
      <c r="AR255" s="16"/>
      <c r="AS255" s="16"/>
      <c r="AT255" s="16"/>
    </row>
    <row r="256" spans="1:46" x14ac:dyDescent="0.3">
      <c r="A256" s="16">
        <f>'Clean Data'!A255</f>
        <v>254</v>
      </c>
      <c r="B256" s="16" t="str">
        <f>'Clean Data'!B255</f>
        <v>woody biomass</v>
      </c>
      <c r="C256" s="16" t="str">
        <f>'Clean Data'!C255</f>
        <v>other</v>
      </c>
      <c r="D256" s="16">
        <f>'Clean Data'!D255</f>
        <v>10</v>
      </c>
      <c r="E256" s="16">
        <f>'Clean Data'!E255</f>
        <v>17.421651104742534</v>
      </c>
      <c r="F256" s="16">
        <f>'Clean Data'!F255</f>
        <v>50.623721881390594</v>
      </c>
      <c r="G256" s="16">
        <f>'Clean Data'!G255</f>
        <v>6.073619631901841</v>
      </c>
      <c r="H256" s="16">
        <f>'Clean Data'!H255</f>
        <v>0.30674846625766872</v>
      </c>
      <c r="I256" s="16">
        <f>'Clean Data'!I255</f>
        <v>0.16359918200408999</v>
      </c>
      <c r="J256" s="16">
        <f>'Clean Data'!J255</f>
        <v>42.832310838445807</v>
      </c>
      <c r="K256" s="16">
        <f>'Clean Data'!K255</f>
        <v>2.2000000000000002</v>
      </c>
      <c r="L256" s="16">
        <f>'Clean Data'!L255</f>
        <v>8.17</v>
      </c>
      <c r="M256" s="16">
        <f>'Clean Data'!M255</f>
        <v>86.27</v>
      </c>
      <c r="N256" s="16">
        <f>'Clean Data'!N255</f>
        <v>11.53</v>
      </c>
      <c r="O256" s="16">
        <f>'Clean Data'!O255</f>
        <v>37.53</v>
      </c>
      <c r="P256" s="16">
        <f>'Clean Data'!P255</f>
        <v>19.329999999999998</v>
      </c>
      <c r="Q256" s="16">
        <f>'Clean Data'!Q255</f>
        <v>23.84</v>
      </c>
      <c r="R256" s="16">
        <f>'Clean Data'!R255</f>
        <v>790</v>
      </c>
      <c r="S256" s="16" t="str">
        <f>'Clean Data'!S255</f>
        <v>batch</v>
      </c>
      <c r="T256" s="16" t="str">
        <f>'Clean Data'!T255</f>
        <v>slightly below atmospheric</v>
      </c>
      <c r="U256" s="16">
        <f>'Clean Data'!U255</f>
        <v>16.3</v>
      </c>
      <c r="V256" s="16" t="str">
        <f>'Clean Data'!V255</f>
        <v>NaN</v>
      </c>
      <c r="W256" s="16">
        <f>'Clean Data'!W255</f>
        <v>0.57999999999999996</v>
      </c>
      <c r="X256" s="16" t="str">
        <f>'Clean Data'!X255</f>
        <v>air</v>
      </c>
      <c r="Y256" s="16" t="str">
        <f>'Clean Data'!Y255</f>
        <v>fixed bed</v>
      </c>
      <c r="Z256" s="16" t="str">
        <f>'Clean Data'!Z255</f>
        <v>NaN</v>
      </c>
      <c r="AA256" s="16">
        <f>'Clean Data'!AA255</f>
        <v>0</v>
      </c>
      <c r="AB256" s="16" t="str">
        <f>'Clean Data'!AB255</f>
        <v>pilot</v>
      </c>
      <c r="AC256" s="16">
        <f>'Clean Data'!AC255</f>
        <v>51.690000000000005</v>
      </c>
      <c r="AD256" s="16">
        <f>'Clean Data'!AD255</f>
        <v>16</v>
      </c>
      <c r="AE256" s="16">
        <f>'Clean Data'!AE255</f>
        <v>16</v>
      </c>
      <c r="AF256" s="16">
        <f>'Clean Data'!AF255</f>
        <v>14.25</v>
      </c>
      <c r="AG256" s="16">
        <f>'Clean Data'!AG255</f>
        <v>1.76</v>
      </c>
      <c r="AH256" s="16">
        <f>'Clean Data'!AH255</f>
        <v>0.3</v>
      </c>
      <c r="AI256" s="16">
        <f>'Clean Data'!AI255</f>
        <v>4.6500000000000004</v>
      </c>
      <c r="AJ256" s="16">
        <f>'Clean Data'!AJ255</f>
        <v>0.55000000000000004</v>
      </c>
      <c r="AK256" s="16">
        <f>'Clean Data'!AK255</f>
        <v>2.2999999999999998</v>
      </c>
      <c r="AL256" s="16" t="str">
        <f>'Clean Data'!AL255</f>
        <v>NaN</v>
      </c>
      <c r="AM256" s="16">
        <f>'Clean Data'!AM255</f>
        <v>61.389129742637309</v>
      </c>
      <c r="AN256" s="16">
        <f>'Clean Data'!AN255</f>
        <v>75.795427241827028</v>
      </c>
      <c r="AO256" s="16" t="str">
        <f>'Clean Data'!AO255</f>
        <v>Yin, Bioresour. Technol. 2012, 119,15-21</v>
      </c>
      <c r="AP256" s="16"/>
      <c r="AQ256" s="16"/>
      <c r="AR256" s="16"/>
      <c r="AS256" s="16"/>
      <c r="AT256" s="16"/>
    </row>
    <row r="257" spans="1:46" x14ac:dyDescent="0.3">
      <c r="A257" s="16">
        <f>'Clean Data'!A256</f>
        <v>255</v>
      </c>
      <c r="B257" s="16" t="str">
        <f>'Clean Data'!B256</f>
        <v>woody biomass</v>
      </c>
      <c r="C257" s="16" t="str">
        <f>'Clean Data'!C256</f>
        <v>other</v>
      </c>
      <c r="D257" s="16">
        <f>'Clean Data'!D256</f>
        <v>15</v>
      </c>
      <c r="E257" s="16">
        <f>'Clean Data'!E256</f>
        <v>17.421651104742534</v>
      </c>
      <c r="F257" s="16">
        <f>'Clean Data'!F256</f>
        <v>50.623721881390594</v>
      </c>
      <c r="G257" s="16">
        <f>'Clean Data'!G256</f>
        <v>6.073619631901841</v>
      </c>
      <c r="H257" s="16">
        <f>'Clean Data'!H256</f>
        <v>0.30674846625766872</v>
      </c>
      <c r="I257" s="16">
        <f>'Clean Data'!I256</f>
        <v>0.16359918200408999</v>
      </c>
      <c r="J257" s="16">
        <f>'Clean Data'!J256</f>
        <v>42.832310838445807</v>
      </c>
      <c r="K257" s="16">
        <f>'Clean Data'!K256</f>
        <v>2.2000000000000002</v>
      </c>
      <c r="L257" s="16">
        <f>'Clean Data'!L256</f>
        <v>8.17</v>
      </c>
      <c r="M257" s="16">
        <f>'Clean Data'!M256</f>
        <v>86.27</v>
      </c>
      <c r="N257" s="16">
        <f>'Clean Data'!N256</f>
        <v>11.53</v>
      </c>
      <c r="O257" s="16">
        <f>'Clean Data'!O256</f>
        <v>37.53</v>
      </c>
      <c r="P257" s="16">
        <f>'Clean Data'!P256</f>
        <v>19.329999999999998</v>
      </c>
      <c r="Q257" s="16">
        <f>'Clean Data'!Q256</f>
        <v>23.84</v>
      </c>
      <c r="R257" s="16">
        <f>'Clean Data'!R256</f>
        <v>820</v>
      </c>
      <c r="S257" s="16" t="str">
        <f>'Clean Data'!S256</f>
        <v>batch</v>
      </c>
      <c r="T257" s="16" t="str">
        <f>'Clean Data'!T256</f>
        <v>slightly below atmospheric</v>
      </c>
      <c r="U257" s="16">
        <f>'Clean Data'!U256</f>
        <v>18.600000000000001</v>
      </c>
      <c r="V257" s="16" t="str">
        <f>'Clean Data'!V256</f>
        <v>NaN</v>
      </c>
      <c r="W257" s="16">
        <f>'Clean Data'!W256</f>
        <v>0.67</v>
      </c>
      <c r="X257" s="16" t="str">
        <f>'Clean Data'!X256</f>
        <v>air</v>
      </c>
      <c r="Y257" s="16" t="str">
        <f>'Clean Data'!Y256</f>
        <v>fixed bed</v>
      </c>
      <c r="Z257" s="16" t="str">
        <f>'Clean Data'!Z256</f>
        <v>NaN</v>
      </c>
      <c r="AA257" s="16">
        <f>'Clean Data'!AA256</f>
        <v>0</v>
      </c>
      <c r="AB257" s="16" t="str">
        <f>'Clean Data'!AB256</f>
        <v>pilot</v>
      </c>
      <c r="AC257" s="16">
        <f>'Clean Data'!AC256</f>
        <v>51.94</v>
      </c>
      <c r="AD257" s="16">
        <f>'Clean Data'!AD256</f>
        <v>15</v>
      </c>
      <c r="AE257" s="16">
        <f>'Clean Data'!AE256</f>
        <v>20.5</v>
      </c>
      <c r="AF257" s="16">
        <f>'Clean Data'!AF256</f>
        <v>11.5</v>
      </c>
      <c r="AG257" s="16">
        <f>'Clean Data'!AG256</f>
        <v>0.95</v>
      </c>
      <c r="AH257" s="16">
        <f>'Clean Data'!AH256</f>
        <v>0.11</v>
      </c>
      <c r="AI257" s="16">
        <f>'Clean Data'!AI256</f>
        <v>4.7</v>
      </c>
      <c r="AJ257" s="16">
        <f>'Clean Data'!AJ256</f>
        <v>7.4999999999999997E-2</v>
      </c>
      <c r="AK257" s="16">
        <f>'Clean Data'!AK256</f>
        <v>2.6</v>
      </c>
      <c r="AL257" s="16" t="str">
        <f>'Clean Data'!AL256</f>
        <v>NaN</v>
      </c>
      <c r="AM257" s="16">
        <f>'Clean Data'!AM256</f>
        <v>70.142605465640756</v>
      </c>
      <c r="AN257" s="16">
        <f>'Clean Data'!AN256</f>
        <v>86.309770578815233</v>
      </c>
      <c r="AO257" s="16" t="str">
        <f>'Clean Data'!AO256</f>
        <v>Yin, Bioresour. Technol. 2012, 119,15-21</v>
      </c>
      <c r="AP257" s="16"/>
      <c r="AQ257" s="16"/>
      <c r="AR257" s="16"/>
      <c r="AS257" s="16"/>
      <c r="AT257" s="16"/>
    </row>
    <row r="258" spans="1:46" x14ac:dyDescent="0.3">
      <c r="A258" s="16">
        <f>'Clean Data'!A257</f>
        <v>256</v>
      </c>
      <c r="B258" s="16" t="str">
        <f>'Clean Data'!B257</f>
        <v>woody biomass</v>
      </c>
      <c r="C258" s="16" t="str">
        <f>'Clean Data'!C257</f>
        <v>other</v>
      </c>
      <c r="D258" s="16">
        <f>'Clean Data'!D257</f>
        <v>30</v>
      </c>
      <c r="E258" s="16">
        <f>'Clean Data'!E257</f>
        <v>17.421651104742534</v>
      </c>
      <c r="F258" s="16">
        <f>'Clean Data'!F257</f>
        <v>50.623721881390594</v>
      </c>
      <c r="G258" s="16">
        <f>'Clean Data'!G257</f>
        <v>6.073619631901841</v>
      </c>
      <c r="H258" s="16">
        <f>'Clean Data'!H257</f>
        <v>0.30674846625766872</v>
      </c>
      <c r="I258" s="16">
        <f>'Clean Data'!I257</f>
        <v>0.16359918200408999</v>
      </c>
      <c r="J258" s="16">
        <f>'Clean Data'!J257</f>
        <v>42.832310838445807</v>
      </c>
      <c r="K258" s="16">
        <f>'Clean Data'!K257</f>
        <v>2.2000000000000002</v>
      </c>
      <c r="L258" s="16">
        <f>'Clean Data'!L257</f>
        <v>8.17</v>
      </c>
      <c r="M258" s="16">
        <f>'Clean Data'!M257</f>
        <v>86.27</v>
      </c>
      <c r="N258" s="16">
        <f>'Clean Data'!N257</f>
        <v>11.53</v>
      </c>
      <c r="O258" s="16">
        <f>'Clean Data'!O257</f>
        <v>37.53</v>
      </c>
      <c r="P258" s="16">
        <f>'Clean Data'!P257</f>
        <v>19.329999999999998</v>
      </c>
      <c r="Q258" s="16">
        <f>'Clean Data'!Q257</f>
        <v>23.84</v>
      </c>
      <c r="R258" s="16">
        <f>'Clean Data'!R257</f>
        <v>930</v>
      </c>
      <c r="S258" s="16" t="str">
        <f>'Clean Data'!S257</f>
        <v>batch</v>
      </c>
      <c r="T258" s="16" t="str">
        <f>'Clean Data'!T257</f>
        <v>slightly below atmospheric</v>
      </c>
      <c r="U258" s="16">
        <f>'Clean Data'!U257</f>
        <v>20.3</v>
      </c>
      <c r="V258" s="16" t="str">
        <f>'Clean Data'!V257</f>
        <v>NaN</v>
      </c>
      <c r="W258" s="16">
        <f>'Clean Data'!W257</f>
        <v>0.73</v>
      </c>
      <c r="X258" s="16" t="str">
        <f>'Clean Data'!X257</f>
        <v>air</v>
      </c>
      <c r="Y258" s="16" t="str">
        <f>'Clean Data'!Y257</f>
        <v>fixed bed</v>
      </c>
      <c r="Z258" s="16" t="str">
        <f>'Clean Data'!Z257</f>
        <v>NaN</v>
      </c>
      <c r="AA258" s="16">
        <f>'Clean Data'!AA257</f>
        <v>0</v>
      </c>
      <c r="AB258" s="16" t="str">
        <f>'Clean Data'!AB257</f>
        <v>pilot</v>
      </c>
      <c r="AC258" s="16">
        <f>'Clean Data'!AC257</f>
        <v>53.080000000000005</v>
      </c>
      <c r="AD258" s="16">
        <f>'Clean Data'!AD257</f>
        <v>13.75</v>
      </c>
      <c r="AE258" s="16">
        <f>'Clean Data'!AE257</f>
        <v>20.5</v>
      </c>
      <c r="AF258" s="16">
        <f>'Clean Data'!AF257</f>
        <v>12</v>
      </c>
      <c r="AG258" s="16">
        <f>'Clean Data'!AG257</f>
        <v>0.62</v>
      </c>
      <c r="AH258" s="16">
        <f>'Clean Data'!AH257</f>
        <v>0.05</v>
      </c>
      <c r="AI258" s="16">
        <f>'Clean Data'!AI257</f>
        <v>4.3</v>
      </c>
      <c r="AJ258" s="16">
        <f>'Clean Data'!AJ257</f>
        <v>7.4999999999999997E-2</v>
      </c>
      <c r="AK258" s="16">
        <f>'Clean Data'!AK257</f>
        <v>2.75</v>
      </c>
      <c r="AL258" s="16" t="str">
        <f>'Clean Data'!AL257</f>
        <v>NaN</v>
      </c>
      <c r="AM258" s="16">
        <f>'Clean Data'!AM257</f>
        <v>67.875311753780849</v>
      </c>
      <c r="AN258" s="16">
        <f>'Clean Data'!AN257</f>
        <v>91.542902698589003</v>
      </c>
      <c r="AO258" s="16" t="str">
        <f>'Clean Data'!AO257</f>
        <v>Yin, Bioresour. Technol. 2012, 119,15-21</v>
      </c>
      <c r="AP258" s="16"/>
      <c r="AQ258" s="16"/>
      <c r="AR258" s="16"/>
      <c r="AS258" s="16"/>
      <c r="AT258" s="16"/>
    </row>
    <row r="259" spans="1:46" x14ac:dyDescent="0.3">
      <c r="A259" s="16">
        <f>'Clean Data'!A258</f>
        <v>257</v>
      </c>
      <c r="B259" s="16" t="str">
        <f>'Clean Data'!B258</f>
        <v>woody biomass</v>
      </c>
      <c r="C259" s="16" t="str">
        <f>'Clean Data'!C258</f>
        <v>other</v>
      </c>
      <c r="D259" s="16">
        <f>'Clean Data'!D258</f>
        <v>50</v>
      </c>
      <c r="E259" s="16">
        <f>'Clean Data'!E258</f>
        <v>17.421651104742534</v>
      </c>
      <c r="F259" s="16">
        <f>'Clean Data'!F258</f>
        <v>50.623721881390594</v>
      </c>
      <c r="G259" s="16">
        <f>'Clean Data'!G258</f>
        <v>6.073619631901841</v>
      </c>
      <c r="H259" s="16">
        <f>'Clean Data'!H258</f>
        <v>0.30674846625766872</v>
      </c>
      <c r="I259" s="16">
        <f>'Clean Data'!I258</f>
        <v>0.16359918200408999</v>
      </c>
      <c r="J259" s="16">
        <f>'Clean Data'!J258</f>
        <v>42.832310838445807</v>
      </c>
      <c r="K259" s="16">
        <f>'Clean Data'!K258</f>
        <v>2.2000000000000002</v>
      </c>
      <c r="L259" s="16">
        <f>'Clean Data'!L258</f>
        <v>8.17</v>
      </c>
      <c r="M259" s="16">
        <f>'Clean Data'!M258</f>
        <v>86.27</v>
      </c>
      <c r="N259" s="16">
        <f>'Clean Data'!N258</f>
        <v>11.53</v>
      </c>
      <c r="O259" s="16">
        <f>'Clean Data'!O258</f>
        <v>37.53</v>
      </c>
      <c r="P259" s="16">
        <f>'Clean Data'!P258</f>
        <v>19.329999999999998</v>
      </c>
      <c r="Q259" s="16">
        <f>'Clean Data'!Q258</f>
        <v>23.84</v>
      </c>
      <c r="R259" s="16">
        <f>'Clean Data'!R258</f>
        <v>1030</v>
      </c>
      <c r="S259" s="16" t="str">
        <f>'Clean Data'!S258</f>
        <v>batch</v>
      </c>
      <c r="T259" s="16" t="str">
        <f>'Clean Data'!T258</f>
        <v>slightly below atmospheric</v>
      </c>
      <c r="U259" s="16">
        <f>'Clean Data'!U258</f>
        <v>21.7</v>
      </c>
      <c r="V259" s="16" t="str">
        <f>'Clean Data'!V258</f>
        <v>NaN</v>
      </c>
      <c r="W259" s="16">
        <f>'Clean Data'!W258</f>
        <v>0.77</v>
      </c>
      <c r="X259" s="16" t="str">
        <f>'Clean Data'!X258</f>
        <v>air</v>
      </c>
      <c r="Y259" s="16" t="str">
        <f>'Clean Data'!Y258</f>
        <v>fixed bed</v>
      </c>
      <c r="Z259" s="16" t="str">
        <f>'Clean Data'!Z258</f>
        <v>NaN</v>
      </c>
      <c r="AA259" s="16">
        <f>'Clean Data'!AA258</f>
        <v>0</v>
      </c>
      <c r="AB259" s="16" t="str">
        <f>'Clean Data'!AB258</f>
        <v>pilot</v>
      </c>
      <c r="AC259" s="16">
        <f>'Clean Data'!AC258</f>
        <v>55.72</v>
      </c>
      <c r="AD259" s="16">
        <f>'Clean Data'!AD258</f>
        <v>12</v>
      </c>
      <c r="AE259" s="16">
        <f>'Clean Data'!AE258</f>
        <v>23.75</v>
      </c>
      <c r="AF259" s="16">
        <f>'Clean Data'!AF258</f>
        <v>8.25</v>
      </c>
      <c r="AG259" s="16">
        <f>'Clean Data'!AG258</f>
        <v>0.25</v>
      </c>
      <c r="AH259" s="16">
        <f>'Clean Data'!AH258</f>
        <v>0.03</v>
      </c>
      <c r="AI259" s="16">
        <f>'Clean Data'!AI258</f>
        <v>4.4000000000000004</v>
      </c>
      <c r="AJ259" s="16">
        <f>'Clean Data'!AJ258</f>
        <v>0.02</v>
      </c>
      <c r="AK259" s="16">
        <f>'Clean Data'!AK258</f>
        <v>3</v>
      </c>
      <c r="AL259" s="16" t="str">
        <f>'Clean Data'!AL258</f>
        <v>NaN</v>
      </c>
      <c r="AM259" s="16">
        <f>'Clean Data'!AM258</f>
        <v>75.767789864685597</v>
      </c>
      <c r="AN259" s="16">
        <f>'Clean Data'!AN258</f>
        <v>96.074139849092504</v>
      </c>
      <c r="AO259" s="16" t="str">
        <f>'Clean Data'!AO258</f>
        <v>Yin, Bioresour. Technol. 2012, 119,15-21</v>
      </c>
      <c r="AP259" s="16"/>
      <c r="AQ259" s="16"/>
      <c r="AR259" s="16"/>
      <c r="AS259" s="16"/>
      <c r="AT259" s="16"/>
    </row>
    <row r="260" spans="1:46" x14ac:dyDescent="0.3">
      <c r="A260" s="16">
        <f>'Clean Data'!A259</f>
        <v>258</v>
      </c>
      <c r="B260" s="16" t="str">
        <f>'Clean Data'!B259</f>
        <v>woody biomass</v>
      </c>
      <c r="C260" s="16" t="str">
        <f>'Clean Data'!C259</f>
        <v>other</v>
      </c>
      <c r="D260" s="16">
        <f>'Clean Data'!D259</f>
        <v>70</v>
      </c>
      <c r="E260" s="16">
        <f>'Clean Data'!E259</f>
        <v>17.421651104742534</v>
      </c>
      <c r="F260" s="16">
        <f>'Clean Data'!F259</f>
        <v>50.623721881390594</v>
      </c>
      <c r="G260" s="16">
        <f>'Clean Data'!G259</f>
        <v>6.073619631901841</v>
      </c>
      <c r="H260" s="16">
        <f>'Clean Data'!H259</f>
        <v>0.30674846625766872</v>
      </c>
      <c r="I260" s="16">
        <f>'Clean Data'!I259</f>
        <v>0.16359918200408999</v>
      </c>
      <c r="J260" s="16">
        <f>'Clean Data'!J259</f>
        <v>42.832310838445807</v>
      </c>
      <c r="K260" s="16">
        <f>'Clean Data'!K259</f>
        <v>2.2000000000000002</v>
      </c>
      <c r="L260" s="16">
        <f>'Clean Data'!L259</f>
        <v>8.17</v>
      </c>
      <c r="M260" s="16">
        <f>'Clean Data'!M259</f>
        <v>86.27</v>
      </c>
      <c r="N260" s="16">
        <f>'Clean Data'!N259</f>
        <v>11.53</v>
      </c>
      <c r="O260" s="16">
        <f>'Clean Data'!O259</f>
        <v>37.53</v>
      </c>
      <c r="P260" s="16">
        <f>'Clean Data'!P259</f>
        <v>19.329999999999998</v>
      </c>
      <c r="Q260" s="16">
        <f>'Clean Data'!Q259</f>
        <v>23.84</v>
      </c>
      <c r="R260" s="16">
        <f>'Clean Data'!R259</f>
        <v>1000</v>
      </c>
      <c r="S260" s="16" t="str">
        <f>'Clean Data'!S259</f>
        <v>batch</v>
      </c>
      <c r="T260" s="16" t="str">
        <f>'Clean Data'!T259</f>
        <v>slightly below atmospheric</v>
      </c>
      <c r="U260" s="16">
        <f>'Clean Data'!U259</f>
        <v>24.8</v>
      </c>
      <c r="V260" s="16" t="str">
        <f>'Clean Data'!V259</f>
        <v>NaN</v>
      </c>
      <c r="W260" s="16">
        <f>'Clean Data'!W259</f>
        <v>0.87</v>
      </c>
      <c r="X260" s="16" t="str">
        <f>'Clean Data'!X259</f>
        <v>air</v>
      </c>
      <c r="Y260" s="16" t="str">
        <f>'Clean Data'!Y259</f>
        <v>fixed bed</v>
      </c>
      <c r="Z260" s="16" t="str">
        <f>'Clean Data'!Z259</f>
        <v>NaN</v>
      </c>
      <c r="AA260" s="16">
        <f>'Clean Data'!AA259</f>
        <v>0</v>
      </c>
      <c r="AB260" s="16" t="str">
        <f>'Clean Data'!AB259</f>
        <v>pilot</v>
      </c>
      <c r="AC260" s="16">
        <f>'Clean Data'!AC259</f>
        <v>56.29</v>
      </c>
      <c r="AD260" s="16">
        <f>'Clean Data'!AD259</f>
        <v>12</v>
      </c>
      <c r="AE260" s="16">
        <f>'Clean Data'!AE259</f>
        <v>21.5</v>
      </c>
      <c r="AF260" s="16">
        <f>'Clean Data'!AF259</f>
        <v>9.75</v>
      </c>
      <c r="AG260" s="16">
        <f>'Clean Data'!AG259</f>
        <v>0.4</v>
      </c>
      <c r="AH260" s="16">
        <f>'Clean Data'!AH259</f>
        <v>0.06</v>
      </c>
      <c r="AI260" s="16">
        <f>'Clean Data'!AI259</f>
        <v>4.3499999999999996</v>
      </c>
      <c r="AJ260" s="16">
        <f>'Clean Data'!AJ259</f>
        <v>0.03</v>
      </c>
      <c r="AK260" s="16">
        <f>'Clean Data'!AK259</f>
        <v>3.4</v>
      </c>
      <c r="AL260" s="16" t="str">
        <f>'Clean Data'!AL259</f>
        <v>NaN</v>
      </c>
      <c r="AM260" s="16">
        <f>'Clean Data'!AM259</f>
        <v>84.894364552931819</v>
      </c>
      <c r="AN260" s="16">
        <f>'Clean Data'!AN259</f>
        <v>107.64132077213836</v>
      </c>
      <c r="AO260" s="16" t="str">
        <f>'Clean Data'!AO259</f>
        <v>Yin, Bioresour. Technol. 2012, 119,15-21</v>
      </c>
      <c r="AP260" s="16"/>
      <c r="AQ260" s="16"/>
      <c r="AR260" s="16"/>
      <c r="AS260" s="16"/>
      <c r="AT260" s="16"/>
    </row>
    <row r="261" spans="1:46" x14ac:dyDescent="0.3">
      <c r="A261" s="16">
        <f>'Clean Data'!A260</f>
        <v>259</v>
      </c>
      <c r="B261" s="16" t="str">
        <f>'Clean Data'!B260</f>
        <v>woody biomass</v>
      </c>
      <c r="C261" s="16" t="str">
        <f>'Clean Data'!C260</f>
        <v>other</v>
      </c>
      <c r="D261" s="16">
        <f>'Clean Data'!D260</f>
        <v>1.5</v>
      </c>
      <c r="E261" s="16">
        <f>'Clean Data'!E260</f>
        <v>14.47</v>
      </c>
      <c r="F261" s="16">
        <f>'Clean Data'!F260</f>
        <v>46.285384170999421</v>
      </c>
      <c r="G261" s="16">
        <f>'Clean Data'!G260</f>
        <v>6.4818024263431546</v>
      </c>
      <c r="H261" s="16">
        <f>'Clean Data'!H260</f>
        <v>1.0398613518197573</v>
      </c>
      <c r="I261" s="16">
        <f>'Clean Data'!I260</f>
        <v>0.11554015020219527</v>
      </c>
      <c r="J261" s="16">
        <f>'Clean Data'!J260</f>
        <v>46.077411900635475</v>
      </c>
      <c r="K261" s="16">
        <f>'Clean Data'!K260</f>
        <v>1.56</v>
      </c>
      <c r="L261" s="16">
        <f>'Clean Data'!L260</f>
        <v>11.89</v>
      </c>
      <c r="M261" s="16">
        <f>'Clean Data'!M260</f>
        <v>75.78</v>
      </c>
      <c r="N261" s="16">
        <f>'Clean Data'!N260</f>
        <v>14.77</v>
      </c>
      <c r="O261" s="16" t="str">
        <f>'Clean Data'!O260</f>
        <v>NaN</v>
      </c>
      <c r="P261" s="16" t="str">
        <f>'Clean Data'!P260</f>
        <v>NaN</v>
      </c>
      <c r="Q261" s="16" t="str">
        <f>'Clean Data'!Q260</f>
        <v>NaN</v>
      </c>
      <c r="R261" s="16">
        <f>'Clean Data'!R260</f>
        <v>720</v>
      </c>
      <c r="S261" s="16" t="str">
        <f>'Clean Data'!S260</f>
        <v>continuous</v>
      </c>
      <c r="T261" s="16" t="str">
        <f>'Clean Data'!T260</f>
        <v>atmospheric</v>
      </c>
      <c r="U261" s="16" t="str">
        <f>'Clean Data'!U260</f>
        <v>NaN</v>
      </c>
      <c r="V261" s="16">
        <f>'Clean Data'!V260</f>
        <v>1.2</v>
      </c>
      <c r="W261" s="16" t="str">
        <f>'Clean Data'!W260</f>
        <v>NaN</v>
      </c>
      <c r="X261" s="16" t="str">
        <f>'Clean Data'!X260</f>
        <v>steam</v>
      </c>
      <c r="Y261" s="16" t="str">
        <f>'Clean Data'!Y260</f>
        <v>fluidised bed</v>
      </c>
      <c r="Z261" s="16" t="str">
        <f>'Clean Data'!Z260</f>
        <v>silica</v>
      </c>
      <c r="AA261" s="16">
        <f>'Clean Data'!AA260</f>
        <v>0</v>
      </c>
      <c r="AB261" s="16" t="str">
        <f>'Clean Data'!AB260</f>
        <v>lab</v>
      </c>
      <c r="AC261" s="16">
        <f>'Clean Data'!AC260</f>
        <v>0</v>
      </c>
      <c r="AD261" s="16">
        <f>'Clean Data'!AD260</f>
        <v>71.5</v>
      </c>
      <c r="AE261" s="16">
        <f>'Clean Data'!AE260</f>
        <v>9</v>
      </c>
      <c r="AF261" s="16">
        <f>'Clean Data'!AF260</f>
        <v>7.5</v>
      </c>
      <c r="AG261" s="16">
        <f>'Clean Data'!AG260</f>
        <v>12</v>
      </c>
      <c r="AH261" s="16" t="str">
        <f>'Clean Data'!AH260</f>
        <v>NaN</v>
      </c>
      <c r="AI261" s="16">
        <f>'Clean Data'!AI260</f>
        <v>13.152774999999998</v>
      </c>
      <c r="AJ261" s="16" t="str">
        <f>'Clean Data'!AJ260</f>
        <v>NaN</v>
      </c>
      <c r="AK261" s="16">
        <f>'Clean Data'!AK260</f>
        <v>0.77462249999999999</v>
      </c>
      <c r="AL261" s="16" t="str">
        <f>'Clean Data'!AL260</f>
        <v>NaN</v>
      </c>
      <c r="AM261" s="16">
        <f>'Clean Data'!AM260</f>
        <v>70.41074949853143</v>
      </c>
      <c r="AN261" s="16">
        <f>'Clean Data'!AN260</f>
        <v>24.032834467271858</v>
      </c>
      <c r="AO261" s="16" t="str">
        <f>'Clean Data'!AO260</f>
        <v>Song, Biomass Bioenergy 2012, 36, 258-267</v>
      </c>
      <c r="AP261" s="16"/>
      <c r="AQ261" s="16"/>
      <c r="AR261" s="16"/>
      <c r="AS261" s="16"/>
      <c r="AT261" s="16"/>
    </row>
    <row r="262" spans="1:46" x14ac:dyDescent="0.3">
      <c r="A262" s="16">
        <f>'Clean Data'!A261</f>
        <v>260</v>
      </c>
      <c r="B262" s="16" t="str">
        <f>'Clean Data'!B261</f>
        <v>woody biomass</v>
      </c>
      <c r="C262" s="16" t="str">
        <f>'Clean Data'!C261</f>
        <v>other</v>
      </c>
      <c r="D262" s="16">
        <f>'Clean Data'!D261</f>
        <v>1.5</v>
      </c>
      <c r="E262" s="16">
        <f>'Clean Data'!E261</f>
        <v>14.47</v>
      </c>
      <c r="F262" s="16">
        <f>'Clean Data'!F261</f>
        <v>46.285384170999421</v>
      </c>
      <c r="G262" s="16">
        <f>'Clean Data'!G261</f>
        <v>6.4818024263431546</v>
      </c>
      <c r="H262" s="16">
        <f>'Clean Data'!H261</f>
        <v>1.0398613518197573</v>
      </c>
      <c r="I262" s="16">
        <f>'Clean Data'!I261</f>
        <v>0.11554015020219527</v>
      </c>
      <c r="J262" s="16">
        <f>'Clean Data'!J261</f>
        <v>46.077411900635475</v>
      </c>
      <c r="K262" s="16">
        <f>'Clean Data'!K261</f>
        <v>1.56</v>
      </c>
      <c r="L262" s="16">
        <f>'Clean Data'!L261</f>
        <v>11.89</v>
      </c>
      <c r="M262" s="16">
        <f>'Clean Data'!M261</f>
        <v>75.78</v>
      </c>
      <c r="N262" s="16">
        <f>'Clean Data'!N261</f>
        <v>14.77</v>
      </c>
      <c r="O262" s="16" t="str">
        <f>'Clean Data'!O261</f>
        <v>NaN</v>
      </c>
      <c r="P262" s="16" t="str">
        <f>'Clean Data'!P261</f>
        <v>NaN</v>
      </c>
      <c r="Q262" s="16" t="str">
        <f>'Clean Data'!Q261</f>
        <v>NaN</v>
      </c>
      <c r="R262" s="16">
        <f>'Clean Data'!R261</f>
        <v>770</v>
      </c>
      <c r="S262" s="16" t="str">
        <f>'Clean Data'!S261</f>
        <v>continuous</v>
      </c>
      <c r="T262" s="16" t="str">
        <f>'Clean Data'!T261</f>
        <v>atmospheric</v>
      </c>
      <c r="U262" s="16" t="str">
        <f>'Clean Data'!U261</f>
        <v>NaN</v>
      </c>
      <c r="V262" s="16">
        <f>'Clean Data'!V261</f>
        <v>1.2</v>
      </c>
      <c r="W262" s="16" t="str">
        <f>'Clean Data'!W261</f>
        <v>NaN</v>
      </c>
      <c r="X262" s="16" t="str">
        <f>'Clean Data'!X261</f>
        <v>steam</v>
      </c>
      <c r="Y262" s="16" t="str">
        <f>'Clean Data'!Y261</f>
        <v>fluidised bed</v>
      </c>
      <c r="Z262" s="16" t="str">
        <f>'Clean Data'!Z261</f>
        <v>silica</v>
      </c>
      <c r="AA262" s="16">
        <f>'Clean Data'!AA261</f>
        <v>0</v>
      </c>
      <c r="AB262" s="16" t="str">
        <f>'Clean Data'!AB261</f>
        <v>lab</v>
      </c>
      <c r="AC262" s="16">
        <f>'Clean Data'!AC261</f>
        <v>0</v>
      </c>
      <c r="AD262" s="16">
        <f>'Clean Data'!AD261</f>
        <v>64</v>
      </c>
      <c r="AE262" s="16">
        <f>'Clean Data'!AE261</f>
        <v>13</v>
      </c>
      <c r="AF262" s="16">
        <f>'Clean Data'!AF261</f>
        <v>14</v>
      </c>
      <c r="AG262" s="16">
        <f>'Clean Data'!AG261</f>
        <v>9</v>
      </c>
      <c r="AH262" s="16" t="str">
        <f>'Clean Data'!AH261</f>
        <v>NaN</v>
      </c>
      <c r="AI262" s="16">
        <f>'Clean Data'!AI261</f>
        <v>11.772880000000001</v>
      </c>
      <c r="AJ262" s="16" t="str">
        <f>'Clean Data'!AJ261</f>
        <v>NaN</v>
      </c>
      <c r="AK262" s="16">
        <f>'Clean Data'!AK261</f>
        <v>0.908775</v>
      </c>
      <c r="AL262" s="16" t="str">
        <f>'Clean Data'!AL261</f>
        <v>NaN</v>
      </c>
      <c r="AM262" s="16">
        <f>'Clean Data'!AM261</f>
        <v>73.938486675881137</v>
      </c>
      <c r="AN262" s="16">
        <f>'Clean Data'!AN261</f>
        <v>36.021194875803474</v>
      </c>
      <c r="AO262" s="16" t="str">
        <f>'Clean Data'!AO261</f>
        <v>Song, Biomass Bioenergy 2012, 36, 258-267</v>
      </c>
      <c r="AP262" s="16"/>
      <c r="AQ262" s="16"/>
      <c r="AR262" s="16"/>
      <c r="AS262" s="16"/>
      <c r="AT262" s="16"/>
    </row>
    <row r="263" spans="1:46" x14ac:dyDescent="0.3">
      <c r="A263" s="16">
        <f>'Clean Data'!A262</f>
        <v>261</v>
      </c>
      <c r="B263" s="16" t="str">
        <f>'Clean Data'!B262</f>
        <v>woody biomass</v>
      </c>
      <c r="C263" s="16" t="str">
        <f>'Clean Data'!C262</f>
        <v>other</v>
      </c>
      <c r="D263" s="16">
        <f>'Clean Data'!D262</f>
        <v>1.5</v>
      </c>
      <c r="E263" s="16">
        <f>'Clean Data'!E262</f>
        <v>14.47</v>
      </c>
      <c r="F263" s="16">
        <f>'Clean Data'!F262</f>
        <v>46.285384170999421</v>
      </c>
      <c r="G263" s="16">
        <f>'Clean Data'!G262</f>
        <v>6.4818024263431546</v>
      </c>
      <c r="H263" s="16">
        <f>'Clean Data'!H262</f>
        <v>1.0398613518197573</v>
      </c>
      <c r="I263" s="16">
        <f>'Clean Data'!I262</f>
        <v>0.11554015020219527</v>
      </c>
      <c r="J263" s="16">
        <f>'Clean Data'!J262</f>
        <v>46.077411900635475</v>
      </c>
      <c r="K263" s="16">
        <f>'Clean Data'!K262</f>
        <v>1.56</v>
      </c>
      <c r="L263" s="16">
        <f>'Clean Data'!L262</f>
        <v>11.89</v>
      </c>
      <c r="M263" s="16">
        <f>'Clean Data'!M262</f>
        <v>75.78</v>
      </c>
      <c r="N263" s="16">
        <f>'Clean Data'!N262</f>
        <v>14.77</v>
      </c>
      <c r="O263" s="16" t="str">
        <f>'Clean Data'!O262</f>
        <v>NaN</v>
      </c>
      <c r="P263" s="16" t="str">
        <f>'Clean Data'!P262</f>
        <v>NaN</v>
      </c>
      <c r="Q263" s="16" t="str">
        <f>'Clean Data'!Q262</f>
        <v>NaN</v>
      </c>
      <c r="R263" s="16">
        <f>'Clean Data'!R262</f>
        <v>820</v>
      </c>
      <c r="S263" s="16" t="str">
        <f>'Clean Data'!S262</f>
        <v>continuous</v>
      </c>
      <c r="T263" s="16" t="str">
        <f>'Clean Data'!T262</f>
        <v>atmospheric</v>
      </c>
      <c r="U263" s="16" t="str">
        <f>'Clean Data'!U262</f>
        <v>NaN</v>
      </c>
      <c r="V263" s="16">
        <f>'Clean Data'!V262</f>
        <v>1.2</v>
      </c>
      <c r="W263" s="16" t="str">
        <f>'Clean Data'!W262</f>
        <v>NaN</v>
      </c>
      <c r="X263" s="16" t="str">
        <f>'Clean Data'!X262</f>
        <v>steam</v>
      </c>
      <c r="Y263" s="16" t="str">
        <f>'Clean Data'!Y262</f>
        <v>fluidised bed</v>
      </c>
      <c r="Z263" s="16" t="str">
        <f>'Clean Data'!Z262</f>
        <v>silica</v>
      </c>
      <c r="AA263" s="16">
        <f>'Clean Data'!AA262</f>
        <v>0</v>
      </c>
      <c r="AB263" s="16" t="str">
        <f>'Clean Data'!AB262</f>
        <v>lab</v>
      </c>
      <c r="AC263" s="16">
        <f>'Clean Data'!AC262</f>
        <v>0</v>
      </c>
      <c r="AD263" s="16">
        <f>'Clean Data'!AD262</f>
        <v>60</v>
      </c>
      <c r="AE263" s="16">
        <f>'Clean Data'!AE262</f>
        <v>15</v>
      </c>
      <c r="AF263" s="16">
        <f>'Clean Data'!AF262</f>
        <v>17</v>
      </c>
      <c r="AG263" s="16">
        <f>'Clean Data'!AG262</f>
        <v>8</v>
      </c>
      <c r="AH263" s="16" t="str">
        <f>'Clean Data'!AH262</f>
        <v>NaN</v>
      </c>
      <c r="AI263" s="16">
        <f>'Clean Data'!AI262</f>
        <v>11.235390000000001</v>
      </c>
      <c r="AJ263" s="16" t="str">
        <f>'Clean Data'!AJ262</f>
        <v>NaN</v>
      </c>
      <c r="AK263" s="16">
        <f>'Clean Data'!AK262</f>
        <v>1.168425</v>
      </c>
      <c r="AL263" s="16" t="str">
        <f>'Clean Data'!AL262</f>
        <v>NaN</v>
      </c>
      <c r="AM263" s="16">
        <f>'Clean Data'!AM262</f>
        <v>90.723638982377338</v>
      </c>
      <c r="AN263" s="16">
        <f>'Clean Data'!AN262</f>
        <v>51.625279447070461</v>
      </c>
      <c r="AO263" s="16" t="str">
        <f>'Clean Data'!AO262</f>
        <v>Song, Biomass Bioenergy 2012, 36, 258-267</v>
      </c>
      <c r="AP263" s="16"/>
      <c r="AQ263" s="16"/>
      <c r="AR263" s="16"/>
      <c r="AS263" s="16"/>
      <c r="AT263" s="16"/>
    </row>
    <row r="264" spans="1:46" x14ac:dyDescent="0.3">
      <c r="A264" s="16">
        <f>'Clean Data'!A263</f>
        <v>262</v>
      </c>
      <c r="B264" s="16" t="str">
        <f>'Clean Data'!B263</f>
        <v>woody biomass</v>
      </c>
      <c r="C264" s="16" t="str">
        <f>'Clean Data'!C263</f>
        <v>other</v>
      </c>
      <c r="D264" s="16">
        <f>'Clean Data'!D263</f>
        <v>1.5</v>
      </c>
      <c r="E264" s="16">
        <f>'Clean Data'!E263</f>
        <v>14.47</v>
      </c>
      <c r="F264" s="16">
        <f>'Clean Data'!F263</f>
        <v>46.285384170999421</v>
      </c>
      <c r="G264" s="16">
        <f>'Clean Data'!G263</f>
        <v>6.4818024263431546</v>
      </c>
      <c r="H264" s="16">
        <f>'Clean Data'!H263</f>
        <v>1.0398613518197573</v>
      </c>
      <c r="I264" s="16">
        <f>'Clean Data'!I263</f>
        <v>0.11554015020219527</v>
      </c>
      <c r="J264" s="16">
        <f>'Clean Data'!J263</f>
        <v>46.077411900635475</v>
      </c>
      <c r="K264" s="16">
        <f>'Clean Data'!K263</f>
        <v>1.56</v>
      </c>
      <c r="L264" s="16">
        <f>'Clean Data'!L263</f>
        <v>11.89</v>
      </c>
      <c r="M264" s="16">
        <f>'Clean Data'!M263</f>
        <v>75.78</v>
      </c>
      <c r="N264" s="16">
        <f>'Clean Data'!N263</f>
        <v>14.77</v>
      </c>
      <c r="O264" s="16" t="str">
        <f>'Clean Data'!O263</f>
        <v>NaN</v>
      </c>
      <c r="P264" s="16" t="str">
        <f>'Clean Data'!P263</f>
        <v>NaN</v>
      </c>
      <c r="Q264" s="16" t="str">
        <f>'Clean Data'!Q263</f>
        <v>NaN</v>
      </c>
      <c r="R264" s="16">
        <f>'Clean Data'!R263</f>
        <v>870</v>
      </c>
      <c r="S264" s="16" t="str">
        <f>'Clean Data'!S263</f>
        <v>continuous</v>
      </c>
      <c r="T264" s="16" t="str">
        <f>'Clean Data'!T263</f>
        <v>atmospheric</v>
      </c>
      <c r="U264" s="16" t="str">
        <f>'Clean Data'!U263</f>
        <v>NaN</v>
      </c>
      <c r="V264" s="16">
        <f>'Clean Data'!V263</f>
        <v>1.2</v>
      </c>
      <c r="W264" s="16" t="str">
        <f>'Clean Data'!W263</f>
        <v>NaN</v>
      </c>
      <c r="X264" s="16" t="str">
        <f>'Clean Data'!X263</f>
        <v>steam</v>
      </c>
      <c r="Y264" s="16" t="str">
        <f>'Clean Data'!Y263</f>
        <v>fluidised bed</v>
      </c>
      <c r="Z264" s="16" t="str">
        <f>'Clean Data'!Z263</f>
        <v>silica</v>
      </c>
      <c r="AA264" s="16">
        <f>'Clean Data'!AA263</f>
        <v>0</v>
      </c>
      <c r="AB264" s="16" t="str">
        <f>'Clean Data'!AB263</f>
        <v>lab</v>
      </c>
      <c r="AC264" s="16">
        <f>'Clean Data'!AC263</f>
        <v>1</v>
      </c>
      <c r="AD264" s="16">
        <f>'Clean Data'!AD263</f>
        <v>56</v>
      </c>
      <c r="AE264" s="16">
        <f>'Clean Data'!AE263</f>
        <v>20</v>
      </c>
      <c r="AF264" s="16">
        <f>'Clean Data'!AF263</f>
        <v>15</v>
      </c>
      <c r="AG264" s="16">
        <f>'Clean Data'!AG263</f>
        <v>8</v>
      </c>
      <c r="AH264" s="16" t="str">
        <f>'Clean Data'!AH263</f>
        <v>NaN</v>
      </c>
      <c r="AI264" s="16">
        <f>'Clean Data'!AI263</f>
        <v>11.435719999999998</v>
      </c>
      <c r="AJ264" s="16" t="str">
        <f>'Clean Data'!AJ263</f>
        <v>NaN</v>
      </c>
      <c r="AK264" s="16">
        <f>'Clean Data'!AK263</f>
        <v>1.3415249999999999</v>
      </c>
      <c r="AL264" s="16" t="str">
        <f>'Clean Data'!AL263</f>
        <v>NaN</v>
      </c>
      <c r="AM264" s="16">
        <f>'Clean Data'!AM263</f>
        <v>106.02145316516929</v>
      </c>
      <c r="AN264" s="16">
        <f>'Clean Data'!AN263</f>
        <v>63.223543000472496</v>
      </c>
      <c r="AO264" s="16" t="str">
        <f>'Clean Data'!AO263</f>
        <v>Song, Biomass Bioenergy 2012, 36, 258-267</v>
      </c>
      <c r="AP264" s="16"/>
      <c r="AQ264" s="16"/>
      <c r="AR264" s="16"/>
      <c r="AS264" s="16"/>
      <c r="AT264" s="16"/>
    </row>
    <row r="265" spans="1:46" x14ac:dyDescent="0.3">
      <c r="A265" s="16">
        <f>'Clean Data'!A264</f>
        <v>263</v>
      </c>
      <c r="B265" s="16" t="str">
        <f>'Clean Data'!B264</f>
        <v>woody biomass</v>
      </c>
      <c r="C265" s="16" t="str">
        <f>'Clean Data'!C264</f>
        <v>other</v>
      </c>
      <c r="D265" s="16">
        <f>'Clean Data'!D264</f>
        <v>1.5</v>
      </c>
      <c r="E265" s="16">
        <f>'Clean Data'!E264</f>
        <v>14.47</v>
      </c>
      <c r="F265" s="16">
        <f>'Clean Data'!F264</f>
        <v>46.285384170999421</v>
      </c>
      <c r="G265" s="16">
        <f>'Clean Data'!G264</f>
        <v>6.4818024263431546</v>
      </c>
      <c r="H265" s="16">
        <f>'Clean Data'!H264</f>
        <v>1.0398613518197573</v>
      </c>
      <c r="I265" s="16">
        <f>'Clean Data'!I264</f>
        <v>0.11554015020219527</v>
      </c>
      <c r="J265" s="16">
        <f>'Clean Data'!J264</f>
        <v>46.077411900635475</v>
      </c>
      <c r="K265" s="16">
        <f>'Clean Data'!K264</f>
        <v>1.56</v>
      </c>
      <c r="L265" s="16">
        <f>'Clean Data'!L264</f>
        <v>11.89</v>
      </c>
      <c r="M265" s="16">
        <f>'Clean Data'!M264</f>
        <v>75.78</v>
      </c>
      <c r="N265" s="16">
        <f>'Clean Data'!N264</f>
        <v>14.77</v>
      </c>
      <c r="O265" s="16" t="str">
        <f>'Clean Data'!O264</f>
        <v>NaN</v>
      </c>
      <c r="P265" s="16" t="str">
        <f>'Clean Data'!P264</f>
        <v>NaN</v>
      </c>
      <c r="Q265" s="16" t="str">
        <f>'Clean Data'!Q264</f>
        <v>NaN</v>
      </c>
      <c r="R265" s="16">
        <f>'Clean Data'!R264</f>
        <v>920</v>
      </c>
      <c r="S265" s="16" t="str">
        <f>'Clean Data'!S264</f>
        <v>continuous</v>
      </c>
      <c r="T265" s="16" t="str">
        <f>'Clean Data'!T264</f>
        <v>atmospheric</v>
      </c>
      <c r="U265" s="16" t="str">
        <f>'Clean Data'!U264</f>
        <v>NaN</v>
      </c>
      <c r="V265" s="16">
        <f>'Clean Data'!V264</f>
        <v>1.2</v>
      </c>
      <c r="W265" s="16" t="str">
        <f>'Clean Data'!W264</f>
        <v>NaN</v>
      </c>
      <c r="X265" s="16" t="str">
        <f>'Clean Data'!X264</f>
        <v>steam</v>
      </c>
      <c r="Y265" s="16" t="str">
        <f>'Clean Data'!Y264</f>
        <v>fluidised bed</v>
      </c>
      <c r="Z265" s="16" t="str">
        <f>'Clean Data'!Z264</f>
        <v>silica</v>
      </c>
      <c r="AA265" s="16">
        <f>'Clean Data'!AA264</f>
        <v>0</v>
      </c>
      <c r="AB265" s="16" t="str">
        <f>'Clean Data'!AB264</f>
        <v>lab</v>
      </c>
      <c r="AC265" s="16">
        <f>'Clean Data'!AC264</f>
        <v>0.5</v>
      </c>
      <c r="AD265" s="16">
        <f>'Clean Data'!AD264</f>
        <v>52.5</v>
      </c>
      <c r="AE265" s="16">
        <f>'Clean Data'!AE264</f>
        <v>25</v>
      </c>
      <c r="AF265" s="16">
        <f>'Clean Data'!AF264</f>
        <v>14</v>
      </c>
      <c r="AG265" s="16">
        <f>'Clean Data'!AG264</f>
        <v>8</v>
      </c>
      <c r="AH265" s="16" t="str">
        <f>'Clean Data'!AH264</f>
        <v>NaN</v>
      </c>
      <c r="AI265" s="16">
        <f>'Clean Data'!AI264</f>
        <v>11.689964999999999</v>
      </c>
      <c r="AJ265" s="16" t="str">
        <f>'Clean Data'!AJ264</f>
        <v>NaN</v>
      </c>
      <c r="AK265" s="16">
        <f>'Clean Data'!AK264</f>
        <v>1.4808705</v>
      </c>
      <c r="AL265" s="16" t="str">
        <f>'Clean Data'!AL264</f>
        <v>NaN</v>
      </c>
      <c r="AM265" s="16">
        <f>'Clean Data'!AM264</f>
        <v>119.63596623726674</v>
      </c>
      <c r="AN265" s="16">
        <f>'Clean Data'!AN264</f>
        <v>75.878700183420762</v>
      </c>
      <c r="AO265" s="16" t="str">
        <f>'Clean Data'!AO264</f>
        <v>Song, Biomass Bioenergy 2012, 36, 258-267</v>
      </c>
      <c r="AP265" s="16"/>
      <c r="AQ265" s="16"/>
      <c r="AR265" s="16"/>
      <c r="AS265" s="16"/>
      <c r="AT265" s="16"/>
    </row>
    <row r="266" spans="1:46" x14ac:dyDescent="0.3">
      <c r="A266" s="16">
        <f>'Clean Data'!A265</f>
        <v>264</v>
      </c>
      <c r="B266" s="16" t="str">
        <f>'Clean Data'!B265</f>
        <v>woody biomass</v>
      </c>
      <c r="C266" s="16" t="str">
        <f>'Clean Data'!C265</f>
        <v>other</v>
      </c>
      <c r="D266" s="16">
        <f>'Clean Data'!D265</f>
        <v>1.5</v>
      </c>
      <c r="E266" s="16">
        <f>'Clean Data'!E265</f>
        <v>14.47</v>
      </c>
      <c r="F266" s="16">
        <f>'Clean Data'!F265</f>
        <v>46.285384170999421</v>
      </c>
      <c r="G266" s="16">
        <f>'Clean Data'!G265</f>
        <v>6.4818024263431546</v>
      </c>
      <c r="H266" s="16">
        <f>'Clean Data'!H265</f>
        <v>1.0398613518197573</v>
      </c>
      <c r="I266" s="16">
        <f>'Clean Data'!I265</f>
        <v>0.11554015020219527</v>
      </c>
      <c r="J266" s="16">
        <f>'Clean Data'!J265</f>
        <v>46.077411900635475</v>
      </c>
      <c r="K266" s="16">
        <f>'Clean Data'!K265</f>
        <v>1.56</v>
      </c>
      <c r="L266" s="16">
        <f>'Clean Data'!L265</f>
        <v>11.89</v>
      </c>
      <c r="M266" s="16">
        <f>'Clean Data'!M265</f>
        <v>75.78</v>
      </c>
      <c r="N266" s="16">
        <f>'Clean Data'!N265</f>
        <v>14.77</v>
      </c>
      <c r="O266" s="16" t="str">
        <f>'Clean Data'!O265</f>
        <v>NaN</v>
      </c>
      <c r="P266" s="16" t="str">
        <f>'Clean Data'!P265</f>
        <v>NaN</v>
      </c>
      <c r="Q266" s="16" t="str">
        <f>'Clean Data'!Q265</f>
        <v>NaN</v>
      </c>
      <c r="R266" s="16">
        <f>'Clean Data'!R265</f>
        <v>820</v>
      </c>
      <c r="S266" s="16" t="str">
        <f>'Clean Data'!S265</f>
        <v>continuous</v>
      </c>
      <c r="T266" s="16" t="str">
        <f>'Clean Data'!T265</f>
        <v>atmospheric</v>
      </c>
      <c r="U266" s="16" t="str">
        <f>'Clean Data'!U265</f>
        <v>NaN</v>
      </c>
      <c r="V266" s="16">
        <f>'Clean Data'!V265</f>
        <v>0.8</v>
      </c>
      <c r="W266" s="16" t="str">
        <f>'Clean Data'!W265</f>
        <v>NaN</v>
      </c>
      <c r="X266" s="16" t="str">
        <f>'Clean Data'!X265</f>
        <v>steam</v>
      </c>
      <c r="Y266" s="16" t="str">
        <f>'Clean Data'!Y265</f>
        <v>fluidised bed</v>
      </c>
      <c r="Z266" s="16" t="str">
        <f>'Clean Data'!Z265</f>
        <v>silica</v>
      </c>
      <c r="AA266" s="16">
        <f>'Clean Data'!AA265</f>
        <v>0</v>
      </c>
      <c r="AB266" s="16" t="str">
        <f>'Clean Data'!AB265</f>
        <v>lab</v>
      </c>
      <c r="AC266" s="16">
        <f>'Clean Data'!AC265</f>
        <v>0</v>
      </c>
      <c r="AD266" s="16">
        <f>'Clean Data'!AD265</f>
        <v>56</v>
      </c>
      <c r="AE266" s="16">
        <f>'Clean Data'!AE265</f>
        <v>20</v>
      </c>
      <c r="AF266" s="16">
        <f>'Clean Data'!AF265</f>
        <v>15</v>
      </c>
      <c r="AG266" s="16">
        <f>'Clean Data'!AG265</f>
        <v>9</v>
      </c>
      <c r="AH266" s="16" t="str">
        <f>'Clean Data'!AH265</f>
        <v>NaN</v>
      </c>
      <c r="AI266" s="16">
        <f>'Clean Data'!AI265</f>
        <v>11.794549999999999</v>
      </c>
      <c r="AJ266" s="16">
        <f>'Clean Data'!AJ265</f>
        <v>9</v>
      </c>
      <c r="AK266" s="16">
        <f>'Clean Data'!AK265</f>
        <v>0.91228378378378017</v>
      </c>
      <c r="AL266" s="16" t="str">
        <f>'Clean Data'!AL265</f>
        <v>NaN</v>
      </c>
      <c r="AM266" s="16">
        <f>'Clean Data'!AM265</f>
        <v>74.360585363006109</v>
      </c>
      <c r="AN266" s="16">
        <f>'Clean Data'!AN265</f>
        <v>43.965423110066261</v>
      </c>
      <c r="AO266" s="16" t="str">
        <f>'Clean Data'!AO265</f>
        <v>Song, Biomass Bioenergy 2012, 36, 258-267</v>
      </c>
      <c r="AP266" s="16"/>
      <c r="AQ266" s="16"/>
      <c r="AR266" s="16"/>
      <c r="AS266" s="16"/>
      <c r="AT266" s="16"/>
    </row>
    <row r="267" spans="1:46" x14ac:dyDescent="0.3">
      <c r="A267" s="16">
        <f>'Clean Data'!A266</f>
        <v>265</v>
      </c>
      <c r="B267" s="16" t="str">
        <f>'Clean Data'!B266</f>
        <v>woody biomass</v>
      </c>
      <c r="C267" s="16" t="str">
        <f>'Clean Data'!C266</f>
        <v>other</v>
      </c>
      <c r="D267" s="16">
        <f>'Clean Data'!D266</f>
        <v>1.5</v>
      </c>
      <c r="E267" s="16">
        <f>'Clean Data'!E266</f>
        <v>14.47</v>
      </c>
      <c r="F267" s="16">
        <f>'Clean Data'!F266</f>
        <v>46.285384170999421</v>
      </c>
      <c r="G267" s="16">
        <f>'Clean Data'!G266</f>
        <v>6.4818024263431546</v>
      </c>
      <c r="H267" s="16">
        <f>'Clean Data'!H266</f>
        <v>1.0398613518197573</v>
      </c>
      <c r="I267" s="16">
        <f>'Clean Data'!I266</f>
        <v>0.11554015020219527</v>
      </c>
      <c r="J267" s="16">
        <f>'Clean Data'!J266</f>
        <v>46.077411900635475</v>
      </c>
      <c r="K267" s="16">
        <f>'Clean Data'!K266</f>
        <v>1.56</v>
      </c>
      <c r="L267" s="16">
        <f>'Clean Data'!L266</f>
        <v>11.89</v>
      </c>
      <c r="M267" s="16">
        <f>'Clean Data'!M266</f>
        <v>75.78</v>
      </c>
      <c r="N267" s="16">
        <f>'Clean Data'!N266</f>
        <v>14.77</v>
      </c>
      <c r="O267" s="16" t="str">
        <f>'Clean Data'!O266</f>
        <v>NaN</v>
      </c>
      <c r="P267" s="16" t="str">
        <f>'Clean Data'!P266</f>
        <v>NaN</v>
      </c>
      <c r="Q267" s="16" t="str">
        <f>'Clean Data'!Q266</f>
        <v>NaN</v>
      </c>
      <c r="R267" s="16">
        <f>'Clean Data'!R266</f>
        <v>820</v>
      </c>
      <c r="S267" s="16" t="str">
        <f>'Clean Data'!S266</f>
        <v>continuous</v>
      </c>
      <c r="T267" s="16" t="str">
        <f>'Clean Data'!T266</f>
        <v>atmospheric</v>
      </c>
      <c r="U267" s="16" t="str">
        <f>'Clean Data'!U266</f>
        <v>NaN</v>
      </c>
      <c r="V267" s="16">
        <f>'Clean Data'!V266</f>
        <v>1</v>
      </c>
      <c r="W267" s="16" t="str">
        <f>'Clean Data'!W266</f>
        <v>NaN</v>
      </c>
      <c r="X267" s="16" t="str">
        <f>'Clean Data'!X266</f>
        <v>steam</v>
      </c>
      <c r="Y267" s="16" t="str">
        <f>'Clean Data'!Y266</f>
        <v>fluidised bed</v>
      </c>
      <c r="Z267" s="16" t="str">
        <f>'Clean Data'!Z266</f>
        <v>silica</v>
      </c>
      <c r="AA267" s="16">
        <f>'Clean Data'!AA266</f>
        <v>0</v>
      </c>
      <c r="AB267" s="16" t="str">
        <f>'Clean Data'!AB266</f>
        <v>lab</v>
      </c>
      <c r="AC267" s="16">
        <f>'Clean Data'!AC266</f>
        <v>0</v>
      </c>
      <c r="AD267" s="16">
        <f>'Clean Data'!AD266</f>
        <v>57.5</v>
      </c>
      <c r="AE267" s="16">
        <f>'Clean Data'!AE266</f>
        <v>18</v>
      </c>
      <c r="AF267" s="16">
        <f>'Clean Data'!AF266</f>
        <v>17</v>
      </c>
      <c r="AG267" s="16">
        <f>'Clean Data'!AG266</f>
        <v>8</v>
      </c>
      <c r="AH267" s="16" t="str">
        <f>'Clean Data'!AH266</f>
        <v>NaN</v>
      </c>
      <c r="AI267" s="16">
        <f>'Clean Data'!AI266</f>
        <v>11.344804999999999</v>
      </c>
      <c r="AJ267" s="16">
        <f>'Clean Data'!AJ266</f>
        <v>8.85</v>
      </c>
      <c r="AK267" s="16">
        <f>'Clean Data'!AK266</f>
        <v>1.0409391891891868</v>
      </c>
      <c r="AL267" s="16" t="str">
        <f>'Clean Data'!AL266</f>
        <v>NaN</v>
      </c>
      <c r="AM267" s="16">
        <f>'Clean Data'!AM266</f>
        <v>81.611970409187506</v>
      </c>
      <c r="AN267" s="16">
        <f>'Clean Data'!AN266</f>
        <v>49.288822141312522</v>
      </c>
      <c r="AO267" s="16" t="str">
        <f>'Clean Data'!AO266</f>
        <v>Song, Biomass Bioenergy 2012, 36, 258-267</v>
      </c>
      <c r="AP267" s="16"/>
      <c r="AQ267" s="16"/>
      <c r="AR267" s="16"/>
      <c r="AS267" s="16"/>
      <c r="AT267" s="16"/>
    </row>
    <row r="268" spans="1:46" x14ac:dyDescent="0.3">
      <c r="A268" s="16">
        <f>'Clean Data'!A267</f>
        <v>266</v>
      </c>
      <c r="B268" s="16" t="str">
        <f>'Clean Data'!B267</f>
        <v>woody biomass</v>
      </c>
      <c r="C268" s="16" t="str">
        <f>'Clean Data'!C267</f>
        <v>other</v>
      </c>
      <c r="D268" s="16">
        <f>'Clean Data'!D267</f>
        <v>1.5</v>
      </c>
      <c r="E268" s="16">
        <f>'Clean Data'!E267</f>
        <v>14.47</v>
      </c>
      <c r="F268" s="16">
        <f>'Clean Data'!F267</f>
        <v>46.285384170999421</v>
      </c>
      <c r="G268" s="16">
        <f>'Clean Data'!G267</f>
        <v>6.4818024263431546</v>
      </c>
      <c r="H268" s="16">
        <f>'Clean Data'!H267</f>
        <v>1.0398613518197573</v>
      </c>
      <c r="I268" s="16">
        <f>'Clean Data'!I267</f>
        <v>0.11554015020219527</v>
      </c>
      <c r="J268" s="16">
        <f>'Clean Data'!J267</f>
        <v>46.077411900635475</v>
      </c>
      <c r="K268" s="16">
        <f>'Clean Data'!K267</f>
        <v>1.56</v>
      </c>
      <c r="L268" s="16">
        <f>'Clean Data'!L267</f>
        <v>11.89</v>
      </c>
      <c r="M268" s="16">
        <f>'Clean Data'!M267</f>
        <v>75.78</v>
      </c>
      <c r="N268" s="16">
        <f>'Clean Data'!N267</f>
        <v>14.77</v>
      </c>
      <c r="O268" s="16" t="str">
        <f>'Clean Data'!O267</f>
        <v>NaN</v>
      </c>
      <c r="P268" s="16" t="str">
        <f>'Clean Data'!P267</f>
        <v>NaN</v>
      </c>
      <c r="Q268" s="16" t="str">
        <f>'Clean Data'!Q267</f>
        <v>NaN</v>
      </c>
      <c r="R268" s="16">
        <f>'Clean Data'!R267</f>
        <v>820</v>
      </c>
      <c r="S268" s="16" t="str">
        <f>'Clean Data'!S267</f>
        <v>continuous</v>
      </c>
      <c r="T268" s="16" t="str">
        <f>'Clean Data'!T267</f>
        <v>atmospheric</v>
      </c>
      <c r="U268" s="16" t="str">
        <f>'Clean Data'!U267</f>
        <v>NaN</v>
      </c>
      <c r="V268" s="16">
        <f>'Clean Data'!V267</f>
        <v>1.2</v>
      </c>
      <c r="W268" s="16" t="str">
        <f>'Clean Data'!W267</f>
        <v>NaN</v>
      </c>
      <c r="X268" s="16" t="str">
        <f>'Clean Data'!X267</f>
        <v>steam</v>
      </c>
      <c r="Y268" s="16" t="str">
        <f>'Clean Data'!Y267</f>
        <v>fluidised bed</v>
      </c>
      <c r="Z268" s="16" t="str">
        <f>'Clean Data'!Z267</f>
        <v>silica</v>
      </c>
      <c r="AA268" s="16">
        <f>'Clean Data'!AA267</f>
        <v>0</v>
      </c>
      <c r="AB268" s="16" t="str">
        <f>'Clean Data'!AB267</f>
        <v>lab</v>
      </c>
      <c r="AC268" s="16">
        <f>'Clean Data'!AC267</f>
        <v>0</v>
      </c>
      <c r="AD268" s="16">
        <f>'Clean Data'!AD267</f>
        <v>60</v>
      </c>
      <c r="AE268" s="16">
        <f>'Clean Data'!AE267</f>
        <v>15</v>
      </c>
      <c r="AF268" s="16">
        <f>'Clean Data'!AF267</f>
        <v>17.5</v>
      </c>
      <c r="AG268" s="16">
        <f>'Clean Data'!AG267</f>
        <v>8</v>
      </c>
      <c r="AH268" s="16" t="str">
        <f>'Clean Data'!AH267</f>
        <v>NaN</v>
      </c>
      <c r="AI268" s="16">
        <f>'Clean Data'!AI267</f>
        <v>11.235390000000001</v>
      </c>
      <c r="AJ268" s="16">
        <f>'Clean Data'!AJ267</f>
        <v>7.85</v>
      </c>
      <c r="AK268" s="16">
        <f>'Clean Data'!AK267</f>
        <v>1.1812905405405363</v>
      </c>
      <c r="AL268" s="16" t="str">
        <f>'Clean Data'!AL267</f>
        <v>NaN</v>
      </c>
      <c r="AM268" s="16">
        <f>'Clean Data'!AM267</f>
        <v>91.722597970170952</v>
      </c>
      <c r="AN268" s="16">
        <f>'Clean Data'!AN267</f>
        <v>52.882817030829045</v>
      </c>
      <c r="AO268" s="16" t="str">
        <f>'Clean Data'!AO267</f>
        <v>Song, Biomass Bioenergy 2012, 36, 258-267</v>
      </c>
      <c r="AP268" s="16"/>
      <c r="AQ268" s="16"/>
      <c r="AR268" s="16"/>
      <c r="AS268" s="16"/>
      <c r="AT268" s="16"/>
    </row>
    <row r="269" spans="1:46" x14ac:dyDescent="0.3">
      <c r="A269" s="16">
        <f>'Clean Data'!A268</f>
        <v>267</v>
      </c>
      <c r="B269" s="16" t="str">
        <f>'Clean Data'!B268</f>
        <v>woody biomass</v>
      </c>
      <c r="C269" s="16" t="str">
        <f>'Clean Data'!C268</f>
        <v>other</v>
      </c>
      <c r="D269" s="16">
        <f>'Clean Data'!D268</f>
        <v>1.5</v>
      </c>
      <c r="E269" s="16">
        <f>'Clean Data'!E268</f>
        <v>14.47</v>
      </c>
      <c r="F269" s="16">
        <f>'Clean Data'!F268</f>
        <v>46.285384170999421</v>
      </c>
      <c r="G269" s="16">
        <f>'Clean Data'!G268</f>
        <v>6.4818024263431546</v>
      </c>
      <c r="H269" s="16">
        <f>'Clean Data'!H268</f>
        <v>1.0398613518197573</v>
      </c>
      <c r="I269" s="16">
        <f>'Clean Data'!I268</f>
        <v>0.11554015020219527</v>
      </c>
      <c r="J269" s="16">
        <f>'Clean Data'!J268</f>
        <v>46.077411900635475</v>
      </c>
      <c r="K269" s="16">
        <f>'Clean Data'!K268</f>
        <v>1.56</v>
      </c>
      <c r="L269" s="16">
        <f>'Clean Data'!L268</f>
        <v>11.89</v>
      </c>
      <c r="M269" s="16">
        <f>'Clean Data'!M268</f>
        <v>75.78</v>
      </c>
      <c r="N269" s="16">
        <f>'Clean Data'!N268</f>
        <v>14.77</v>
      </c>
      <c r="O269" s="16" t="str">
        <f>'Clean Data'!O268</f>
        <v>NaN</v>
      </c>
      <c r="P269" s="16" t="str">
        <f>'Clean Data'!P268</f>
        <v>NaN</v>
      </c>
      <c r="Q269" s="16" t="str">
        <f>'Clean Data'!Q268</f>
        <v>NaN</v>
      </c>
      <c r="R269" s="16">
        <f>'Clean Data'!R268</f>
        <v>820</v>
      </c>
      <c r="S269" s="16" t="str">
        <f>'Clean Data'!S268</f>
        <v>continuous</v>
      </c>
      <c r="T269" s="16" t="str">
        <f>'Clean Data'!T268</f>
        <v>atmospheric</v>
      </c>
      <c r="U269" s="16" t="str">
        <f>'Clean Data'!U268</f>
        <v>NaN</v>
      </c>
      <c r="V269" s="16">
        <f>'Clean Data'!V268</f>
        <v>1.4</v>
      </c>
      <c r="W269" s="16" t="str">
        <f>'Clean Data'!W268</f>
        <v>NaN</v>
      </c>
      <c r="X269" s="16" t="str">
        <f>'Clean Data'!X268</f>
        <v>steam</v>
      </c>
      <c r="Y269" s="16" t="str">
        <f>'Clean Data'!Y268</f>
        <v>fluidised bed</v>
      </c>
      <c r="Z269" s="16" t="str">
        <f>'Clean Data'!Z268</f>
        <v>silica</v>
      </c>
      <c r="AA269" s="16">
        <f>'Clean Data'!AA268</f>
        <v>0</v>
      </c>
      <c r="AB269" s="16" t="str">
        <f>'Clean Data'!AB268</f>
        <v>lab</v>
      </c>
      <c r="AC269" s="16">
        <f>'Clean Data'!AC268</f>
        <v>0</v>
      </c>
      <c r="AD269" s="16">
        <f>'Clean Data'!AD268</f>
        <v>60</v>
      </c>
      <c r="AE269" s="16">
        <f>'Clean Data'!AE268</f>
        <v>15</v>
      </c>
      <c r="AF269" s="16">
        <f>'Clean Data'!AF268</f>
        <v>17.5</v>
      </c>
      <c r="AG269" s="16">
        <f>'Clean Data'!AG268</f>
        <v>8</v>
      </c>
      <c r="AH269" s="16" t="str">
        <f>'Clean Data'!AH268</f>
        <v>NaN</v>
      </c>
      <c r="AI269" s="16">
        <f>'Clean Data'!AI268</f>
        <v>11.235390000000001</v>
      </c>
      <c r="AJ269" s="16">
        <f>'Clean Data'!AJ268</f>
        <v>6.7</v>
      </c>
      <c r="AK269" s="16">
        <f>'Clean Data'!AK268</f>
        <v>1.286554054054057</v>
      </c>
      <c r="AL269" s="16" t="str">
        <f>'Clean Data'!AL268</f>
        <v>NaN</v>
      </c>
      <c r="AM269" s="16">
        <f>'Clean Data'!AM268</f>
        <v>99.895898779394685</v>
      </c>
      <c r="AN269" s="16">
        <f>'Clean Data'!AN268</f>
        <v>57.595147261299296</v>
      </c>
      <c r="AO269" s="16" t="str">
        <f>'Clean Data'!AO268</f>
        <v>Song, Biomass Bioenergy 2012, 36, 258-267</v>
      </c>
      <c r="AP269" s="16"/>
      <c r="AQ269" s="16"/>
      <c r="AR269" s="16"/>
      <c r="AS269" s="16"/>
      <c r="AT269" s="16"/>
    </row>
    <row r="270" spans="1:46" x14ac:dyDescent="0.3">
      <c r="A270" s="16">
        <f>'Clean Data'!A269</f>
        <v>268</v>
      </c>
      <c r="B270" s="16" t="str">
        <f>'Clean Data'!B269</f>
        <v>woody biomass</v>
      </c>
      <c r="C270" s="16" t="str">
        <f>'Clean Data'!C269</f>
        <v>other</v>
      </c>
      <c r="D270" s="16">
        <f>'Clean Data'!D269</f>
        <v>1.5</v>
      </c>
      <c r="E270" s="16">
        <f>'Clean Data'!E269</f>
        <v>14.47</v>
      </c>
      <c r="F270" s="16">
        <f>'Clean Data'!F269</f>
        <v>46.285384170999421</v>
      </c>
      <c r="G270" s="16">
        <f>'Clean Data'!G269</f>
        <v>6.4818024263431546</v>
      </c>
      <c r="H270" s="16">
        <f>'Clean Data'!H269</f>
        <v>1.0398613518197573</v>
      </c>
      <c r="I270" s="16">
        <f>'Clean Data'!I269</f>
        <v>0.11554015020219527</v>
      </c>
      <c r="J270" s="16">
        <f>'Clean Data'!J269</f>
        <v>46.077411900635475</v>
      </c>
      <c r="K270" s="16">
        <f>'Clean Data'!K269</f>
        <v>1.56</v>
      </c>
      <c r="L270" s="16">
        <f>'Clean Data'!L269</f>
        <v>11.89</v>
      </c>
      <c r="M270" s="16">
        <f>'Clean Data'!M269</f>
        <v>75.78</v>
      </c>
      <c r="N270" s="16">
        <f>'Clean Data'!N269</f>
        <v>14.77</v>
      </c>
      <c r="O270" s="16" t="str">
        <f>'Clean Data'!O269</f>
        <v>NaN</v>
      </c>
      <c r="P270" s="16" t="str">
        <f>'Clean Data'!P269</f>
        <v>NaN</v>
      </c>
      <c r="Q270" s="16" t="str">
        <f>'Clean Data'!Q269</f>
        <v>NaN</v>
      </c>
      <c r="R270" s="16">
        <f>'Clean Data'!R269</f>
        <v>820</v>
      </c>
      <c r="S270" s="16" t="str">
        <f>'Clean Data'!S269</f>
        <v>continuous</v>
      </c>
      <c r="T270" s="16" t="str">
        <f>'Clean Data'!T269</f>
        <v>atmospheric</v>
      </c>
      <c r="U270" s="16" t="str">
        <f>'Clean Data'!U269</f>
        <v>NaN</v>
      </c>
      <c r="V270" s="16">
        <f>'Clean Data'!V269</f>
        <v>1.7</v>
      </c>
      <c r="W270" s="16" t="str">
        <f>'Clean Data'!W269</f>
        <v>NaN</v>
      </c>
      <c r="X270" s="16" t="str">
        <f>'Clean Data'!X269</f>
        <v>steam</v>
      </c>
      <c r="Y270" s="16" t="str">
        <f>'Clean Data'!Y269</f>
        <v>fluidised bed</v>
      </c>
      <c r="Z270" s="16" t="str">
        <f>'Clean Data'!Z269</f>
        <v>silica</v>
      </c>
      <c r="AA270" s="16">
        <f>'Clean Data'!AA269</f>
        <v>0</v>
      </c>
      <c r="AB270" s="16" t="str">
        <f>'Clean Data'!AB269</f>
        <v>lab</v>
      </c>
      <c r="AC270" s="16">
        <f>'Clean Data'!AC269</f>
        <v>0</v>
      </c>
      <c r="AD270" s="16">
        <f>'Clean Data'!AD269</f>
        <v>60</v>
      </c>
      <c r="AE270" s="16">
        <f>'Clean Data'!AE269</f>
        <v>14.5</v>
      </c>
      <c r="AF270" s="16">
        <f>'Clean Data'!AF269</f>
        <v>17.5</v>
      </c>
      <c r="AG270" s="16">
        <f>'Clean Data'!AG269</f>
        <v>8</v>
      </c>
      <c r="AH270" s="16" t="str">
        <f>'Clean Data'!AH269</f>
        <v>NaN</v>
      </c>
      <c r="AI270" s="16">
        <f>'Clean Data'!AI269</f>
        <v>11.172225000000001</v>
      </c>
      <c r="AJ270" s="16">
        <f>'Clean Data'!AJ269</f>
        <v>6.55</v>
      </c>
      <c r="AK270" s="16">
        <f>'Clean Data'!AK269</f>
        <v>1.1111148648648614</v>
      </c>
      <c r="AL270" s="16" t="str">
        <f>'Clean Data'!AL269</f>
        <v>NaN</v>
      </c>
      <c r="AM270" s="16">
        <f>'Clean Data'!AM269</f>
        <v>85.788702633827427</v>
      </c>
      <c r="AN270" s="16">
        <f>'Clean Data'!AN269</f>
        <v>49.154837627161903</v>
      </c>
      <c r="AO270" s="16" t="str">
        <f>'Clean Data'!AO269</f>
        <v>Song, Biomass Bioenergy 2012, 36, 258-267</v>
      </c>
      <c r="AP270" s="16"/>
      <c r="AQ270" s="16"/>
      <c r="AR270" s="16"/>
      <c r="AS270" s="16"/>
      <c r="AT270" s="16"/>
    </row>
    <row r="271" spans="1:46" x14ac:dyDescent="0.3">
      <c r="A271" s="16">
        <f>'Clean Data'!A270</f>
        <v>269</v>
      </c>
      <c r="B271" s="16" t="str">
        <f>'Clean Data'!B270</f>
        <v>woody biomass</v>
      </c>
      <c r="C271" s="16" t="str">
        <f>'Clean Data'!C270</f>
        <v>other</v>
      </c>
      <c r="D271" s="16">
        <f>'Clean Data'!D270</f>
        <v>1.5</v>
      </c>
      <c r="E271" s="16">
        <f>'Clean Data'!E270</f>
        <v>14.47</v>
      </c>
      <c r="F271" s="16">
        <f>'Clean Data'!F270</f>
        <v>46.285384170999421</v>
      </c>
      <c r="G271" s="16">
        <f>'Clean Data'!G270</f>
        <v>6.4818024263431546</v>
      </c>
      <c r="H271" s="16">
        <f>'Clean Data'!H270</f>
        <v>1.0398613518197573</v>
      </c>
      <c r="I271" s="16">
        <f>'Clean Data'!I270</f>
        <v>0.11554015020219527</v>
      </c>
      <c r="J271" s="16">
        <f>'Clean Data'!J270</f>
        <v>46.077411900635475</v>
      </c>
      <c r="K271" s="16">
        <f>'Clean Data'!K270</f>
        <v>1.56</v>
      </c>
      <c r="L271" s="16">
        <f>'Clean Data'!L270</f>
        <v>11.89</v>
      </c>
      <c r="M271" s="16">
        <f>'Clean Data'!M270</f>
        <v>75.78</v>
      </c>
      <c r="N271" s="16">
        <f>'Clean Data'!N270</f>
        <v>14.77</v>
      </c>
      <c r="O271" s="16" t="str">
        <f>'Clean Data'!O270</f>
        <v>NaN</v>
      </c>
      <c r="P271" s="16" t="str">
        <f>'Clean Data'!P270</f>
        <v>NaN</v>
      </c>
      <c r="Q271" s="16" t="str">
        <f>'Clean Data'!Q270</f>
        <v>NaN</v>
      </c>
      <c r="R271" s="16">
        <f>'Clean Data'!R270</f>
        <v>820</v>
      </c>
      <c r="S271" s="16" t="str">
        <f>'Clean Data'!S270</f>
        <v>continuous</v>
      </c>
      <c r="T271" s="16" t="str">
        <f>'Clean Data'!T270</f>
        <v>atmospheric</v>
      </c>
      <c r="U271" s="16" t="str">
        <f>'Clean Data'!U270</f>
        <v>NaN</v>
      </c>
      <c r="V271" s="16">
        <f>'Clean Data'!V270</f>
        <v>2</v>
      </c>
      <c r="W271" s="16" t="str">
        <f>'Clean Data'!W270</f>
        <v>NaN</v>
      </c>
      <c r="X271" s="16" t="str">
        <f>'Clean Data'!X270</f>
        <v>steam</v>
      </c>
      <c r="Y271" s="16" t="str">
        <f>'Clean Data'!Y270</f>
        <v>fluidised bed</v>
      </c>
      <c r="Z271" s="16" t="str">
        <f>'Clean Data'!Z270</f>
        <v>silica</v>
      </c>
      <c r="AA271" s="16">
        <f>'Clean Data'!AA270</f>
        <v>0</v>
      </c>
      <c r="AB271" s="16" t="str">
        <f>'Clean Data'!AB270</f>
        <v>lab</v>
      </c>
      <c r="AC271" s="16">
        <f>'Clean Data'!AC270</f>
        <v>0.5</v>
      </c>
      <c r="AD271" s="16">
        <f>'Clean Data'!AD270</f>
        <v>60</v>
      </c>
      <c r="AE271" s="16">
        <f>'Clean Data'!AE270</f>
        <v>14</v>
      </c>
      <c r="AF271" s="16">
        <f>'Clean Data'!AF270</f>
        <v>17.5</v>
      </c>
      <c r="AG271" s="16">
        <f>'Clean Data'!AG270</f>
        <v>8</v>
      </c>
      <c r="AH271" s="16" t="str">
        <f>'Clean Data'!AH270</f>
        <v>NaN</v>
      </c>
      <c r="AI271" s="16">
        <f>'Clean Data'!AI270</f>
        <v>11.109059999999999</v>
      </c>
      <c r="AJ271" s="16">
        <f>'Clean Data'!AJ270</f>
        <v>6.5</v>
      </c>
      <c r="AK271" s="16">
        <f>'Clean Data'!AK270</f>
        <v>1.0292432432432439</v>
      </c>
      <c r="AL271" s="16" t="str">
        <f>'Clean Data'!AL270</f>
        <v>NaN</v>
      </c>
      <c r="AM271" s="16">
        <f>'Clean Data'!AM270</f>
        <v>79.018140592838904</v>
      </c>
      <c r="AN271" s="16">
        <f>'Clean Data'!AN270</f>
        <v>44.989686637071451</v>
      </c>
      <c r="AO271" s="16" t="str">
        <f>'Clean Data'!AO270</f>
        <v>Song, Biomass Bioenergy 2012, 36, 258-267</v>
      </c>
      <c r="AP271" s="16"/>
      <c r="AQ271" s="16"/>
      <c r="AR271" s="16"/>
      <c r="AS271" s="16"/>
      <c r="AT271" s="16"/>
    </row>
    <row r="272" spans="1:46" x14ac:dyDescent="0.3">
      <c r="A272" s="16">
        <f>'Clean Data'!A271</f>
        <v>270</v>
      </c>
      <c r="B272" s="16" t="str">
        <f>'Clean Data'!B271</f>
        <v>herbaceous biomass</v>
      </c>
      <c r="C272" s="16" t="str">
        <f>'Clean Data'!C271</f>
        <v>other</v>
      </c>
      <c r="D272" s="16">
        <f>'Clean Data'!D271</f>
        <v>27.588675000000002</v>
      </c>
      <c r="E272" s="16">
        <f>'Clean Data'!E271</f>
        <v>17.3</v>
      </c>
      <c r="F272" s="16">
        <f>'Clean Data'!F271</f>
        <v>47.6</v>
      </c>
      <c r="G272" s="16">
        <f>'Clean Data'!G271</f>
        <v>6.1</v>
      </c>
      <c r="H272" s="16">
        <f>'Clean Data'!H271</f>
        <v>0.52</v>
      </c>
      <c r="I272" s="16" t="str">
        <f>'Clean Data'!I271</f>
        <v>NaN</v>
      </c>
      <c r="J272" s="16">
        <f>'Clean Data'!J271</f>
        <v>45.78</v>
      </c>
      <c r="K272" s="16">
        <f>'Clean Data'!K271</f>
        <v>2.12</v>
      </c>
      <c r="L272" s="16">
        <f>'Clean Data'!L271</f>
        <v>10.1</v>
      </c>
      <c r="M272" s="16">
        <f>'Clean Data'!M271</f>
        <v>80.06</v>
      </c>
      <c r="N272" s="16">
        <f>'Clean Data'!N271</f>
        <v>17.82</v>
      </c>
      <c r="O272" s="16" t="str">
        <f>'Clean Data'!O271</f>
        <v>NaN</v>
      </c>
      <c r="P272" s="16" t="str">
        <f>'Clean Data'!P271</f>
        <v>NaN</v>
      </c>
      <c r="Q272" s="16" t="str">
        <f>'Clean Data'!Q271</f>
        <v>NaN</v>
      </c>
      <c r="R272" s="16">
        <f>'Clean Data'!R271</f>
        <v>926.85</v>
      </c>
      <c r="S272" s="16" t="str">
        <f>'Clean Data'!S271</f>
        <v>continuous</v>
      </c>
      <c r="T272" s="16" t="str">
        <f>'Clean Data'!T271</f>
        <v>NaN</v>
      </c>
      <c r="U272" s="16" t="str">
        <f>'Clean Data'!U271</f>
        <v>NaN</v>
      </c>
      <c r="V272" s="16" t="str">
        <f>'Clean Data'!V271</f>
        <v>NaN</v>
      </c>
      <c r="W272" s="16">
        <f>'Clean Data'!W271</f>
        <v>0.27900000000000003</v>
      </c>
      <c r="X272" s="16" t="str">
        <f>'Clean Data'!X271</f>
        <v>air</v>
      </c>
      <c r="Y272" s="16" t="str">
        <f>'Clean Data'!Y271</f>
        <v>fixed bed</v>
      </c>
      <c r="Z272" s="16" t="str">
        <f>'Clean Data'!Z271</f>
        <v>NaN</v>
      </c>
      <c r="AA272" s="16">
        <f>'Clean Data'!AA271</f>
        <v>0</v>
      </c>
      <c r="AB272" s="16" t="str">
        <f>'Clean Data'!AB271</f>
        <v>pilot</v>
      </c>
      <c r="AC272" s="16">
        <f>'Clean Data'!AC271</f>
        <v>46.46</v>
      </c>
      <c r="AD272" s="16">
        <f>'Clean Data'!AD271</f>
        <v>15.83</v>
      </c>
      <c r="AE272" s="16">
        <f>'Clean Data'!AE271</f>
        <v>22.46</v>
      </c>
      <c r="AF272" s="16">
        <f>'Clean Data'!AF271</f>
        <v>12.33</v>
      </c>
      <c r="AG272" s="16">
        <f>'Clean Data'!AG271</f>
        <v>2.25</v>
      </c>
      <c r="AH272" s="16">
        <f>'Clean Data'!AH271</f>
        <v>0.6100000000000001</v>
      </c>
      <c r="AI272" s="16">
        <f>'Clean Data'!AI271</f>
        <v>5.72</v>
      </c>
      <c r="AJ272" s="16" t="str">
        <f>'Clean Data'!AJ271</f>
        <v>NaN</v>
      </c>
      <c r="AK272" s="16">
        <f>'Clean Data'!AK271</f>
        <v>2</v>
      </c>
      <c r="AL272" s="16">
        <f>'Clean Data'!AL271</f>
        <v>77.966101694915253</v>
      </c>
      <c r="AM272" s="16">
        <f>'Clean Data'!AM271</f>
        <v>66.127167630057798</v>
      </c>
      <c r="AN272" s="16">
        <f>'Clean Data'!AN271</f>
        <v>78.740343637454956</v>
      </c>
      <c r="AO272" s="16" t="str">
        <f>'Clean Data'!AO271</f>
        <v>Biagini, Bioresource Technology 2016, 201, 156-165</v>
      </c>
      <c r="AP272" s="16"/>
      <c r="AQ272" s="16"/>
      <c r="AR272" s="16"/>
      <c r="AS272" s="16"/>
      <c r="AT272" s="16"/>
    </row>
    <row r="273" spans="1:46" x14ac:dyDescent="0.3">
      <c r="A273" s="16">
        <f>'Clean Data'!A272</f>
        <v>271</v>
      </c>
      <c r="B273" s="16" t="str">
        <f>'Clean Data'!B272</f>
        <v>herbaceous biomass</v>
      </c>
      <c r="C273" s="16" t="str">
        <f>'Clean Data'!C272</f>
        <v>other</v>
      </c>
      <c r="D273" s="16">
        <f>'Clean Data'!D272</f>
        <v>27.588675000000002</v>
      </c>
      <c r="E273" s="16">
        <f>'Clean Data'!E272</f>
        <v>17.3</v>
      </c>
      <c r="F273" s="16">
        <f>'Clean Data'!F272</f>
        <v>47.6</v>
      </c>
      <c r="G273" s="16">
        <f>'Clean Data'!G272</f>
        <v>6.1</v>
      </c>
      <c r="H273" s="16">
        <f>'Clean Data'!H272</f>
        <v>0.52</v>
      </c>
      <c r="I273" s="16" t="str">
        <f>'Clean Data'!I272</f>
        <v>NaN</v>
      </c>
      <c r="J273" s="16">
        <f>'Clean Data'!J272</f>
        <v>45.78</v>
      </c>
      <c r="K273" s="16">
        <f>'Clean Data'!K272</f>
        <v>2.12</v>
      </c>
      <c r="L273" s="16">
        <f>'Clean Data'!L272</f>
        <v>10.1</v>
      </c>
      <c r="M273" s="16">
        <f>'Clean Data'!M272</f>
        <v>80.06</v>
      </c>
      <c r="N273" s="16">
        <f>'Clean Data'!N272</f>
        <v>17.82</v>
      </c>
      <c r="O273" s="16" t="str">
        <f>'Clean Data'!O272</f>
        <v>NaN</v>
      </c>
      <c r="P273" s="16" t="str">
        <f>'Clean Data'!P272</f>
        <v>NaN</v>
      </c>
      <c r="Q273" s="16" t="str">
        <f>'Clean Data'!Q272</f>
        <v>NaN</v>
      </c>
      <c r="R273" s="16">
        <f>'Clean Data'!R272</f>
        <v>926.85</v>
      </c>
      <c r="S273" s="16" t="str">
        <f>'Clean Data'!S272</f>
        <v>continuous</v>
      </c>
      <c r="T273" s="16" t="str">
        <f>'Clean Data'!T272</f>
        <v>NaN</v>
      </c>
      <c r="U273" s="16" t="str">
        <f>'Clean Data'!U272</f>
        <v>NaN</v>
      </c>
      <c r="V273" s="16" t="str">
        <f>'Clean Data'!V272</f>
        <v>NaN</v>
      </c>
      <c r="W273" s="16">
        <f>'Clean Data'!W272</f>
        <v>0.27700000000000002</v>
      </c>
      <c r="X273" s="16" t="str">
        <f>'Clean Data'!X272</f>
        <v>air</v>
      </c>
      <c r="Y273" s="16" t="str">
        <f>'Clean Data'!Y272</f>
        <v>fixed bed</v>
      </c>
      <c r="Z273" s="16" t="str">
        <f>'Clean Data'!Z272</f>
        <v>NaN</v>
      </c>
      <c r="AA273" s="16">
        <f>'Clean Data'!AA272</f>
        <v>0</v>
      </c>
      <c r="AB273" s="16" t="str">
        <f>'Clean Data'!AB272</f>
        <v>pilot</v>
      </c>
      <c r="AC273" s="16">
        <f>'Clean Data'!AC272</f>
        <v>45.25</v>
      </c>
      <c r="AD273" s="16">
        <f>'Clean Data'!AD272</f>
        <v>17.559999999999999</v>
      </c>
      <c r="AE273" s="16">
        <f>'Clean Data'!AE272</f>
        <v>22.61</v>
      </c>
      <c r="AF273" s="16">
        <f>'Clean Data'!AF272</f>
        <v>12.02</v>
      </c>
      <c r="AG273" s="16">
        <f>'Clean Data'!AG272</f>
        <v>2.0299999999999998</v>
      </c>
      <c r="AH273" s="16">
        <f>'Clean Data'!AH272</f>
        <v>0.45999999999999996</v>
      </c>
      <c r="AI273" s="16">
        <f>'Clean Data'!AI272</f>
        <v>5.74</v>
      </c>
      <c r="AJ273" s="16" t="str">
        <f>'Clean Data'!AJ272</f>
        <v>NaN</v>
      </c>
      <c r="AK273" s="16">
        <f>'Clean Data'!AK272</f>
        <v>2.0273972602739727</v>
      </c>
      <c r="AL273" s="16">
        <f>'Clean Data'!AL272</f>
        <v>79.452054794520535</v>
      </c>
      <c r="AM273" s="16">
        <f>'Clean Data'!AM272</f>
        <v>67.267400427587305</v>
      </c>
      <c r="AN273" s="16">
        <f>'Clean Data'!AN272</f>
        <v>78.956400656152866</v>
      </c>
      <c r="AO273" s="16" t="str">
        <f>'Clean Data'!AO272</f>
        <v>Biagini, Bioresource Technology 2016, 201, 156-165</v>
      </c>
      <c r="AP273" s="16"/>
      <c r="AQ273" s="16"/>
      <c r="AR273" s="16"/>
      <c r="AS273" s="16"/>
      <c r="AT273" s="16"/>
    </row>
    <row r="274" spans="1:46" x14ac:dyDescent="0.3">
      <c r="A274" s="16">
        <f>'Clean Data'!A273</f>
        <v>272</v>
      </c>
      <c r="B274" s="16" t="str">
        <f>'Clean Data'!B273</f>
        <v>herbaceous biomass</v>
      </c>
      <c r="C274" s="16" t="str">
        <f>'Clean Data'!C273</f>
        <v>other</v>
      </c>
      <c r="D274" s="16">
        <f>'Clean Data'!D273</f>
        <v>27.588675000000002</v>
      </c>
      <c r="E274" s="16">
        <f>'Clean Data'!E273</f>
        <v>17.3</v>
      </c>
      <c r="F274" s="16">
        <f>'Clean Data'!F273</f>
        <v>47.6</v>
      </c>
      <c r="G274" s="16">
        <f>'Clean Data'!G273</f>
        <v>6.1</v>
      </c>
      <c r="H274" s="16">
        <f>'Clean Data'!H273</f>
        <v>0.52</v>
      </c>
      <c r="I274" s="16" t="str">
        <f>'Clean Data'!I273</f>
        <v>NaN</v>
      </c>
      <c r="J274" s="16">
        <f>'Clean Data'!J273</f>
        <v>45.78</v>
      </c>
      <c r="K274" s="16">
        <f>'Clean Data'!K273</f>
        <v>2.12</v>
      </c>
      <c r="L274" s="16">
        <f>'Clean Data'!L273</f>
        <v>10.1</v>
      </c>
      <c r="M274" s="16">
        <f>'Clean Data'!M273</f>
        <v>80.06</v>
      </c>
      <c r="N274" s="16">
        <f>'Clean Data'!N273</f>
        <v>17.82</v>
      </c>
      <c r="O274" s="16" t="str">
        <f>'Clean Data'!O273</f>
        <v>NaN</v>
      </c>
      <c r="P274" s="16" t="str">
        <f>'Clean Data'!P273</f>
        <v>NaN</v>
      </c>
      <c r="Q274" s="16" t="str">
        <f>'Clean Data'!Q273</f>
        <v>NaN</v>
      </c>
      <c r="R274" s="16">
        <f>'Clean Data'!R273</f>
        <v>926.85</v>
      </c>
      <c r="S274" s="16" t="str">
        <f>'Clean Data'!S273</f>
        <v>continuous</v>
      </c>
      <c r="T274" s="16" t="str">
        <f>'Clean Data'!T273</f>
        <v>NaN</v>
      </c>
      <c r="U274" s="16" t="str">
        <f>'Clean Data'!U273</f>
        <v>NaN</v>
      </c>
      <c r="V274" s="16" t="str">
        <f>'Clean Data'!V273</f>
        <v>NaN</v>
      </c>
      <c r="W274" s="16">
        <f>'Clean Data'!W273</f>
        <v>0.28699999999999998</v>
      </c>
      <c r="X274" s="16" t="str">
        <f>'Clean Data'!X273</f>
        <v>air</v>
      </c>
      <c r="Y274" s="16" t="str">
        <f>'Clean Data'!Y273</f>
        <v>fixed bed</v>
      </c>
      <c r="Z274" s="16" t="str">
        <f>'Clean Data'!Z273</f>
        <v>NaN</v>
      </c>
      <c r="AA274" s="16">
        <f>'Clean Data'!AA273</f>
        <v>0</v>
      </c>
      <c r="AB274" s="16" t="str">
        <f>'Clean Data'!AB273</f>
        <v>pilot</v>
      </c>
      <c r="AC274" s="16">
        <f>'Clean Data'!AC273</f>
        <v>46.59</v>
      </c>
      <c r="AD274" s="16">
        <f>'Clean Data'!AD273</f>
        <v>16.600000000000001</v>
      </c>
      <c r="AE274" s="16">
        <f>'Clean Data'!AE273</f>
        <v>22.55</v>
      </c>
      <c r="AF274" s="16">
        <f>'Clean Data'!AF273</f>
        <v>11.78</v>
      </c>
      <c r="AG274" s="16">
        <f>'Clean Data'!AG273</f>
        <v>1.91</v>
      </c>
      <c r="AH274" s="16">
        <f>'Clean Data'!AH273</f>
        <v>0.49999999999999994</v>
      </c>
      <c r="AI274" s="16">
        <f>'Clean Data'!AI273</f>
        <v>5.62</v>
      </c>
      <c r="AJ274" s="16" t="str">
        <f>'Clean Data'!AJ273</f>
        <v>NaN</v>
      </c>
      <c r="AK274" s="16">
        <f>'Clean Data'!AK273</f>
        <v>2.0547945205479454</v>
      </c>
      <c r="AL274" s="16">
        <f>'Clean Data'!AL273</f>
        <v>79.452054794520535</v>
      </c>
      <c r="AM274" s="16">
        <f>'Clean Data'!AM273</f>
        <v>66.751128355372572</v>
      </c>
      <c r="AN274" s="16">
        <f>'Clean Data'!AN273</f>
        <v>79.082126514989554</v>
      </c>
      <c r="AO274" s="16" t="str">
        <f>'Clean Data'!AO273</f>
        <v>Biagini, Bioresource Technology 2016, 201, 156-165</v>
      </c>
      <c r="AP274" s="16"/>
      <c r="AQ274" s="16"/>
      <c r="AR274" s="16"/>
      <c r="AS274" s="16"/>
      <c r="AT274" s="16"/>
    </row>
    <row r="275" spans="1:46" x14ac:dyDescent="0.3">
      <c r="A275" s="16">
        <f>'Clean Data'!A274</f>
        <v>273</v>
      </c>
      <c r="B275" s="16" t="str">
        <f>'Clean Data'!B274</f>
        <v>woody biomass</v>
      </c>
      <c r="C275" s="16" t="str">
        <f>'Clean Data'!C274</f>
        <v>other</v>
      </c>
      <c r="D275" s="16">
        <f>'Clean Data'!D274</f>
        <v>24.020399999999999</v>
      </c>
      <c r="E275" s="16">
        <f>'Clean Data'!E274</f>
        <v>18.399999999999999</v>
      </c>
      <c r="F275" s="16">
        <f>'Clean Data'!F274</f>
        <v>48.91</v>
      </c>
      <c r="G275" s="16">
        <f>'Clean Data'!G274</f>
        <v>5.8</v>
      </c>
      <c r="H275" s="16">
        <f>'Clean Data'!H274</f>
        <v>0.18</v>
      </c>
      <c r="I275" s="16" t="str">
        <f>'Clean Data'!I274</f>
        <v>NaN</v>
      </c>
      <c r="J275" s="16">
        <f>'Clean Data'!J274</f>
        <v>45.11</v>
      </c>
      <c r="K275" s="16">
        <f>'Clean Data'!K274</f>
        <v>2.1</v>
      </c>
      <c r="L275" s="16">
        <f>'Clean Data'!L274</f>
        <v>9.5</v>
      </c>
      <c r="M275" s="16">
        <f>'Clean Data'!M274</f>
        <v>80.63</v>
      </c>
      <c r="N275" s="16">
        <f>'Clean Data'!N274</f>
        <v>17.27</v>
      </c>
      <c r="O275" s="16" t="str">
        <f>'Clean Data'!O274</f>
        <v>NaN</v>
      </c>
      <c r="P275" s="16" t="str">
        <f>'Clean Data'!P274</f>
        <v>NaN</v>
      </c>
      <c r="Q275" s="16" t="str">
        <f>'Clean Data'!Q274</f>
        <v>NaN</v>
      </c>
      <c r="R275" s="16">
        <f>'Clean Data'!R274</f>
        <v>926.85</v>
      </c>
      <c r="S275" s="16" t="str">
        <f>'Clean Data'!S274</f>
        <v>continuous</v>
      </c>
      <c r="T275" s="16" t="str">
        <f>'Clean Data'!T274</f>
        <v>NaN</v>
      </c>
      <c r="U275" s="16" t="str">
        <f>'Clean Data'!U274</f>
        <v>NaN</v>
      </c>
      <c r="V275" s="16" t="str">
        <f>'Clean Data'!V274</f>
        <v>NaN</v>
      </c>
      <c r="W275" s="16">
        <f>'Clean Data'!W274</f>
        <v>0.27200000000000002</v>
      </c>
      <c r="X275" s="16" t="str">
        <f>'Clean Data'!X274</f>
        <v>air</v>
      </c>
      <c r="Y275" s="16" t="str">
        <f>'Clean Data'!Y274</f>
        <v>fixed bed</v>
      </c>
      <c r="Z275" s="16" t="str">
        <f>'Clean Data'!Z274</f>
        <v>NaN</v>
      </c>
      <c r="AA275" s="16">
        <f>'Clean Data'!AA274</f>
        <v>0</v>
      </c>
      <c r="AB275" s="16" t="str">
        <f>'Clean Data'!AB274</f>
        <v>pilot</v>
      </c>
      <c r="AC275" s="16">
        <f>'Clean Data'!AC274</f>
        <v>47.25</v>
      </c>
      <c r="AD275" s="16">
        <f>'Clean Data'!AD274</f>
        <v>16.350000000000001</v>
      </c>
      <c r="AE275" s="16">
        <f>'Clean Data'!AE274</f>
        <v>21.29</v>
      </c>
      <c r="AF275" s="16">
        <f>'Clean Data'!AF274</f>
        <v>12.39</v>
      </c>
      <c r="AG275" s="16">
        <f>'Clean Data'!AG274</f>
        <v>2.2799999999999998</v>
      </c>
      <c r="AH275" s="16">
        <f>'Clean Data'!AH274</f>
        <v>0.43000000000000005</v>
      </c>
      <c r="AI275" s="16">
        <f>'Clean Data'!AI274</f>
        <v>5.52</v>
      </c>
      <c r="AJ275" s="16" t="str">
        <f>'Clean Data'!AJ274</f>
        <v>NaN</v>
      </c>
      <c r="AK275" s="16">
        <f>'Clean Data'!AK274</f>
        <v>1.8103448275862069</v>
      </c>
      <c r="AL275" s="16">
        <f>'Clean Data'!AL274</f>
        <v>108.62068965517241</v>
      </c>
      <c r="AM275" s="16">
        <f>'Clean Data'!AM274</f>
        <v>54.310344827586199</v>
      </c>
      <c r="AN275" s="16">
        <f>'Clean Data'!AN274</f>
        <v>67.423429028687451</v>
      </c>
      <c r="AO275" s="16" t="str">
        <f>'Clean Data'!AO274</f>
        <v>Biagini, Bioresource Technology 2016, 201, 156-165</v>
      </c>
      <c r="AP275" s="16"/>
      <c r="AQ275" s="16"/>
      <c r="AR275" s="16"/>
      <c r="AS275" s="16"/>
      <c r="AT275" s="16"/>
    </row>
    <row r="276" spans="1:46" x14ac:dyDescent="0.3">
      <c r="A276" s="16">
        <f>'Clean Data'!A275</f>
        <v>274</v>
      </c>
      <c r="B276" s="16" t="str">
        <f>'Clean Data'!B275</f>
        <v>herbaceous biomass</v>
      </c>
      <c r="C276" s="16" t="str">
        <f>'Clean Data'!C275</f>
        <v>other</v>
      </c>
      <c r="D276" s="16">
        <f>'Clean Data'!D275</f>
        <v>3.15</v>
      </c>
      <c r="E276" s="16">
        <f>'Clean Data'!E275</f>
        <v>15.6</v>
      </c>
      <c r="F276" s="16">
        <f>'Clean Data'!F275</f>
        <v>49.44</v>
      </c>
      <c r="G276" s="16">
        <f>'Clean Data'!G275</f>
        <v>6.25</v>
      </c>
      <c r="H276" s="16">
        <f>'Clean Data'!H275</f>
        <v>0.54</v>
      </c>
      <c r="I276" s="16" t="str">
        <f>'Clean Data'!I275</f>
        <v>NaN</v>
      </c>
      <c r="J276" s="16">
        <f>'Clean Data'!J275</f>
        <v>43.77</v>
      </c>
      <c r="K276" s="16">
        <f>'Clean Data'!K275</f>
        <v>16.600000000000001</v>
      </c>
      <c r="L276" s="16">
        <f>'Clean Data'!L275</f>
        <v>12.5</v>
      </c>
      <c r="M276" s="16">
        <f>'Clean Data'!M275</f>
        <v>67.95</v>
      </c>
      <c r="N276" s="16">
        <f>'Clean Data'!N275</f>
        <v>15.45</v>
      </c>
      <c r="O276" s="16" t="str">
        <f>'Clean Data'!O275</f>
        <v>NaN</v>
      </c>
      <c r="P276" s="16" t="str">
        <f>'Clean Data'!P275</f>
        <v>NaN</v>
      </c>
      <c r="Q276" s="16" t="str">
        <f>'Clean Data'!Q275</f>
        <v>NaN</v>
      </c>
      <c r="R276" s="16">
        <f>'Clean Data'!R275</f>
        <v>926.85</v>
      </c>
      <c r="S276" s="16" t="str">
        <f>'Clean Data'!S275</f>
        <v>continuous</v>
      </c>
      <c r="T276" s="16" t="str">
        <f>'Clean Data'!T275</f>
        <v>NaN</v>
      </c>
      <c r="U276" s="16" t="str">
        <f>'Clean Data'!U275</f>
        <v>NaN</v>
      </c>
      <c r="V276" s="16" t="str">
        <f>'Clean Data'!V275</f>
        <v>NaN</v>
      </c>
      <c r="W276" s="16">
        <f>'Clean Data'!W275</f>
        <v>0.38200000000000001</v>
      </c>
      <c r="X276" s="16" t="str">
        <f>'Clean Data'!X275</f>
        <v>air</v>
      </c>
      <c r="Y276" s="16" t="str">
        <f>'Clean Data'!Y275</f>
        <v>fixed bed</v>
      </c>
      <c r="Z276" s="16" t="str">
        <f>'Clean Data'!Z275</f>
        <v>NaN</v>
      </c>
      <c r="AA276" s="16">
        <f>'Clean Data'!AA275</f>
        <v>0</v>
      </c>
      <c r="AB276" s="16" t="str">
        <f>'Clean Data'!AB275</f>
        <v>pilot</v>
      </c>
      <c r="AC276" s="16">
        <f>'Clean Data'!AC275</f>
        <v>60.5</v>
      </c>
      <c r="AD276" s="16">
        <f>'Clean Data'!AD275</f>
        <v>7.97</v>
      </c>
      <c r="AE276" s="16">
        <f>'Clean Data'!AE275</f>
        <v>20.04</v>
      </c>
      <c r="AF276" s="16">
        <f>'Clean Data'!AF275</f>
        <v>10.58</v>
      </c>
      <c r="AG276" s="16">
        <f>'Clean Data'!AG275</f>
        <v>0.69</v>
      </c>
      <c r="AH276" s="16">
        <f>'Clean Data'!AH275</f>
        <v>0.22000000000000003</v>
      </c>
      <c r="AI276" s="16">
        <f>'Clean Data'!AI275</f>
        <v>3.76</v>
      </c>
      <c r="AJ276" s="16" t="str">
        <f>'Clean Data'!AJ275</f>
        <v>NaN</v>
      </c>
      <c r="AK276" s="16">
        <f>'Clean Data'!AK275</f>
        <v>1.74</v>
      </c>
      <c r="AL276" s="16">
        <f>'Clean Data'!AL275</f>
        <v>172</v>
      </c>
      <c r="AM276" s="16">
        <f>'Clean Data'!AM275</f>
        <v>41.938461538461539</v>
      </c>
      <c r="AN276" s="16">
        <f>'Clean Data'!AN275</f>
        <v>55.76224501560332</v>
      </c>
      <c r="AO276" s="16" t="str">
        <f>'Clean Data'!AO275</f>
        <v>Biagini, Bioresource Technology 2016, 201, 156-165</v>
      </c>
      <c r="AP276" s="16"/>
      <c r="AQ276" s="16"/>
      <c r="AR276" s="16"/>
      <c r="AS276" s="16"/>
      <c r="AT276" s="16"/>
    </row>
    <row r="277" spans="1:46" x14ac:dyDescent="0.3">
      <c r="A277" s="16">
        <f>'Clean Data'!A276</f>
        <v>275</v>
      </c>
      <c r="B277" s="16" t="str">
        <f>'Clean Data'!B276</f>
        <v>herbaceous biomass</v>
      </c>
      <c r="C277" s="16" t="str">
        <f>'Clean Data'!C276</f>
        <v>other</v>
      </c>
      <c r="D277" s="16">
        <f>'Clean Data'!D276</f>
        <v>3.15</v>
      </c>
      <c r="E277" s="16">
        <f>'Clean Data'!E276</f>
        <v>15.6</v>
      </c>
      <c r="F277" s="16">
        <f>'Clean Data'!F276</f>
        <v>49.44</v>
      </c>
      <c r="G277" s="16">
        <f>'Clean Data'!G276</f>
        <v>6.25</v>
      </c>
      <c r="H277" s="16">
        <f>'Clean Data'!H276</f>
        <v>0.54</v>
      </c>
      <c r="I277" s="16" t="str">
        <f>'Clean Data'!I276</f>
        <v>NaN</v>
      </c>
      <c r="J277" s="16">
        <f>'Clean Data'!J276</f>
        <v>43.77</v>
      </c>
      <c r="K277" s="16">
        <f>'Clean Data'!K276</f>
        <v>16.600000000000001</v>
      </c>
      <c r="L277" s="16">
        <f>'Clean Data'!L276</f>
        <v>12.5</v>
      </c>
      <c r="M277" s="16">
        <f>'Clean Data'!M276</f>
        <v>67.95</v>
      </c>
      <c r="N277" s="16">
        <f>'Clean Data'!N276</f>
        <v>15.45</v>
      </c>
      <c r="O277" s="16" t="str">
        <f>'Clean Data'!O276</f>
        <v>NaN</v>
      </c>
      <c r="P277" s="16" t="str">
        <f>'Clean Data'!P276</f>
        <v>NaN</v>
      </c>
      <c r="Q277" s="16" t="str">
        <f>'Clean Data'!Q276</f>
        <v>NaN</v>
      </c>
      <c r="R277" s="16">
        <f>'Clean Data'!R276</f>
        <v>926.85</v>
      </c>
      <c r="S277" s="16" t="str">
        <f>'Clean Data'!S276</f>
        <v>continuous</v>
      </c>
      <c r="T277" s="16" t="str">
        <f>'Clean Data'!T276</f>
        <v>NaN</v>
      </c>
      <c r="U277" s="16" t="str">
        <f>'Clean Data'!U276</f>
        <v>NaN</v>
      </c>
      <c r="V277" s="16" t="str">
        <f>'Clean Data'!V276</f>
        <v>NaN</v>
      </c>
      <c r="W277" s="16">
        <f>'Clean Data'!W276</f>
        <v>0.41399999999999998</v>
      </c>
      <c r="X277" s="16" t="str">
        <f>'Clean Data'!X276</f>
        <v>air</v>
      </c>
      <c r="Y277" s="16" t="str">
        <f>'Clean Data'!Y276</f>
        <v>fixed bed</v>
      </c>
      <c r="Z277" s="16" t="str">
        <f>'Clean Data'!Z276</f>
        <v>NaN</v>
      </c>
      <c r="AA277" s="16">
        <f>'Clean Data'!AA276</f>
        <v>0</v>
      </c>
      <c r="AB277" s="16" t="str">
        <f>'Clean Data'!AB276</f>
        <v>pilot</v>
      </c>
      <c r="AC277" s="16">
        <f>'Clean Data'!AC276</f>
        <v>66.540000000000006</v>
      </c>
      <c r="AD277" s="16">
        <f>'Clean Data'!AD276</f>
        <v>5.78</v>
      </c>
      <c r="AE277" s="16">
        <f>'Clean Data'!AE276</f>
        <v>12.27</v>
      </c>
      <c r="AF277" s="16">
        <f>'Clean Data'!AF276</f>
        <v>14.55</v>
      </c>
      <c r="AG277" s="16">
        <f>'Clean Data'!AG276</f>
        <v>0.60799999999999998</v>
      </c>
      <c r="AH277" s="16">
        <f>'Clean Data'!AH276</f>
        <v>0.24000000000000002</v>
      </c>
      <c r="AI277" s="16">
        <f>'Clean Data'!AI276</f>
        <v>2.5299999999999998</v>
      </c>
      <c r="AJ277" s="16" t="str">
        <f>'Clean Data'!AJ276</f>
        <v>NaN</v>
      </c>
      <c r="AK277" s="16">
        <f>'Clean Data'!AK276</f>
        <v>1.8888888888888888</v>
      </c>
      <c r="AL277" s="16">
        <f>'Clean Data'!AL276</f>
        <v>187.30158730158729</v>
      </c>
      <c r="AM277" s="16">
        <f>'Clean Data'!AM276</f>
        <v>30.633903133903129</v>
      </c>
      <c r="AN277" s="16">
        <f>'Clean Data'!AN276</f>
        <v>54.066248266296817</v>
      </c>
      <c r="AO277" s="16" t="str">
        <f>'Clean Data'!AO276</f>
        <v>Biagini, Bioresource Technology 2016, 201, 156-165</v>
      </c>
      <c r="AP277" s="16"/>
      <c r="AQ277" s="16"/>
      <c r="AR277" s="16"/>
      <c r="AS277" s="16"/>
      <c r="AT277" s="16"/>
    </row>
    <row r="278" spans="1:46" x14ac:dyDescent="0.3">
      <c r="A278" s="16">
        <f>'Clean Data'!A277</f>
        <v>276</v>
      </c>
      <c r="B278" s="16" t="str">
        <f>'Clean Data'!B277</f>
        <v>woody biomass</v>
      </c>
      <c r="C278" s="16" t="str">
        <f>'Clean Data'!C277</f>
        <v>other</v>
      </c>
      <c r="D278" s="16">
        <f>'Clean Data'!D277</f>
        <v>22.740674999999996</v>
      </c>
      <c r="E278" s="16">
        <f>'Clean Data'!E277</f>
        <v>18.100000000000001</v>
      </c>
      <c r="F278" s="16">
        <f>'Clean Data'!F277</f>
        <v>50.84</v>
      </c>
      <c r="G278" s="16">
        <f>'Clean Data'!G277</f>
        <v>5.82</v>
      </c>
      <c r="H278" s="16">
        <f>'Clean Data'!H277</f>
        <v>0.88</v>
      </c>
      <c r="I278" s="16" t="str">
        <f>'Clean Data'!I277</f>
        <v>NaN</v>
      </c>
      <c r="J278" s="16">
        <f>'Clean Data'!J277</f>
        <v>42.46</v>
      </c>
      <c r="K278" s="16">
        <f>'Clean Data'!K277</f>
        <v>2.62</v>
      </c>
      <c r="L278" s="16">
        <f>'Clean Data'!L277</f>
        <v>17.600000000000001</v>
      </c>
      <c r="M278" s="16">
        <f>'Clean Data'!M277</f>
        <v>80.84</v>
      </c>
      <c r="N278" s="16">
        <f>'Clean Data'!N277</f>
        <v>16.54</v>
      </c>
      <c r="O278" s="16" t="str">
        <f>'Clean Data'!O277</f>
        <v>NaN</v>
      </c>
      <c r="P278" s="16" t="str">
        <f>'Clean Data'!P277</f>
        <v>NaN</v>
      </c>
      <c r="Q278" s="16" t="str">
        <f>'Clean Data'!Q277</f>
        <v>NaN</v>
      </c>
      <c r="R278" s="16">
        <f>'Clean Data'!R277</f>
        <v>926.85</v>
      </c>
      <c r="S278" s="16" t="str">
        <f>'Clean Data'!S277</f>
        <v>continuous</v>
      </c>
      <c r="T278" s="16" t="str">
        <f>'Clean Data'!T277</f>
        <v>NaN</v>
      </c>
      <c r="U278" s="16" t="str">
        <f>'Clean Data'!U277</f>
        <v>NaN</v>
      </c>
      <c r="V278" s="16" t="str">
        <f>'Clean Data'!V277</f>
        <v>NaN</v>
      </c>
      <c r="W278" s="16">
        <f>'Clean Data'!W277</f>
        <v>0.25700000000000001</v>
      </c>
      <c r="X278" s="16" t="str">
        <f>'Clean Data'!X277</f>
        <v>air</v>
      </c>
      <c r="Y278" s="16" t="str">
        <f>'Clean Data'!Y277</f>
        <v>fixed bed</v>
      </c>
      <c r="Z278" s="16" t="str">
        <f>'Clean Data'!Z277</f>
        <v>NaN</v>
      </c>
      <c r="AA278" s="16">
        <f>'Clean Data'!AA277</f>
        <v>0</v>
      </c>
      <c r="AB278" s="16" t="str">
        <f>'Clean Data'!AB277</f>
        <v>pilot</v>
      </c>
      <c r="AC278" s="16">
        <f>'Clean Data'!AC277</f>
        <v>45.07</v>
      </c>
      <c r="AD278" s="16">
        <f>'Clean Data'!AD277</f>
        <v>17.059999999999999</v>
      </c>
      <c r="AE278" s="16">
        <f>'Clean Data'!AE277</f>
        <v>21.74</v>
      </c>
      <c r="AF278" s="16">
        <f>'Clean Data'!AF277</f>
        <v>13.02</v>
      </c>
      <c r="AG278" s="16">
        <f>'Clean Data'!AG277</f>
        <v>2.5499999999999998</v>
      </c>
      <c r="AH278" s="16">
        <f>'Clean Data'!AH277</f>
        <v>0.54</v>
      </c>
      <c r="AI278" s="16">
        <f>'Clean Data'!AI277</f>
        <v>5.82</v>
      </c>
      <c r="AJ278" s="16" t="str">
        <f>'Clean Data'!AJ277</f>
        <v>NaN</v>
      </c>
      <c r="AK278" s="16">
        <f>'Clean Data'!AK277</f>
        <v>1.9772727272727273</v>
      </c>
      <c r="AL278" s="16">
        <f>'Clean Data'!AL277</f>
        <v>120.45454545454545</v>
      </c>
      <c r="AM278" s="16">
        <f>'Clean Data'!AM277</f>
        <v>63.578603716725254</v>
      </c>
      <c r="AN278" s="16">
        <f>'Clean Data'!AN277</f>
        <v>73.540448468968066</v>
      </c>
      <c r="AO278" s="16" t="str">
        <f>'Clean Data'!AO277</f>
        <v>Biagini, Bioresource Technology 2016, 201, 156-165</v>
      </c>
      <c r="AP278" s="16"/>
      <c r="AQ278" s="16"/>
      <c r="AR278" s="16"/>
      <c r="AS278" s="16"/>
      <c r="AT278" s="16"/>
    </row>
    <row r="279" spans="1:46" x14ac:dyDescent="0.3">
      <c r="A279" s="16">
        <f>'Clean Data'!A278</f>
        <v>277</v>
      </c>
      <c r="B279" s="16" t="str">
        <f>'Clean Data'!B278</f>
        <v>woody biomass</v>
      </c>
      <c r="C279" s="16" t="str">
        <f>'Clean Data'!C278</f>
        <v>chips</v>
      </c>
      <c r="D279" s="16" t="str">
        <f>'Clean Data'!D278</f>
        <v>NaN</v>
      </c>
      <c r="E279" s="16">
        <f>'Clean Data'!E278</f>
        <v>21.647058823529409</v>
      </c>
      <c r="F279" s="16">
        <f>'Clean Data'!F278</f>
        <v>48.39</v>
      </c>
      <c r="G279" s="16">
        <f>'Clean Data'!G278</f>
        <v>5.86</v>
      </c>
      <c r="H279" s="16">
        <f>'Clean Data'!H278</f>
        <v>2.04</v>
      </c>
      <c r="I279" s="16" t="str">
        <f>'Clean Data'!I278</f>
        <v>NaN</v>
      </c>
      <c r="J279" s="16">
        <f>'Clean Data'!J278</f>
        <v>39.21</v>
      </c>
      <c r="K279" s="16">
        <f>'Clean Data'!K278</f>
        <v>4.5</v>
      </c>
      <c r="L279" s="16">
        <f>'Clean Data'!L278</f>
        <v>5</v>
      </c>
      <c r="M279" s="16">
        <f>'Clean Data'!M278</f>
        <v>80.3</v>
      </c>
      <c r="N279" s="16">
        <f>'Clean Data'!N278</f>
        <v>15.2</v>
      </c>
      <c r="O279" s="16" t="str">
        <f>'Clean Data'!O278</f>
        <v>NaN</v>
      </c>
      <c r="P279" s="16" t="str">
        <f>'Clean Data'!P278</f>
        <v>NaN</v>
      </c>
      <c r="Q279" s="16" t="str">
        <f>'Clean Data'!Q278</f>
        <v>NaN</v>
      </c>
      <c r="R279" s="16">
        <f>'Clean Data'!R278</f>
        <v>850</v>
      </c>
      <c r="S279" s="16" t="str">
        <f>'Clean Data'!S278</f>
        <v>NaN</v>
      </c>
      <c r="T279" s="16" t="str">
        <f>'Clean Data'!T278</f>
        <v>NaN</v>
      </c>
      <c r="U279" s="16" t="str">
        <f>'Clean Data'!U278</f>
        <v>NaN</v>
      </c>
      <c r="V279" s="16" t="str">
        <f>'Clean Data'!V278</f>
        <v>NaN</v>
      </c>
      <c r="W279" s="16">
        <f>'Clean Data'!W278</f>
        <v>0.3</v>
      </c>
      <c r="X279" s="16" t="str">
        <f>'Clean Data'!X278</f>
        <v>air</v>
      </c>
      <c r="Y279" s="16" t="str">
        <f>'Clean Data'!Y278</f>
        <v>fixed bed</v>
      </c>
      <c r="Z279" s="16" t="str">
        <f>'Clean Data'!Z278</f>
        <v>NaN</v>
      </c>
      <c r="AA279" s="16">
        <f>'Clean Data'!AA278</f>
        <v>0</v>
      </c>
      <c r="AB279" s="16" t="str">
        <f>'Clean Data'!AB278</f>
        <v>lab</v>
      </c>
      <c r="AC279" s="16">
        <f>'Clean Data'!AC278</f>
        <v>51.5</v>
      </c>
      <c r="AD279" s="16">
        <f>'Clean Data'!AD278</f>
        <v>17.5</v>
      </c>
      <c r="AE279" s="16">
        <f>'Clean Data'!AE278</f>
        <v>19.2</v>
      </c>
      <c r="AF279" s="16">
        <f>'Clean Data'!AF278</f>
        <v>10.3</v>
      </c>
      <c r="AG279" s="16">
        <f>'Clean Data'!AG278</f>
        <v>1.2</v>
      </c>
      <c r="AH279" s="16" t="str">
        <f>'Clean Data'!AH278</f>
        <v>NaN</v>
      </c>
      <c r="AI279" s="16">
        <f>'Clean Data'!AI278</f>
        <v>4.7431569999999992</v>
      </c>
      <c r="AJ279" s="16" t="str">
        <f>'Clean Data'!AJ278</f>
        <v>NaN</v>
      </c>
      <c r="AK279" s="16" t="str">
        <f>'Clean Data'!AK278</f>
        <v>NaN</v>
      </c>
      <c r="AL279" s="16" t="str">
        <f>'Clean Data'!AL278</f>
        <v>NaN</v>
      </c>
      <c r="AM279" s="16" t="str">
        <f>'Clean Data'!AM278</f>
        <v>NaN</v>
      </c>
      <c r="AN279" s="16" t="str">
        <f>'Clean Data'!AN278</f>
        <v>NaN</v>
      </c>
      <c r="AO279" s="16" t="str">
        <f>'Clean Data'!AO278</f>
        <v>Dutta,Energy Procedia 2014, 54, 21-34</v>
      </c>
      <c r="AP279" s="16"/>
      <c r="AQ279" s="16"/>
      <c r="AR279" s="16"/>
      <c r="AS279" s="16"/>
      <c r="AT279" s="16"/>
    </row>
    <row r="280" spans="1:46" x14ac:dyDescent="0.3">
      <c r="A280" s="16">
        <f>'Clean Data'!A279</f>
        <v>278</v>
      </c>
      <c r="B280" s="16" t="str">
        <f>'Clean Data'!B279</f>
        <v>woody biomass</v>
      </c>
      <c r="C280" s="16" t="str">
        <f>'Clean Data'!C279</f>
        <v>chips</v>
      </c>
      <c r="D280" s="16" t="str">
        <f>'Clean Data'!D279</f>
        <v>NaN</v>
      </c>
      <c r="E280" s="16">
        <f>'Clean Data'!E279</f>
        <v>18.399999999999999</v>
      </c>
      <c r="F280" s="16">
        <f>'Clean Data'!F279</f>
        <v>48.39</v>
      </c>
      <c r="G280" s="16">
        <f>'Clean Data'!G279</f>
        <v>5.86</v>
      </c>
      <c r="H280" s="16">
        <f>'Clean Data'!H279</f>
        <v>2.04</v>
      </c>
      <c r="I280" s="16" t="str">
        <f>'Clean Data'!I279</f>
        <v>NaN</v>
      </c>
      <c r="J280" s="16">
        <f>'Clean Data'!J279</f>
        <v>39.21</v>
      </c>
      <c r="K280" s="16">
        <f>'Clean Data'!K279</f>
        <v>4.5</v>
      </c>
      <c r="L280" s="16">
        <f>'Clean Data'!L279</f>
        <v>20</v>
      </c>
      <c r="M280" s="16">
        <f>'Clean Data'!M279</f>
        <v>80.3</v>
      </c>
      <c r="N280" s="16">
        <f>'Clean Data'!N279</f>
        <v>15.2</v>
      </c>
      <c r="O280" s="16" t="str">
        <f>'Clean Data'!O279</f>
        <v>NaN</v>
      </c>
      <c r="P280" s="16" t="str">
        <f>'Clean Data'!P279</f>
        <v>NaN</v>
      </c>
      <c r="Q280" s="16" t="str">
        <f>'Clean Data'!Q279</f>
        <v>NaN</v>
      </c>
      <c r="R280" s="16">
        <f>'Clean Data'!R279</f>
        <v>850</v>
      </c>
      <c r="S280" s="16" t="str">
        <f>'Clean Data'!S279</f>
        <v>NaN</v>
      </c>
      <c r="T280" s="16" t="str">
        <f>'Clean Data'!T279</f>
        <v>NaN</v>
      </c>
      <c r="U280" s="16" t="str">
        <f>'Clean Data'!U279</f>
        <v>NaN</v>
      </c>
      <c r="V280" s="16" t="str">
        <f>'Clean Data'!V279</f>
        <v>NaN</v>
      </c>
      <c r="W280" s="16">
        <f>'Clean Data'!W279</f>
        <v>0.3</v>
      </c>
      <c r="X280" s="16" t="str">
        <f>'Clean Data'!X279</f>
        <v>air</v>
      </c>
      <c r="Y280" s="16" t="str">
        <f>'Clean Data'!Y279</f>
        <v>fixed bed</v>
      </c>
      <c r="Z280" s="16" t="str">
        <f>'Clean Data'!Z279</f>
        <v>NaN</v>
      </c>
      <c r="AA280" s="16">
        <f>'Clean Data'!AA279</f>
        <v>0</v>
      </c>
      <c r="AB280" s="16" t="str">
        <f>'Clean Data'!AB279</f>
        <v>lab</v>
      </c>
      <c r="AC280" s="16">
        <f>'Clean Data'!AC279</f>
        <v>50.5</v>
      </c>
      <c r="AD280" s="16">
        <f>'Clean Data'!AD279</f>
        <v>18.2</v>
      </c>
      <c r="AE280" s="16">
        <f>'Clean Data'!AE279</f>
        <v>18.5</v>
      </c>
      <c r="AF280" s="16">
        <f>'Clean Data'!AF279</f>
        <v>11</v>
      </c>
      <c r="AG280" s="16">
        <f>'Clean Data'!AG279</f>
        <v>1.35</v>
      </c>
      <c r="AH280" s="16" t="str">
        <f>'Clean Data'!AH279</f>
        <v>NaN</v>
      </c>
      <c r="AI280" s="16">
        <f>'Clean Data'!AI279</f>
        <v>4.7840315000000002</v>
      </c>
      <c r="AJ280" s="16" t="str">
        <f>'Clean Data'!AJ279</f>
        <v>NaN</v>
      </c>
      <c r="AK280" s="16" t="str">
        <f>'Clean Data'!AK279</f>
        <v>NaN</v>
      </c>
      <c r="AL280" s="16" t="str">
        <f>'Clean Data'!AL279</f>
        <v>NaN</v>
      </c>
      <c r="AM280" s="16" t="str">
        <f>'Clean Data'!AM279</f>
        <v>NaN</v>
      </c>
      <c r="AN280" s="16" t="str">
        <f>'Clean Data'!AN279</f>
        <v>NaN</v>
      </c>
      <c r="AO280" s="16" t="str">
        <f>'Clean Data'!AO279</f>
        <v>Dutta,Energy Procedia 2014, 54, 21-34</v>
      </c>
      <c r="AP280" s="16"/>
      <c r="AQ280" s="16"/>
      <c r="AR280" s="16"/>
      <c r="AS280" s="16"/>
      <c r="AT280" s="16"/>
    </row>
    <row r="281" spans="1:46" x14ac:dyDescent="0.3">
      <c r="A281" s="16">
        <f>'Clean Data'!A280</f>
        <v>279</v>
      </c>
      <c r="B281" s="16" t="str">
        <f>'Clean Data'!B280</f>
        <v>woody biomass</v>
      </c>
      <c r="C281" s="16" t="str">
        <f>'Clean Data'!C280</f>
        <v>chips</v>
      </c>
      <c r="D281" s="16" t="str">
        <f>'Clean Data'!D280</f>
        <v>NaN</v>
      </c>
      <c r="E281" s="16">
        <f>'Clean Data'!E280</f>
        <v>19.058823529411764</v>
      </c>
      <c r="F281" s="16">
        <f>'Clean Data'!F280</f>
        <v>44.43</v>
      </c>
      <c r="G281" s="16">
        <f>'Clean Data'!G280</f>
        <v>6.16</v>
      </c>
      <c r="H281" s="16">
        <f>'Clean Data'!H280</f>
        <v>1.65</v>
      </c>
      <c r="I281" s="16" t="str">
        <f>'Clean Data'!I280</f>
        <v>NaN</v>
      </c>
      <c r="J281" s="16">
        <f>'Clean Data'!J280</f>
        <v>41.9</v>
      </c>
      <c r="K281" s="16">
        <f>'Clean Data'!K280</f>
        <v>5.5</v>
      </c>
      <c r="L281" s="16">
        <f>'Clean Data'!L280</f>
        <v>5</v>
      </c>
      <c r="M281" s="16">
        <f>'Clean Data'!M280</f>
        <v>81.25</v>
      </c>
      <c r="N281" s="16">
        <f>'Clean Data'!N280</f>
        <v>13.25</v>
      </c>
      <c r="O281" s="16" t="str">
        <f>'Clean Data'!O280</f>
        <v>NaN</v>
      </c>
      <c r="P281" s="16" t="str">
        <f>'Clean Data'!P280</f>
        <v>NaN</v>
      </c>
      <c r="Q281" s="16" t="str">
        <f>'Clean Data'!Q280</f>
        <v>NaN</v>
      </c>
      <c r="R281" s="16">
        <f>'Clean Data'!R280</f>
        <v>850</v>
      </c>
      <c r="S281" s="16" t="str">
        <f>'Clean Data'!S280</f>
        <v>NaN</v>
      </c>
      <c r="T281" s="16" t="str">
        <f>'Clean Data'!T280</f>
        <v>NaN</v>
      </c>
      <c r="U281" s="16" t="str">
        <f>'Clean Data'!U280</f>
        <v>NaN</v>
      </c>
      <c r="V281" s="16" t="str">
        <f>'Clean Data'!V280</f>
        <v>NaN</v>
      </c>
      <c r="W281" s="16">
        <f>'Clean Data'!W280</f>
        <v>0.3</v>
      </c>
      <c r="X281" s="16" t="str">
        <f>'Clean Data'!X280</f>
        <v>air</v>
      </c>
      <c r="Y281" s="16" t="str">
        <f>'Clean Data'!Y280</f>
        <v>fixed bed</v>
      </c>
      <c r="Z281" s="16" t="str">
        <f>'Clean Data'!Z280</f>
        <v>NaN</v>
      </c>
      <c r="AA281" s="16">
        <f>'Clean Data'!AA280</f>
        <v>0</v>
      </c>
      <c r="AB281" s="16" t="str">
        <f>'Clean Data'!AB280</f>
        <v>lab</v>
      </c>
      <c r="AC281" s="16">
        <f>'Clean Data'!AC280</f>
        <v>52.4</v>
      </c>
      <c r="AD281" s="16">
        <f>'Clean Data'!AD280</f>
        <v>17</v>
      </c>
      <c r="AE281" s="16">
        <f>'Clean Data'!AE280</f>
        <v>18.5</v>
      </c>
      <c r="AF281" s="16">
        <f>'Clean Data'!AF280</f>
        <v>10.7</v>
      </c>
      <c r="AG281" s="16">
        <f>'Clean Data'!AG280</f>
        <v>1.2</v>
      </c>
      <c r="AH281" s="16" t="str">
        <f>'Clean Data'!AH280</f>
        <v>NaN</v>
      </c>
      <c r="AI281" s="16">
        <f>'Clean Data'!AI280</f>
        <v>4.6008109999999993</v>
      </c>
      <c r="AJ281" s="16" t="str">
        <f>'Clean Data'!AJ280</f>
        <v>NaN</v>
      </c>
      <c r="AK281" s="16" t="str">
        <f>'Clean Data'!AK280</f>
        <v>NaN</v>
      </c>
      <c r="AL281" s="16" t="str">
        <f>'Clean Data'!AL280</f>
        <v>NaN</v>
      </c>
      <c r="AM281" s="16" t="str">
        <f>'Clean Data'!AM280</f>
        <v>NaN</v>
      </c>
      <c r="AN281" s="16" t="str">
        <f>'Clean Data'!AN280</f>
        <v>NaN</v>
      </c>
      <c r="AO281" s="16" t="str">
        <f>'Clean Data'!AO280</f>
        <v>Dutta,Energy Procedia 2014, 54, 21-34</v>
      </c>
      <c r="AP281" s="16"/>
      <c r="AQ281" s="16"/>
      <c r="AR281" s="16"/>
      <c r="AS281" s="16"/>
      <c r="AT281" s="16"/>
    </row>
    <row r="282" spans="1:46" x14ac:dyDescent="0.3">
      <c r="A282" s="16">
        <f>'Clean Data'!A281</f>
        <v>280</v>
      </c>
      <c r="B282" s="16" t="str">
        <f>'Clean Data'!B281</f>
        <v>woody biomass</v>
      </c>
      <c r="C282" s="16" t="str">
        <f>'Clean Data'!C281</f>
        <v>chips</v>
      </c>
      <c r="D282" s="16" t="str">
        <f>'Clean Data'!D281</f>
        <v>NaN</v>
      </c>
      <c r="E282" s="16">
        <f>'Clean Data'!E281</f>
        <v>16.2</v>
      </c>
      <c r="F282" s="16">
        <f>'Clean Data'!F281</f>
        <v>44.43</v>
      </c>
      <c r="G282" s="16">
        <f>'Clean Data'!G281</f>
        <v>6.16</v>
      </c>
      <c r="H282" s="16">
        <f>'Clean Data'!H281</f>
        <v>1.65</v>
      </c>
      <c r="I282" s="16" t="str">
        <f>'Clean Data'!I281</f>
        <v>NaN</v>
      </c>
      <c r="J282" s="16">
        <f>'Clean Data'!J281</f>
        <v>41.9</v>
      </c>
      <c r="K282" s="16">
        <f>'Clean Data'!K281</f>
        <v>5.5</v>
      </c>
      <c r="L282" s="16">
        <f>'Clean Data'!L281</f>
        <v>20</v>
      </c>
      <c r="M282" s="16">
        <f>'Clean Data'!M281</f>
        <v>81.25</v>
      </c>
      <c r="N282" s="16">
        <f>'Clean Data'!N281</f>
        <v>13.25</v>
      </c>
      <c r="O282" s="16" t="str">
        <f>'Clean Data'!O281</f>
        <v>NaN</v>
      </c>
      <c r="P282" s="16" t="str">
        <f>'Clean Data'!P281</f>
        <v>NaN</v>
      </c>
      <c r="Q282" s="16" t="str">
        <f>'Clean Data'!Q281</f>
        <v>NaN</v>
      </c>
      <c r="R282" s="16">
        <f>'Clean Data'!R281</f>
        <v>850</v>
      </c>
      <c r="S282" s="16" t="str">
        <f>'Clean Data'!S281</f>
        <v>NaN</v>
      </c>
      <c r="T282" s="16" t="str">
        <f>'Clean Data'!T281</f>
        <v>NaN</v>
      </c>
      <c r="U282" s="16" t="str">
        <f>'Clean Data'!U281</f>
        <v>NaN</v>
      </c>
      <c r="V282" s="16" t="str">
        <f>'Clean Data'!V281</f>
        <v>NaN</v>
      </c>
      <c r="W282" s="16">
        <f>'Clean Data'!W281</f>
        <v>0.3</v>
      </c>
      <c r="X282" s="16" t="str">
        <f>'Clean Data'!X281</f>
        <v>air</v>
      </c>
      <c r="Y282" s="16" t="str">
        <f>'Clean Data'!Y281</f>
        <v>fixed bed</v>
      </c>
      <c r="Z282" s="16" t="str">
        <f>'Clean Data'!Z281</f>
        <v>NaN</v>
      </c>
      <c r="AA282" s="16">
        <f>'Clean Data'!AA281</f>
        <v>0</v>
      </c>
      <c r="AB282" s="16" t="str">
        <f>'Clean Data'!AB281</f>
        <v>lab</v>
      </c>
      <c r="AC282" s="16">
        <f>'Clean Data'!AC281</f>
        <v>51.5</v>
      </c>
      <c r="AD282" s="16">
        <f>'Clean Data'!AD281</f>
        <v>17.5</v>
      </c>
      <c r="AE282" s="16">
        <f>'Clean Data'!AE281</f>
        <v>18</v>
      </c>
      <c r="AF282" s="16">
        <f>'Clean Data'!AF281</f>
        <v>11.5</v>
      </c>
      <c r="AG282" s="16">
        <f>'Clean Data'!AG281</f>
        <v>1.35</v>
      </c>
      <c r="AH282" s="16" t="str">
        <f>'Clean Data'!AH281</f>
        <v>NaN</v>
      </c>
      <c r="AI282" s="16">
        <f>'Clean Data'!AI281</f>
        <v>4.6453854999999997</v>
      </c>
      <c r="AJ282" s="16" t="str">
        <f>'Clean Data'!AJ281</f>
        <v>NaN</v>
      </c>
      <c r="AK282" s="16" t="str">
        <f>'Clean Data'!AK281</f>
        <v>NaN</v>
      </c>
      <c r="AL282" s="16" t="str">
        <f>'Clean Data'!AL281</f>
        <v>NaN</v>
      </c>
      <c r="AM282" s="16" t="str">
        <f>'Clean Data'!AM281</f>
        <v>NaN</v>
      </c>
      <c r="AN282" s="16" t="str">
        <f>'Clean Data'!AN281</f>
        <v>NaN</v>
      </c>
      <c r="AO282" s="16" t="str">
        <f>'Clean Data'!AO281</f>
        <v>Dutta,Energy Procedia 2014, 54, 21-34</v>
      </c>
      <c r="AP282" s="16"/>
      <c r="AQ282" s="16"/>
      <c r="AR282" s="16"/>
      <c r="AS282" s="16"/>
      <c r="AT282" s="16"/>
    </row>
    <row r="283" spans="1:46" x14ac:dyDescent="0.3">
      <c r="A283" s="16">
        <f>'Clean Data'!A282</f>
        <v>281</v>
      </c>
      <c r="B283" s="16" t="str">
        <f>'Clean Data'!B282</f>
        <v>woody biomass</v>
      </c>
      <c r="C283" s="16" t="str">
        <f>'Clean Data'!C282</f>
        <v>chips</v>
      </c>
      <c r="D283" s="16" t="str">
        <f>'Clean Data'!D282</f>
        <v>NaN</v>
      </c>
      <c r="E283" s="16">
        <f>'Clean Data'!E282</f>
        <v>19.529411764705884</v>
      </c>
      <c r="F283" s="16">
        <f>'Clean Data'!F282</f>
        <v>45.1</v>
      </c>
      <c r="G283" s="16">
        <f>'Clean Data'!G282</f>
        <v>6</v>
      </c>
      <c r="H283" s="16">
        <f>'Clean Data'!H282</f>
        <v>1.7</v>
      </c>
      <c r="I283" s="16" t="str">
        <f>'Clean Data'!I282</f>
        <v>NaN</v>
      </c>
      <c r="J283" s="16">
        <f>'Clean Data'!J282</f>
        <v>41.5</v>
      </c>
      <c r="K283" s="16">
        <f>'Clean Data'!K282</f>
        <v>5.6</v>
      </c>
      <c r="L283" s="16">
        <f>'Clean Data'!L282</f>
        <v>5</v>
      </c>
      <c r="M283" s="16">
        <f>'Clean Data'!M282</f>
        <v>81.75</v>
      </c>
      <c r="N283" s="16">
        <f>'Clean Data'!N282</f>
        <v>12.65</v>
      </c>
      <c r="O283" s="16" t="str">
        <f>'Clean Data'!O282</f>
        <v>NaN</v>
      </c>
      <c r="P283" s="16" t="str">
        <f>'Clean Data'!P282</f>
        <v>NaN</v>
      </c>
      <c r="Q283" s="16" t="str">
        <f>'Clean Data'!Q282</f>
        <v>NaN</v>
      </c>
      <c r="R283" s="16">
        <f>'Clean Data'!R282</f>
        <v>850</v>
      </c>
      <c r="S283" s="16" t="str">
        <f>'Clean Data'!S282</f>
        <v>NaN</v>
      </c>
      <c r="T283" s="16" t="str">
        <f>'Clean Data'!T282</f>
        <v>NaN</v>
      </c>
      <c r="U283" s="16" t="str">
        <f>'Clean Data'!U282</f>
        <v>NaN</v>
      </c>
      <c r="V283" s="16" t="str">
        <f>'Clean Data'!V282</f>
        <v>NaN</v>
      </c>
      <c r="W283" s="16">
        <f>'Clean Data'!W282</f>
        <v>0.3</v>
      </c>
      <c r="X283" s="16" t="str">
        <f>'Clean Data'!X282</f>
        <v>air</v>
      </c>
      <c r="Y283" s="16" t="str">
        <f>'Clean Data'!Y282</f>
        <v>fixed bed</v>
      </c>
      <c r="Z283" s="16" t="str">
        <f>'Clean Data'!Z282</f>
        <v>NaN</v>
      </c>
      <c r="AA283" s="16">
        <f>'Clean Data'!AA282</f>
        <v>0</v>
      </c>
      <c r="AB283" s="16" t="str">
        <f>'Clean Data'!AB282</f>
        <v>lab</v>
      </c>
      <c r="AC283" s="16">
        <f>'Clean Data'!AC282</f>
        <v>51.5</v>
      </c>
      <c r="AD283" s="16">
        <f>'Clean Data'!AD282</f>
        <v>17.5</v>
      </c>
      <c r="AE283" s="16">
        <f>'Clean Data'!AE282</f>
        <v>19.2</v>
      </c>
      <c r="AF283" s="16">
        <f>'Clean Data'!AF282</f>
        <v>10.3</v>
      </c>
      <c r="AG283" s="16">
        <f>'Clean Data'!AG282</f>
        <v>1.2</v>
      </c>
      <c r="AH283" s="16" t="str">
        <f>'Clean Data'!AH282</f>
        <v>NaN</v>
      </c>
      <c r="AI283" s="16">
        <f>'Clean Data'!AI282</f>
        <v>4.7431569999999992</v>
      </c>
      <c r="AJ283" s="16" t="str">
        <f>'Clean Data'!AJ282</f>
        <v>NaN</v>
      </c>
      <c r="AK283" s="16" t="str">
        <f>'Clean Data'!AK282</f>
        <v>NaN</v>
      </c>
      <c r="AL283" s="16" t="str">
        <f>'Clean Data'!AL282</f>
        <v>NaN</v>
      </c>
      <c r="AM283" s="16" t="str">
        <f>'Clean Data'!AM282</f>
        <v>NaN</v>
      </c>
      <c r="AN283" s="16" t="str">
        <f>'Clean Data'!AN282</f>
        <v>NaN</v>
      </c>
      <c r="AO283" s="16" t="str">
        <f>'Clean Data'!AO282</f>
        <v>Dutta,Energy Procedia 2014, 54, 21-34</v>
      </c>
      <c r="AP283" s="16"/>
      <c r="AQ283" s="16"/>
      <c r="AR283" s="16"/>
      <c r="AS283" s="16"/>
      <c r="AT283" s="16"/>
    </row>
    <row r="284" spans="1:46" x14ac:dyDescent="0.3">
      <c r="A284" s="16">
        <f>'Clean Data'!A283</f>
        <v>282</v>
      </c>
      <c r="B284" s="16" t="str">
        <f>'Clean Data'!B283</f>
        <v>woody biomass</v>
      </c>
      <c r="C284" s="16" t="str">
        <f>'Clean Data'!C283</f>
        <v>chips</v>
      </c>
      <c r="D284" s="16" t="str">
        <f>'Clean Data'!D283</f>
        <v>NaN</v>
      </c>
      <c r="E284" s="16">
        <f>'Clean Data'!E283</f>
        <v>16.600000000000001</v>
      </c>
      <c r="F284" s="16">
        <f>'Clean Data'!F283</f>
        <v>45.1</v>
      </c>
      <c r="G284" s="16">
        <f>'Clean Data'!G283</f>
        <v>6</v>
      </c>
      <c r="H284" s="16">
        <f>'Clean Data'!H283</f>
        <v>1.7</v>
      </c>
      <c r="I284" s="16" t="str">
        <f>'Clean Data'!I283</f>
        <v>NaN</v>
      </c>
      <c r="J284" s="16">
        <f>'Clean Data'!J283</f>
        <v>41.5</v>
      </c>
      <c r="K284" s="16">
        <f>'Clean Data'!K283</f>
        <v>5.6</v>
      </c>
      <c r="L284" s="16">
        <f>'Clean Data'!L283</f>
        <v>20</v>
      </c>
      <c r="M284" s="16">
        <f>'Clean Data'!M283</f>
        <v>81.75</v>
      </c>
      <c r="N284" s="16">
        <f>'Clean Data'!N283</f>
        <v>12.65</v>
      </c>
      <c r="O284" s="16" t="str">
        <f>'Clean Data'!O283</f>
        <v>NaN</v>
      </c>
      <c r="P284" s="16" t="str">
        <f>'Clean Data'!P283</f>
        <v>NaN</v>
      </c>
      <c r="Q284" s="16" t="str">
        <f>'Clean Data'!Q283</f>
        <v>NaN</v>
      </c>
      <c r="R284" s="16">
        <f>'Clean Data'!R283</f>
        <v>850</v>
      </c>
      <c r="S284" s="16" t="str">
        <f>'Clean Data'!S283</f>
        <v>NaN</v>
      </c>
      <c r="T284" s="16" t="str">
        <f>'Clean Data'!T283</f>
        <v>NaN</v>
      </c>
      <c r="U284" s="16" t="str">
        <f>'Clean Data'!U283</f>
        <v>NaN</v>
      </c>
      <c r="V284" s="16" t="str">
        <f>'Clean Data'!V283</f>
        <v>NaN</v>
      </c>
      <c r="W284" s="16">
        <f>'Clean Data'!W283</f>
        <v>0.3</v>
      </c>
      <c r="X284" s="16" t="str">
        <f>'Clean Data'!X283</f>
        <v>air</v>
      </c>
      <c r="Y284" s="16" t="str">
        <f>'Clean Data'!Y283</f>
        <v>fixed bed</v>
      </c>
      <c r="Z284" s="16" t="str">
        <f>'Clean Data'!Z283</f>
        <v>NaN</v>
      </c>
      <c r="AA284" s="16">
        <f>'Clean Data'!AA283</f>
        <v>0</v>
      </c>
      <c r="AB284" s="16" t="str">
        <f>'Clean Data'!AB283</f>
        <v>lab</v>
      </c>
      <c r="AC284" s="16">
        <f>'Clean Data'!AC283</f>
        <v>50.5</v>
      </c>
      <c r="AD284" s="16">
        <f>'Clean Data'!AD283</f>
        <v>18.2</v>
      </c>
      <c r="AE284" s="16">
        <f>'Clean Data'!AE283</f>
        <v>18.5</v>
      </c>
      <c r="AF284" s="16">
        <f>'Clean Data'!AF283</f>
        <v>11</v>
      </c>
      <c r="AG284" s="16">
        <f>'Clean Data'!AG283</f>
        <v>1.35</v>
      </c>
      <c r="AH284" s="16" t="str">
        <f>'Clean Data'!AH283</f>
        <v>NaN</v>
      </c>
      <c r="AI284" s="16">
        <f>'Clean Data'!AI283</f>
        <v>4.7840315000000002</v>
      </c>
      <c r="AJ284" s="16" t="str">
        <f>'Clean Data'!AJ283</f>
        <v>NaN</v>
      </c>
      <c r="AK284" s="16" t="str">
        <f>'Clean Data'!AK283</f>
        <v>NaN</v>
      </c>
      <c r="AL284" s="16" t="str">
        <f>'Clean Data'!AL283</f>
        <v>NaN</v>
      </c>
      <c r="AM284" s="16" t="str">
        <f>'Clean Data'!AM283</f>
        <v>NaN</v>
      </c>
      <c r="AN284" s="16" t="str">
        <f>'Clean Data'!AN283</f>
        <v>NaN</v>
      </c>
      <c r="AO284" s="16" t="str">
        <f>'Clean Data'!AO283</f>
        <v>Dutta,Energy Procedia 2014, 54, 21-34</v>
      </c>
      <c r="AP284" s="16"/>
      <c r="AQ284" s="16"/>
      <c r="AR284" s="16"/>
      <c r="AS284" s="16"/>
      <c r="AT284" s="16"/>
    </row>
    <row r="285" spans="1:46" x14ac:dyDescent="0.3">
      <c r="A285" s="16">
        <f>'Clean Data'!A284</f>
        <v>283</v>
      </c>
      <c r="B285" s="16" t="str">
        <f>'Clean Data'!B284</f>
        <v>woody biomass</v>
      </c>
      <c r="C285" s="16" t="str">
        <f>'Clean Data'!C284</f>
        <v>chips</v>
      </c>
      <c r="D285" s="16" t="str">
        <f>'Clean Data'!D284</f>
        <v>NaN</v>
      </c>
      <c r="E285" s="16">
        <f>'Clean Data'!E284</f>
        <v>18.764705882352942</v>
      </c>
      <c r="F285" s="16">
        <f>'Clean Data'!F284</f>
        <v>44.85</v>
      </c>
      <c r="G285" s="16">
        <f>'Clean Data'!G284</f>
        <v>5.98</v>
      </c>
      <c r="H285" s="16">
        <f>'Clean Data'!H284</f>
        <v>1.65</v>
      </c>
      <c r="I285" s="16" t="str">
        <f>'Clean Data'!I284</f>
        <v>NaN</v>
      </c>
      <c r="J285" s="16">
        <f>'Clean Data'!J284</f>
        <v>41.84</v>
      </c>
      <c r="K285" s="16">
        <f>'Clean Data'!K284</f>
        <v>5.8</v>
      </c>
      <c r="L285" s="16">
        <f>'Clean Data'!L284</f>
        <v>5</v>
      </c>
      <c r="M285" s="16">
        <f>'Clean Data'!M284</f>
        <v>82</v>
      </c>
      <c r="N285" s="16">
        <f>'Clean Data'!N284</f>
        <v>12.2</v>
      </c>
      <c r="O285" s="16" t="str">
        <f>'Clean Data'!O284</f>
        <v>NaN</v>
      </c>
      <c r="P285" s="16" t="str">
        <f>'Clean Data'!P284</f>
        <v>NaN</v>
      </c>
      <c r="Q285" s="16" t="str">
        <f>'Clean Data'!Q284</f>
        <v>NaN</v>
      </c>
      <c r="R285" s="16">
        <f>'Clean Data'!R284</f>
        <v>850</v>
      </c>
      <c r="S285" s="16" t="str">
        <f>'Clean Data'!S284</f>
        <v>NaN</v>
      </c>
      <c r="T285" s="16" t="str">
        <f>'Clean Data'!T284</f>
        <v>NaN</v>
      </c>
      <c r="U285" s="16" t="str">
        <f>'Clean Data'!U284</f>
        <v>NaN</v>
      </c>
      <c r="V285" s="16" t="str">
        <f>'Clean Data'!V284</f>
        <v>NaN</v>
      </c>
      <c r="W285" s="16">
        <f>'Clean Data'!W284</f>
        <v>0.3</v>
      </c>
      <c r="X285" s="16" t="str">
        <f>'Clean Data'!X284</f>
        <v>air</v>
      </c>
      <c r="Y285" s="16" t="str">
        <f>'Clean Data'!Y284</f>
        <v>fixed bed</v>
      </c>
      <c r="Z285" s="16" t="str">
        <f>'Clean Data'!Z284</f>
        <v>NaN</v>
      </c>
      <c r="AA285" s="16">
        <f>'Clean Data'!AA284</f>
        <v>0</v>
      </c>
      <c r="AB285" s="16" t="str">
        <f>'Clean Data'!AB284</f>
        <v>lab</v>
      </c>
      <c r="AC285" s="16">
        <f>'Clean Data'!AC284</f>
        <v>53</v>
      </c>
      <c r="AD285" s="16">
        <f>'Clean Data'!AD284</f>
        <v>16.5</v>
      </c>
      <c r="AE285" s="16">
        <f>'Clean Data'!AE284</f>
        <v>17.5</v>
      </c>
      <c r="AF285" s="16">
        <f>'Clean Data'!AF284</f>
        <v>11.5</v>
      </c>
      <c r="AG285" s="16">
        <f>'Clean Data'!AG284</f>
        <v>0.85</v>
      </c>
      <c r="AH285" s="16" t="str">
        <f>'Clean Data'!AH284</f>
        <v>NaN</v>
      </c>
      <c r="AI285" s="16">
        <f>'Clean Data'!AI284</f>
        <v>4.2949754999999996</v>
      </c>
      <c r="AJ285" s="16" t="str">
        <f>'Clean Data'!AJ284</f>
        <v>NaN</v>
      </c>
      <c r="AK285" s="16" t="str">
        <f>'Clean Data'!AK284</f>
        <v>NaN</v>
      </c>
      <c r="AL285" s="16" t="str">
        <f>'Clean Data'!AL284</f>
        <v>NaN</v>
      </c>
      <c r="AM285" s="16" t="str">
        <f>'Clean Data'!AM284</f>
        <v>NaN</v>
      </c>
      <c r="AN285" s="16" t="str">
        <f>'Clean Data'!AN284</f>
        <v>NaN</v>
      </c>
      <c r="AO285" s="16" t="str">
        <f>'Clean Data'!AO284</f>
        <v>Dutta,Energy Procedia 2014, 54, 21-34</v>
      </c>
      <c r="AP285" s="16"/>
      <c r="AQ285" s="16"/>
      <c r="AR285" s="16"/>
      <c r="AS285" s="16"/>
      <c r="AT285" s="16"/>
    </row>
    <row r="286" spans="1:46" x14ac:dyDescent="0.3">
      <c r="A286" s="16">
        <f>'Clean Data'!A285</f>
        <v>284</v>
      </c>
      <c r="B286" s="16" t="str">
        <f>'Clean Data'!B285</f>
        <v>woody biomass</v>
      </c>
      <c r="C286" s="16" t="str">
        <f>'Clean Data'!C285</f>
        <v>chips</v>
      </c>
      <c r="D286" s="16" t="str">
        <f>'Clean Data'!D285</f>
        <v>NaN</v>
      </c>
      <c r="E286" s="16">
        <f>'Clean Data'!E285</f>
        <v>15.95</v>
      </c>
      <c r="F286" s="16">
        <f>'Clean Data'!F285</f>
        <v>44.85</v>
      </c>
      <c r="G286" s="16">
        <f>'Clean Data'!G285</f>
        <v>5.98</v>
      </c>
      <c r="H286" s="16">
        <f>'Clean Data'!H285</f>
        <v>1.65</v>
      </c>
      <c r="I286" s="16" t="str">
        <f>'Clean Data'!I285</f>
        <v>NaN</v>
      </c>
      <c r="J286" s="16">
        <f>'Clean Data'!J285</f>
        <v>41.84</v>
      </c>
      <c r="K286" s="16">
        <f>'Clean Data'!K285</f>
        <v>5.8</v>
      </c>
      <c r="L286" s="16">
        <f>'Clean Data'!L285</f>
        <v>20</v>
      </c>
      <c r="M286" s="16">
        <f>'Clean Data'!M285</f>
        <v>82</v>
      </c>
      <c r="N286" s="16">
        <f>'Clean Data'!N285</f>
        <v>12.2</v>
      </c>
      <c r="O286" s="16" t="str">
        <f>'Clean Data'!O285</f>
        <v>NaN</v>
      </c>
      <c r="P286" s="16" t="str">
        <f>'Clean Data'!P285</f>
        <v>NaN</v>
      </c>
      <c r="Q286" s="16" t="str">
        <f>'Clean Data'!Q285</f>
        <v>NaN</v>
      </c>
      <c r="R286" s="16">
        <f>'Clean Data'!R285</f>
        <v>850</v>
      </c>
      <c r="S286" s="16" t="str">
        <f>'Clean Data'!S285</f>
        <v>NaN</v>
      </c>
      <c r="T286" s="16" t="str">
        <f>'Clean Data'!T285</f>
        <v>NaN</v>
      </c>
      <c r="U286" s="16" t="str">
        <f>'Clean Data'!U285</f>
        <v>NaN</v>
      </c>
      <c r="V286" s="16" t="str">
        <f>'Clean Data'!V285</f>
        <v>NaN</v>
      </c>
      <c r="W286" s="16">
        <f>'Clean Data'!W285</f>
        <v>0.3</v>
      </c>
      <c r="X286" s="16" t="str">
        <f>'Clean Data'!X285</f>
        <v>air</v>
      </c>
      <c r="Y286" s="16" t="str">
        <f>'Clean Data'!Y285</f>
        <v>fixed bed</v>
      </c>
      <c r="Z286" s="16" t="str">
        <f>'Clean Data'!Z285</f>
        <v>NaN</v>
      </c>
      <c r="AA286" s="16">
        <f>'Clean Data'!AA285</f>
        <v>0</v>
      </c>
      <c r="AB286" s="16" t="str">
        <f>'Clean Data'!AB285</f>
        <v>lab</v>
      </c>
      <c r="AC286" s="16">
        <f>'Clean Data'!AC285</f>
        <v>52.5</v>
      </c>
      <c r="AD286" s="16">
        <f>'Clean Data'!AD285</f>
        <v>17</v>
      </c>
      <c r="AE286" s="16">
        <f>'Clean Data'!AE285</f>
        <v>17</v>
      </c>
      <c r="AF286" s="16">
        <f>'Clean Data'!AF285</f>
        <v>12</v>
      </c>
      <c r="AG286" s="16">
        <f>'Clean Data'!AG285</f>
        <v>0.95</v>
      </c>
      <c r="AH286" s="16" t="str">
        <f>'Clean Data'!AH285</f>
        <v>NaN</v>
      </c>
      <c r="AI286" s="16">
        <f>'Clean Data'!AI285</f>
        <v>4.3216085</v>
      </c>
      <c r="AJ286" s="16" t="str">
        <f>'Clean Data'!AJ285</f>
        <v>NaN</v>
      </c>
      <c r="AK286" s="16" t="str">
        <f>'Clean Data'!AK285</f>
        <v>NaN</v>
      </c>
      <c r="AL286" s="16" t="str">
        <f>'Clean Data'!AL285</f>
        <v>NaN</v>
      </c>
      <c r="AM286" s="16" t="str">
        <f>'Clean Data'!AM285</f>
        <v>NaN</v>
      </c>
      <c r="AN286" s="16" t="str">
        <f>'Clean Data'!AN285</f>
        <v>NaN</v>
      </c>
      <c r="AO286" s="16" t="str">
        <f>'Clean Data'!AO285</f>
        <v>Dutta,Energy Procedia 2014, 54, 21-34</v>
      </c>
      <c r="AP286" s="16"/>
      <c r="AQ286" s="16"/>
      <c r="AR286" s="16"/>
      <c r="AS286" s="16"/>
      <c r="AT286" s="16"/>
    </row>
    <row r="287" spans="1:46" x14ac:dyDescent="0.3">
      <c r="A287" s="16">
        <f>'Clean Data'!A286</f>
        <v>285</v>
      </c>
      <c r="B287" s="16" t="str">
        <f>'Clean Data'!B286</f>
        <v>woody biomass</v>
      </c>
      <c r="C287" s="16" t="str">
        <f>'Clean Data'!C286</f>
        <v>chips</v>
      </c>
      <c r="D287" s="16" t="str">
        <f>'Clean Data'!D286</f>
        <v>NaN</v>
      </c>
      <c r="E287" s="16">
        <f>'Clean Data'!E286</f>
        <v>20.176470588235293</v>
      </c>
      <c r="F287" s="16">
        <f>'Clean Data'!F286</f>
        <v>45.85</v>
      </c>
      <c r="G287" s="16">
        <f>'Clean Data'!G286</f>
        <v>5.8</v>
      </c>
      <c r="H287" s="16">
        <f>'Clean Data'!H286</f>
        <v>1.6</v>
      </c>
      <c r="I287" s="16" t="str">
        <f>'Clean Data'!I286</f>
        <v>NaN</v>
      </c>
      <c r="J287" s="16">
        <f>'Clean Data'!J286</f>
        <v>40.25</v>
      </c>
      <c r="K287" s="16">
        <f>'Clean Data'!K286</f>
        <v>4.5999999999999996</v>
      </c>
      <c r="L287" s="16">
        <f>'Clean Data'!L286</f>
        <v>5</v>
      </c>
      <c r="M287" s="16">
        <f>'Clean Data'!M286</f>
        <v>80</v>
      </c>
      <c r="N287" s="16">
        <f>'Clean Data'!N286</f>
        <v>15.4</v>
      </c>
      <c r="O287" s="16" t="str">
        <f>'Clean Data'!O286</f>
        <v>NaN</v>
      </c>
      <c r="P287" s="16" t="str">
        <f>'Clean Data'!P286</f>
        <v>NaN</v>
      </c>
      <c r="Q287" s="16" t="str">
        <f>'Clean Data'!Q286</f>
        <v>NaN</v>
      </c>
      <c r="R287" s="16">
        <f>'Clean Data'!R286</f>
        <v>850</v>
      </c>
      <c r="S287" s="16" t="str">
        <f>'Clean Data'!S286</f>
        <v>NaN</v>
      </c>
      <c r="T287" s="16" t="str">
        <f>'Clean Data'!T286</f>
        <v>NaN</v>
      </c>
      <c r="U287" s="16" t="str">
        <f>'Clean Data'!U286</f>
        <v>NaN</v>
      </c>
      <c r="V287" s="16" t="str">
        <f>'Clean Data'!V286</f>
        <v>NaN</v>
      </c>
      <c r="W287" s="16">
        <f>'Clean Data'!W286</f>
        <v>0.3</v>
      </c>
      <c r="X287" s="16" t="str">
        <f>'Clean Data'!X286</f>
        <v>air</v>
      </c>
      <c r="Y287" s="16" t="str">
        <f>'Clean Data'!Y286</f>
        <v>fixed bed</v>
      </c>
      <c r="Z287" s="16" t="str">
        <f>'Clean Data'!Z286</f>
        <v>NaN</v>
      </c>
      <c r="AA287" s="16">
        <f>'Clean Data'!AA286</f>
        <v>0</v>
      </c>
      <c r="AB287" s="16" t="str">
        <f>'Clean Data'!AB286</f>
        <v>lab</v>
      </c>
      <c r="AC287" s="16">
        <f>'Clean Data'!AC286</f>
        <v>49.1</v>
      </c>
      <c r="AD287" s="16">
        <f>'Clean Data'!AD286</f>
        <v>18</v>
      </c>
      <c r="AE287" s="16">
        <f>'Clean Data'!AE286</f>
        <v>20.2</v>
      </c>
      <c r="AF287" s="16">
        <f>'Clean Data'!AF286</f>
        <v>11</v>
      </c>
      <c r="AG287" s="16">
        <f>'Clean Data'!AG286</f>
        <v>1.2</v>
      </c>
      <c r="AH287" s="16" t="str">
        <f>'Clean Data'!AH286</f>
        <v>NaN</v>
      </c>
      <c r="AI287" s="16">
        <f>'Clean Data'!AI286</f>
        <v>4.9234019999999994</v>
      </c>
      <c r="AJ287" s="16" t="str">
        <f>'Clean Data'!AJ286</f>
        <v>NaN</v>
      </c>
      <c r="AK287" s="16" t="str">
        <f>'Clean Data'!AK286</f>
        <v>NaN</v>
      </c>
      <c r="AL287" s="16" t="str">
        <f>'Clean Data'!AL286</f>
        <v>NaN</v>
      </c>
      <c r="AM287" s="16" t="str">
        <f>'Clean Data'!AM286</f>
        <v>NaN</v>
      </c>
      <c r="AN287" s="16" t="str">
        <f>'Clean Data'!AN286</f>
        <v>NaN</v>
      </c>
      <c r="AO287" s="16" t="str">
        <f>'Clean Data'!AO286</f>
        <v>Dutta,Energy Procedia 2014, 54, 21-34</v>
      </c>
      <c r="AP287" s="16"/>
      <c r="AQ287" s="16"/>
      <c r="AR287" s="16"/>
      <c r="AS287" s="16"/>
      <c r="AT287" s="16"/>
    </row>
    <row r="288" spans="1:46" x14ac:dyDescent="0.3">
      <c r="A288" s="16">
        <f>'Clean Data'!A287</f>
        <v>286</v>
      </c>
      <c r="B288" s="16" t="str">
        <f>'Clean Data'!B287</f>
        <v>woody biomass</v>
      </c>
      <c r="C288" s="16" t="str">
        <f>'Clean Data'!C287</f>
        <v>chips</v>
      </c>
      <c r="D288" s="16" t="str">
        <f>'Clean Data'!D287</f>
        <v>NaN</v>
      </c>
      <c r="E288" s="16">
        <f>'Clean Data'!E287</f>
        <v>17.149999999999999</v>
      </c>
      <c r="F288" s="16">
        <f>'Clean Data'!F287</f>
        <v>45.85</v>
      </c>
      <c r="G288" s="16">
        <f>'Clean Data'!G287</f>
        <v>5.8</v>
      </c>
      <c r="H288" s="16">
        <f>'Clean Data'!H287</f>
        <v>1.6</v>
      </c>
      <c r="I288" s="16" t="str">
        <f>'Clean Data'!I287</f>
        <v>NaN</v>
      </c>
      <c r="J288" s="16">
        <f>'Clean Data'!J287</f>
        <v>40.25</v>
      </c>
      <c r="K288" s="16">
        <f>'Clean Data'!K287</f>
        <v>4.5999999999999996</v>
      </c>
      <c r="L288" s="16">
        <f>'Clean Data'!L287</f>
        <v>20</v>
      </c>
      <c r="M288" s="16">
        <f>'Clean Data'!M287</f>
        <v>80</v>
      </c>
      <c r="N288" s="16">
        <f>'Clean Data'!N287</f>
        <v>15.4</v>
      </c>
      <c r="O288" s="16" t="str">
        <f>'Clean Data'!O287</f>
        <v>NaN</v>
      </c>
      <c r="P288" s="16" t="str">
        <f>'Clean Data'!P287</f>
        <v>NaN</v>
      </c>
      <c r="Q288" s="16" t="str">
        <f>'Clean Data'!Q287</f>
        <v>NaN</v>
      </c>
      <c r="R288" s="16">
        <f>'Clean Data'!R287</f>
        <v>850</v>
      </c>
      <c r="S288" s="16" t="str">
        <f>'Clean Data'!S287</f>
        <v>NaN</v>
      </c>
      <c r="T288" s="16" t="str">
        <f>'Clean Data'!T287</f>
        <v>NaN</v>
      </c>
      <c r="U288" s="16" t="str">
        <f>'Clean Data'!U287</f>
        <v>NaN</v>
      </c>
      <c r="V288" s="16" t="str">
        <f>'Clean Data'!V287</f>
        <v>NaN</v>
      </c>
      <c r="W288" s="16">
        <f>'Clean Data'!W287</f>
        <v>0.3</v>
      </c>
      <c r="X288" s="16" t="str">
        <f>'Clean Data'!X287</f>
        <v>air</v>
      </c>
      <c r="Y288" s="16" t="str">
        <f>'Clean Data'!Y287</f>
        <v>fixed bed</v>
      </c>
      <c r="Z288" s="16" t="str">
        <f>'Clean Data'!Z287</f>
        <v>NaN</v>
      </c>
      <c r="AA288" s="16">
        <f>'Clean Data'!AA287</f>
        <v>0</v>
      </c>
      <c r="AB288" s="16" t="str">
        <f>'Clean Data'!AB287</f>
        <v>lab</v>
      </c>
      <c r="AC288" s="16">
        <f>'Clean Data'!AC287</f>
        <v>48.9</v>
      </c>
      <c r="AD288" s="16">
        <f>'Clean Data'!AD287</f>
        <v>19</v>
      </c>
      <c r="AE288" s="16">
        <f>'Clean Data'!AE287</f>
        <v>19</v>
      </c>
      <c r="AF288" s="16">
        <f>'Clean Data'!AF287</f>
        <v>11.4</v>
      </c>
      <c r="AG288" s="16">
        <f>'Clean Data'!AG287</f>
        <v>1.3</v>
      </c>
      <c r="AH288" s="16" t="str">
        <f>'Clean Data'!AH287</f>
        <v>NaN</v>
      </c>
      <c r="AI288" s="16">
        <f>'Clean Data'!AI287</f>
        <v>4.9155189999999997</v>
      </c>
      <c r="AJ288" s="16" t="str">
        <f>'Clean Data'!AJ287</f>
        <v>NaN</v>
      </c>
      <c r="AK288" s="16" t="str">
        <f>'Clean Data'!AK287</f>
        <v>NaN</v>
      </c>
      <c r="AL288" s="16" t="str">
        <f>'Clean Data'!AL287</f>
        <v>NaN</v>
      </c>
      <c r="AM288" s="16" t="str">
        <f>'Clean Data'!AM287</f>
        <v>NaN</v>
      </c>
      <c r="AN288" s="16" t="str">
        <f>'Clean Data'!AN287</f>
        <v>NaN</v>
      </c>
      <c r="AO288" s="16" t="str">
        <f>'Clean Data'!AO287</f>
        <v>Dutta,Energy Procedia 2014, 54, 21-34</v>
      </c>
      <c r="AP288" s="16"/>
      <c r="AQ288" s="16"/>
      <c r="AR288" s="16"/>
      <c r="AS288" s="16"/>
      <c r="AT288" s="16"/>
    </row>
    <row r="289" spans="1:46" x14ac:dyDescent="0.3">
      <c r="A289" s="16">
        <f>'Clean Data'!A288</f>
        <v>287</v>
      </c>
      <c r="B289" s="16" t="str">
        <f>'Clean Data'!B288</f>
        <v>woody biomass</v>
      </c>
      <c r="C289" s="16" t="str">
        <f>'Clean Data'!C288</f>
        <v>dust</v>
      </c>
      <c r="D289" s="16">
        <f>'Clean Data'!D288</f>
        <v>0.5</v>
      </c>
      <c r="E289" s="16">
        <f>'Clean Data'!E288</f>
        <v>16.976400000000002</v>
      </c>
      <c r="F289" s="16">
        <f>'Clean Data'!F288</f>
        <v>42.5</v>
      </c>
      <c r="G289" s="16">
        <f>'Clean Data'!G288</f>
        <v>6.3</v>
      </c>
      <c r="H289" s="16">
        <f>'Clean Data'!H288</f>
        <v>0.2</v>
      </c>
      <c r="I289" s="16" t="str">
        <f>'Clean Data'!I288</f>
        <v>NaN</v>
      </c>
      <c r="J289" s="16">
        <f>'Clean Data'!J288</f>
        <v>51</v>
      </c>
      <c r="K289" s="16">
        <f>'Clean Data'!K288</f>
        <v>1.3114754098360657</v>
      </c>
      <c r="L289" s="16">
        <f>'Clean Data'!L288</f>
        <v>8.5</v>
      </c>
      <c r="M289" s="16">
        <f>'Clean Data'!M288</f>
        <v>84.590163934426243</v>
      </c>
      <c r="N289" s="16">
        <f>'Clean Data'!N288</f>
        <v>14.098360655737707</v>
      </c>
      <c r="O289" s="16" t="str">
        <f>'Clean Data'!O288</f>
        <v>NaN</v>
      </c>
      <c r="P289" s="16" t="str">
        <f>'Clean Data'!P288</f>
        <v>NaN</v>
      </c>
      <c r="Q289" s="16" t="str">
        <f>'Clean Data'!Q288</f>
        <v>NaN</v>
      </c>
      <c r="R289" s="16">
        <f>'Clean Data'!R288</f>
        <v>780</v>
      </c>
      <c r="S289" s="16" t="str">
        <f>'Clean Data'!S288</f>
        <v>continuous</v>
      </c>
      <c r="T289" s="16" t="str">
        <f>'Clean Data'!T288</f>
        <v>slightly above atmospheric (1.1atm)</v>
      </c>
      <c r="U289" s="16" t="str">
        <f>'Clean Data'!U288</f>
        <v>NaN</v>
      </c>
      <c r="V289" s="16">
        <f>'Clean Data'!V288</f>
        <v>0.8</v>
      </c>
      <c r="W289" s="16" t="str">
        <f>'Clean Data'!W288</f>
        <v>NaN</v>
      </c>
      <c r="X289" s="16" t="str">
        <f>'Clean Data'!X288</f>
        <v>steam</v>
      </c>
      <c r="Y289" s="16" t="str">
        <f>'Clean Data'!Y288</f>
        <v>fluidised bed</v>
      </c>
      <c r="Z289" s="16" t="str">
        <f>'Clean Data'!Z288</f>
        <v>silica</v>
      </c>
      <c r="AA289" s="16">
        <f>'Clean Data'!AA288</f>
        <v>0</v>
      </c>
      <c r="AB289" s="16" t="str">
        <f>'Clean Data'!AB288</f>
        <v>lab</v>
      </c>
      <c r="AC289" s="16" t="str">
        <f>'Clean Data'!AC288</f>
        <v>NaN</v>
      </c>
      <c r="AD289" s="16">
        <f>'Clean Data'!AD288</f>
        <v>51.5</v>
      </c>
      <c r="AE289" s="16">
        <f>'Clean Data'!AE288</f>
        <v>22</v>
      </c>
      <c r="AF289" s="16">
        <f>'Clean Data'!AF288</f>
        <v>17</v>
      </c>
      <c r="AG289" s="16">
        <f>'Clean Data'!AG288</f>
        <v>7</v>
      </c>
      <c r="AH289" s="16">
        <f>'Clean Data'!AH288</f>
        <v>2.5</v>
      </c>
      <c r="AI289" s="16">
        <f>'Clean Data'!AI288</f>
        <v>12</v>
      </c>
      <c r="AJ289" s="16">
        <f>'Clean Data'!AJ288</f>
        <v>20.547945205479451</v>
      </c>
      <c r="AK289" s="16">
        <f>'Clean Data'!AK288</f>
        <v>1.3183800000000001</v>
      </c>
      <c r="AL289" s="16">
        <f>'Clean Data'!AL288</f>
        <v>58.695</v>
      </c>
      <c r="AM289" s="16">
        <f>'Clean Data'!AM288</f>
        <v>93.191489361702125</v>
      </c>
      <c r="AN289" s="16">
        <f>'Clean Data'!AN288</f>
        <v>72.519652270588224</v>
      </c>
      <c r="AO289" s="16" t="str">
        <f>'Clean Data'!AO288</f>
        <v>Herguido, Ind. Eng. Chem. Res. 1992, 31, 1274-1282</v>
      </c>
      <c r="AP289" s="16"/>
      <c r="AQ289" s="16"/>
      <c r="AR289" s="16"/>
      <c r="AS289" s="16"/>
      <c r="AT289" s="16"/>
    </row>
    <row r="290" spans="1:46" x14ac:dyDescent="0.3">
      <c r="A290" s="16">
        <f>'Clean Data'!A289</f>
        <v>288</v>
      </c>
      <c r="B290" s="16" t="str">
        <f>'Clean Data'!B289</f>
        <v>woody biomass</v>
      </c>
      <c r="C290" s="16" t="str">
        <f>'Clean Data'!C289</f>
        <v>dust</v>
      </c>
      <c r="D290" s="16">
        <f>'Clean Data'!D289</f>
        <v>0.5</v>
      </c>
      <c r="E290" s="16">
        <f>'Clean Data'!E289</f>
        <v>16.976400000000002</v>
      </c>
      <c r="F290" s="16">
        <f>'Clean Data'!F289</f>
        <v>42.5</v>
      </c>
      <c r="G290" s="16">
        <f>'Clean Data'!G289</f>
        <v>6.3</v>
      </c>
      <c r="H290" s="16">
        <f>'Clean Data'!H289</f>
        <v>0.2</v>
      </c>
      <c r="I290" s="16" t="str">
        <f>'Clean Data'!I289</f>
        <v>NaN</v>
      </c>
      <c r="J290" s="16">
        <f>'Clean Data'!J289</f>
        <v>51</v>
      </c>
      <c r="K290" s="16">
        <f>'Clean Data'!K289</f>
        <v>1.3114754098360657</v>
      </c>
      <c r="L290" s="16">
        <f>'Clean Data'!L289</f>
        <v>8.5</v>
      </c>
      <c r="M290" s="16">
        <f>'Clean Data'!M289</f>
        <v>84.590163934426243</v>
      </c>
      <c r="N290" s="16">
        <f>'Clean Data'!N289</f>
        <v>14.098360655737707</v>
      </c>
      <c r="O290" s="16" t="str">
        <f>'Clean Data'!O289</f>
        <v>NaN</v>
      </c>
      <c r="P290" s="16" t="str">
        <f>'Clean Data'!P289</f>
        <v>NaN</v>
      </c>
      <c r="Q290" s="16" t="str">
        <f>'Clean Data'!Q289</f>
        <v>NaN</v>
      </c>
      <c r="R290" s="16">
        <f>'Clean Data'!R289</f>
        <v>750</v>
      </c>
      <c r="S290" s="16" t="str">
        <f>'Clean Data'!S289</f>
        <v>continuous</v>
      </c>
      <c r="T290" s="16" t="str">
        <f>'Clean Data'!T289</f>
        <v>slightly above atmospheric (1.1atm)</v>
      </c>
      <c r="U290" s="16" t="str">
        <f>'Clean Data'!U289</f>
        <v>NaN</v>
      </c>
      <c r="V290" s="16">
        <f>'Clean Data'!V289</f>
        <v>0.8</v>
      </c>
      <c r="W290" s="16" t="str">
        <f>'Clean Data'!W289</f>
        <v>NaN</v>
      </c>
      <c r="X290" s="16" t="str">
        <f>'Clean Data'!X289</f>
        <v>steam</v>
      </c>
      <c r="Y290" s="16" t="str">
        <f>'Clean Data'!Y289</f>
        <v>fluidised bed</v>
      </c>
      <c r="Z290" s="16" t="str">
        <f>'Clean Data'!Z289</f>
        <v>silica</v>
      </c>
      <c r="AA290" s="16">
        <f>'Clean Data'!AA289</f>
        <v>0</v>
      </c>
      <c r="AB290" s="16" t="str">
        <f>'Clean Data'!AB289</f>
        <v>lab</v>
      </c>
      <c r="AC290" s="16" t="str">
        <f>'Clean Data'!AC289</f>
        <v>NaN</v>
      </c>
      <c r="AD290" s="16">
        <f>'Clean Data'!AD289</f>
        <v>55</v>
      </c>
      <c r="AE290" s="16">
        <f>'Clean Data'!AE289</f>
        <v>20</v>
      </c>
      <c r="AF290" s="16">
        <f>'Clean Data'!AF289</f>
        <v>15</v>
      </c>
      <c r="AG290" s="16">
        <f>'Clean Data'!AG289</f>
        <v>6</v>
      </c>
      <c r="AH290" s="16">
        <f>'Clean Data'!AH289</f>
        <v>4</v>
      </c>
      <c r="AI290" s="16">
        <f>'Clean Data'!AI289</f>
        <v>12.4</v>
      </c>
      <c r="AJ290" s="16">
        <f>'Clean Data'!AJ289</f>
        <v>26.92307692307692</v>
      </c>
      <c r="AK290" s="16">
        <f>'Clean Data'!AK289</f>
        <v>1.1739000000000002</v>
      </c>
      <c r="AL290" s="16">
        <f>'Clean Data'!AL289</f>
        <v>99.33</v>
      </c>
      <c r="AM290" s="16">
        <f>'Clean Data'!AM289</f>
        <v>85.744680851063848</v>
      </c>
      <c r="AN290" s="16">
        <f>'Clean Data'!AN289</f>
        <v>57.529189058823533</v>
      </c>
      <c r="AO290" s="16" t="str">
        <f>'Clean Data'!AO289</f>
        <v>Herguido, Ind. Eng. Chem. Res. 1992, 31, 1274-1282</v>
      </c>
      <c r="AP290" s="16"/>
      <c r="AQ290" s="16"/>
      <c r="AR290" s="16"/>
      <c r="AS290" s="16"/>
      <c r="AT290" s="16"/>
    </row>
    <row r="291" spans="1:46" x14ac:dyDescent="0.3">
      <c r="A291" s="16">
        <f>'Clean Data'!A290</f>
        <v>289</v>
      </c>
      <c r="B291" s="16" t="str">
        <f>'Clean Data'!B290</f>
        <v>woody biomass</v>
      </c>
      <c r="C291" s="16" t="str">
        <f>'Clean Data'!C290</f>
        <v>dust</v>
      </c>
      <c r="D291" s="16">
        <f>'Clean Data'!D290</f>
        <v>0.5</v>
      </c>
      <c r="E291" s="16">
        <f>'Clean Data'!E290</f>
        <v>16.976400000000002</v>
      </c>
      <c r="F291" s="16">
        <f>'Clean Data'!F290</f>
        <v>42.5</v>
      </c>
      <c r="G291" s="16">
        <f>'Clean Data'!G290</f>
        <v>6.3</v>
      </c>
      <c r="H291" s="16">
        <f>'Clean Data'!H290</f>
        <v>0.2</v>
      </c>
      <c r="I291" s="16" t="str">
        <f>'Clean Data'!I290</f>
        <v>NaN</v>
      </c>
      <c r="J291" s="16">
        <f>'Clean Data'!J290</f>
        <v>51</v>
      </c>
      <c r="K291" s="16">
        <f>'Clean Data'!K290</f>
        <v>1.3114754098360657</v>
      </c>
      <c r="L291" s="16">
        <f>'Clean Data'!L290</f>
        <v>8.5</v>
      </c>
      <c r="M291" s="16">
        <f>'Clean Data'!M290</f>
        <v>84.590163934426243</v>
      </c>
      <c r="N291" s="16">
        <f>'Clean Data'!N290</f>
        <v>14.098360655737707</v>
      </c>
      <c r="O291" s="16" t="str">
        <f>'Clean Data'!O290</f>
        <v>NaN</v>
      </c>
      <c r="P291" s="16" t="str">
        <f>'Clean Data'!P290</f>
        <v>NaN</v>
      </c>
      <c r="Q291" s="16" t="str">
        <f>'Clean Data'!Q290</f>
        <v>NaN</v>
      </c>
      <c r="R291" s="16">
        <f>'Clean Data'!R290</f>
        <v>700</v>
      </c>
      <c r="S291" s="16" t="str">
        <f>'Clean Data'!S290</f>
        <v>continuous</v>
      </c>
      <c r="T291" s="16" t="str">
        <f>'Clean Data'!T290</f>
        <v>slightly above atmospheric (1.1atm)</v>
      </c>
      <c r="U291" s="16" t="str">
        <f>'Clean Data'!U290</f>
        <v>NaN</v>
      </c>
      <c r="V291" s="16">
        <f>'Clean Data'!V290</f>
        <v>0.8</v>
      </c>
      <c r="W291" s="16" t="str">
        <f>'Clean Data'!W290</f>
        <v>NaN</v>
      </c>
      <c r="X291" s="16" t="str">
        <f>'Clean Data'!X290</f>
        <v>steam</v>
      </c>
      <c r="Y291" s="16" t="str">
        <f>'Clean Data'!Y290</f>
        <v>fluidised bed</v>
      </c>
      <c r="Z291" s="16" t="str">
        <f>'Clean Data'!Z290</f>
        <v>silica</v>
      </c>
      <c r="AA291" s="16">
        <f>'Clean Data'!AA290</f>
        <v>0</v>
      </c>
      <c r="AB291" s="16" t="str">
        <f>'Clean Data'!AB290</f>
        <v>lab</v>
      </c>
      <c r="AC291" s="16" t="str">
        <f>'Clean Data'!AC290</f>
        <v>NaN</v>
      </c>
      <c r="AD291" s="16">
        <f>'Clean Data'!AD290</f>
        <v>57.5</v>
      </c>
      <c r="AE291" s="16">
        <f>'Clean Data'!AE290</f>
        <v>22</v>
      </c>
      <c r="AF291" s="16">
        <f>'Clean Data'!AF290</f>
        <v>12</v>
      </c>
      <c r="AG291" s="16">
        <f>'Clean Data'!AG290</f>
        <v>6</v>
      </c>
      <c r="AH291" s="16">
        <f>'Clean Data'!AH290</f>
        <v>2.5</v>
      </c>
      <c r="AI291" s="16">
        <f>'Clean Data'!AI290</f>
        <v>12.6</v>
      </c>
      <c r="AJ291" s="16">
        <f>'Clean Data'!AJ290</f>
        <v>38.461538461538467</v>
      </c>
      <c r="AK291" s="16">
        <f>'Clean Data'!AK290</f>
        <v>0.93912000000000007</v>
      </c>
      <c r="AL291" s="16">
        <f>'Clean Data'!AL290</f>
        <v>139.965</v>
      </c>
      <c r="AM291" s="16">
        <f>'Clean Data'!AM290</f>
        <v>69.702127659574472</v>
      </c>
      <c r="AN291" s="16">
        <f>'Clean Data'!AN290</f>
        <v>44.602833599999997</v>
      </c>
      <c r="AO291" s="16" t="str">
        <f>'Clean Data'!AO290</f>
        <v>Herguido, Ind. Eng. Chem. Res. 1992, 31, 1274-1282</v>
      </c>
      <c r="AP291" s="16"/>
      <c r="AQ291" s="16"/>
      <c r="AR291" s="16"/>
      <c r="AS291" s="16"/>
      <c r="AT291" s="16"/>
    </row>
    <row r="292" spans="1:46" x14ac:dyDescent="0.3">
      <c r="A292" s="16">
        <f>'Clean Data'!A291</f>
        <v>290</v>
      </c>
      <c r="B292" s="16" t="str">
        <f>'Clean Data'!B291</f>
        <v>woody biomass</v>
      </c>
      <c r="C292" s="16" t="str">
        <f>'Clean Data'!C291</f>
        <v>dust</v>
      </c>
      <c r="D292" s="16">
        <f>'Clean Data'!D291</f>
        <v>0.5</v>
      </c>
      <c r="E292" s="16">
        <f>'Clean Data'!E291</f>
        <v>16.976400000000002</v>
      </c>
      <c r="F292" s="16">
        <f>'Clean Data'!F291</f>
        <v>42.5</v>
      </c>
      <c r="G292" s="16">
        <f>'Clean Data'!G291</f>
        <v>6.3</v>
      </c>
      <c r="H292" s="16">
        <f>'Clean Data'!H291</f>
        <v>0.2</v>
      </c>
      <c r="I292" s="16" t="str">
        <f>'Clean Data'!I291</f>
        <v>NaN</v>
      </c>
      <c r="J292" s="16">
        <f>'Clean Data'!J291</f>
        <v>51</v>
      </c>
      <c r="K292" s="16">
        <f>'Clean Data'!K291</f>
        <v>1.3114754098360657</v>
      </c>
      <c r="L292" s="16">
        <f>'Clean Data'!L291</f>
        <v>8.5</v>
      </c>
      <c r="M292" s="16">
        <f>'Clean Data'!M291</f>
        <v>84.590163934426243</v>
      </c>
      <c r="N292" s="16">
        <f>'Clean Data'!N291</f>
        <v>14.098360655737707</v>
      </c>
      <c r="O292" s="16" t="str">
        <f>'Clean Data'!O291</f>
        <v>NaN</v>
      </c>
      <c r="P292" s="16" t="str">
        <f>'Clean Data'!P291</f>
        <v>NaN</v>
      </c>
      <c r="Q292" s="16" t="str">
        <f>'Clean Data'!Q291</f>
        <v>NaN</v>
      </c>
      <c r="R292" s="16">
        <f>'Clean Data'!R291</f>
        <v>650</v>
      </c>
      <c r="S292" s="16" t="str">
        <f>'Clean Data'!S291</f>
        <v>continuous</v>
      </c>
      <c r="T292" s="16" t="str">
        <f>'Clean Data'!T291</f>
        <v>slightly above atmospheric (1.1atm)</v>
      </c>
      <c r="U292" s="16" t="str">
        <f>'Clean Data'!U291</f>
        <v>NaN</v>
      </c>
      <c r="V292" s="16">
        <f>'Clean Data'!V291</f>
        <v>0.8</v>
      </c>
      <c r="W292" s="16" t="str">
        <f>'Clean Data'!W291</f>
        <v>NaN</v>
      </c>
      <c r="X292" s="16" t="str">
        <f>'Clean Data'!X291</f>
        <v>steam</v>
      </c>
      <c r="Y292" s="16" t="str">
        <f>'Clean Data'!Y291</f>
        <v>fluidised bed</v>
      </c>
      <c r="Z292" s="16" t="str">
        <f>'Clean Data'!Z291</f>
        <v>silica</v>
      </c>
      <c r="AA292" s="16">
        <f>'Clean Data'!AA291</f>
        <v>0</v>
      </c>
      <c r="AB292" s="16" t="str">
        <f>'Clean Data'!AB291</f>
        <v>lab</v>
      </c>
      <c r="AC292" s="16" t="str">
        <f>'Clean Data'!AC291</f>
        <v>NaN</v>
      </c>
      <c r="AD292" s="16">
        <f>'Clean Data'!AD291</f>
        <v>50.5</v>
      </c>
      <c r="AE292" s="16">
        <f>'Clean Data'!AE291</f>
        <v>27.5</v>
      </c>
      <c r="AF292" s="16">
        <f>'Clean Data'!AF291</f>
        <v>11</v>
      </c>
      <c r="AG292" s="16">
        <f>'Clean Data'!AG291</f>
        <v>8</v>
      </c>
      <c r="AH292" s="16">
        <f>'Clean Data'!AH291</f>
        <v>3</v>
      </c>
      <c r="AI292" s="16">
        <f>'Clean Data'!AI291</f>
        <v>13.2</v>
      </c>
      <c r="AJ292" s="16">
        <f>'Clean Data'!AJ291</f>
        <v>76.623376623376629</v>
      </c>
      <c r="AK292" s="16">
        <f>'Clean Data'!AK291</f>
        <v>0.69530999999999998</v>
      </c>
      <c r="AL292" s="16">
        <f>'Clean Data'!AL291</f>
        <v>198.66</v>
      </c>
      <c r="AM292" s="16">
        <f>'Clean Data'!AM291</f>
        <v>54.063829787234035</v>
      </c>
      <c r="AN292" s="16">
        <f>'Clean Data'!AN291</f>
        <v>38.148329223529409</v>
      </c>
      <c r="AO292" s="16" t="str">
        <f>'Clean Data'!AO291</f>
        <v>Herguido, Ind. Eng. Chem. Res. 1992, 31, 1274-1282</v>
      </c>
      <c r="AP292" s="16"/>
      <c r="AQ292" s="16"/>
      <c r="AR292" s="16"/>
      <c r="AS292" s="16"/>
      <c r="AT292" s="16"/>
    </row>
    <row r="293" spans="1:46" x14ac:dyDescent="0.3">
      <c r="A293" s="16">
        <f>'Clean Data'!A292</f>
        <v>291</v>
      </c>
      <c r="B293" s="16" t="str">
        <f>'Clean Data'!B292</f>
        <v>herbaceous biomass</v>
      </c>
      <c r="C293" s="16" t="str">
        <f>'Clean Data'!C292</f>
        <v>particles</v>
      </c>
      <c r="D293" s="16">
        <f>'Clean Data'!D292</f>
        <v>5</v>
      </c>
      <c r="E293" s="16">
        <f>'Clean Data'!E292</f>
        <v>12.339800000000002</v>
      </c>
      <c r="F293" s="16">
        <f>'Clean Data'!F292</f>
        <v>43.7</v>
      </c>
      <c r="G293" s="16">
        <f>'Clean Data'!G292</f>
        <v>6.1</v>
      </c>
      <c r="H293" s="16">
        <f>'Clean Data'!H292</f>
        <v>0.4</v>
      </c>
      <c r="I293" s="16" t="str">
        <f>'Clean Data'!I292</f>
        <v>NaN</v>
      </c>
      <c r="J293" s="16">
        <f>'Clean Data'!J292</f>
        <v>49.8</v>
      </c>
      <c r="K293" s="16">
        <f>'Clean Data'!K292</f>
        <v>15.292841648590022</v>
      </c>
      <c r="L293" s="16">
        <f>'Clean Data'!L292</f>
        <v>7.8</v>
      </c>
      <c r="M293" s="16">
        <f>'Clean Data'!M292</f>
        <v>66.811279826464215</v>
      </c>
      <c r="N293" s="16">
        <f>'Clean Data'!N292</f>
        <v>17.895878524945772</v>
      </c>
      <c r="O293" s="16" t="str">
        <f>'Clean Data'!O292</f>
        <v>NaN</v>
      </c>
      <c r="P293" s="16" t="str">
        <f>'Clean Data'!P292</f>
        <v>NaN</v>
      </c>
      <c r="Q293" s="16" t="str">
        <f>'Clean Data'!Q292</f>
        <v>NaN</v>
      </c>
      <c r="R293" s="16">
        <f>'Clean Data'!R292</f>
        <v>780</v>
      </c>
      <c r="S293" s="16" t="str">
        <f>'Clean Data'!S292</f>
        <v>continuous</v>
      </c>
      <c r="T293" s="16" t="str">
        <f>'Clean Data'!T292</f>
        <v>slightly above atmospheric (1.1atm)</v>
      </c>
      <c r="U293" s="16" t="str">
        <f>'Clean Data'!U292</f>
        <v>NaN</v>
      </c>
      <c r="V293" s="16">
        <f>'Clean Data'!V292</f>
        <v>0.8</v>
      </c>
      <c r="W293" s="16" t="str">
        <f>'Clean Data'!W292</f>
        <v>NaN</v>
      </c>
      <c r="X293" s="16" t="str">
        <f>'Clean Data'!X292</f>
        <v>steam</v>
      </c>
      <c r="Y293" s="16" t="str">
        <f>'Clean Data'!Y292</f>
        <v>fluidised bed</v>
      </c>
      <c r="Z293" s="16" t="str">
        <f>'Clean Data'!Z292</f>
        <v>silica</v>
      </c>
      <c r="AA293" s="16">
        <f>'Clean Data'!AA292</f>
        <v>0</v>
      </c>
      <c r="AB293" s="16" t="str">
        <f>'Clean Data'!AB292</f>
        <v>lab</v>
      </c>
      <c r="AC293" s="16" t="str">
        <f>'Clean Data'!AC292</f>
        <v>NaN</v>
      </c>
      <c r="AD293" s="16">
        <f>'Clean Data'!AD292</f>
        <v>51.5</v>
      </c>
      <c r="AE293" s="16">
        <f>'Clean Data'!AE292</f>
        <v>22</v>
      </c>
      <c r="AF293" s="16">
        <f>'Clean Data'!AF292</f>
        <v>18.5</v>
      </c>
      <c r="AG293" s="16">
        <f>'Clean Data'!AG292</f>
        <v>6</v>
      </c>
      <c r="AH293" s="16">
        <f>'Clean Data'!AH292</f>
        <v>2</v>
      </c>
      <c r="AI293" s="16">
        <f>'Clean Data'!AI292</f>
        <v>11.9</v>
      </c>
      <c r="AJ293" s="16">
        <f>'Clean Data'!AJ292</f>
        <v>20</v>
      </c>
      <c r="AK293" s="16">
        <f>'Clean Data'!AK292</f>
        <v>1.1324500000000002</v>
      </c>
      <c r="AL293" s="16">
        <f>'Clean Data'!AL292</f>
        <v>62.480000000000011</v>
      </c>
      <c r="AM293" s="16">
        <f>'Clean Data'!AM292</f>
        <v>109.20886075949366</v>
      </c>
      <c r="AN293" s="16">
        <f>'Clean Data'!AN292</f>
        <v>61.403852721477605</v>
      </c>
      <c r="AO293" s="16" t="str">
        <f>'Clean Data'!AO292</f>
        <v>Herguido, Ind. Eng. Chem. Res. 1992, 31, 1274-1282</v>
      </c>
      <c r="AP293" s="16"/>
      <c r="AQ293" s="16"/>
      <c r="AR293" s="16"/>
      <c r="AS293" s="16"/>
      <c r="AT293" s="16"/>
    </row>
    <row r="294" spans="1:46" x14ac:dyDescent="0.3">
      <c r="A294" s="16">
        <f>'Clean Data'!A293</f>
        <v>292</v>
      </c>
      <c r="B294" s="16" t="str">
        <f>'Clean Data'!B293</f>
        <v>herbaceous biomass</v>
      </c>
      <c r="C294" s="16" t="str">
        <f>'Clean Data'!C293</f>
        <v>particles</v>
      </c>
      <c r="D294" s="16">
        <f>'Clean Data'!D293</f>
        <v>5</v>
      </c>
      <c r="E294" s="16">
        <f>'Clean Data'!E293</f>
        <v>12.339800000000002</v>
      </c>
      <c r="F294" s="16">
        <f>'Clean Data'!F293</f>
        <v>43.7</v>
      </c>
      <c r="G294" s="16">
        <f>'Clean Data'!G293</f>
        <v>6.1</v>
      </c>
      <c r="H294" s="16">
        <f>'Clean Data'!H293</f>
        <v>0.4</v>
      </c>
      <c r="I294" s="16" t="str">
        <f>'Clean Data'!I293</f>
        <v>NaN</v>
      </c>
      <c r="J294" s="16">
        <f>'Clean Data'!J293</f>
        <v>49.8</v>
      </c>
      <c r="K294" s="16">
        <f>'Clean Data'!K293</f>
        <v>15.292841648590022</v>
      </c>
      <c r="L294" s="16">
        <f>'Clean Data'!L293</f>
        <v>7.8</v>
      </c>
      <c r="M294" s="16">
        <f>'Clean Data'!M293</f>
        <v>66.811279826464215</v>
      </c>
      <c r="N294" s="16">
        <f>'Clean Data'!N293</f>
        <v>17.895878524945772</v>
      </c>
      <c r="O294" s="16" t="str">
        <f>'Clean Data'!O293</f>
        <v>NaN</v>
      </c>
      <c r="P294" s="16" t="str">
        <f>'Clean Data'!P293</f>
        <v>NaN</v>
      </c>
      <c r="Q294" s="16" t="str">
        <f>'Clean Data'!Q293</f>
        <v>NaN</v>
      </c>
      <c r="R294" s="16">
        <f>'Clean Data'!R293</f>
        <v>750</v>
      </c>
      <c r="S294" s="16" t="str">
        <f>'Clean Data'!S293</f>
        <v>continuous</v>
      </c>
      <c r="T294" s="16" t="str">
        <f>'Clean Data'!T293</f>
        <v>slightly above atmospheric (1.1atm)</v>
      </c>
      <c r="U294" s="16" t="str">
        <f>'Clean Data'!U293</f>
        <v>NaN</v>
      </c>
      <c r="V294" s="16">
        <f>'Clean Data'!V293</f>
        <v>0.8</v>
      </c>
      <c r="W294" s="16" t="str">
        <f>'Clean Data'!W293</f>
        <v>NaN</v>
      </c>
      <c r="X294" s="16" t="str">
        <f>'Clean Data'!X293</f>
        <v>steam</v>
      </c>
      <c r="Y294" s="16" t="str">
        <f>'Clean Data'!Y293</f>
        <v>fluidised bed</v>
      </c>
      <c r="Z294" s="16" t="str">
        <f>'Clean Data'!Z293</f>
        <v>silica</v>
      </c>
      <c r="AA294" s="16">
        <f>'Clean Data'!AA293</f>
        <v>0</v>
      </c>
      <c r="AB294" s="16" t="str">
        <f>'Clean Data'!AB293</f>
        <v>lab</v>
      </c>
      <c r="AC294" s="16" t="str">
        <f>'Clean Data'!AC293</f>
        <v>NaN</v>
      </c>
      <c r="AD294" s="16">
        <f>'Clean Data'!AD293</f>
        <v>49</v>
      </c>
      <c r="AE294" s="16">
        <f>'Clean Data'!AE293</f>
        <v>23</v>
      </c>
      <c r="AF294" s="16">
        <f>'Clean Data'!AF293</f>
        <v>17.5</v>
      </c>
      <c r="AG294" s="16">
        <f>'Clean Data'!AG293</f>
        <v>6</v>
      </c>
      <c r="AH294" s="16">
        <f>'Clean Data'!AH293</f>
        <v>4.5</v>
      </c>
      <c r="AI294" s="16">
        <f>'Clean Data'!AI293</f>
        <v>12.4</v>
      </c>
      <c r="AJ294" s="16">
        <f>'Clean Data'!AJ293</f>
        <v>33.070866141732289</v>
      </c>
      <c r="AK294" s="16">
        <f>'Clean Data'!AK293</f>
        <v>0.99187000000000014</v>
      </c>
      <c r="AL294" s="16">
        <f>'Clean Data'!AL293</f>
        <v>85.910000000000011</v>
      </c>
      <c r="AM294" s="16">
        <f>'Clean Data'!AM293</f>
        <v>99.670886075949383</v>
      </c>
      <c r="AN294" s="16">
        <f>'Clean Data'!AN293</f>
        <v>53.6645767522066</v>
      </c>
      <c r="AO294" s="16" t="str">
        <f>'Clean Data'!AO293</f>
        <v>Herguido, Ind. Eng. Chem. Res. 1992, 31, 1274-1282</v>
      </c>
      <c r="AP294" s="16"/>
      <c r="AQ294" s="16"/>
      <c r="AR294" s="16"/>
      <c r="AS294" s="16"/>
      <c r="AT294" s="16"/>
    </row>
    <row r="295" spans="1:46" x14ac:dyDescent="0.3">
      <c r="A295" s="16">
        <f>'Clean Data'!A294</f>
        <v>293</v>
      </c>
      <c r="B295" s="16" t="str">
        <f>'Clean Data'!B294</f>
        <v>herbaceous biomass</v>
      </c>
      <c r="C295" s="16" t="str">
        <f>'Clean Data'!C294</f>
        <v>particles</v>
      </c>
      <c r="D295" s="16">
        <f>'Clean Data'!D294</f>
        <v>5</v>
      </c>
      <c r="E295" s="16">
        <f>'Clean Data'!E294</f>
        <v>12.339800000000002</v>
      </c>
      <c r="F295" s="16">
        <f>'Clean Data'!F294</f>
        <v>43.7</v>
      </c>
      <c r="G295" s="16">
        <f>'Clean Data'!G294</f>
        <v>6.1</v>
      </c>
      <c r="H295" s="16">
        <f>'Clean Data'!H294</f>
        <v>0.4</v>
      </c>
      <c r="I295" s="16" t="str">
        <f>'Clean Data'!I294</f>
        <v>NaN</v>
      </c>
      <c r="J295" s="16">
        <f>'Clean Data'!J294</f>
        <v>49.8</v>
      </c>
      <c r="K295" s="16">
        <f>'Clean Data'!K294</f>
        <v>15.292841648590022</v>
      </c>
      <c r="L295" s="16">
        <f>'Clean Data'!L294</f>
        <v>7.8</v>
      </c>
      <c r="M295" s="16">
        <f>'Clean Data'!M294</f>
        <v>66.811279826464215</v>
      </c>
      <c r="N295" s="16">
        <f>'Clean Data'!N294</f>
        <v>17.895878524945772</v>
      </c>
      <c r="O295" s="16" t="str">
        <f>'Clean Data'!O294</f>
        <v>NaN</v>
      </c>
      <c r="P295" s="16" t="str">
        <f>'Clean Data'!P294</f>
        <v>NaN</v>
      </c>
      <c r="Q295" s="16" t="str">
        <f>'Clean Data'!Q294</f>
        <v>NaN</v>
      </c>
      <c r="R295" s="16">
        <f>'Clean Data'!R294</f>
        <v>700</v>
      </c>
      <c r="S295" s="16" t="str">
        <f>'Clean Data'!S294</f>
        <v>continuous</v>
      </c>
      <c r="T295" s="16" t="str">
        <f>'Clean Data'!T294</f>
        <v>slightly above atmospheric (1.1atm)</v>
      </c>
      <c r="U295" s="16" t="str">
        <f>'Clean Data'!U294</f>
        <v>NaN</v>
      </c>
      <c r="V295" s="16">
        <f>'Clean Data'!V294</f>
        <v>0.8</v>
      </c>
      <c r="W295" s="16" t="str">
        <f>'Clean Data'!W294</f>
        <v>NaN</v>
      </c>
      <c r="X295" s="16" t="str">
        <f>'Clean Data'!X294</f>
        <v>steam</v>
      </c>
      <c r="Y295" s="16" t="str">
        <f>'Clean Data'!Y294</f>
        <v>fluidised bed</v>
      </c>
      <c r="Z295" s="16" t="str">
        <f>'Clean Data'!Z294</f>
        <v>silica</v>
      </c>
      <c r="AA295" s="16">
        <f>'Clean Data'!AA294</f>
        <v>0</v>
      </c>
      <c r="AB295" s="16" t="str">
        <f>'Clean Data'!AB294</f>
        <v>lab</v>
      </c>
      <c r="AC295" s="16" t="str">
        <f>'Clean Data'!AC294</f>
        <v>NaN</v>
      </c>
      <c r="AD295" s="16">
        <f>'Clean Data'!AD294</f>
        <v>44</v>
      </c>
      <c r="AE295" s="16">
        <f>'Clean Data'!AE294</f>
        <v>27.5</v>
      </c>
      <c r="AF295" s="16">
        <f>'Clean Data'!AF294</f>
        <v>16</v>
      </c>
      <c r="AG295" s="16">
        <f>'Clean Data'!AG294</f>
        <v>7.5</v>
      </c>
      <c r="AH295" s="16">
        <f>'Clean Data'!AH294</f>
        <v>5</v>
      </c>
      <c r="AI295" s="16">
        <f>'Clean Data'!AI294</f>
        <v>13.25</v>
      </c>
      <c r="AJ295" s="16">
        <f>'Clean Data'!AJ294</f>
        <v>55.670103092783506</v>
      </c>
      <c r="AK295" s="16">
        <f>'Clean Data'!AK294</f>
        <v>0.75757000000000008</v>
      </c>
      <c r="AL295" s="16">
        <f>'Clean Data'!AL294</f>
        <v>121.05500000000002</v>
      </c>
      <c r="AM295" s="16">
        <f>'Clean Data'!AM294</f>
        <v>81.344936708860757</v>
      </c>
      <c r="AN295" s="16">
        <f>'Clean Data'!AN294</f>
        <v>44.676415337937229</v>
      </c>
      <c r="AO295" s="16" t="str">
        <f>'Clean Data'!AO294</f>
        <v>Herguido, Ind. Eng. Chem. Res. 1992, 31, 1274-1282</v>
      </c>
      <c r="AP295" s="16"/>
      <c r="AQ295" s="16"/>
      <c r="AR295" s="16"/>
      <c r="AS295" s="16"/>
      <c r="AT295" s="16"/>
    </row>
    <row r="296" spans="1:46" x14ac:dyDescent="0.3">
      <c r="A296" s="16">
        <f>'Clean Data'!A295</f>
        <v>294</v>
      </c>
      <c r="B296" s="16" t="str">
        <f>'Clean Data'!B295</f>
        <v>herbaceous biomass</v>
      </c>
      <c r="C296" s="16" t="str">
        <f>'Clean Data'!C295</f>
        <v>particles</v>
      </c>
      <c r="D296" s="16">
        <f>'Clean Data'!D295</f>
        <v>5</v>
      </c>
      <c r="E296" s="16">
        <f>'Clean Data'!E295</f>
        <v>12.339800000000002</v>
      </c>
      <c r="F296" s="16">
        <f>'Clean Data'!F295</f>
        <v>43.7</v>
      </c>
      <c r="G296" s="16">
        <f>'Clean Data'!G295</f>
        <v>6.1</v>
      </c>
      <c r="H296" s="16">
        <f>'Clean Data'!H295</f>
        <v>0.4</v>
      </c>
      <c r="I296" s="16" t="str">
        <f>'Clean Data'!I295</f>
        <v>NaN</v>
      </c>
      <c r="J296" s="16">
        <f>'Clean Data'!J295</f>
        <v>49.8</v>
      </c>
      <c r="K296" s="16">
        <f>'Clean Data'!K295</f>
        <v>15.292841648590022</v>
      </c>
      <c r="L296" s="16">
        <f>'Clean Data'!L295</f>
        <v>7.8</v>
      </c>
      <c r="M296" s="16">
        <f>'Clean Data'!M295</f>
        <v>66.811279826464215</v>
      </c>
      <c r="N296" s="16">
        <f>'Clean Data'!N295</f>
        <v>17.895878524945772</v>
      </c>
      <c r="O296" s="16" t="str">
        <f>'Clean Data'!O295</f>
        <v>NaN</v>
      </c>
      <c r="P296" s="16" t="str">
        <f>'Clean Data'!P295</f>
        <v>NaN</v>
      </c>
      <c r="Q296" s="16" t="str">
        <f>'Clean Data'!Q295</f>
        <v>NaN</v>
      </c>
      <c r="R296" s="16">
        <f>'Clean Data'!R295</f>
        <v>650</v>
      </c>
      <c r="S296" s="16" t="str">
        <f>'Clean Data'!S295</f>
        <v>continuous</v>
      </c>
      <c r="T296" s="16" t="str">
        <f>'Clean Data'!T295</f>
        <v>slightly above atmospheric (1.1atm)</v>
      </c>
      <c r="U296" s="16" t="str">
        <f>'Clean Data'!U295</f>
        <v>NaN</v>
      </c>
      <c r="V296" s="16">
        <f>'Clean Data'!V295</f>
        <v>0.8</v>
      </c>
      <c r="W296" s="16" t="str">
        <f>'Clean Data'!W295</f>
        <v>NaN</v>
      </c>
      <c r="X296" s="16" t="str">
        <f>'Clean Data'!X295</f>
        <v>steam</v>
      </c>
      <c r="Y296" s="16" t="str">
        <f>'Clean Data'!Y295</f>
        <v>fluidised bed</v>
      </c>
      <c r="Z296" s="16" t="str">
        <f>'Clean Data'!Z295</f>
        <v>silica</v>
      </c>
      <c r="AA296" s="16">
        <f>'Clean Data'!AA295</f>
        <v>0</v>
      </c>
      <c r="AB296" s="16" t="str">
        <f>'Clean Data'!AB295</f>
        <v>lab</v>
      </c>
      <c r="AC296" s="16" t="str">
        <f>'Clean Data'!AC295</f>
        <v>NaN</v>
      </c>
      <c r="AD296" s="16">
        <f>'Clean Data'!AD295</f>
        <v>37</v>
      </c>
      <c r="AE296" s="16">
        <f>'Clean Data'!AE295</f>
        <v>34</v>
      </c>
      <c r="AF296" s="16">
        <f>'Clean Data'!AF295</f>
        <v>16.5</v>
      </c>
      <c r="AG296" s="16">
        <f>'Clean Data'!AG295</f>
        <v>8.5</v>
      </c>
      <c r="AH296" s="16">
        <f>'Clean Data'!AH295</f>
        <v>4</v>
      </c>
      <c r="AI296" s="16">
        <f>'Clean Data'!AI295</f>
        <v>13.75</v>
      </c>
      <c r="AJ296" s="16">
        <f>'Clean Data'!AJ295</f>
        <v>101.42857142857143</v>
      </c>
      <c r="AK296" s="16">
        <f>'Clean Data'!AK295</f>
        <v>0.54670000000000007</v>
      </c>
      <c r="AL296" s="16">
        <f>'Clean Data'!AL295</f>
        <v>175.72500000000002</v>
      </c>
      <c r="AM296" s="16">
        <f>'Clean Data'!AM295</f>
        <v>60.917721518987342</v>
      </c>
      <c r="AN296" s="16">
        <f>'Clean Data'!AN295</f>
        <v>37.167848083524028</v>
      </c>
      <c r="AO296" s="16" t="str">
        <f>'Clean Data'!AO295</f>
        <v>Herguido, Ind. Eng. Chem. Res. 1992, 31, 1274-1282</v>
      </c>
      <c r="AP296" s="16"/>
      <c r="AQ296" s="16"/>
      <c r="AR296" s="16"/>
      <c r="AS296" s="16"/>
      <c r="AT296" s="16"/>
    </row>
    <row r="297" spans="1:46" x14ac:dyDescent="0.3">
      <c r="A297" s="16">
        <f>'Clean Data'!A296</f>
        <v>295</v>
      </c>
      <c r="B297" s="16" t="str">
        <f>'Clean Data'!B296</f>
        <v>woody biomass</v>
      </c>
      <c r="C297" s="16" t="str">
        <f>'Clean Data'!C296</f>
        <v>chips</v>
      </c>
      <c r="D297" s="16">
        <f>'Clean Data'!D296</f>
        <v>2</v>
      </c>
      <c r="E297" s="16">
        <f>'Clean Data'!E296</f>
        <v>16.058000000000003</v>
      </c>
      <c r="F297" s="16">
        <f>'Clean Data'!F296</f>
        <v>41.8</v>
      </c>
      <c r="G297" s="16">
        <f>'Clean Data'!G296</f>
        <v>5.3</v>
      </c>
      <c r="H297" s="16">
        <f>'Clean Data'!H296</f>
        <v>0.2</v>
      </c>
      <c r="I297" s="16" t="str">
        <f>'Clean Data'!I296</f>
        <v>NaN</v>
      </c>
      <c r="J297" s="16">
        <f>'Clean Data'!J296</f>
        <v>52.7</v>
      </c>
      <c r="K297" s="16">
        <f>'Clean Data'!K296</f>
        <v>2.3622047244094491</v>
      </c>
      <c r="L297" s="16">
        <f>'Clean Data'!L296</f>
        <v>11.1</v>
      </c>
      <c r="M297" s="16">
        <f>'Clean Data'!M296</f>
        <v>83.689538807649058</v>
      </c>
      <c r="N297" s="16">
        <f>'Clean Data'!N296</f>
        <v>13.948256467941508</v>
      </c>
      <c r="O297" s="16" t="str">
        <f>'Clean Data'!O296</f>
        <v>NaN</v>
      </c>
      <c r="P297" s="16" t="str">
        <f>'Clean Data'!P296</f>
        <v>NaN</v>
      </c>
      <c r="Q297" s="16" t="str">
        <f>'Clean Data'!Q296</f>
        <v>NaN</v>
      </c>
      <c r="R297" s="16">
        <f>'Clean Data'!R296</f>
        <v>780</v>
      </c>
      <c r="S297" s="16" t="str">
        <f>'Clean Data'!S296</f>
        <v>continuous</v>
      </c>
      <c r="T297" s="16" t="str">
        <f>'Clean Data'!T296</f>
        <v>slightly above atmospheric (1.1atm)</v>
      </c>
      <c r="U297" s="16" t="str">
        <f>'Clean Data'!U296</f>
        <v>NaN</v>
      </c>
      <c r="V297" s="16">
        <f>'Clean Data'!V296</f>
        <v>0.8</v>
      </c>
      <c r="W297" s="16" t="str">
        <f>'Clean Data'!W296</f>
        <v>NaN</v>
      </c>
      <c r="X297" s="16" t="str">
        <f>'Clean Data'!X296</f>
        <v>steam</v>
      </c>
      <c r="Y297" s="16" t="str">
        <f>'Clean Data'!Y296</f>
        <v>fluidised bed</v>
      </c>
      <c r="Z297" s="16" t="str">
        <f>'Clean Data'!Z296</f>
        <v>silica</v>
      </c>
      <c r="AA297" s="16">
        <f>'Clean Data'!AA296</f>
        <v>0</v>
      </c>
      <c r="AB297" s="16" t="str">
        <f>'Clean Data'!AB296</f>
        <v>lab</v>
      </c>
      <c r="AC297" s="16" t="str">
        <f>'Clean Data'!AC296</f>
        <v>NaN</v>
      </c>
      <c r="AD297" s="16">
        <f>'Clean Data'!AD296</f>
        <v>51.5</v>
      </c>
      <c r="AE297" s="16">
        <f>'Clean Data'!AE296</f>
        <v>22</v>
      </c>
      <c r="AF297" s="16">
        <f>'Clean Data'!AF296</f>
        <v>17</v>
      </c>
      <c r="AG297" s="16">
        <f>'Clean Data'!AG296</f>
        <v>7</v>
      </c>
      <c r="AH297" s="16">
        <f>'Clean Data'!AH296</f>
        <v>2.5</v>
      </c>
      <c r="AI297" s="16">
        <f>'Clean Data'!AI296</f>
        <v>12.55</v>
      </c>
      <c r="AJ297" s="16">
        <f>'Clean Data'!AJ296</f>
        <v>32.173913043478265</v>
      </c>
      <c r="AK297" s="16">
        <f>'Clean Data'!AK296</f>
        <v>0.99820000000000009</v>
      </c>
      <c r="AL297" s="16">
        <f>'Clean Data'!AL296</f>
        <v>173.60000000000002</v>
      </c>
      <c r="AM297" s="16">
        <f>'Clean Data'!AM296</f>
        <v>78.013513513513516</v>
      </c>
      <c r="AN297" s="16">
        <f>'Clean Data'!AN296</f>
        <v>55.827132416267936</v>
      </c>
      <c r="AO297" s="16" t="str">
        <f>'Clean Data'!AO296</f>
        <v>Herguido, Ind. Eng. Chem. Res. 1992, 31, 1274-1282</v>
      </c>
      <c r="AP297" s="16"/>
      <c r="AQ297" s="16"/>
      <c r="AR297" s="16"/>
      <c r="AS297" s="16"/>
      <c r="AT297" s="16"/>
    </row>
    <row r="298" spans="1:46" x14ac:dyDescent="0.3">
      <c r="A298" s="16">
        <f>'Clean Data'!A297</f>
        <v>296</v>
      </c>
      <c r="B298" s="16" t="str">
        <f>'Clean Data'!B297</f>
        <v>woody biomass</v>
      </c>
      <c r="C298" s="16" t="str">
        <f>'Clean Data'!C297</f>
        <v>chips</v>
      </c>
      <c r="D298" s="16">
        <f>'Clean Data'!D297</f>
        <v>2</v>
      </c>
      <c r="E298" s="16">
        <f>'Clean Data'!E297</f>
        <v>16.058000000000003</v>
      </c>
      <c r="F298" s="16">
        <f>'Clean Data'!F297</f>
        <v>41.8</v>
      </c>
      <c r="G298" s="16">
        <f>'Clean Data'!G297</f>
        <v>5.3</v>
      </c>
      <c r="H298" s="16">
        <f>'Clean Data'!H297</f>
        <v>0.2</v>
      </c>
      <c r="I298" s="16" t="str">
        <f>'Clean Data'!I297</f>
        <v>NaN</v>
      </c>
      <c r="J298" s="16">
        <f>'Clean Data'!J297</f>
        <v>52.7</v>
      </c>
      <c r="K298" s="16">
        <f>'Clean Data'!K297</f>
        <v>2.3622047244094491</v>
      </c>
      <c r="L298" s="16">
        <f>'Clean Data'!L297</f>
        <v>11.1</v>
      </c>
      <c r="M298" s="16">
        <f>'Clean Data'!M297</f>
        <v>83.689538807649058</v>
      </c>
      <c r="N298" s="16">
        <f>'Clean Data'!N297</f>
        <v>13.948256467941508</v>
      </c>
      <c r="O298" s="16" t="str">
        <f>'Clean Data'!O297</f>
        <v>NaN</v>
      </c>
      <c r="P298" s="16" t="str">
        <f>'Clean Data'!P297</f>
        <v>NaN</v>
      </c>
      <c r="Q298" s="16" t="str">
        <f>'Clean Data'!Q297</f>
        <v>NaN</v>
      </c>
      <c r="R298" s="16">
        <f>'Clean Data'!R297</f>
        <v>750</v>
      </c>
      <c r="S298" s="16" t="str">
        <f>'Clean Data'!S297</f>
        <v>continuous</v>
      </c>
      <c r="T298" s="16" t="str">
        <f>'Clean Data'!T297</f>
        <v>slightly above atmospheric (1.1atm)</v>
      </c>
      <c r="U298" s="16" t="str">
        <f>'Clean Data'!U297</f>
        <v>NaN</v>
      </c>
      <c r="V298" s="16">
        <f>'Clean Data'!V297</f>
        <v>0.8</v>
      </c>
      <c r="W298" s="16" t="str">
        <f>'Clean Data'!W297</f>
        <v>NaN</v>
      </c>
      <c r="X298" s="16" t="str">
        <f>'Clean Data'!X297</f>
        <v>steam</v>
      </c>
      <c r="Y298" s="16" t="str">
        <f>'Clean Data'!Y297</f>
        <v>fluidised bed</v>
      </c>
      <c r="Z298" s="16" t="str">
        <f>'Clean Data'!Z297</f>
        <v>silica</v>
      </c>
      <c r="AA298" s="16">
        <f>'Clean Data'!AA297</f>
        <v>0</v>
      </c>
      <c r="AB298" s="16" t="str">
        <f>'Clean Data'!AB297</f>
        <v>lab</v>
      </c>
      <c r="AC298" s="16" t="str">
        <f>'Clean Data'!AC297</f>
        <v>NaN</v>
      </c>
      <c r="AD298" s="16">
        <f>'Clean Data'!AD297</f>
        <v>51.5</v>
      </c>
      <c r="AE298" s="16">
        <f>'Clean Data'!AE297</f>
        <v>22</v>
      </c>
      <c r="AF298" s="16">
        <f>'Clean Data'!AF297</f>
        <v>18</v>
      </c>
      <c r="AG298" s="16">
        <f>'Clean Data'!AG297</f>
        <v>6</v>
      </c>
      <c r="AH298" s="16">
        <f>'Clean Data'!AH297</f>
        <v>2.5</v>
      </c>
      <c r="AI298" s="16">
        <f>'Clean Data'!AI297</f>
        <v>12.6</v>
      </c>
      <c r="AJ298" s="16">
        <f>'Clean Data'!AJ297</f>
        <v>48.514851485148512</v>
      </c>
      <c r="AK298" s="16">
        <f>'Clean Data'!AK297</f>
        <v>0.87668000000000013</v>
      </c>
      <c r="AL298" s="16">
        <f>'Clean Data'!AL297</f>
        <v>190.96000000000004</v>
      </c>
      <c r="AM298" s="16">
        <f>'Clean Data'!AM297</f>
        <v>68.789189189189187</v>
      </c>
      <c r="AN298" s="16">
        <f>'Clean Data'!AN297</f>
        <v>49.129884258373217</v>
      </c>
      <c r="AO298" s="16" t="str">
        <f>'Clean Data'!AO297</f>
        <v>Herguido, Ind. Eng. Chem. Res. 1992, 31, 1274-1282</v>
      </c>
      <c r="AP298" s="16"/>
      <c r="AQ298" s="16"/>
      <c r="AR298" s="16"/>
      <c r="AS298" s="16"/>
      <c r="AT298" s="16"/>
    </row>
    <row r="299" spans="1:46" x14ac:dyDescent="0.3">
      <c r="A299" s="16">
        <f>'Clean Data'!A298</f>
        <v>297</v>
      </c>
      <c r="B299" s="16" t="str">
        <f>'Clean Data'!B298</f>
        <v>woody biomass</v>
      </c>
      <c r="C299" s="16" t="str">
        <f>'Clean Data'!C298</f>
        <v>chips</v>
      </c>
      <c r="D299" s="16">
        <f>'Clean Data'!D298</f>
        <v>2</v>
      </c>
      <c r="E299" s="16">
        <f>'Clean Data'!E298</f>
        <v>16.058000000000003</v>
      </c>
      <c r="F299" s="16">
        <f>'Clean Data'!F298</f>
        <v>41.8</v>
      </c>
      <c r="G299" s="16">
        <f>'Clean Data'!G298</f>
        <v>5.3</v>
      </c>
      <c r="H299" s="16">
        <f>'Clean Data'!H298</f>
        <v>0.2</v>
      </c>
      <c r="I299" s="16" t="str">
        <f>'Clean Data'!I298</f>
        <v>NaN</v>
      </c>
      <c r="J299" s="16">
        <f>'Clean Data'!J298</f>
        <v>52.7</v>
      </c>
      <c r="K299" s="16">
        <f>'Clean Data'!K298</f>
        <v>2.3622047244094491</v>
      </c>
      <c r="L299" s="16">
        <f>'Clean Data'!L298</f>
        <v>11.1</v>
      </c>
      <c r="M299" s="16">
        <f>'Clean Data'!M298</f>
        <v>83.689538807649058</v>
      </c>
      <c r="N299" s="16">
        <f>'Clean Data'!N298</f>
        <v>13.948256467941508</v>
      </c>
      <c r="O299" s="16" t="str">
        <f>'Clean Data'!O298</f>
        <v>NaN</v>
      </c>
      <c r="P299" s="16" t="str">
        <f>'Clean Data'!P298</f>
        <v>NaN</v>
      </c>
      <c r="Q299" s="16" t="str">
        <f>'Clean Data'!Q298</f>
        <v>NaN</v>
      </c>
      <c r="R299" s="16">
        <f>'Clean Data'!R298</f>
        <v>700</v>
      </c>
      <c r="S299" s="16" t="str">
        <f>'Clean Data'!S298</f>
        <v>continuous</v>
      </c>
      <c r="T299" s="16" t="str">
        <f>'Clean Data'!T298</f>
        <v>slightly above atmospheric (1.1atm)</v>
      </c>
      <c r="U299" s="16" t="str">
        <f>'Clean Data'!U298</f>
        <v>NaN</v>
      </c>
      <c r="V299" s="16">
        <f>'Clean Data'!V298</f>
        <v>0.8</v>
      </c>
      <c r="W299" s="16" t="str">
        <f>'Clean Data'!W298</f>
        <v>NaN</v>
      </c>
      <c r="X299" s="16" t="str">
        <f>'Clean Data'!X298</f>
        <v>steam</v>
      </c>
      <c r="Y299" s="16" t="str">
        <f>'Clean Data'!Y298</f>
        <v>fluidised bed</v>
      </c>
      <c r="Z299" s="16" t="str">
        <f>'Clean Data'!Z298</f>
        <v>silica</v>
      </c>
      <c r="AA299" s="16">
        <f>'Clean Data'!AA298</f>
        <v>0</v>
      </c>
      <c r="AB299" s="16" t="str">
        <f>'Clean Data'!AB298</f>
        <v>lab</v>
      </c>
      <c r="AC299" s="16" t="str">
        <f>'Clean Data'!AC298</f>
        <v>NaN</v>
      </c>
      <c r="AD299" s="16">
        <f>'Clean Data'!AD298</f>
        <v>46</v>
      </c>
      <c r="AE299" s="16">
        <f>'Clean Data'!AE298</f>
        <v>20</v>
      </c>
      <c r="AF299" s="16">
        <f>'Clean Data'!AF298</f>
        <v>21</v>
      </c>
      <c r="AG299" s="16">
        <f>'Clean Data'!AG298</f>
        <v>9</v>
      </c>
      <c r="AH299" s="16">
        <f>'Clean Data'!AH298</f>
        <v>4</v>
      </c>
      <c r="AI299" s="16">
        <f>'Clean Data'!AI298</f>
        <v>13</v>
      </c>
      <c r="AJ299" s="16">
        <f>'Clean Data'!AJ298</f>
        <v>73.749999999999986</v>
      </c>
      <c r="AK299" s="16">
        <f>'Clean Data'!AK298</f>
        <v>0.69440000000000013</v>
      </c>
      <c r="AL299" s="16">
        <f>'Clean Data'!AL298</f>
        <v>195.3</v>
      </c>
      <c r="AM299" s="16">
        <f>'Clean Data'!AM298</f>
        <v>56.216216216216218</v>
      </c>
      <c r="AN299" s="16">
        <f>'Clean Data'!AN298</f>
        <v>42.438436363636377</v>
      </c>
      <c r="AO299" s="16" t="str">
        <f>'Clean Data'!AO298</f>
        <v>Herguido, Ind. Eng. Chem. Res. 1992, 31, 1274-1282</v>
      </c>
      <c r="AP299" s="16"/>
      <c r="AQ299" s="16"/>
      <c r="AR299" s="16"/>
      <c r="AS299" s="16"/>
      <c r="AT299" s="16"/>
    </row>
    <row r="300" spans="1:46" x14ac:dyDescent="0.3">
      <c r="A300" s="16">
        <f>'Clean Data'!A299</f>
        <v>298</v>
      </c>
      <c r="B300" s="16" t="str">
        <f>'Clean Data'!B299</f>
        <v>woody biomass</v>
      </c>
      <c r="C300" s="16" t="str">
        <f>'Clean Data'!C299</f>
        <v>chips</v>
      </c>
      <c r="D300" s="16">
        <f>'Clean Data'!D299</f>
        <v>2</v>
      </c>
      <c r="E300" s="16">
        <f>'Clean Data'!E299</f>
        <v>16.058000000000003</v>
      </c>
      <c r="F300" s="16">
        <f>'Clean Data'!F299</f>
        <v>41.8</v>
      </c>
      <c r="G300" s="16">
        <f>'Clean Data'!G299</f>
        <v>5.3</v>
      </c>
      <c r="H300" s="16">
        <f>'Clean Data'!H299</f>
        <v>0.2</v>
      </c>
      <c r="I300" s="16" t="str">
        <f>'Clean Data'!I299</f>
        <v>NaN</v>
      </c>
      <c r="J300" s="16">
        <f>'Clean Data'!J299</f>
        <v>52.7</v>
      </c>
      <c r="K300" s="16">
        <f>'Clean Data'!K299</f>
        <v>2.3622047244094491</v>
      </c>
      <c r="L300" s="16">
        <f>'Clean Data'!L299</f>
        <v>11.1</v>
      </c>
      <c r="M300" s="16">
        <f>'Clean Data'!M299</f>
        <v>83.689538807649058</v>
      </c>
      <c r="N300" s="16">
        <f>'Clean Data'!N299</f>
        <v>13.948256467941508</v>
      </c>
      <c r="O300" s="16" t="str">
        <f>'Clean Data'!O299</f>
        <v>NaN</v>
      </c>
      <c r="P300" s="16" t="str">
        <f>'Clean Data'!P299</f>
        <v>NaN</v>
      </c>
      <c r="Q300" s="16" t="str">
        <f>'Clean Data'!Q299</f>
        <v>NaN</v>
      </c>
      <c r="R300" s="16">
        <f>'Clean Data'!R299</f>
        <v>650</v>
      </c>
      <c r="S300" s="16" t="str">
        <f>'Clean Data'!S299</f>
        <v>continuous</v>
      </c>
      <c r="T300" s="16" t="str">
        <f>'Clean Data'!T299</f>
        <v>slightly above atmospheric (1.1atm)</v>
      </c>
      <c r="U300" s="16" t="str">
        <f>'Clean Data'!U299</f>
        <v>NaN</v>
      </c>
      <c r="V300" s="16">
        <f>'Clean Data'!V299</f>
        <v>0.8</v>
      </c>
      <c r="W300" s="16" t="str">
        <f>'Clean Data'!W299</f>
        <v>NaN</v>
      </c>
      <c r="X300" s="16" t="str">
        <f>'Clean Data'!X299</f>
        <v>steam</v>
      </c>
      <c r="Y300" s="16" t="str">
        <f>'Clean Data'!Y299</f>
        <v>fluidised bed</v>
      </c>
      <c r="Z300" s="16" t="str">
        <f>'Clean Data'!Z299</f>
        <v>silica</v>
      </c>
      <c r="AA300" s="16">
        <f>'Clean Data'!AA299</f>
        <v>0</v>
      </c>
      <c r="AB300" s="16" t="str">
        <f>'Clean Data'!AB299</f>
        <v>lab</v>
      </c>
      <c r="AC300" s="16" t="str">
        <f>'Clean Data'!AC299</f>
        <v>NaN</v>
      </c>
      <c r="AD300" s="16">
        <f>'Clean Data'!AD299</f>
        <v>38</v>
      </c>
      <c r="AE300" s="16">
        <f>'Clean Data'!AE299</f>
        <v>27.5</v>
      </c>
      <c r="AF300" s="16">
        <f>'Clean Data'!AF299</f>
        <v>20</v>
      </c>
      <c r="AG300" s="16">
        <f>'Clean Data'!AG299</f>
        <v>9</v>
      </c>
      <c r="AH300" s="16">
        <f>'Clean Data'!AH299</f>
        <v>5.5</v>
      </c>
      <c r="AI300" s="16">
        <f>'Clean Data'!AI299</f>
        <v>13.3</v>
      </c>
      <c r="AJ300" s="16">
        <f>'Clean Data'!AJ299</f>
        <v>103.03030303030303</v>
      </c>
      <c r="AK300" s="16">
        <f>'Clean Data'!AK299</f>
        <v>0.57288000000000006</v>
      </c>
      <c r="AL300" s="16">
        <f>'Clean Data'!AL299</f>
        <v>203.98000000000002</v>
      </c>
      <c r="AM300" s="16">
        <f>'Clean Data'!AM299</f>
        <v>47.44864864864865</v>
      </c>
      <c r="AN300" s="16">
        <f>'Clean Data'!AN299</f>
        <v>39.293625789473687</v>
      </c>
      <c r="AO300" s="16" t="str">
        <f>'Clean Data'!AO299</f>
        <v>Herguido, Ind. Eng. Chem. Res. 1992, 31, 1274-1282</v>
      </c>
      <c r="AP300" s="16"/>
      <c r="AQ300" s="16"/>
      <c r="AR300" s="16"/>
      <c r="AS300" s="16"/>
      <c r="AT300" s="16"/>
    </row>
    <row r="301" spans="1:46" x14ac:dyDescent="0.3">
      <c r="A301" s="16">
        <f>'Clean Data'!A300</f>
        <v>299</v>
      </c>
      <c r="B301" s="16" t="str">
        <f>'Clean Data'!B300</f>
        <v>herbaceous biomass</v>
      </c>
      <c r="C301" s="16" t="str">
        <f>'Clean Data'!C300</f>
        <v>other</v>
      </c>
      <c r="D301" s="16" t="str">
        <f>'Clean Data'!D300</f>
        <v>NaN</v>
      </c>
      <c r="E301" s="16">
        <f>'Clean Data'!E300</f>
        <v>12.300400000000002</v>
      </c>
      <c r="F301" s="16">
        <f>'Clean Data'!F300</f>
        <v>40.799999999999997</v>
      </c>
      <c r="G301" s="16">
        <f>'Clean Data'!G300</f>
        <v>5.5</v>
      </c>
      <c r="H301" s="16">
        <f>'Clean Data'!H300</f>
        <v>0.3</v>
      </c>
      <c r="I301" s="16" t="str">
        <f>'Clean Data'!I300</f>
        <v>NaN</v>
      </c>
      <c r="J301" s="16">
        <f>'Clean Data'!J300</f>
        <v>53.400000000000006</v>
      </c>
      <c r="K301" s="16">
        <f>'Clean Data'!K300</f>
        <v>15.111111111111111</v>
      </c>
      <c r="L301" s="16">
        <f>'Clean Data'!L300</f>
        <v>10</v>
      </c>
      <c r="M301" s="16">
        <f>'Clean Data'!M300</f>
        <v>67.444444444444457</v>
      </c>
      <c r="N301" s="16">
        <f>'Clean Data'!N300</f>
        <v>17.444444444444443</v>
      </c>
      <c r="O301" s="16" t="str">
        <f>'Clean Data'!O300</f>
        <v>NaN</v>
      </c>
      <c r="P301" s="16" t="str">
        <f>'Clean Data'!P300</f>
        <v>NaN</v>
      </c>
      <c r="Q301" s="16" t="str">
        <f>'Clean Data'!Q300</f>
        <v>NaN</v>
      </c>
      <c r="R301" s="16">
        <f>'Clean Data'!R300</f>
        <v>780</v>
      </c>
      <c r="S301" s="16" t="str">
        <f>'Clean Data'!S300</f>
        <v>continuous</v>
      </c>
      <c r="T301" s="16" t="str">
        <f>'Clean Data'!T300</f>
        <v>slightly above atmospheric (1.1atm)</v>
      </c>
      <c r="U301" s="16" t="str">
        <f>'Clean Data'!U300</f>
        <v>NaN</v>
      </c>
      <c r="V301" s="16">
        <f>'Clean Data'!V300</f>
        <v>0.8</v>
      </c>
      <c r="W301" s="16" t="str">
        <f>'Clean Data'!W300</f>
        <v>NaN</v>
      </c>
      <c r="X301" s="16" t="str">
        <f>'Clean Data'!X300</f>
        <v>steam</v>
      </c>
      <c r="Y301" s="16" t="str">
        <f>'Clean Data'!Y300</f>
        <v>fluidised bed</v>
      </c>
      <c r="Z301" s="16" t="str">
        <f>'Clean Data'!Z300</f>
        <v>silica</v>
      </c>
      <c r="AA301" s="16">
        <f>'Clean Data'!AA300</f>
        <v>0</v>
      </c>
      <c r="AB301" s="16" t="str">
        <f>'Clean Data'!AB300</f>
        <v>lab</v>
      </c>
      <c r="AC301" s="16" t="str">
        <f>'Clean Data'!AC300</f>
        <v>NaN</v>
      </c>
      <c r="AD301" s="16">
        <f>'Clean Data'!AD300</f>
        <v>51.5</v>
      </c>
      <c r="AE301" s="16">
        <f>'Clean Data'!AE300</f>
        <v>22</v>
      </c>
      <c r="AF301" s="16">
        <f>'Clean Data'!AF300</f>
        <v>18.5</v>
      </c>
      <c r="AG301" s="16">
        <f>'Clean Data'!AG300</f>
        <v>7</v>
      </c>
      <c r="AH301" s="16">
        <f>'Clean Data'!AH300</f>
        <v>1</v>
      </c>
      <c r="AI301" s="16">
        <f>'Clean Data'!AI300</f>
        <v>11.7</v>
      </c>
      <c r="AJ301" s="16">
        <f>'Clean Data'!AJ300</f>
        <v>35.714285714285715</v>
      </c>
      <c r="AK301" s="16">
        <f>'Clean Data'!AK300</f>
        <v>0.85568000000000011</v>
      </c>
      <c r="AL301" s="16">
        <f>'Clean Data'!AL300</f>
        <v>137.52000000000001</v>
      </c>
      <c r="AM301" s="16">
        <f>'Clean Data'!AM300</f>
        <v>81.391304347826079</v>
      </c>
      <c r="AN301" s="16">
        <f>'Clean Data'!AN300</f>
        <v>50.728027058823528</v>
      </c>
      <c r="AO301" s="16" t="str">
        <f>'Clean Data'!AO300</f>
        <v>Herguido, Ind. Eng. Chem. Res. 1992, 31, 1274-1282</v>
      </c>
      <c r="AP301" s="16"/>
      <c r="AQ301" s="16"/>
      <c r="AR301" s="16"/>
      <c r="AS301" s="16"/>
      <c r="AT301" s="16"/>
    </row>
    <row r="302" spans="1:46" x14ac:dyDescent="0.3">
      <c r="A302" s="16">
        <f>'Clean Data'!A301</f>
        <v>300</v>
      </c>
      <c r="B302" s="16" t="str">
        <f>'Clean Data'!B301</f>
        <v>herbaceous biomass</v>
      </c>
      <c r="C302" s="16" t="str">
        <f>'Clean Data'!C301</f>
        <v>other</v>
      </c>
      <c r="D302" s="16" t="str">
        <f>'Clean Data'!D301</f>
        <v>NaN</v>
      </c>
      <c r="E302" s="16">
        <f>'Clean Data'!E301</f>
        <v>12.300400000000002</v>
      </c>
      <c r="F302" s="16">
        <f>'Clean Data'!F301</f>
        <v>40.799999999999997</v>
      </c>
      <c r="G302" s="16">
        <f>'Clean Data'!G301</f>
        <v>5.5</v>
      </c>
      <c r="H302" s="16">
        <f>'Clean Data'!H301</f>
        <v>0.3</v>
      </c>
      <c r="I302" s="16" t="str">
        <f>'Clean Data'!I301</f>
        <v>NaN</v>
      </c>
      <c r="J302" s="16">
        <f>'Clean Data'!J301</f>
        <v>53.400000000000006</v>
      </c>
      <c r="K302" s="16">
        <f>'Clean Data'!K301</f>
        <v>15.111111111111111</v>
      </c>
      <c r="L302" s="16">
        <f>'Clean Data'!L301</f>
        <v>10</v>
      </c>
      <c r="M302" s="16">
        <f>'Clean Data'!M301</f>
        <v>67.444444444444457</v>
      </c>
      <c r="N302" s="16">
        <f>'Clean Data'!N301</f>
        <v>17.444444444444443</v>
      </c>
      <c r="O302" s="16" t="str">
        <f>'Clean Data'!O301</f>
        <v>NaN</v>
      </c>
      <c r="P302" s="16" t="str">
        <f>'Clean Data'!P301</f>
        <v>NaN</v>
      </c>
      <c r="Q302" s="16" t="str">
        <f>'Clean Data'!Q301</f>
        <v>NaN</v>
      </c>
      <c r="R302" s="16">
        <f>'Clean Data'!R301</f>
        <v>750</v>
      </c>
      <c r="S302" s="16" t="str">
        <f>'Clean Data'!S301</f>
        <v>continuous</v>
      </c>
      <c r="T302" s="16" t="str">
        <f>'Clean Data'!T301</f>
        <v>slightly above atmospheric (1.1atm)</v>
      </c>
      <c r="U302" s="16" t="str">
        <f>'Clean Data'!U301</f>
        <v>NaN</v>
      </c>
      <c r="V302" s="16">
        <f>'Clean Data'!V301</f>
        <v>0.8</v>
      </c>
      <c r="W302" s="16" t="str">
        <f>'Clean Data'!W301</f>
        <v>NaN</v>
      </c>
      <c r="X302" s="16" t="str">
        <f>'Clean Data'!X301</f>
        <v>steam</v>
      </c>
      <c r="Y302" s="16" t="str">
        <f>'Clean Data'!Y301</f>
        <v>fluidised bed</v>
      </c>
      <c r="Z302" s="16" t="str">
        <f>'Clean Data'!Z301</f>
        <v>silica</v>
      </c>
      <c r="AA302" s="16">
        <f>'Clean Data'!AA301</f>
        <v>0</v>
      </c>
      <c r="AB302" s="16" t="str">
        <f>'Clean Data'!AB301</f>
        <v>lab</v>
      </c>
      <c r="AC302" s="16" t="str">
        <f>'Clean Data'!AC301</f>
        <v>NaN</v>
      </c>
      <c r="AD302" s="16">
        <f>'Clean Data'!AD301</f>
        <v>53</v>
      </c>
      <c r="AE302" s="16">
        <f>'Clean Data'!AE301</f>
        <v>18</v>
      </c>
      <c r="AF302" s="16">
        <f>'Clean Data'!AF301</f>
        <v>18.5</v>
      </c>
      <c r="AG302" s="16">
        <f>'Clean Data'!AG301</f>
        <v>6</v>
      </c>
      <c r="AH302" s="16">
        <f>'Clean Data'!AH301</f>
        <v>4.5</v>
      </c>
      <c r="AI302" s="16">
        <f>'Clean Data'!AI301</f>
        <v>12.1</v>
      </c>
      <c r="AJ302" s="16">
        <f>'Clean Data'!AJ301</f>
        <v>44.660194174757272</v>
      </c>
      <c r="AK302" s="16">
        <f>'Clean Data'!AK301</f>
        <v>0.78692000000000006</v>
      </c>
      <c r="AL302" s="16">
        <f>'Clean Data'!AL301</f>
        <v>145.16</v>
      </c>
      <c r="AM302" s="16">
        <f>'Clean Data'!AM301</f>
        <v>77.409937888198741</v>
      </c>
      <c r="AN302" s="16">
        <f>'Clean Data'!AN301</f>
        <v>41.932007584033606</v>
      </c>
      <c r="AO302" s="16" t="str">
        <f>'Clean Data'!AO301</f>
        <v>Herguido, Ind. Eng. Chem. Res. 1992, 31, 1274-1282</v>
      </c>
      <c r="AP302" s="16"/>
      <c r="AQ302" s="16"/>
      <c r="AR302" s="16"/>
      <c r="AS302" s="16"/>
      <c r="AT302" s="16"/>
    </row>
    <row r="303" spans="1:46" x14ac:dyDescent="0.3">
      <c r="A303" s="16">
        <f>'Clean Data'!A302</f>
        <v>301</v>
      </c>
      <c r="B303" s="16" t="str">
        <f>'Clean Data'!B302</f>
        <v>herbaceous biomass</v>
      </c>
      <c r="C303" s="16" t="str">
        <f>'Clean Data'!C302</f>
        <v>other</v>
      </c>
      <c r="D303" s="16" t="str">
        <f>'Clean Data'!D302</f>
        <v>NaN</v>
      </c>
      <c r="E303" s="16">
        <f>'Clean Data'!E302</f>
        <v>12.300400000000002</v>
      </c>
      <c r="F303" s="16">
        <f>'Clean Data'!F302</f>
        <v>40.799999999999997</v>
      </c>
      <c r="G303" s="16">
        <f>'Clean Data'!G302</f>
        <v>5.5</v>
      </c>
      <c r="H303" s="16">
        <f>'Clean Data'!H302</f>
        <v>0.3</v>
      </c>
      <c r="I303" s="16" t="str">
        <f>'Clean Data'!I302</f>
        <v>NaN</v>
      </c>
      <c r="J303" s="16">
        <f>'Clean Data'!J302</f>
        <v>53.400000000000006</v>
      </c>
      <c r="K303" s="16">
        <f>'Clean Data'!K302</f>
        <v>15.111111111111111</v>
      </c>
      <c r="L303" s="16">
        <f>'Clean Data'!L302</f>
        <v>10</v>
      </c>
      <c r="M303" s="16">
        <f>'Clean Data'!M302</f>
        <v>67.444444444444457</v>
      </c>
      <c r="N303" s="16">
        <f>'Clean Data'!N302</f>
        <v>17.444444444444443</v>
      </c>
      <c r="O303" s="16" t="str">
        <f>'Clean Data'!O302</f>
        <v>NaN</v>
      </c>
      <c r="P303" s="16" t="str">
        <f>'Clean Data'!P302</f>
        <v>NaN</v>
      </c>
      <c r="Q303" s="16" t="str">
        <f>'Clean Data'!Q302</f>
        <v>NaN</v>
      </c>
      <c r="R303" s="16">
        <f>'Clean Data'!R302</f>
        <v>700</v>
      </c>
      <c r="S303" s="16" t="str">
        <f>'Clean Data'!S302</f>
        <v>continuous</v>
      </c>
      <c r="T303" s="16" t="str">
        <f>'Clean Data'!T302</f>
        <v>slightly above atmospheric (1.1atm)</v>
      </c>
      <c r="U303" s="16" t="str">
        <f>'Clean Data'!U302</f>
        <v>NaN</v>
      </c>
      <c r="V303" s="16">
        <f>'Clean Data'!V302</f>
        <v>0.8</v>
      </c>
      <c r="W303" s="16" t="str">
        <f>'Clean Data'!W302</f>
        <v>NaN</v>
      </c>
      <c r="X303" s="16" t="str">
        <f>'Clean Data'!X302</f>
        <v>steam</v>
      </c>
      <c r="Y303" s="16" t="str">
        <f>'Clean Data'!Y302</f>
        <v>fluidised bed</v>
      </c>
      <c r="Z303" s="16" t="str">
        <f>'Clean Data'!Z302</f>
        <v>silica</v>
      </c>
      <c r="AA303" s="16">
        <f>'Clean Data'!AA302</f>
        <v>0</v>
      </c>
      <c r="AB303" s="16" t="str">
        <f>'Clean Data'!AB302</f>
        <v>lab</v>
      </c>
      <c r="AC303" s="16" t="str">
        <f>'Clean Data'!AC302</f>
        <v>NaN</v>
      </c>
      <c r="AD303" s="16">
        <f>'Clean Data'!AD302</f>
        <v>53</v>
      </c>
      <c r="AE303" s="16">
        <f>'Clean Data'!AE302</f>
        <v>17.5</v>
      </c>
      <c r="AF303" s="16">
        <f>'Clean Data'!AF302</f>
        <v>18</v>
      </c>
      <c r="AG303" s="16">
        <f>'Clean Data'!AG302</f>
        <v>9</v>
      </c>
      <c r="AH303" s="16">
        <f>'Clean Data'!AH302</f>
        <v>2.5</v>
      </c>
      <c r="AI303" s="16">
        <f>'Clean Data'!AI302</f>
        <v>12.4</v>
      </c>
      <c r="AJ303" s="16">
        <f>'Clean Data'!AJ302</f>
        <v>68.35443037974683</v>
      </c>
      <c r="AK303" s="16">
        <f>'Clean Data'!AK302</f>
        <v>0.60355999999999999</v>
      </c>
      <c r="AL303" s="16">
        <f>'Clean Data'!AL302</f>
        <v>164.26</v>
      </c>
      <c r="AM303" s="16">
        <f>'Clean Data'!AM302</f>
        <v>60.844720496894404</v>
      </c>
      <c r="AN303" s="16">
        <f>'Clean Data'!AN302</f>
        <v>33.587448308823532</v>
      </c>
      <c r="AO303" s="16" t="str">
        <f>'Clean Data'!AO302</f>
        <v>Herguido, Ind. Eng. Chem. Res. 1992, 31, 1274-1282</v>
      </c>
      <c r="AP303" s="16"/>
      <c r="AQ303" s="16"/>
      <c r="AR303" s="16"/>
      <c r="AS303" s="16"/>
      <c r="AT303" s="16"/>
    </row>
    <row r="304" spans="1:46" x14ac:dyDescent="0.3">
      <c r="A304" s="16">
        <f>'Clean Data'!A303</f>
        <v>302</v>
      </c>
      <c r="B304" s="16" t="str">
        <f>'Clean Data'!B303</f>
        <v>herbaceous biomass</v>
      </c>
      <c r="C304" s="16" t="str">
        <f>'Clean Data'!C303</f>
        <v>other</v>
      </c>
      <c r="D304" s="16" t="str">
        <f>'Clean Data'!D303</f>
        <v>NaN</v>
      </c>
      <c r="E304" s="16">
        <f>'Clean Data'!E303</f>
        <v>12.300400000000002</v>
      </c>
      <c r="F304" s="16">
        <f>'Clean Data'!F303</f>
        <v>40.799999999999997</v>
      </c>
      <c r="G304" s="16">
        <f>'Clean Data'!G303</f>
        <v>5.5</v>
      </c>
      <c r="H304" s="16">
        <f>'Clean Data'!H303</f>
        <v>0.3</v>
      </c>
      <c r="I304" s="16" t="str">
        <f>'Clean Data'!I303</f>
        <v>NaN</v>
      </c>
      <c r="J304" s="16">
        <f>'Clean Data'!J303</f>
        <v>53.400000000000006</v>
      </c>
      <c r="K304" s="16">
        <f>'Clean Data'!K303</f>
        <v>15.111111111111111</v>
      </c>
      <c r="L304" s="16">
        <f>'Clean Data'!L303</f>
        <v>10</v>
      </c>
      <c r="M304" s="16">
        <f>'Clean Data'!M303</f>
        <v>67.444444444444457</v>
      </c>
      <c r="N304" s="16">
        <f>'Clean Data'!N303</f>
        <v>17.444444444444443</v>
      </c>
      <c r="O304" s="16" t="str">
        <f>'Clean Data'!O303</f>
        <v>NaN</v>
      </c>
      <c r="P304" s="16" t="str">
        <f>'Clean Data'!P303</f>
        <v>NaN</v>
      </c>
      <c r="Q304" s="16" t="str">
        <f>'Clean Data'!Q303</f>
        <v>NaN</v>
      </c>
      <c r="R304" s="16">
        <f>'Clean Data'!R303</f>
        <v>650</v>
      </c>
      <c r="S304" s="16" t="str">
        <f>'Clean Data'!S303</f>
        <v>continuous</v>
      </c>
      <c r="T304" s="16" t="str">
        <f>'Clean Data'!T303</f>
        <v>slightly above atmospheric (1.1atm)</v>
      </c>
      <c r="U304" s="16" t="str">
        <f>'Clean Data'!U303</f>
        <v>NaN</v>
      </c>
      <c r="V304" s="16">
        <f>'Clean Data'!V303</f>
        <v>0.8</v>
      </c>
      <c r="W304" s="16" t="str">
        <f>'Clean Data'!W303</f>
        <v>NaN</v>
      </c>
      <c r="X304" s="16" t="str">
        <f>'Clean Data'!X303</f>
        <v>steam</v>
      </c>
      <c r="Y304" s="16" t="str">
        <f>'Clean Data'!Y303</f>
        <v>fluidised bed</v>
      </c>
      <c r="Z304" s="16" t="str">
        <f>'Clean Data'!Z303</f>
        <v>silica</v>
      </c>
      <c r="AA304" s="16">
        <f>'Clean Data'!AA303</f>
        <v>0</v>
      </c>
      <c r="AB304" s="16" t="str">
        <f>'Clean Data'!AB303</f>
        <v>lab</v>
      </c>
      <c r="AC304" s="16" t="str">
        <f>'Clean Data'!AC303</f>
        <v>NaN</v>
      </c>
      <c r="AD304" s="16">
        <f>'Clean Data'!AD303</f>
        <v>41.5</v>
      </c>
      <c r="AE304" s="16">
        <f>'Clean Data'!AE303</f>
        <v>24.5</v>
      </c>
      <c r="AF304" s="16">
        <f>'Clean Data'!AF303</f>
        <v>21.5</v>
      </c>
      <c r="AG304" s="16">
        <f>'Clean Data'!AG303</f>
        <v>9</v>
      </c>
      <c r="AH304" s="16">
        <f>'Clean Data'!AH303</f>
        <v>3.5</v>
      </c>
      <c r="AI304" s="16">
        <f>'Clean Data'!AI303</f>
        <v>13.1</v>
      </c>
      <c r="AJ304" s="16">
        <f>'Clean Data'!AJ303</f>
        <v>86.301369863013704</v>
      </c>
      <c r="AK304" s="16">
        <f>'Clean Data'!AK303</f>
        <v>0.55771999999999999</v>
      </c>
      <c r="AL304" s="16">
        <f>'Clean Data'!AL303</f>
        <v>221.56</v>
      </c>
      <c r="AM304" s="16">
        <f>'Clean Data'!AM303</f>
        <v>59.397515527950304</v>
      </c>
      <c r="AN304" s="16">
        <f>'Clean Data'!AN303</f>
        <v>38.295064632352947</v>
      </c>
      <c r="AO304" s="16" t="str">
        <f>'Clean Data'!AO303</f>
        <v>Herguido, Ind. Eng. Chem. Res. 1992, 31, 1274-1282</v>
      </c>
      <c r="AP304" s="16"/>
      <c r="AQ304" s="16"/>
      <c r="AR304" s="16"/>
      <c r="AS304" s="16"/>
      <c r="AT304" s="16"/>
    </row>
    <row r="305" spans="1:46" x14ac:dyDescent="0.3">
      <c r="A305" s="16">
        <f>'Clean Data'!A304</f>
        <v>303</v>
      </c>
      <c r="B305" s="16" t="str">
        <f>'Clean Data'!B304</f>
        <v>woody biomass</v>
      </c>
      <c r="C305" s="16" t="str">
        <f>'Clean Data'!C304</f>
        <v>particles</v>
      </c>
      <c r="D305" s="16">
        <f>'Clean Data'!D304</f>
        <v>1.75</v>
      </c>
      <c r="E305" s="16">
        <f>'Clean Data'!E304</f>
        <v>18.536578216639999</v>
      </c>
      <c r="F305" s="16">
        <f>'Clean Data'!F304</f>
        <v>50.26</v>
      </c>
      <c r="G305" s="16">
        <f>'Clean Data'!G304</f>
        <v>6.72</v>
      </c>
      <c r="H305" s="16">
        <f>'Clean Data'!H304</f>
        <v>0.16</v>
      </c>
      <c r="I305" s="16">
        <f>'Clean Data'!I304</f>
        <v>0.2</v>
      </c>
      <c r="J305" s="16">
        <f>'Clean Data'!J304</f>
        <v>42.66</v>
      </c>
      <c r="K305" s="16">
        <f>'Clean Data'!K304</f>
        <v>0.35793241393830938</v>
      </c>
      <c r="L305" s="16">
        <f>'Clean Data'!L304</f>
        <v>5.01</v>
      </c>
      <c r="M305" s="16">
        <f>'Clean Data'!M304</f>
        <v>81.808611432782399</v>
      </c>
      <c r="N305" s="16">
        <f>'Clean Data'!N304</f>
        <v>17.833456153279297</v>
      </c>
      <c r="O305" s="16">
        <f>'Clean Data'!O304</f>
        <v>43.5</v>
      </c>
      <c r="P305" s="16">
        <f>'Clean Data'!P304</f>
        <v>19.5</v>
      </c>
      <c r="Q305" s="16">
        <f>'Clean Data'!Q304</f>
        <v>33</v>
      </c>
      <c r="R305" s="16">
        <f>'Clean Data'!R304</f>
        <v>700</v>
      </c>
      <c r="S305" s="16" t="str">
        <f>'Clean Data'!S304</f>
        <v>batch</v>
      </c>
      <c r="T305" s="16" t="str">
        <f>'Clean Data'!T304</f>
        <v>NaN</v>
      </c>
      <c r="U305" s="16">
        <f>'Clean Data'!U304</f>
        <v>40</v>
      </c>
      <c r="V305" s="16">
        <f>'Clean Data'!V304</f>
        <v>1</v>
      </c>
      <c r="W305" s="16" t="str">
        <f>'Clean Data'!W304</f>
        <v>NaN</v>
      </c>
      <c r="X305" s="16" t="str">
        <f>'Clean Data'!X304</f>
        <v>steam</v>
      </c>
      <c r="Y305" s="16" t="str">
        <f>'Clean Data'!Y304</f>
        <v>fluidised bed</v>
      </c>
      <c r="Z305" s="16" t="str">
        <f>'Clean Data'!Z304</f>
        <v>silica</v>
      </c>
      <c r="AA305" s="16">
        <f>'Clean Data'!AA304</f>
        <v>0</v>
      </c>
      <c r="AB305" s="16" t="str">
        <f>'Clean Data'!AB304</f>
        <v>lab</v>
      </c>
      <c r="AC305" s="16" t="str">
        <f>'Clean Data'!AC304</f>
        <v>NaN</v>
      </c>
      <c r="AD305" s="16">
        <f>'Clean Data'!AD304</f>
        <v>51</v>
      </c>
      <c r="AE305" s="16">
        <f>'Clean Data'!AE304</f>
        <v>19</v>
      </c>
      <c r="AF305" s="16">
        <f>'Clean Data'!AF304</f>
        <v>17</v>
      </c>
      <c r="AG305" s="16">
        <f>'Clean Data'!AG304</f>
        <v>13</v>
      </c>
      <c r="AH305" s="16">
        <f>'Clean Data'!AH304</f>
        <v>0</v>
      </c>
      <c r="AI305" s="16">
        <f>'Clean Data'!AI304</f>
        <v>10.83</v>
      </c>
      <c r="AJ305" s="16">
        <f>'Clean Data'!AJ304</f>
        <v>17.5</v>
      </c>
      <c r="AK305" s="16">
        <f>'Clean Data'!AK304</f>
        <v>1.32</v>
      </c>
      <c r="AL305" s="16" t="str">
        <f>'Clean Data'!AL304</f>
        <v>NaN</v>
      </c>
      <c r="AM305" s="16">
        <f>'Clean Data'!AM304</f>
        <v>77.121029744136166</v>
      </c>
      <c r="AN305" s="16">
        <f>'Clean Data'!AN304</f>
        <v>65.31349269512819</v>
      </c>
      <c r="AO305" s="16" t="str">
        <f>'Clean Data'!AO304</f>
        <v>Fremaux, Energy Convers. Manag. 2015, 91, 427-432</v>
      </c>
      <c r="AP305" s="16"/>
      <c r="AQ305" s="16"/>
      <c r="AR305" s="16"/>
      <c r="AS305" s="16"/>
      <c r="AT305" s="16"/>
    </row>
    <row r="306" spans="1:46" x14ac:dyDescent="0.3">
      <c r="A306" s="16">
        <f>'Clean Data'!A305</f>
        <v>304</v>
      </c>
      <c r="B306" s="16" t="str">
        <f>'Clean Data'!B305</f>
        <v>woody biomass</v>
      </c>
      <c r="C306" s="16" t="str">
        <f>'Clean Data'!C305</f>
        <v>particles</v>
      </c>
      <c r="D306" s="16">
        <f>'Clean Data'!D305</f>
        <v>1.75</v>
      </c>
      <c r="E306" s="16">
        <f>'Clean Data'!E305</f>
        <v>18.536578216639999</v>
      </c>
      <c r="F306" s="16">
        <f>'Clean Data'!F305</f>
        <v>50.26</v>
      </c>
      <c r="G306" s="16">
        <f>'Clean Data'!G305</f>
        <v>6.72</v>
      </c>
      <c r="H306" s="16">
        <f>'Clean Data'!H305</f>
        <v>0.16</v>
      </c>
      <c r="I306" s="16">
        <f>'Clean Data'!I305</f>
        <v>0.2</v>
      </c>
      <c r="J306" s="16">
        <f>'Clean Data'!J305</f>
        <v>42.66</v>
      </c>
      <c r="K306" s="16">
        <f>'Clean Data'!K305</f>
        <v>0.35793241393830938</v>
      </c>
      <c r="L306" s="16">
        <f>'Clean Data'!L305</f>
        <v>5.01</v>
      </c>
      <c r="M306" s="16">
        <f>'Clean Data'!M305</f>
        <v>81.808611432782399</v>
      </c>
      <c r="N306" s="16">
        <f>'Clean Data'!N305</f>
        <v>17.833456153279297</v>
      </c>
      <c r="O306" s="16">
        <f>'Clean Data'!O305</f>
        <v>43.5</v>
      </c>
      <c r="P306" s="16">
        <f>'Clean Data'!P305</f>
        <v>19.5</v>
      </c>
      <c r="Q306" s="16">
        <f>'Clean Data'!Q305</f>
        <v>33</v>
      </c>
      <c r="R306" s="16">
        <f>'Clean Data'!R305</f>
        <v>800</v>
      </c>
      <c r="S306" s="16" t="str">
        <f>'Clean Data'!S305</f>
        <v>batch</v>
      </c>
      <c r="T306" s="16" t="str">
        <f>'Clean Data'!T305</f>
        <v>NaN</v>
      </c>
      <c r="U306" s="16">
        <f>'Clean Data'!U305</f>
        <v>40</v>
      </c>
      <c r="V306" s="16">
        <f>'Clean Data'!V305</f>
        <v>1</v>
      </c>
      <c r="W306" s="16" t="str">
        <f>'Clean Data'!W305</f>
        <v>NaN</v>
      </c>
      <c r="X306" s="16" t="str">
        <f>'Clean Data'!X305</f>
        <v>steam</v>
      </c>
      <c r="Y306" s="16" t="str">
        <f>'Clean Data'!Y305</f>
        <v>fluidised bed</v>
      </c>
      <c r="Z306" s="16" t="str">
        <f>'Clean Data'!Z305</f>
        <v>silica</v>
      </c>
      <c r="AA306" s="16">
        <f>'Clean Data'!AA305</f>
        <v>0</v>
      </c>
      <c r="AB306" s="16" t="str">
        <f>'Clean Data'!AB305</f>
        <v>lab</v>
      </c>
      <c r="AC306" s="16" t="str">
        <f>'Clean Data'!AC305</f>
        <v>NaN</v>
      </c>
      <c r="AD306" s="16">
        <f>'Clean Data'!AD305</f>
        <v>51</v>
      </c>
      <c r="AE306" s="16" t="str">
        <f>'Clean Data'!AE305</f>
        <v>NaN</v>
      </c>
      <c r="AF306" s="16" t="str">
        <f>'Clean Data'!AF305</f>
        <v>NaN</v>
      </c>
      <c r="AG306" s="16" t="str">
        <f>'Clean Data'!AG305</f>
        <v>NaN</v>
      </c>
      <c r="AH306" s="16" t="str">
        <f>'Clean Data'!AH305</f>
        <v>NaN</v>
      </c>
      <c r="AI306" s="16">
        <f>'Clean Data'!AI305</f>
        <v>13.45</v>
      </c>
      <c r="AJ306" s="16">
        <f>'Clean Data'!AJ305</f>
        <v>15.5</v>
      </c>
      <c r="AK306" s="16">
        <f>'Clean Data'!AK305</f>
        <v>1.55</v>
      </c>
      <c r="AL306" s="16" t="str">
        <f>'Clean Data'!AL305</f>
        <v>NaN</v>
      </c>
      <c r="AM306" s="16">
        <f>'Clean Data'!AM305</f>
        <v>112.46681969213456</v>
      </c>
      <c r="AN306" s="16" t="str">
        <f>'Clean Data'!AN305</f>
        <v>NaN</v>
      </c>
      <c r="AO306" s="16" t="str">
        <f>'Clean Data'!AO305</f>
        <v>Fremaux, Energy Convers. Manag. 2015, 91, 427-433</v>
      </c>
      <c r="AP306" s="16"/>
      <c r="AQ306" s="16"/>
      <c r="AR306" s="16"/>
      <c r="AS306" s="16"/>
      <c r="AT306" s="16"/>
    </row>
    <row r="307" spans="1:46" x14ac:dyDescent="0.3">
      <c r="A307" s="16">
        <f>'Clean Data'!A306</f>
        <v>305</v>
      </c>
      <c r="B307" s="16" t="str">
        <f>'Clean Data'!B306</f>
        <v>woody biomass</v>
      </c>
      <c r="C307" s="16" t="str">
        <f>'Clean Data'!C306</f>
        <v>particles</v>
      </c>
      <c r="D307" s="16">
        <f>'Clean Data'!D306</f>
        <v>1.75</v>
      </c>
      <c r="E307" s="16">
        <f>'Clean Data'!E306</f>
        <v>18.536578216639999</v>
      </c>
      <c r="F307" s="16">
        <f>'Clean Data'!F306</f>
        <v>50.26</v>
      </c>
      <c r="G307" s="16">
        <f>'Clean Data'!G306</f>
        <v>6.72</v>
      </c>
      <c r="H307" s="16">
        <f>'Clean Data'!H306</f>
        <v>0.16</v>
      </c>
      <c r="I307" s="16">
        <f>'Clean Data'!I306</f>
        <v>0.2</v>
      </c>
      <c r="J307" s="16">
        <f>'Clean Data'!J306</f>
        <v>42.66</v>
      </c>
      <c r="K307" s="16">
        <f>'Clean Data'!K306</f>
        <v>0.35793241393830938</v>
      </c>
      <c r="L307" s="16">
        <f>'Clean Data'!L306</f>
        <v>5.01</v>
      </c>
      <c r="M307" s="16">
        <f>'Clean Data'!M306</f>
        <v>81.808611432782399</v>
      </c>
      <c r="N307" s="16">
        <f>'Clean Data'!N306</f>
        <v>17.833456153279297</v>
      </c>
      <c r="O307" s="16">
        <f>'Clean Data'!O306</f>
        <v>43.5</v>
      </c>
      <c r="P307" s="16">
        <f>'Clean Data'!P306</f>
        <v>19.5</v>
      </c>
      <c r="Q307" s="16">
        <f>'Clean Data'!Q306</f>
        <v>33</v>
      </c>
      <c r="R307" s="16">
        <f>'Clean Data'!R306</f>
        <v>900</v>
      </c>
      <c r="S307" s="16" t="str">
        <f>'Clean Data'!S306</f>
        <v>batch</v>
      </c>
      <c r="T307" s="16" t="str">
        <f>'Clean Data'!T306</f>
        <v>NaN</v>
      </c>
      <c r="U307" s="16">
        <f>'Clean Data'!U306</f>
        <v>40</v>
      </c>
      <c r="V307" s="16">
        <f>'Clean Data'!V306</f>
        <v>1</v>
      </c>
      <c r="W307" s="16" t="str">
        <f>'Clean Data'!W306</f>
        <v>NaN</v>
      </c>
      <c r="X307" s="16" t="str">
        <f>'Clean Data'!X306</f>
        <v>steam</v>
      </c>
      <c r="Y307" s="16" t="str">
        <f>'Clean Data'!Y306</f>
        <v>fluidised bed</v>
      </c>
      <c r="Z307" s="16" t="str">
        <f>'Clean Data'!Z306</f>
        <v>silica</v>
      </c>
      <c r="AA307" s="16">
        <f>'Clean Data'!AA306</f>
        <v>0</v>
      </c>
      <c r="AB307" s="16" t="str">
        <f>'Clean Data'!AB306</f>
        <v>lab</v>
      </c>
      <c r="AC307" s="16" t="str">
        <f>'Clean Data'!AC306</f>
        <v>NaN</v>
      </c>
      <c r="AD307" s="16">
        <f>'Clean Data'!AD306</f>
        <v>59</v>
      </c>
      <c r="AE307" s="16" t="str">
        <f>'Clean Data'!AE306</f>
        <v>NaN</v>
      </c>
      <c r="AF307" s="16" t="str">
        <f>'Clean Data'!AF306</f>
        <v>NaN</v>
      </c>
      <c r="AG307" s="16" t="str">
        <f>'Clean Data'!AG306</f>
        <v>NaN</v>
      </c>
      <c r="AH307" s="16" t="str">
        <f>'Clean Data'!AH306</f>
        <v>NaN</v>
      </c>
      <c r="AI307" s="16">
        <f>'Clean Data'!AI306</f>
        <v>13.72</v>
      </c>
      <c r="AJ307" s="16">
        <f>'Clean Data'!AJ306</f>
        <v>12.5</v>
      </c>
      <c r="AK307" s="16">
        <f>'Clean Data'!AK306</f>
        <v>1.66</v>
      </c>
      <c r="AL307" s="16" t="str">
        <f>'Clean Data'!AL306</f>
        <v>NaN</v>
      </c>
      <c r="AM307" s="16">
        <f>'Clean Data'!AM306</f>
        <v>122.86625791352935</v>
      </c>
      <c r="AN307" s="16" t="str">
        <f>'Clean Data'!AN306</f>
        <v>NaN</v>
      </c>
      <c r="AO307" s="16" t="str">
        <f>'Clean Data'!AO306</f>
        <v>Fremaux, Energy Convers. Manag. 2015, 91, 427-434</v>
      </c>
      <c r="AP307" s="16"/>
      <c r="AQ307" s="16"/>
      <c r="AR307" s="16"/>
      <c r="AS307" s="16"/>
      <c r="AT307" s="16"/>
    </row>
    <row r="308" spans="1:46" x14ac:dyDescent="0.3">
      <c r="A308" s="16">
        <f>'Clean Data'!A307</f>
        <v>306</v>
      </c>
      <c r="B308" s="16" t="str">
        <f>'Clean Data'!B307</f>
        <v>woody biomass</v>
      </c>
      <c r="C308" s="16" t="str">
        <f>'Clean Data'!C307</f>
        <v>particles</v>
      </c>
      <c r="D308" s="16">
        <f>'Clean Data'!D307</f>
        <v>1.75</v>
      </c>
      <c r="E308" s="16">
        <f>'Clean Data'!E307</f>
        <v>18.536578216639999</v>
      </c>
      <c r="F308" s="16">
        <f>'Clean Data'!F307</f>
        <v>50.26</v>
      </c>
      <c r="G308" s="16">
        <f>'Clean Data'!G307</f>
        <v>6.72</v>
      </c>
      <c r="H308" s="16">
        <f>'Clean Data'!H307</f>
        <v>0.16</v>
      </c>
      <c r="I308" s="16">
        <f>'Clean Data'!I307</f>
        <v>0.2</v>
      </c>
      <c r="J308" s="16">
        <f>'Clean Data'!J307</f>
        <v>42.66</v>
      </c>
      <c r="K308" s="16">
        <f>'Clean Data'!K307</f>
        <v>0.35793241393830938</v>
      </c>
      <c r="L308" s="16">
        <f>'Clean Data'!L307</f>
        <v>5.01</v>
      </c>
      <c r="M308" s="16">
        <f>'Clean Data'!M307</f>
        <v>81.808611432782399</v>
      </c>
      <c r="N308" s="16">
        <f>'Clean Data'!N307</f>
        <v>17.833456153279297</v>
      </c>
      <c r="O308" s="16">
        <f>'Clean Data'!O307</f>
        <v>43.5</v>
      </c>
      <c r="P308" s="16">
        <f>'Clean Data'!P307</f>
        <v>19.5</v>
      </c>
      <c r="Q308" s="16">
        <f>'Clean Data'!Q307</f>
        <v>33</v>
      </c>
      <c r="R308" s="16">
        <f>'Clean Data'!R307</f>
        <v>900</v>
      </c>
      <c r="S308" s="16" t="str">
        <f>'Clean Data'!S307</f>
        <v>batch</v>
      </c>
      <c r="T308" s="16" t="str">
        <f>'Clean Data'!T307</f>
        <v>NaN</v>
      </c>
      <c r="U308" s="16">
        <f>'Clean Data'!U307</f>
        <v>40</v>
      </c>
      <c r="V308" s="16">
        <f>'Clean Data'!V307</f>
        <v>0.5</v>
      </c>
      <c r="W308" s="16" t="str">
        <f>'Clean Data'!W307</f>
        <v>NaN</v>
      </c>
      <c r="X308" s="16" t="str">
        <f>'Clean Data'!X307</f>
        <v>steam</v>
      </c>
      <c r="Y308" s="16" t="str">
        <f>'Clean Data'!Y307</f>
        <v>fluidised bed</v>
      </c>
      <c r="Z308" s="16" t="str">
        <f>'Clean Data'!Z307</f>
        <v>silica</v>
      </c>
      <c r="AA308" s="16">
        <f>'Clean Data'!AA307</f>
        <v>0</v>
      </c>
      <c r="AB308" s="16" t="str">
        <f>'Clean Data'!AB307</f>
        <v>lab</v>
      </c>
      <c r="AC308" s="16" t="str">
        <f>'Clean Data'!AC307</f>
        <v>NaN</v>
      </c>
      <c r="AD308" s="16">
        <f>'Clean Data'!AD307</f>
        <v>58</v>
      </c>
      <c r="AE308" s="16" t="str">
        <f>'Clean Data'!AE307</f>
        <v>NaN</v>
      </c>
      <c r="AF308" s="16" t="str">
        <f>'Clean Data'!AF307</f>
        <v>NaN</v>
      </c>
      <c r="AG308" s="16" t="str">
        <f>'Clean Data'!AG307</f>
        <v>NaN</v>
      </c>
      <c r="AH308" s="16" t="str">
        <f>'Clean Data'!AH307</f>
        <v>NaN</v>
      </c>
      <c r="AI308" s="16">
        <f>'Clean Data'!AI307</f>
        <v>13.12</v>
      </c>
      <c r="AJ308" s="16">
        <f>'Clean Data'!AJ307</f>
        <v>15</v>
      </c>
      <c r="AK308" s="16">
        <f>'Clean Data'!AK307</f>
        <v>1.36</v>
      </c>
      <c r="AL308" s="16" t="str">
        <f>'Clean Data'!AL307</f>
        <v>NaN</v>
      </c>
      <c r="AM308" s="16">
        <f>'Clean Data'!AM307</f>
        <v>96.259405546501753</v>
      </c>
      <c r="AN308" s="16" t="str">
        <f>'Clean Data'!AN307</f>
        <v>NaN</v>
      </c>
      <c r="AO308" s="16" t="str">
        <f>'Clean Data'!AO307</f>
        <v>Fremaux, Energy Convers. Manag. 2015, 91, 427-435</v>
      </c>
      <c r="AP308" s="16"/>
      <c r="AQ308" s="16"/>
      <c r="AR308" s="16"/>
      <c r="AS308" s="16"/>
      <c r="AT308" s="16"/>
    </row>
    <row r="309" spans="1:46" x14ac:dyDescent="0.3">
      <c r="A309" s="16">
        <f>'Clean Data'!A308</f>
        <v>307</v>
      </c>
      <c r="B309" s="16" t="str">
        <f>'Clean Data'!B308</f>
        <v>woody biomass</v>
      </c>
      <c r="C309" s="16" t="str">
        <f>'Clean Data'!C308</f>
        <v>pellets</v>
      </c>
      <c r="D309" s="16" t="str">
        <f>'Clean Data'!D308</f>
        <v>NaN</v>
      </c>
      <c r="E309" s="16">
        <f>'Clean Data'!E308</f>
        <v>18.600000000000001</v>
      </c>
      <c r="F309" s="16">
        <f>'Clean Data'!F308</f>
        <v>51.3</v>
      </c>
      <c r="G309" s="16">
        <f>'Clean Data'!G308</f>
        <v>5.81</v>
      </c>
      <c r="H309" s="16">
        <f>'Clean Data'!H308</f>
        <v>0.2</v>
      </c>
      <c r="I309" s="16">
        <f>'Clean Data'!I308</f>
        <v>0.1</v>
      </c>
      <c r="J309" s="16">
        <f>'Clean Data'!J308</f>
        <v>42.6</v>
      </c>
      <c r="K309" s="16">
        <f>'Clean Data'!K308</f>
        <v>0.43478260869565216</v>
      </c>
      <c r="L309" s="16">
        <f>'Clean Data'!L308</f>
        <v>8</v>
      </c>
      <c r="M309" s="16">
        <f>'Clean Data'!M308</f>
        <v>84.130434782608702</v>
      </c>
      <c r="N309" s="16">
        <f>'Clean Data'!N308</f>
        <v>15.434782608695651</v>
      </c>
      <c r="O309" s="16" t="str">
        <f>'Clean Data'!O308</f>
        <v>NaN</v>
      </c>
      <c r="P309" s="16" t="str">
        <f>'Clean Data'!P308</f>
        <v>NaN</v>
      </c>
      <c r="Q309" s="16" t="str">
        <f>'Clean Data'!Q308</f>
        <v>NaN</v>
      </c>
      <c r="R309" s="16">
        <f>'Clean Data'!R308</f>
        <v>700</v>
      </c>
      <c r="S309" s="16" t="str">
        <f>'Clean Data'!S308</f>
        <v>continuous</v>
      </c>
      <c r="T309" s="16" t="str">
        <f>'Clean Data'!T308</f>
        <v>NaN</v>
      </c>
      <c r="U309" s="16" t="str">
        <f>'Clean Data'!U308</f>
        <v>NaN</v>
      </c>
      <c r="V309" s="16" t="str">
        <f>'Clean Data'!V308</f>
        <v>NaN</v>
      </c>
      <c r="W309" s="16" t="str">
        <f>'Clean Data'!W308</f>
        <v>NaN</v>
      </c>
      <c r="X309" s="16" t="str">
        <f>'Clean Data'!X308</f>
        <v>steam</v>
      </c>
      <c r="Y309" s="16" t="str">
        <f>'Clean Data'!Y308</f>
        <v>fluidised bed</v>
      </c>
      <c r="Z309" s="16" t="str">
        <f>'Clean Data'!Z308</f>
        <v>silica</v>
      </c>
      <c r="AA309" s="16">
        <f>'Clean Data'!AA308</f>
        <v>0</v>
      </c>
      <c r="AB309" s="16" t="str">
        <f>'Clean Data'!AB308</f>
        <v>pilot</v>
      </c>
      <c r="AC309" s="16" t="str">
        <f>'Clean Data'!AC308</f>
        <v>NaN</v>
      </c>
      <c r="AD309" s="16">
        <f>'Clean Data'!AD308</f>
        <v>22.5</v>
      </c>
      <c r="AE309" s="16">
        <f>'Clean Data'!AE308</f>
        <v>40.5</v>
      </c>
      <c r="AF309" s="16">
        <f>'Clean Data'!AF308</f>
        <v>18.5</v>
      </c>
      <c r="AG309" s="16">
        <f>'Clean Data'!AG308</f>
        <v>14</v>
      </c>
      <c r="AH309" s="16" t="str">
        <f>'Clean Data'!AH308</f>
        <v>NaN</v>
      </c>
      <c r="AI309" s="16">
        <f>'Clean Data'!AI308</f>
        <v>12.56616</v>
      </c>
      <c r="AJ309" s="16">
        <f>'Clean Data'!AJ308</f>
        <v>12.7</v>
      </c>
      <c r="AK309" s="16">
        <f>'Clean Data'!AK308</f>
        <v>0.49463999999999997</v>
      </c>
      <c r="AL309" s="16" t="str">
        <f>'Clean Data'!AL308</f>
        <v>NaN</v>
      </c>
      <c r="AM309" s="16">
        <f>'Clean Data'!AM308</f>
        <v>33.417878399999999</v>
      </c>
      <c r="AN309" s="16">
        <f>'Clean Data'!AN308</f>
        <v>35.363040902255634</v>
      </c>
      <c r="AO309" s="16" t="str">
        <f>'Clean Data'!AO308</f>
        <v>Zhang, Fuel 2017, 188, 628-635</v>
      </c>
      <c r="AP309" s="16"/>
      <c r="AQ309" s="16"/>
      <c r="AR309" s="16"/>
      <c r="AS309" s="16"/>
      <c r="AT309" s="16"/>
    </row>
    <row r="310" spans="1:46" x14ac:dyDescent="0.3">
      <c r="A310" s="16">
        <f>'Clean Data'!A309</f>
        <v>308</v>
      </c>
      <c r="B310" s="16" t="str">
        <f>'Clean Data'!B309</f>
        <v>woody biomass</v>
      </c>
      <c r="C310" s="16" t="str">
        <f>'Clean Data'!C309</f>
        <v>pellets</v>
      </c>
      <c r="D310" s="16" t="str">
        <f>'Clean Data'!D309</f>
        <v>NaN</v>
      </c>
      <c r="E310" s="16">
        <f>'Clean Data'!E309</f>
        <v>18.600000000000001</v>
      </c>
      <c r="F310" s="16">
        <f>'Clean Data'!F309</f>
        <v>51.3</v>
      </c>
      <c r="G310" s="16">
        <f>'Clean Data'!G309</f>
        <v>5.81</v>
      </c>
      <c r="H310" s="16">
        <f>'Clean Data'!H309</f>
        <v>0.2</v>
      </c>
      <c r="I310" s="16">
        <f>'Clean Data'!I309</f>
        <v>0.1</v>
      </c>
      <c r="J310" s="16">
        <f>'Clean Data'!J309</f>
        <v>42.6</v>
      </c>
      <c r="K310" s="16">
        <f>'Clean Data'!K309</f>
        <v>0.43478260869565216</v>
      </c>
      <c r="L310" s="16">
        <f>'Clean Data'!L309</f>
        <v>8</v>
      </c>
      <c r="M310" s="16">
        <f>'Clean Data'!M309</f>
        <v>84.130434782608702</v>
      </c>
      <c r="N310" s="16">
        <f>'Clean Data'!N309</f>
        <v>15.434782608695651</v>
      </c>
      <c r="O310" s="16" t="str">
        <f>'Clean Data'!O309</f>
        <v>NaN</v>
      </c>
      <c r="P310" s="16" t="str">
        <f>'Clean Data'!P309</f>
        <v>NaN</v>
      </c>
      <c r="Q310" s="16" t="str">
        <f>'Clean Data'!Q309</f>
        <v>NaN</v>
      </c>
      <c r="R310" s="16">
        <f>'Clean Data'!R309</f>
        <v>750</v>
      </c>
      <c r="S310" s="16" t="str">
        <f>'Clean Data'!S309</f>
        <v>continuous</v>
      </c>
      <c r="T310" s="16" t="str">
        <f>'Clean Data'!T309</f>
        <v>NaN</v>
      </c>
      <c r="U310" s="16" t="str">
        <f>'Clean Data'!U309</f>
        <v>NaN</v>
      </c>
      <c r="V310" s="16" t="str">
        <f>'Clean Data'!V309</f>
        <v>NaN</v>
      </c>
      <c r="W310" s="16" t="str">
        <f>'Clean Data'!W309</f>
        <v>NaN</v>
      </c>
      <c r="X310" s="16" t="str">
        <f>'Clean Data'!X309</f>
        <v>steam</v>
      </c>
      <c r="Y310" s="16" t="str">
        <f>'Clean Data'!Y309</f>
        <v>fluidised bed</v>
      </c>
      <c r="Z310" s="16" t="str">
        <f>'Clean Data'!Z309</f>
        <v>silica</v>
      </c>
      <c r="AA310" s="16">
        <f>'Clean Data'!AA309</f>
        <v>0</v>
      </c>
      <c r="AB310" s="16" t="str">
        <f>'Clean Data'!AB309</f>
        <v>pilot</v>
      </c>
      <c r="AC310" s="16" t="str">
        <f>'Clean Data'!AC309</f>
        <v>NaN</v>
      </c>
      <c r="AD310" s="16">
        <f>'Clean Data'!AD309</f>
        <v>25</v>
      </c>
      <c r="AE310" s="16">
        <f>'Clean Data'!AE309</f>
        <v>40</v>
      </c>
      <c r="AF310" s="16">
        <f>'Clean Data'!AF309</f>
        <v>16</v>
      </c>
      <c r="AG310" s="16">
        <f>'Clean Data'!AG309</f>
        <v>14</v>
      </c>
      <c r="AH310" s="16" t="str">
        <f>'Clean Data'!AH309</f>
        <v>NaN</v>
      </c>
      <c r="AI310" s="16">
        <f>'Clean Data'!AI309</f>
        <v>12.77257</v>
      </c>
      <c r="AJ310" s="16">
        <f>'Clean Data'!AJ309</f>
        <v>11.9</v>
      </c>
      <c r="AK310" s="16">
        <f>'Clean Data'!AK309</f>
        <v>0.51295999999999997</v>
      </c>
      <c r="AL310" s="16" t="str">
        <f>'Clean Data'!AL309</f>
        <v>NaN</v>
      </c>
      <c r="AM310" s="16">
        <f>'Clean Data'!AM309</f>
        <v>35.224825307526878</v>
      </c>
      <c r="AN310" s="16">
        <f>'Clean Data'!AN309</f>
        <v>35.078621754385956</v>
      </c>
      <c r="AO310" s="16" t="str">
        <f>'Clean Data'!AO309</f>
        <v>Zhang, Fuel 2017, 188, 628-636</v>
      </c>
      <c r="AP310" s="16"/>
      <c r="AQ310" s="16"/>
      <c r="AR310" s="16"/>
      <c r="AS310" s="16"/>
      <c r="AT310" s="16"/>
    </row>
    <row r="311" spans="1:46" x14ac:dyDescent="0.3">
      <c r="A311" s="16">
        <f>'Clean Data'!A310</f>
        <v>309</v>
      </c>
      <c r="B311" s="16" t="str">
        <f>'Clean Data'!B310</f>
        <v>woody biomass</v>
      </c>
      <c r="C311" s="16" t="str">
        <f>'Clean Data'!C310</f>
        <v>pellets</v>
      </c>
      <c r="D311" s="16" t="str">
        <f>'Clean Data'!D310</f>
        <v>NaN</v>
      </c>
      <c r="E311" s="16">
        <f>'Clean Data'!E310</f>
        <v>18.600000000000001</v>
      </c>
      <c r="F311" s="16">
        <f>'Clean Data'!F310</f>
        <v>51.3</v>
      </c>
      <c r="G311" s="16">
        <f>'Clean Data'!G310</f>
        <v>5.81</v>
      </c>
      <c r="H311" s="16">
        <f>'Clean Data'!H310</f>
        <v>0.2</v>
      </c>
      <c r="I311" s="16">
        <f>'Clean Data'!I310</f>
        <v>0.1</v>
      </c>
      <c r="J311" s="16">
        <f>'Clean Data'!J310</f>
        <v>42.6</v>
      </c>
      <c r="K311" s="16">
        <f>'Clean Data'!K310</f>
        <v>0.43478260869565216</v>
      </c>
      <c r="L311" s="16">
        <f>'Clean Data'!L310</f>
        <v>8</v>
      </c>
      <c r="M311" s="16">
        <f>'Clean Data'!M310</f>
        <v>84.130434782608702</v>
      </c>
      <c r="N311" s="16">
        <f>'Clean Data'!N310</f>
        <v>15.434782608695651</v>
      </c>
      <c r="O311" s="16" t="str">
        <f>'Clean Data'!O310</f>
        <v>NaN</v>
      </c>
      <c r="P311" s="16" t="str">
        <f>'Clean Data'!P310</f>
        <v>NaN</v>
      </c>
      <c r="Q311" s="16" t="str">
        <f>'Clean Data'!Q310</f>
        <v>NaN</v>
      </c>
      <c r="R311" s="16">
        <f>'Clean Data'!R310</f>
        <v>800</v>
      </c>
      <c r="S311" s="16" t="str">
        <f>'Clean Data'!S310</f>
        <v>continuous</v>
      </c>
      <c r="T311" s="16" t="str">
        <f>'Clean Data'!T310</f>
        <v>NaN</v>
      </c>
      <c r="U311" s="16" t="str">
        <f>'Clean Data'!U310</f>
        <v>NaN</v>
      </c>
      <c r="V311" s="16" t="str">
        <f>'Clean Data'!V310</f>
        <v>NaN</v>
      </c>
      <c r="W311" s="16" t="str">
        <f>'Clean Data'!W310</f>
        <v>NaN</v>
      </c>
      <c r="X311" s="16" t="str">
        <f>'Clean Data'!X310</f>
        <v>steam</v>
      </c>
      <c r="Y311" s="16" t="str">
        <f>'Clean Data'!Y310</f>
        <v>fluidised bed</v>
      </c>
      <c r="Z311" s="16" t="str">
        <f>'Clean Data'!Z310</f>
        <v>silica</v>
      </c>
      <c r="AA311" s="16">
        <f>'Clean Data'!AA310</f>
        <v>0</v>
      </c>
      <c r="AB311" s="16" t="str">
        <f>'Clean Data'!AB310</f>
        <v>pilot</v>
      </c>
      <c r="AC311" s="16" t="str">
        <f>'Clean Data'!AC310</f>
        <v>NaN</v>
      </c>
      <c r="AD311" s="16">
        <f>'Clean Data'!AD310</f>
        <v>25.5</v>
      </c>
      <c r="AE311" s="16">
        <f>'Clean Data'!AE310</f>
        <v>42.5</v>
      </c>
      <c r="AF311" s="16">
        <f>'Clean Data'!AF310</f>
        <v>13</v>
      </c>
      <c r="AG311" s="16">
        <f>'Clean Data'!AG310</f>
        <v>13.5</v>
      </c>
      <c r="AH311" s="16" t="str">
        <f>'Clean Data'!AH310</f>
        <v>NaN</v>
      </c>
      <c r="AI311" s="16">
        <f>'Clean Data'!AI310</f>
        <v>12.962894999999998</v>
      </c>
      <c r="AJ311" s="16">
        <f>'Clean Data'!AJ310</f>
        <v>10.4</v>
      </c>
      <c r="AK311" s="16">
        <f>'Clean Data'!AK310</f>
        <v>0.58898799999999996</v>
      </c>
      <c r="AL311" s="16" t="str">
        <f>'Clean Data'!AL310</f>
        <v>NaN</v>
      </c>
      <c r="AM311" s="16">
        <f>'Clean Data'!AM310</f>
        <v>41.048331184193536</v>
      </c>
      <c r="AN311" s="16">
        <f>'Clean Data'!AN310</f>
        <v>39.537295660400993</v>
      </c>
      <c r="AO311" s="16" t="str">
        <f>'Clean Data'!AO310</f>
        <v>Zhang, Fuel 2017, 188, 628-637</v>
      </c>
      <c r="AP311" s="16"/>
      <c r="AQ311" s="16"/>
      <c r="AR311" s="16"/>
      <c r="AS311" s="16"/>
      <c r="AT311" s="16"/>
    </row>
    <row r="312" spans="1:46" x14ac:dyDescent="0.3">
      <c r="A312" s="16">
        <f>'Clean Data'!A311</f>
        <v>310</v>
      </c>
      <c r="B312" s="16" t="str">
        <f>'Clean Data'!B311</f>
        <v>woody biomass</v>
      </c>
      <c r="C312" s="16" t="str">
        <f>'Clean Data'!C311</f>
        <v>particles</v>
      </c>
      <c r="D312" s="16">
        <f>'Clean Data'!D311</f>
        <v>15</v>
      </c>
      <c r="E312" s="16">
        <f>'Clean Data'!E311</f>
        <v>16.282784999999997</v>
      </c>
      <c r="F312" s="16">
        <f>'Clean Data'!F311</f>
        <v>48.3</v>
      </c>
      <c r="G312" s="16">
        <f>'Clean Data'!G311</f>
        <v>5.5</v>
      </c>
      <c r="H312" s="16">
        <f>'Clean Data'!H311</f>
        <v>0.6</v>
      </c>
      <c r="I312" s="16">
        <f>'Clean Data'!I311</f>
        <v>0.01</v>
      </c>
      <c r="J312" s="16">
        <f>'Clean Data'!J311</f>
        <v>38.1</v>
      </c>
      <c r="K312" s="16">
        <f>'Clean Data'!K311</f>
        <v>7.5</v>
      </c>
      <c r="L312" s="16">
        <f>'Clean Data'!L311</f>
        <v>0</v>
      </c>
      <c r="M312" s="16">
        <f>'Clean Data'!M311</f>
        <v>71</v>
      </c>
      <c r="N312" s="16">
        <f>'Clean Data'!N311</f>
        <v>21.5</v>
      </c>
      <c r="O312" s="16" t="str">
        <f>'Clean Data'!O311</f>
        <v>NaN</v>
      </c>
      <c r="P312" s="16" t="str">
        <f>'Clean Data'!P311</f>
        <v>NaN</v>
      </c>
      <c r="Q312" s="16" t="str">
        <f>'Clean Data'!Q311</f>
        <v>NaN</v>
      </c>
      <c r="R312" s="16">
        <f>'Clean Data'!R311</f>
        <v>850</v>
      </c>
      <c r="S312" s="16" t="str">
        <f>'Clean Data'!S311</f>
        <v>continuous</v>
      </c>
      <c r="T312" s="16" t="str">
        <f>'Clean Data'!T311</f>
        <v>NaN</v>
      </c>
      <c r="U312" s="16">
        <f>'Clean Data'!U311</f>
        <v>6</v>
      </c>
      <c r="V312" s="16">
        <f>'Clean Data'!V311</f>
        <v>0.6</v>
      </c>
      <c r="W312" s="16" t="str">
        <f>'Clean Data'!W311</f>
        <v>NaN</v>
      </c>
      <c r="X312" s="16" t="str">
        <f>'Clean Data'!X311</f>
        <v>steam</v>
      </c>
      <c r="Y312" s="16" t="str">
        <f>'Clean Data'!Y311</f>
        <v>other</v>
      </c>
      <c r="Z312" s="16" t="str">
        <f>'Clean Data'!Z311</f>
        <v>NaN</v>
      </c>
      <c r="AA312" s="16">
        <f>'Clean Data'!AA311</f>
        <v>0</v>
      </c>
      <c r="AB312" s="16" t="str">
        <f>'Clean Data'!AB311</f>
        <v>pilot</v>
      </c>
      <c r="AC312" s="16" t="str">
        <f>'Clean Data'!AC311</f>
        <v>NaN</v>
      </c>
      <c r="AD312" s="16">
        <f>'Clean Data'!AD311</f>
        <v>40.4</v>
      </c>
      <c r="AE312" s="16">
        <f>'Clean Data'!AE311</f>
        <v>24.1</v>
      </c>
      <c r="AF312" s="16">
        <f>'Clean Data'!AF311</f>
        <v>21.7</v>
      </c>
      <c r="AG312" s="16">
        <f>'Clean Data'!AG311</f>
        <v>12.2</v>
      </c>
      <c r="AH312" s="16">
        <f>'Clean Data'!AH311</f>
        <v>1.7</v>
      </c>
      <c r="AI312" s="16">
        <f>'Clean Data'!AI311</f>
        <v>12.789380000000001</v>
      </c>
      <c r="AJ312" s="16" t="str">
        <f>'Clean Data'!AJ311</f>
        <v>NaN</v>
      </c>
      <c r="AK312" s="16">
        <f>'Clean Data'!AK311</f>
        <v>0.74441788851883106</v>
      </c>
      <c r="AL312" s="16">
        <f>'Clean Data'!AL311</f>
        <v>219</v>
      </c>
      <c r="AM312" s="16">
        <f>'Clean Data'!AM311</f>
        <v>58.470607178470814</v>
      </c>
      <c r="AN312" s="16">
        <f>'Clean Data'!AN311</f>
        <v>45.472869102402363</v>
      </c>
      <c r="AO312" s="16" t="str">
        <f>'Clean Data'!AO311</f>
        <v>Iovane, BIOMASS BIOENERG 2013, 56, 423-431</v>
      </c>
      <c r="AP312" s="16"/>
      <c r="AQ312" s="16"/>
      <c r="AR312" s="16"/>
      <c r="AS312" s="16"/>
      <c r="AT312" s="16"/>
    </row>
    <row r="313" spans="1:46" x14ac:dyDescent="0.3">
      <c r="A313" s="16">
        <f>'Clean Data'!A312</f>
        <v>311</v>
      </c>
      <c r="B313" s="16" t="str">
        <f>'Clean Data'!B312</f>
        <v>woody biomass</v>
      </c>
      <c r="C313" s="16" t="str">
        <f>'Clean Data'!C312</f>
        <v>particles</v>
      </c>
      <c r="D313" s="16">
        <f>'Clean Data'!D312</f>
        <v>15</v>
      </c>
      <c r="E313" s="16">
        <f>'Clean Data'!E312</f>
        <v>16.282784999999997</v>
      </c>
      <c r="F313" s="16">
        <f>'Clean Data'!F312</f>
        <v>48.3</v>
      </c>
      <c r="G313" s="16">
        <f>'Clean Data'!G312</f>
        <v>5.5</v>
      </c>
      <c r="H313" s="16">
        <f>'Clean Data'!H312</f>
        <v>0.6</v>
      </c>
      <c r="I313" s="16">
        <f>'Clean Data'!I312</f>
        <v>0.01</v>
      </c>
      <c r="J313" s="16">
        <f>'Clean Data'!J312</f>
        <v>38.1</v>
      </c>
      <c r="K313" s="16">
        <f>'Clean Data'!K312</f>
        <v>7.5</v>
      </c>
      <c r="L313" s="16">
        <f>'Clean Data'!L312</f>
        <v>0</v>
      </c>
      <c r="M313" s="16">
        <f>'Clean Data'!M312</f>
        <v>71</v>
      </c>
      <c r="N313" s="16">
        <f>'Clean Data'!N312</f>
        <v>21.5</v>
      </c>
      <c r="O313" s="16" t="str">
        <f>'Clean Data'!O312</f>
        <v>NaN</v>
      </c>
      <c r="P313" s="16" t="str">
        <f>'Clean Data'!P312</f>
        <v>NaN</v>
      </c>
      <c r="Q313" s="16" t="str">
        <f>'Clean Data'!Q312</f>
        <v>NaN</v>
      </c>
      <c r="R313" s="16">
        <f>'Clean Data'!R312</f>
        <v>850</v>
      </c>
      <c r="S313" s="16" t="str">
        <f>'Clean Data'!S312</f>
        <v>continuous</v>
      </c>
      <c r="T313" s="16" t="str">
        <f>'Clean Data'!T312</f>
        <v>NaN</v>
      </c>
      <c r="U313" s="16">
        <f>'Clean Data'!U312</f>
        <v>6</v>
      </c>
      <c r="V313" s="16">
        <f>'Clean Data'!V312</f>
        <v>0.7</v>
      </c>
      <c r="W313" s="16" t="str">
        <f>'Clean Data'!W312</f>
        <v>NaN</v>
      </c>
      <c r="X313" s="16" t="str">
        <f>'Clean Data'!X312</f>
        <v>steam</v>
      </c>
      <c r="Y313" s="16" t="str">
        <f>'Clean Data'!Y312</f>
        <v>other</v>
      </c>
      <c r="Z313" s="16" t="str">
        <f>'Clean Data'!Z312</f>
        <v>NaN</v>
      </c>
      <c r="AA313" s="16">
        <f>'Clean Data'!AA312</f>
        <v>0</v>
      </c>
      <c r="AB313" s="16" t="str">
        <f>'Clean Data'!AB312</f>
        <v>pilot</v>
      </c>
      <c r="AC313" s="16" t="str">
        <f>'Clean Data'!AC312</f>
        <v>NaN</v>
      </c>
      <c r="AD313" s="16">
        <f>'Clean Data'!AD312</f>
        <v>39.4</v>
      </c>
      <c r="AE313" s="16">
        <f>'Clean Data'!AE312</f>
        <v>23.5</v>
      </c>
      <c r="AF313" s="16">
        <f>'Clean Data'!AF312</f>
        <v>23.1</v>
      </c>
      <c r="AG313" s="16">
        <f>'Clean Data'!AG312</f>
        <v>11.3</v>
      </c>
      <c r="AH313" s="16">
        <f>'Clean Data'!AH312</f>
        <v>2.7</v>
      </c>
      <c r="AI313" s="16">
        <f>'Clean Data'!AI312</f>
        <v>12.877375000000002</v>
      </c>
      <c r="AJ313" s="16" t="str">
        <f>'Clean Data'!AJ312</f>
        <v>NaN</v>
      </c>
      <c r="AK313" s="16">
        <f>'Clean Data'!AK312</f>
        <v>0.71989446347165509</v>
      </c>
      <c r="AL313" s="16">
        <f>'Clean Data'!AL312</f>
        <v>217</v>
      </c>
      <c r="AM313" s="16">
        <f>'Clean Data'!AM312</f>
        <v>56.933448218767907</v>
      </c>
      <c r="AN313" s="16">
        <f>'Clean Data'!AN312</f>
        <v>44.003740710884188</v>
      </c>
      <c r="AO313" s="16" t="str">
        <f>'Clean Data'!AO312</f>
        <v>Iovane, BIOMASS BIOENERG 2013, 56, 423-431</v>
      </c>
      <c r="AP313" s="16"/>
      <c r="AQ313" s="16"/>
      <c r="AR313" s="16"/>
      <c r="AS313" s="16"/>
      <c r="AT313" s="16"/>
    </row>
    <row r="314" spans="1:46" x14ac:dyDescent="0.3">
      <c r="A314" s="16">
        <f>'Clean Data'!A313</f>
        <v>312</v>
      </c>
      <c r="B314" s="16" t="str">
        <f>'Clean Data'!B313</f>
        <v>woody biomass</v>
      </c>
      <c r="C314" s="16" t="str">
        <f>'Clean Data'!C313</f>
        <v>particles</v>
      </c>
      <c r="D314" s="16">
        <f>'Clean Data'!D313</f>
        <v>15</v>
      </c>
      <c r="E314" s="16">
        <f>'Clean Data'!E313</f>
        <v>16.282784999999997</v>
      </c>
      <c r="F314" s="16">
        <f>'Clean Data'!F313</f>
        <v>48.3</v>
      </c>
      <c r="G314" s="16">
        <f>'Clean Data'!G313</f>
        <v>5.5</v>
      </c>
      <c r="H314" s="16">
        <f>'Clean Data'!H313</f>
        <v>0.6</v>
      </c>
      <c r="I314" s="16">
        <f>'Clean Data'!I313</f>
        <v>0.01</v>
      </c>
      <c r="J314" s="16">
        <f>'Clean Data'!J313</f>
        <v>38.1</v>
      </c>
      <c r="K314" s="16">
        <f>'Clean Data'!K313</f>
        <v>7.5</v>
      </c>
      <c r="L314" s="16">
        <f>'Clean Data'!L313</f>
        <v>0</v>
      </c>
      <c r="M314" s="16">
        <f>'Clean Data'!M313</f>
        <v>71</v>
      </c>
      <c r="N314" s="16">
        <f>'Clean Data'!N313</f>
        <v>21.5</v>
      </c>
      <c r="O314" s="16" t="str">
        <f>'Clean Data'!O313</f>
        <v>NaN</v>
      </c>
      <c r="P314" s="16" t="str">
        <f>'Clean Data'!P313</f>
        <v>NaN</v>
      </c>
      <c r="Q314" s="16" t="str">
        <f>'Clean Data'!Q313</f>
        <v>NaN</v>
      </c>
      <c r="R314" s="16">
        <f>'Clean Data'!R313</f>
        <v>850</v>
      </c>
      <c r="S314" s="16" t="str">
        <f>'Clean Data'!S313</f>
        <v>continuous</v>
      </c>
      <c r="T314" s="16" t="str">
        <f>'Clean Data'!T313</f>
        <v>NaN</v>
      </c>
      <c r="U314" s="16">
        <f>'Clean Data'!U313</f>
        <v>6</v>
      </c>
      <c r="V314" s="16">
        <f>'Clean Data'!V313</f>
        <v>1</v>
      </c>
      <c r="W314" s="16" t="str">
        <f>'Clean Data'!W313</f>
        <v>NaN</v>
      </c>
      <c r="X314" s="16" t="str">
        <f>'Clean Data'!X313</f>
        <v>steam</v>
      </c>
      <c r="Y314" s="16" t="str">
        <f>'Clean Data'!Y313</f>
        <v>other</v>
      </c>
      <c r="Z314" s="16" t="str">
        <f>'Clean Data'!Z313</f>
        <v>NaN</v>
      </c>
      <c r="AA314" s="16">
        <f>'Clean Data'!AA313</f>
        <v>0</v>
      </c>
      <c r="AB314" s="16" t="str">
        <f>'Clean Data'!AB313</f>
        <v>pilot</v>
      </c>
      <c r="AC314" s="16" t="str">
        <f>'Clean Data'!AC313</f>
        <v>NaN</v>
      </c>
      <c r="AD314" s="16">
        <f>'Clean Data'!AD313</f>
        <v>52.2</v>
      </c>
      <c r="AE314" s="16">
        <f>'Clean Data'!AE313</f>
        <v>22.1</v>
      </c>
      <c r="AF314" s="16">
        <f>'Clean Data'!AF313</f>
        <v>19.5</v>
      </c>
      <c r="AG314" s="16">
        <f>'Clean Data'!AG313</f>
        <v>6</v>
      </c>
      <c r="AH314" s="16">
        <f>'Clean Data'!AH313</f>
        <v>0.2</v>
      </c>
      <c r="AI314" s="16">
        <f>'Clean Data'!AI313</f>
        <v>10.692512999999998</v>
      </c>
      <c r="AJ314" s="16" t="str">
        <f>'Clean Data'!AJ313</f>
        <v>NaN</v>
      </c>
      <c r="AK314" s="16">
        <f>'Clean Data'!AK313</f>
        <v>0.86276010359505939</v>
      </c>
      <c r="AL314" s="16">
        <f>'Clean Data'!AL313</f>
        <v>212</v>
      </c>
      <c r="AM314" s="16">
        <f>'Clean Data'!AM313</f>
        <v>56.655379430309495</v>
      </c>
      <c r="AN314" s="16">
        <f>'Clean Data'!AN313</f>
        <v>43.377235465798627</v>
      </c>
      <c r="AO314" s="16" t="str">
        <f>'Clean Data'!AO313</f>
        <v>Iovane, BIOMASS BIOENERG 2013, 56, 423-431</v>
      </c>
      <c r="AP314" s="16"/>
      <c r="AQ314" s="16"/>
      <c r="AR314" s="16"/>
      <c r="AS314" s="16"/>
      <c r="AT314" s="16"/>
    </row>
    <row r="315" spans="1:46" s="27" customFormat="1" ht="14.5" x14ac:dyDescent="0.35">
      <c r="A315" s="27" t="s">
        <v>326</v>
      </c>
      <c r="B315" s="36"/>
      <c r="C315" s="36"/>
      <c r="D315" s="36">
        <f>MIN('Clean Data'!D2:D313)</f>
        <v>0.25</v>
      </c>
      <c r="E315" s="36">
        <f>MIN('Clean Data'!E2:E313)</f>
        <v>11.5</v>
      </c>
      <c r="F315" s="36">
        <f>MIN('Clean Data'!F2:F313)</f>
        <v>40.07</v>
      </c>
      <c r="G315" s="36">
        <f>MIN('Clean Data'!G2:G313)</f>
        <v>3.7919821352615912</v>
      </c>
      <c r="H315" s="36">
        <f>MIN('Clean Data'!H2:H313)</f>
        <v>0</v>
      </c>
      <c r="I315" s="36">
        <f>MIN('Clean Data'!I2:I313)</f>
        <v>0</v>
      </c>
      <c r="J315" s="36">
        <f>MIN('Clean Data'!J2:J313)</f>
        <v>0</v>
      </c>
      <c r="K315" s="36">
        <f>MIN('Clean Data'!K2:K313)</f>
        <v>0.27</v>
      </c>
      <c r="L315" s="36">
        <f>MIN('Clean Data'!L2:L313)</f>
        <v>0</v>
      </c>
      <c r="M315" s="36">
        <f>MIN('Clean Data'!M2:M313)</f>
        <v>56</v>
      </c>
      <c r="N315" s="36">
        <f>MIN('Clean Data'!N2:N313)</f>
        <v>9.0672451193058574</v>
      </c>
      <c r="O315" s="36">
        <f>MIN('Clean Data'!O2:O313)</f>
        <v>29.6</v>
      </c>
      <c r="P315" s="36">
        <f>MIN('Clean Data'!P2:P313)</f>
        <v>14</v>
      </c>
      <c r="Q315" s="36">
        <f>MIN('Clean Data'!Q2:Q313)</f>
        <v>14</v>
      </c>
      <c r="R315" s="36">
        <f>MIN('Clean Data'!R2:R313)</f>
        <v>553</v>
      </c>
      <c r="S315" s="36"/>
      <c r="T315" s="36"/>
      <c r="U315" s="36">
        <f>MIN('Clean Data'!U2:U313)</f>
        <v>6</v>
      </c>
      <c r="V315" s="36">
        <f>MIN('Clean Data'!V2:V313)</f>
        <v>0</v>
      </c>
      <c r="W315" s="36">
        <f>MIN('Clean Data'!W2:W313)</f>
        <v>0.09</v>
      </c>
      <c r="X315" s="36"/>
      <c r="Y315" s="36"/>
      <c r="Z315" s="36"/>
      <c r="AA315" s="36"/>
      <c r="AB315" s="36"/>
      <c r="AC315" s="36">
        <f>MIN('Clean Data'!AC2:AC313)</f>
        <v>0</v>
      </c>
      <c r="AD315" s="36">
        <f>MIN('Clean Data'!AD2:AD313)</f>
        <v>3.1</v>
      </c>
      <c r="AE315" s="36">
        <f>MIN('Clean Data'!AE2:AE313)</f>
        <v>2.2000000000000002</v>
      </c>
      <c r="AF315" s="36">
        <f>MIN('Clean Data'!AF2:AF313)</f>
        <v>0</v>
      </c>
      <c r="AG315" s="36">
        <f>MIN('Clean Data'!AG2:AG313)</f>
        <v>0.25</v>
      </c>
      <c r="AH315" s="36">
        <f>MIN('Clean Data'!AH2:AH313)</f>
        <v>0</v>
      </c>
      <c r="AI315" s="36">
        <f>MIN('Clean Data'!AI2:AI313)</f>
        <v>1.3</v>
      </c>
      <c r="AJ315" s="36">
        <f>MIN('Clean Data'!AJ2:AJ313)</f>
        <v>0</v>
      </c>
      <c r="AK315" s="36">
        <f>MIN('Clean Data'!AK2:AK313)</f>
        <v>0.49463999999999997</v>
      </c>
      <c r="AL315" s="36">
        <f>MIN('Clean Data'!AL2:AL313)</f>
        <v>3.6</v>
      </c>
      <c r="AM315" s="36">
        <f>MIN('Clean Data'!AM2:AM313)</f>
        <v>16.702739130434782</v>
      </c>
      <c r="AN315" s="36">
        <f>MIN('Clean Data'!AN2:AN313)</f>
        <v>20.61</v>
      </c>
      <c r="AO315" s="36"/>
      <c r="AP315" s="28"/>
      <c r="AQ315" s="28"/>
    </row>
    <row r="316" spans="1:46" s="29" customFormat="1" ht="14.5" x14ac:dyDescent="0.35">
      <c r="A316" s="29" t="s">
        <v>327</v>
      </c>
      <c r="B316" s="37"/>
      <c r="C316" s="37"/>
      <c r="D316" s="37">
        <f>MAX('Clean Data'!D2:D313)</f>
        <v>70</v>
      </c>
      <c r="E316" s="37">
        <f>MAX('Clean Data'!E2:E313)</f>
        <v>42.9</v>
      </c>
      <c r="F316" s="37">
        <f>MAX('Clean Data'!F2:F313)</f>
        <v>86.034130245551538</v>
      </c>
      <c r="G316" s="37">
        <f>MAX('Clean Data'!G2:G313)</f>
        <v>14.228206199229442</v>
      </c>
      <c r="H316" s="37">
        <f>MAX('Clean Data'!H2:H313)</f>
        <v>7.3214285714285712</v>
      </c>
      <c r="I316" s="37">
        <f>MAX('Clean Data'!I2:I313)</f>
        <v>1.6071428571428572</v>
      </c>
      <c r="J316" s="37">
        <f>MAX('Clean Data'!J2:J313)</f>
        <v>53.400000000000006</v>
      </c>
      <c r="K316" s="37">
        <f>MAX('Clean Data'!K2:K313)</f>
        <v>44</v>
      </c>
      <c r="L316" s="37">
        <f>MAX('Clean Data'!L2:L313)</f>
        <v>27</v>
      </c>
      <c r="M316" s="37">
        <f>MAX('Clean Data'!M2:M313)</f>
        <v>89.110070257611227</v>
      </c>
      <c r="N316" s="37">
        <f>MAX('Clean Data'!N2:N313)</f>
        <v>23.82</v>
      </c>
      <c r="O316" s="37">
        <f>MAX('Clean Data'!O2:O313)</f>
        <v>46.2</v>
      </c>
      <c r="P316" s="37">
        <f>MAX('Clean Data'!P2:P313)</f>
        <v>29.6</v>
      </c>
      <c r="Q316" s="37">
        <f>MAX('Clean Data'!Q2:Q313)</f>
        <v>33</v>
      </c>
      <c r="R316" s="37">
        <f>MAX('Clean Data'!R2:R313)</f>
        <v>1050</v>
      </c>
      <c r="S316" s="37"/>
      <c r="T316" s="37"/>
      <c r="U316" s="37">
        <f>MAX('Clean Data'!U2:U313)</f>
        <v>403</v>
      </c>
      <c r="V316" s="37">
        <f>MAX('Clean Data'!V2:V313)</f>
        <v>4.04</v>
      </c>
      <c r="W316" s="37">
        <f>MAX('Clean Data'!W2:W313)</f>
        <v>0.87</v>
      </c>
      <c r="X316" s="37"/>
      <c r="Y316" s="37"/>
      <c r="Z316" s="37"/>
      <c r="AA316" s="37"/>
      <c r="AB316" s="37"/>
      <c r="AC316" s="37">
        <f>MAX('Clean Data'!AC2:AC313)</f>
        <v>74.900000000000006</v>
      </c>
      <c r="AD316" s="37">
        <f>MAX('Clean Data'!AD2:AD313)</f>
        <v>73.846210931183563</v>
      </c>
      <c r="AE316" s="37">
        <f>MAX('Clean Data'!AE2:AE313)</f>
        <v>50</v>
      </c>
      <c r="AF316" s="37">
        <f>MAX('Clean Data'!AF2:AF313)</f>
        <v>38.25</v>
      </c>
      <c r="AG316" s="37">
        <f>MAX('Clean Data'!AG2:AG313)</f>
        <v>16</v>
      </c>
      <c r="AH316" s="37">
        <f>MAX('Clean Data'!AH2:AH313)</f>
        <v>9.5</v>
      </c>
      <c r="AI316" s="37">
        <f>MAX('Clean Data'!AI2:AI313)</f>
        <v>15.595450000000001</v>
      </c>
      <c r="AJ316" s="37">
        <f>MAX('Clean Data'!AJ2:AJ313)</f>
        <v>364</v>
      </c>
      <c r="AK316" s="37">
        <f>MAX('Clean Data'!AK2:AK313)</f>
        <v>6.1875</v>
      </c>
      <c r="AL316" s="37">
        <f>MAX('Clean Data'!AL2:AL313)</f>
        <v>301.52</v>
      </c>
      <c r="AM316" s="37">
        <f>MAX('Clean Data'!AM2:AM313)</f>
        <v>122.86625791352935</v>
      </c>
      <c r="AN316" s="37">
        <f>MAX('Clean Data'!AN2:AN313)</f>
        <v>126.89402899188418</v>
      </c>
      <c r="AO316" s="37"/>
      <c r="AP316" s="30"/>
      <c r="AQ316" s="30"/>
    </row>
    <row r="317" spans="1:46" s="31" customFormat="1" ht="14.5" x14ac:dyDescent="0.35">
      <c r="A317" s="31" t="s">
        <v>328</v>
      </c>
      <c r="B317" s="38"/>
      <c r="C317" s="38"/>
      <c r="D317" s="38">
        <f>AVERAGE('Clean Data'!D2:D313)</f>
        <v>4.8186651851851865</v>
      </c>
      <c r="E317" s="38">
        <f>AVERAGE('Clean Data'!E2:E313)</f>
        <v>18.437043942341788</v>
      </c>
      <c r="F317" s="38">
        <f>AVERAGE('Clean Data'!F2:F313)</f>
        <v>51.423389978394816</v>
      </c>
      <c r="G317" s="38">
        <f>AVERAGE('Clean Data'!G2:G313)</f>
        <v>6.8639297188530799</v>
      </c>
      <c r="H317" s="38">
        <f>AVERAGE('Clean Data'!H2:H313)</f>
        <v>1.065602724881622</v>
      </c>
      <c r="I317" s="38">
        <f>AVERAGE('Clean Data'!I2:I313)</f>
        <v>0.31860035819696031</v>
      </c>
      <c r="J317" s="38">
        <f>AVERAGE('Clean Data'!J2:J313)</f>
        <v>39.887447395075817</v>
      </c>
      <c r="K317" s="38">
        <f>AVERAGE('Clean Data'!K2:K313)</f>
        <v>7.4334992255609933</v>
      </c>
      <c r="L317" s="38">
        <f>AVERAGE('Clean Data'!L2:L313)</f>
        <v>8.3649999999999967</v>
      </c>
      <c r="M317" s="38">
        <f>AVERAGE('Clean Data'!M2:M313)</f>
        <v>77.557761530924338</v>
      </c>
      <c r="N317" s="38">
        <f>AVERAGE('Clean Data'!N2:N313)</f>
        <v>15.599342417924028</v>
      </c>
      <c r="O317" s="38">
        <f>AVERAGE('Clean Data'!O2:O313)</f>
        <v>39.419642857142854</v>
      </c>
      <c r="P317" s="38">
        <f>AVERAGE('Clean Data'!P2:P313)</f>
        <v>20.912499999999998</v>
      </c>
      <c r="Q317" s="38">
        <f>AVERAGE('Clean Data'!Q2:Q313)</f>
        <v>24.985714285714291</v>
      </c>
      <c r="R317" s="38">
        <f>AVERAGE('Clean Data'!R2:R313)</f>
        <v>799.12804487179505</v>
      </c>
      <c r="S317" s="38"/>
      <c r="T317" s="38"/>
      <c r="U317" s="38">
        <f>AVERAGE('Clean Data'!U2:U313)</f>
        <v>98.336290322580638</v>
      </c>
      <c r="V317" s="38">
        <f>AVERAGE('Clean Data'!V2:V313)</f>
        <v>1.0206926165413535</v>
      </c>
      <c r="W317" s="38">
        <f>AVERAGE('Clean Data'!W2:W313)</f>
        <v>0.29999148936170217</v>
      </c>
      <c r="X317" s="38"/>
      <c r="Y317" s="38"/>
      <c r="Z317" s="38"/>
      <c r="AA317" s="38">
        <f>AVERAGE('Clean Data'!AA2:AA313)</f>
        <v>0.27884615384615385</v>
      </c>
      <c r="AB317" s="38"/>
      <c r="AC317" s="38">
        <f>AVERAGE('Clean Data'!AC2:AC313)</f>
        <v>38.159099340825939</v>
      </c>
      <c r="AD317" s="38">
        <f>AVERAGE('Clean Data'!AD2:AD313)</f>
        <v>22.489235496935528</v>
      </c>
      <c r="AE317" s="38">
        <f>AVERAGE('Clean Data'!AE2:AE313)</f>
        <v>19.431965451895863</v>
      </c>
      <c r="AF317" s="38">
        <f>AVERAGE('Clean Data'!AF2:AF313)</f>
        <v>16.095772609896031</v>
      </c>
      <c r="AG317" s="38">
        <f>AVERAGE('Clean Data'!AG2:AG313)</f>
        <v>5.1657790846193663</v>
      </c>
      <c r="AH317" s="38">
        <f>AVERAGE('Clean Data'!AH2:AH313)</f>
        <v>2.0591636597959044</v>
      </c>
      <c r="AI317" s="38">
        <f>AVERAGE('Clean Data'!AI2:AI313)</f>
        <v>7.1944367938504552</v>
      </c>
      <c r="AJ317" s="38">
        <f>AVERAGE('Clean Data'!AJ2:AJ313)</f>
        <v>29.887286821857224</v>
      </c>
      <c r="AK317" s="38">
        <f>AVERAGE('Clean Data'!AK2:AK313)</f>
        <v>1.7633369565940475</v>
      </c>
      <c r="AL317" s="38">
        <f>AVERAGE('Clean Data'!AL2:AL313)</f>
        <v>94.558309582704155</v>
      </c>
      <c r="AM317" s="38">
        <f>AVERAGE('Clean Data'!AM2:AM313)</f>
        <v>61.266915781199422</v>
      </c>
      <c r="AN317" s="38">
        <f>AVERAGE('Clean Data'!AN2:AN313)</f>
        <v>70.978131539117683</v>
      </c>
      <c r="AO317" s="38"/>
      <c r="AP317" s="32"/>
      <c r="AQ317" s="32"/>
    </row>
    <row r="318" spans="1:46" s="33" customFormat="1" ht="14.5" x14ac:dyDescent="0.35">
      <c r="A318" s="33" t="s">
        <v>329</v>
      </c>
      <c r="B318" s="34"/>
      <c r="C318" s="34"/>
      <c r="D318" s="34">
        <f>_xlfn.STDEV.S('Clean Data'!D2:D313)</f>
        <v>6.7072780163579298</v>
      </c>
      <c r="E318" s="34">
        <f>_xlfn.STDEV.S('Clean Data'!E2:E313)</f>
        <v>6.5487766933530827</v>
      </c>
      <c r="F318" s="34">
        <f>_xlfn.STDEV.S('Clean Data'!F2:F313)</f>
        <v>9.2322004975334835</v>
      </c>
      <c r="G318" s="34">
        <f>_xlfn.STDEV.S('Clean Data'!G2:G313)</f>
        <v>1.9968668023131451</v>
      </c>
      <c r="H318" s="34">
        <f>_xlfn.STDEV.S('Clean Data'!H2:H313)</f>
        <v>1.8666540846258941</v>
      </c>
      <c r="I318" s="34">
        <f>_xlfn.STDEV.S('Clean Data'!I2:I313)</f>
        <v>0.45176818636674598</v>
      </c>
      <c r="J318" s="34">
        <f>_xlfn.STDEV.S('Clean Data'!J2:J313)</f>
        <v>10.876152235825552</v>
      </c>
      <c r="K318" s="34">
        <f>_xlfn.STDEV.S('Clean Data'!K2:K313)</f>
        <v>11.898068600629056</v>
      </c>
      <c r="L318" s="34">
        <f>_xlfn.STDEV.S('Clean Data'!L2:L313)</f>
        <v>5.6468013880779191</v>
      </c>
      <c r="M318" s="34">
        <f>_xlfn.STDEV.S('Clean Data'!M2:M313)</f>
        <v>8.9821715660514538</v>
      </c>
      <c r="N318" s="34">
        <f>_xlfn.STDEV.S('Clean Data'!N2:N313)</f>
        <v>3.1824342630495739</v>
      </c>
      <c r="O318" s="34">
        <f>_xlfn.STDEV.S('Clean Data'!O2:O313)</f>
        <v>5.0824450824256804</v>
      </c>
      <c r="P318" s="34">
        <f>_xlfn.STDEV.S('Clean Data'!P2:P313)</f>
        <v>4.6685715358324815</v>
      </c>
      <c r="Q318" s="34">
        <f>_xlfn.STDEV.S('Clean Data'!Q2:Q313)</f>
        <v>5.3870980496762213</v>
      </c>
      <c r="R318" s="34">
        <f>_xlfn.STDEV.S('Clean Data'!R2:R313)</f>
        <v>80.876374280404193</v>
      </c>
      <c r="S318" s="34"/>
      <c r="T318" s="34"/>
      <c r="U318" s="34">
        <f>_xlfn.STDEV.S('Clean Data'!U2:U313)</f>
        <v>97.302998670925106</v>
      </c>
      <c r="V318" s="34">
        <f>_xlfn.STDEV.S('Clean Data'!V2:V313)</f>
        <v>0.73332214514373328</v>
      </c>
      <c r="W318" s="34">
        <f>_xlfn.STDEV.S('Clean Data'!W2:W313)</f>
        <v>0.106873077190255</v>
      </c>
      <c r="X318" s="34"/>
      <c r="Y318" s="34"/>
      <c r="Z318" s="34"/>
      <c r="AA318" s="34">
        <f>_xlfn.STDEV.S('Clean Data'!AA2:AA313)</f>
        <v>0.4491520578941629</v>
      </c>
      <c r="AB318" s="34"/>
      <c r="AC318" s="34">
        <f>_xlfn.STDEV.S('Clean Data'!AC2:AC313)</f>
        <v>25.763846824868271</v>
      </c>
      <c r="AD318" s="34">
        <f>_xlfn.STDEV.S('Clean Data'!AD2:AD313)</f>
        <v>17.284143522552117</v>
      </c>
      <c r="AE318" s="34">
        <f>_xlfn.STDEV.S('Clean Data'!AE2:AE313)</f>
        <v>9.5865362357896888</v>
      </c>
      <c r="AF318" s="34">
        <f>_xlfn.STDEV.S('Clean Data'!AF2:AF313)</f>
        <v>6.4508643568938844</v>
      </c>
      <c r="AG318" s="34">
        <f>_xlfn.STDEV.S('Clean Data'!AG2:AG313)</f>
        <v>3.2995262193350046</v>
      </c>
      <c r="AH318" s="34">
        <f>_xlfn.STDEV.S('Clean Data'!AH2:AH313)</f>
        <v>1.4547570702753085</v>
      </c>
      <c r="AI318" s="34">
        <f>_xlfn.STDEV.S('Clean Data'!AI2:AI313)</f>
        <v>3.4650049153577012</v>
      </c>
      <c r="AJ318" s="34">
        <f>_xlfn.STDEV.S('Clean Data'!AJ2:AJ313)</f>
        <v>47.850405524255969</v>
      </c>
      <c r="AK318" s="34">
        <f>_xlfn.STDEV.S('Clean Data'!AK2:AK313)</f>
        <v>0.96300106748308845</v>
      </c>
      <c r="AL318" s="34">
        <f>_xlfn.STDEV.S('Clean Data'!AL2:AL313)</f>
        <v>76.489166886821593</v>
      </c>
      <c r="AM318" s="34">
        <f>_xlfn.STDEV.S('Clean Data'!AM2:AM313)</f>
        <v>20.75705728894021</v>
      </c>
      <c r="AN318" s="34">
        <f>_xlfn.STDEV.S('Clean Data'!AN2:AN313)</f>
        <v>17.345756315390616</v>
      </c>
      <c r="AO318" s="34"/>
      <c r="AP318" s="34"/>
      <c r="AQ318" s="34"/>
    </row>
    <row r="319" spans="1:46" s="31" customFormat="1" ht="14.5" x14ac:dyDescent="0.35">
      <c r="A319" s="35" t="s">
        <v>330</v>
      </c>
      <c r="B319" s="39">
        <f>COUNTIF('Clean Data'!B2:B313,"*")-COUNTIF('Clean Data'!B2:B313,"NaN")</f>
        <v>312</v>
      </c>
      <c r="C319" s="39">
        <f>COUNTIF('Clean Data'!C2:C313,"*")-COUNTIF('Clean Data'!C2:C313,"NaN")</f>
        <v>312</v>
      </c>
      <c r="D319" s="31">
        <f>COUNT('Clean Data'!D2:D313)</f>
        <v>270</v>
      </c>
      <c r="E319" s="31">
        <f>COUNT('Clean Data'!E2:E313)</f>
        <v>312</v>
      </c>
      <c r="F319" s="31">
        <f>COUNT('Clean Data'!F2:F313)</f>
        <v>312</v>
      </c>
      <c r="G319" s="31">
        <f>COUNT('Clean Data'!G2:G313)</f>
        <v>312</v>
      </c>
      <c r="H319" s="31">
        <f>COUNT('Clean Data'!H2:H313)</f>
        <v>312</v>
      </c>
      <c r="I319" s="31">
        <f>COUNT('Clean Data'!I2:I313)</f>
        <v>279</v>
      </c>
      <c r="J319" s="31">
        <f>COUNT('Clean Data'!J2:J313)</f>
        <v>312</v>
      </c>
      <c r="K319" s="31">
        <f>COUNT('Clean Data'!K2:K313)</f>
        <v>312</v>
      </c>
      <c r="L319" s="31">
        <f>COUNT('Clean Data'!L2:L313)</f>
        <v>312</v>
      </c>
      <c r="M319" s="31">
        <f>COUNT('Clean Data'!M2:M313)</f>
        <v>264</v>
      </c>
      <c r="N319" s="31">
        <f>COUNT('Clean Data'!N2:N313)</f>
        <v>222</v>
      </c>
      <c r="O319" s="31">
        <f>COUNT('Clean Data'!O2:O313)</f>
        <v>28</v>
      </c>
      <c r="P319" s="31">
        <f>COUNT('Clean Data'!P2:P313)</f>
        <v>28</v>
      </c>
      <c r="Q319" s="31">
        <f>COUNT('Clean Data'!Q2:Q313)</f>
        <v>28</v>
      </c>
      <c r="R319" s="31">
        <f>COUNT('Clean Data'!R2:R313)</f>
        <v>312</v>
      </c>
      <c r="S319" s="31">
        <f>COUNTIF('Clean Data'!S2:S313,"*")</f>
        <v>312</v>
      </c>
      <c r="U319" s="31">
        <f>COUNT('Clean Data'!U2:U313)</f>
        <v>124</v>
      </c>
      <c r="V319" s="31">
        <f>COUNT('Clean Data'!V2:V313)</f>
        <v>133</v>
      </c>
      <c r="W319" s="31">
        <f>COUNT('Clean Data'!W2:W313)</f>
        <v>235</v>
      </c>
      <c r="X319" s="39">
        <f>COUNTIF('Clean Data'!X2:X313,"*")-COUNTIF('Clean Data'!X2:X313,"NaN")</f>
        <v>312</v>
      </c>
      <c r="Y319" s="39">
        <f>COUNTIF('Clean Data'!Y2:Y313,"*")-COUNTIF('Clean Data'!Y2:Y313,"NaN")</f>
        <v>312</v>
      </c>
      <c r="Z319" s="39">
        <f>COUNTIF('Clean Data'!Z2:Z313,"*")-COUNTIF('Clean Data'!Z2:Z313,"NaN")</f>
        <v>234</v>
      </c>
      <c r="AA319" s="31">
        <f>COUNT('Clean Data'!AA2:AA313)</f>
        <v>312</v>
      </c>
      <c r="AB319" s="39">
        <f>COUNTIF('Clean Data'!AB2:AB313,"*")-COUNTIF('Clean Data'!AB2:AB313,"NaN")</f>
        <v>312</v>
      </c>
      <c r="AC319" s="31">
        <f>COUNT('Clean Data'!AC2:AC313)</f>
        <v>286</v>
      </c>
      <c r="AD319" s="31">
        <f>COUNT('Clean Data'!AD2:AD313)</f>
        <v>312</v>
      </c>
      <c r="AE319" s="31">
        <f>COUNT('Clean Data'!AE2:AE313)</f>
        <v>309</v>
      </c>
      <c r="AF319" s="31">
        <f>COUNT('Clean Data'!AF2:AF313)</f>
        <v>309</v>
      </c>
      <c r="AG319" s="31">
        <f>COUNT('Clean Data'!AG2:AG313)</f>
        <v>309</v>
      </c>
      <c r="AH319" s="31">
        <f>COUNT('Clean Data'!AH2:AH313)</f>
        <v>229</v>
      </c>
      <c r="AI319" s="31">
        <f>COUNT('Clean Data'!AI2:AI313)</f>
        <v>312</v>
      </c>
      <c r="AJ319" s="31">
        <f>COUNT('Clean Data'!AJ2:AJ313)</f>
        <v>193</v>
      </c>
      <c r="AK319" s="31">
        <f>COUNT('Clean Data'!AK2:AK313)</f>
        <v>278</v>
      </c>
      <c r="AL319" s="31">
        <f>COUNT('Clean Data'!AL2:AL313)</f>
        <v>87</v>
      </c>
      <c r="AM319" s="31">
        <f>COUNT('Clean Data'!AM2:AM313)</f>
        <v>278</v>
      </c>
      <c r="AN319" s="31">
        <f>COUNT('Clean Data'!AN2:AN313)</f>
        <v>275</v>
      </c>
      <c r="AO319" s="35"/>
    </row>
    <row r="320" spans="1:46" x14ac:dyDescent="0.3">
      <c r="A320" s="16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16"/>
    </row>
    <row r="321" spans="1:41" x14ac:dyDescent="0.3">
      <c r="A321" s="16"/>
      <c r="AO321" s="16"/>
    </row>
    <row r="322" spans="1:41" x14ac:dyDescent="0.3">
      <c r="A322" s="16"/>
      <c r="AO322" s="16"/>
    </row>
    <row r="323" spans="1:41" x14ac:dyDescent="0.3">
      <c r="A323" s="16"/>
      <c r="AO323" s="16"/>
    </row>
    <row r="324" spans="1:41" x14ac:dyDescent="0.3">
      <c r="A324" s="16"/>
      <c r="AO324" s="16"/>
    </row>
    <row r="325" spans="1:41" x14ac:dyDescent="0.3">
      <c r="A325" s="16"/>
      <c r="AO325" s="16"/>
    </row>
    <row r="326" spans="1:41" x14ac:dyDescent="0.3">
      <c r="A326" s="16"/>
      <c r="AO326" s="16"/>
    </row>
    <row r="327" spans="1:41" x14ac:dyDescent="0.3">
      <c r="A327" s="16"/>
      <c r="AO327" s="16"/>
    </row>
    <row r="328" spans="1:41" x14ac:dyDescent="0.3">
      <c r="A328" s="16"/>
      <c r="AO328" s="16"/>
    </row>
    <row r="329" spans="1:41" x14ac:dyDescent="0.3">
      <c r="A329" s="16"/>
      <c r="AO329" s="16"/>
    </row>
    <row r="330" spans="1:41" x14ac:dyDescent="0.3">
      <c r="A330" s="16"/>
      <c r="AO330" s="16"/>
    </row>
    <row r="331" spans="1:41" x14ac:dyDescent="0.3">
      <c r="A331" s="16"/>
      <c r="AO331" s="16"/>
    </row>
    <row r="332" spans="1:41" x14ac:dyDescent="0.3">
      <c r="A332" s="16"/>
      <c r="AO332" s="16"/>
    </row>
    <row r="333" spans="1:41" x14ac:dyDescent="0.3">
      <c r="A333" s="16"/>
      <c r="B333" s="16"/>
      <c r="C333" s="16"/>
      <c r="D333" s="16"/>
      <c r="E333" s="16"/>
      <c r="F333" s="16"/>
      <c r="AO333" s="16"/>
    </row>
    <row r="334" spans="1:41" x14ac:dyDescent="0.3">
      <c r="AO334" s="16"/>
    </row>
    <row r="335" spans="1:41" x14ac:dyDescent="0.3">
      <c r="AO335" s="16"/>
    </row>
    <row r="336" spans="1:41" x14ac:dyDescent="0.3">
      <c r="AO336" s="16"/>
    </row>
    <row r="337" spans="41:41" x14ac:dyDescent="0.3">
      <c r="AO337" s="16"/>
    </row>
    <row r="338" spans="41:41" x14ac:dyDescent="0.3">
      <c r="AO338" s="16"/>
    </row>
    <row r="339" spans="41:41" x14ac:dyDescent="0.3">
      <c r="AO339" s="16"/>
    </row>
    <row r="340" spans="41:41" x14ac:dyDescent="0.3">
      <c r="AO340" s="16"/>
    </row>
    <row r="341" spans="41:41" x14ac:dyDescent="0.3">
      <c r="AO341" s="16"/>
    </row>
    <row r="342" spans="41:41" x14ac:dyDescent="0.3">
      <c r="AO342" s="16"/>
    </row>
    <row r="343" spans="41:41" x14ac:dyDescent="0.3">
      <c r="AO343" s="16"/>
    </row>
    <row r="344" spans="41:41" x14ac:dyDescent="0.3">
      <c r="AO344" s="16"/>
    </row>
    <row r="345" spans="41:41" x14ac:dyDescent="0.3">
      <c r="AO345" s="16"/>
    </row>
    <row r="346" spans="41:41" x14ac:dyDescent="0.3">
      <c r="AO346" s="16"/>
    </row>
    <row r="347" spans="41:41" x14ac:dyDescent="0.3">
      <c r="AO347" s="16"/>
    </row>
    <row r="348" spans="41:41" x14ac:dyDescent="0.3">
      <c r="AO348" s="16"/>
    </row>
    <row r="349" spans="41:41" x14ac:dyDescent="0.3">
      <c r="AO349" s="16"/>
    </row>
    <row r="350" spans="41:41" x14ac:dyDescent="0.3">
      <c r="AO350" s="16"/>
    </row>
    <row r="351" spans="41:41" x14ac:dyDescent="0.3">
      <c r="AO351" s="16"/>
    </row>
    <row r="352" spans="41:41" x14ac:dyDescent="0.3">
      <c r="AO352" s="16"/>
    </row>
    <row r="353" spans="41:41" x14ac:dyDescent="0.3">
      <c r="AO353" s="16"/>
    </row>
    <row r="354" spans="41:41" x14ac:dyDescent="0.3">
      <c r="AO354" s="16"/>
    </row>
    <row r="355" spans="41:41" x14ac:dyDescent="0.3">
      <c r="AO355" s="16"/>
    </row>
    <row r="356" spans="41:41" x14ac:dyDescent="0.3">
      <c r="AO356" s="16"/>
    </row>
    <row r="357" spans="41:41" x14ac:dyDescent="0.3">
      <c r="AO357" s="16"/>
    </row>
    <row r="358" spans="41:41" x14ac:dyDescent="0.3">
      <c r="AO358" s="16"/>
    </row>
    <row r="359" spans="41:41" x14ac:dyDescent="0.3">
      <c r="AO359" s="16"/>
    </row>
    <row r="360" spans="41:41" x14ac:dyDescent="0.3">
      <c r="AO360" s="16"/>
    </row>
    <row r="361" spans="41:41" x14ac:dyDescent="0.3">
      <c r="AO361" s="16"/>
    </row>
    <row r="362" spans="41:41" x14ac:dyDescent="0.3">
      <c r="AO362" s="16"/>
    </row>
    <row r="363" spans="41:41" x14ac:dyDescent="0.3">
      <c r="AO363" s="16"/>
    </row>
    <row r="364" spans="41:41" x14ac:dyDescent="0.3">
      <c r="AO364" s="16"/>
    </row>
    <row r="365" spans="41:41" x14ac:dyDescent="0.3">
      <c r="AO365" s="16"/>
    </row>
    <row r="366" spans="41:41" x14ac:dyDescent="0.3">
      <c r="AO366" s="16"/>
    </row>
    <row r="367" spans="41:41" x14ac:dyDescent="0.3">
      <c r="AO367" s="16"/>
    </row>
    <row r="368" spans="41:41" x14ac:dyDescent="0.3">
      <c r="AO368" s="16"/>
    </row>
    <row r="369" spans="41:41" x14ac:dyDescent="0.3">
      <c r="AO369" s="16"/>
    </row>
    <row r="370" spans="41:41" x14ac:dyDescent="0.3">
      <c r="AO370" s="16"/>
    </row>
    <row r="371" spans="41:41" x14ac:dyDescent="0.3">
      <c r="AO371" s="16"/>
    </row>
    <row r="372" spans="41:41" x14ac:dyDescent="0.3">
      <c r="AO372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27CC0-7770-4554-978A-F22EFB13D135}">
  <dimension ref="A1:F34"/>
  <sheetViews>
    <sheetView workbookViewId="0">
      <selection activeCell="F34" sqref="F34"/>
    </sheetView>
  </sheetViews>
  <sheetFormatPr defaultRowHeight="14" x14ac:dyDescent="0.3"/>
  <cols>
    <col min="1" max="1" width="50.5" customWidth="1"/>
    <col min="3" max="3" width="8.6640625" customWidth="1"/>
  </cols>
  <sheetData>
    <row r="1" spans="1:6" ht="20" thickBot="1" x14ac:dyDescent="0.5">
      <c r="A1" s="25" t="s">
        <v>221</v>
      </c>
      <c r="B1" s="25"/>
      <c r="C1" s="25"/>
      <c r="D1" s="25"/>
      <c r="E1" s="25"/>
      <c r="F1" s="25"/>
    </row>
    <row r="2" spans="1:6" ht="14.5" thickTop="1" x14ac:dyDescent="0.3"/>
    <row r="3" spans="1:6" ht="17.5" thickBot="1" x14ac:dyDescent="0.45">
      <c r="A3" s="50" t="s">
        <v>71</v>
      </c>
      <c r="B3" s="50"/>
      <c r="C3" s="50"/>
    </row>
    <row r="4" spans="1:6" ht="14.5" thickTop="1" x14ac:dyDescent="0.3">
      <c r="A4" s="14" t="s">
        <v>57</v>
      </c>
      <c r="B4" s="9" t="s">
        <v>58</v>
      </c>
      <c r="C4" s="16" t="s">
        <v>59</v>
      </c>
    </row>
    <row r="5" spans="1:6" x14ac:dyDescent="0.3">
      <c r="A5" s="14" t="s">
        <v>25</v>
      </c>
      <c r="B5" s="40">
        <f>12/28</f>
        <v>0.42857142857142855</v>
      </c>
      <c r="C5" s="16" t="s">
        <v>15</v>
      </c>
    </row>
    <row r="6" spans="1:6" x14ac:dyDescent="0.3">
      <c r="A6" s="14" t="s">
        <v>26</v>
      </c>
      <c r="B6" s="40">
        <f>12/44</f>
        <v>0.27272727272727271</v>
      </c>
      <c r="C6" s="16" t="s">
        <v>15</v>
      </c>
    </row>
    <row r="7" spans="1:6" x14ac:dyDescent="0.3">
      <c r="A7" s="14" t="s">
        <v>27</v>
      </c>
      <c r="B7" s="40">
        <f>12/16</f>
        <v>0.75</v>
      </c>
      <c r="C7" s="16" t="s">
        <v>15</v>
      </c>
    </row>
    <row r="8" spans="1:6" x14ac:dyDescent="0.3">
      <c r="A8" s="14" t="s">
        <v>61</v>
      </c>
      <c r="B8" s="40">
        <f>24/28</f>
        <v>0.8571428571428571</v>
      </c>
      <c r="C8" s="16" t="s">
        <v>15</v>
      </c>
    </row>
    <row r="9" spans="1:6" x14ac:dyDescent="0.3">
      <c r="A9" s="14" t="s">
        <v>28</v>
      </c>
      <c r="B9" s="40">
        <v>1.1399999999999999</v>
      </c>
      <c r="C9" s="16" t="s">
        <v>29</v>
      </c>
    </row>
    <row r="10" spans="1:6" x14ac:dyDescent="0.3">
      <c r="A10" s="14" t="s">
        <v>30</v>
      </c>
      <c r="B10" s="40">
        <v>1.98</v>
      </c>
      <c r="C10" s="16" t="s">
        <v>29</v>
      </c>
    </row>
    <row r="11" spans="1:6" x14ac:dyDescent="0.3">
      <c r="A11" s="14" t="s">
        <v>31</v>
      </c>
      <c r="B11" s="40">
        <v>0.65700000000000003</v>
      </c>
      <c r="C11" s="16" t="s">
        <v>29</v>
      </c>
    </row>
    <row r="12" spans="1:6" x14ac:dyDescent="0.3">
      <c r="A12" s="14" t="s">
        <v>60</v>
      </c>
      <c r="B12" s="40">
        <v>1.18</v>
      </c>
      <c r="C12" s="16" t="s">
        <v>29</v>
      </c>
    </row>
    <row r="14" spans="1:6" ht="17.5" thickBot="1" x14ac:dyDescent="0.45">
      <c r="A14" s="50" t="s">
        <v>68</v>
      </c>
      <c r="B14" s="50"/>
      <c r="C14" s="50"/>
    </row>
    <row r="15" spans="1:6" ht="14.5" thickTop="1" x14ac:dyDescent="0.3">
      <c r="A15" s="14" t="s">
        <v>57</v>
      </c>
      <c r="B15" s="9" t="s">
        <v>58</v>
      </c>
      <c r="C15" s="16" t="s">
        <v>59</v>
      </c>
    </row>
    <row r="16" spans="1:6" x14ac:dyDescent="0.3">
      <c r="A16" s="14" t="s">
        <v>70</v>
      </c>
      <c r="B16" s="40">
        <v>2.2570000000000001</v>
      </c>
      <c r="C16" s="16" t="s">
        <v>69</v>
      </c>
    </row>
    <row r="17" spans="1:3" x14ac:dyDescent="0.3">
      <c r="A17" s="14" t="s">
        <v>130</v>
      </c>
      <c r="B17" s="41">
        <v>8.9880000000000002E-2</v>
      </c>
      <c r="C17" s="16" t="s">
        <v>29</v>
      </c>
    </row>
    <row r="19" spans="1:3" ht="17.5" thickBot="1" x14ac:dyDescent="0.45">
      <c r="A19" s="50" t="s">
        <v>97</v>
      </c>
      <c r="B19" s="50"/>
      <c r="C19" s="50"/>
    </row>
    <row r="20" spans="1:3" ht="14.5" thickTop="1" x14ac:dyDescent="0.3">
      <c r="A20" s="14" t="s">
        <v>57</v>
      </c>
      <c r="B20" s="9" t="s">
        <v>58</v>
      </c>
      <c r="C20" s="16" t="s">
        <v>59</v>
      </c>
    </row>
    <row r="21" spans="1:3" x14ac:dyDescent="0.3">
      <c r="A21" s="14" t="s">
        <v>100</v>
      </c>
      <c r="B21" s="9">
        <v>12.632999999999999</v>
      </c>
      <c r="C21" s="16" t="s">
        <v>98</v>
      </c>
    </row>
    <row r="22" spans="1:3" x14ac:dyDescent="0.3">
      <c r="A22" s="14" t="s">
        <v>99</v>
      </c>
      <c r="B22" s="9">
        <v>35.883000000000003</v>
      </c>
      <c r="C22" s="16" t="s">
        <v>98</v>
      </c>
    </row>
    <row r="23" spans="1:3" x14ac:dyDescent="0.3">
      <c r="A23" s="14" t="s">
        <v>101</v>
      </c>
      <c r="B23" s="42">
        <v>10.782999999999999</v>
      </c>
      <c r="C23" s="16" t="s">
        <v>98</v>
      </c>
    </row>
    <row r="24" spans="1:3" x14ac:dyDescent="0.3">
      <c r="A24" s="14" t="s">
        <v>102</v>
      </c>
      <c r="B24" s="9">
        <v>59.457000000000001</v>
      </c>
      <c r="C24" s="16" t="s">
        <v>98</v>
      </c>
    </row>
    <row r="25" spans="1:3" x14ac:dyDescent="0.3">
      <c r="A25" s="14" t="s">
        <v>103</v>
      </c>
      <c r="B25" s="9">
        <v>12.632999999999999</v>
      </c>
      <c r="C25" s="16" t="s">
        <v>98</v>
      </c>
    </row>
    <row r="26" spans="1:3" x14ac:dyDescent="0.3">
      <c r="A26" s="14" t="s">
        <v>104</v>
      </c>
      <c r="B26" s="9">
        <v>39.819000000000003</v>
      </c>
      <c r="C26" s="16" t="s">
        <v>98</v>
      </c>
    </row>
    <row r="27" spans="1:3" x14ac:dyDescent="0.3">
      <c r="A27" s="14" t="s">
        <v>105</v>
      </c>
      <c r="B27" s="9">
        <v>12.744999999999999</v>
      </c>
      <c r="C27" s="16" t="s">
        <v>98</v>
      </c>
    </row>
    <row r="28" spans="1:3" x14ac:dyDescent="0.3">
      <c r="A28" s="14" t="s">
        <v>106</v>
      </c>
      <c r="B28" s="9">
        <v>63.414000000000001</v>
      </c>
      <c r="C28" s="16" t="s">
        <v>98</v>
      </c>
    </row>
    <row r="29" spans="1:3" x14ac:dyDescent="0.3">
      <c r="A29" s="14"/>
      <c r="B29" s="9"/>
      <c r="C29" s="16"/>
    </row>
    <row r="30" spans="1:3" x14ac:dyDescent="0.3">
      <c r="A30" s="10" t="s">
        <v>313</v>
      </c>
    </row>
    <row r="32" spans="1:3" ht="17.5" thickBot="1" x14ac:dyDescent="0.45">
      <c r="A32" s="50" t="s">
        <v>176</v>
      </c>
      <c r="B32" s="50"/>
      <c r="C32" s="50"/>
    </row>
    <row r="33" spans="1:3" ht="14.5" thickTop="1" x14ac:dyDescent="0.3">
      <c r="A33" s="14" t="s">
        <v>57</v>
      </c>
      <c r="B33" s="9" t="s">
        <v>58</v>
      </c>
      <c r="C33" s="16" t="s">
        <v>59</v>
      </c>
    </row>
    <row r="34" spans="1:3" x14ac:dyDescent="0.3">
      <c r="A34" s="14" t="s">
        <v>177</v>
      </c>
      <c r="B34" s="9">
        <v>1.2505999999999999</v>
      </c>
      <c r="C34" s="16" t="s">
        <v>29</v>
      </c>
    </row>
  </sheetData>
  <mergeCells count="4">
    <mergeCell ref="A32:C32"/>
    <mergeCell ref="A14:C14"/>
    <mergeCell ref="A3:C3"/>
    <mergeCell ref="A19:C19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6E32-D49C-48A8-8925-7E17533EDE8C}">
  <dimension ref="A1:A9"/>
  <sheetViews>
    <sheetView tabSelected="1" workbookViewId="0">
      <selection activeCell="E11" sqref="E11"/>
    </sheetView>
  </sheetViews>
  <sheetFormatPr defaultRowHeight="14" x14ac:dyDescent="0.3"/>
  <cols>
    <col min="1" max="1" width="107.33203125" customWidth="1"/>
  </cols>
  <sheetData>
    <row r="1" spans="1:1" ht="20" thickBot="1" x14ac:dyDescent="0.5">
      <c r="A1" s="25" t="s">
        <v>322</v>
      </c>
    </row>
    <row r="2" spans="1:1" ht="14.5" thickTop="1" x14ac:dyDescent="0.3">
      <c r="A2" t="s">
        <v>336</v>
      </c>
    </row>
    <row r="4" spans="1:1" ht="20" thickBot="1" x14ac:dyDescent="0.5">
      <c r="A4" s="25" t="s">
        <v>323</v>
      </c>
    </row>
    <row r="5" spans="1:1" ht="28.5" thickTop="1" x14ac:dyDescent="0.3">
      <c r="A5" s="26" t="s">
        <v>335</v>
      </c>
    </row>
    <row r="6" spans="1:1" x14ac:dyDescent="0.3">
      <c r="A6" s="26" t="s">
        <v>334</v>
      </c>
    </row>
    <row r="7" spans="1:1" x14ac:dyDescent="0.3">
      <c r="A7" t="s">
        <v>332</v>
      </c>
    </row>
    <row r="8" spans="1:1" x14ac:dyDescent="0.3">
      <c r="A8" s="26" t="s">
        <v>333</v>
      </c>
    </row>
    <row r="9" spans="1:1" ht="28" x14ac:dyDescent="0.3">
      <c r="A9" s="26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Clean Data</vt:lpstr>
      <vt:lpstr>Raw Data</vt:lpstr>
      <vt:lpstr>Data analysis</vt:lpstr>
      <vt:lpstr>Calculations</vt:lpstr>
      <vt:lpstr>Information</vt:lpstr>
      <vt:lpstr>'Raw Data'!btbl1fna</vt:lpstr>
      <vt:lpstr>'Raw Data'!btbl1fnb</vt:lpstr>
      <vt:lpstr>'Raw Data'!btbl1fnc</vt:lpstr>
      <vt:lpstr>'Raw Data'!btbl1fnd</vt:lpstr>
      <vt:lpstr>'Raw Data'!btbl2fna</vt:lpstr>
      <vt:lpstr>'Raw Data'!btblfn1</vt:lpstr>
      <vt:lpstr>'Raw Data'!btblfn2</vt:lpstr>
      <vt:lpstr>'Raw Data'!bTBLFN5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Ascher</dc:creator>
  <cp:lastModifiedBy>Simon Ascher (PGR)</cp:lastModifiedBy>
  <dcterms:created xsi:type="dcterms:W3CDTF">2020-11-05T16:03:55Z</dcterms:created>
  <dcterms:modified xsi:type="dcterms:W3CDTF">2022-08-10T09:52:04Z</dcterms:modified>
</cp:coreProperties>
</file>