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ostat project\"/>
    </mc:Choice>
  </mc:AlternateContent>
  <xr:revisionPtr revIDLastSave="0" documentId="13_ncr:1_{C524C1E4-0262-4A4C-A5A7-05EB1D5E89CF}" xr6:coauthVersionLast="47" xr6:coauthVersionMax="47" xr10:uidLastSave="{00000000-0000-0000-0000-000000000000}"/>
  <bookViews>
    <workbookView xWindow="-120" yWindow="-120" windowWidth="20730" windowHeight="11160" firstSheet="4" activeTab="8" xr2:uid="{AC73E270-B892-4892-9C6E-FCD3E64DCA84}"/>
  </bookViews>
  <sheets>
    <sheet name="Basic Probability" sheetId="2" r:id="rId1"/>
    <sheet name="Poisson Distribution" sheetId="1" r:id="rId2"/>
    <sheet name="Binomial Distribution" sheetId="3" r:id="rId3"/>
    <sheet name="Normal Distribution " sheetId="4" r:id="rId4"/>
    <sheet name="1 mean test" sheetId="5" r:id="rId5"/>
    <sheet name="1 pop proportion test" sheetId="6" r:id="rId6"/>
    <sheet name="1 pop var test" sheetId="7" r:id="rId7"/>
    <sheet name="2 mean test" sheetId="8" r:id="rId8"/>
    <sheet name="Anova" sheetId="9" r:id="rId9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9" l="1"/>
  <c r="C32" i="9"/>
  <c r="C31" i="9"/>
  <c r="C30" i="9"/>
  <c r="F27" i="9"/>
  <c r="F28" i="9"/>
  <c r="F29" i="9"/>
  <c r="F26" i="9"/>
  <c r="C29" i="9"/>
  <c r="C27" i="9"/>
  <c r="C26" i="9"/>
  <c r="C24" i="9"/>
  <c r="C20" i="9"/>
  <c r="I20" i="9" s="1"/>
  <c r="Q20" i="9" s="1"/>
  <c r="C21" i="9"/>
  <c r="J21" i="9" s="1"/>
  <c r="R21" i="9" s="1"/>
  <c r="C22" i="9"/>
  <c r="G22" i="9" s="1"/>
  <c r="O22" i="9" s="1"/>
  <c r="C19" i="9"/>
  <c r="H19" i="9" s="1"/>
  <c r="P19" i="9" s="1"/>
  <c r="AD11" i="8"/>
  <c r="AD10" i="8"/>
  <c r="AD9" i="8"/>
  <c r="X11" i="8"/>
  <c r="X10" i="8"/>
  <c r="U16" i="8"/>
  <c r="T16" i="8"/>
  <c r="T19" i="8"/>
  <c r="X9" i="8"/>
  <c r="U18" i="8"/>
  <c r="T18" i="8"/>
  <c r="U17" i="8"/>
  <c r="T17" i="8"/>
  <c r="L12" i="8"/>
  <c r="L11" i="8"/>
  <c r="L9" i="8"/>
  <c r="L10" i="8"/>
  <c r="L7" i="8"/>
  <c r="L8" i="8"/>
  <c r="L6" i="8"/>
  <c r="I9" i="8"/>
  <c r="I10" i="8"/>
  <c r="I11" i="8"/>
  <c r="I12" i="8"/>
  <c r="I13" i="8"/>
  <c r="I14" i="8"/>
  <c r="I15" i="8"/>
  <c r="I8" i="8"/>
  <c r="J12" i="7"/>
  <c r="G12" i="7"/>
  <c r="G11" i="7"/>
  <c r="D12" i="7"/>
  <c r="D10" i="7"/>
  <c r="F22" i="6"/>
  <c r="F23" i="6" s="1"/>
  <c r="C24" i="6"/>
  <c r="C21" i="6"/>
  <c r="C20" i="6"/>
  <c r="C23" i="6"/>
  <c r="C22" i="6"/>
  <c r="F10" i="6"/>
  <c r="F9" i="6"/>
  <c r="C11" i="6"/>
  <c r="C10" i="6"/>
  <c r="C9" i="6"/>
  <c r="C8" i="6"/>
  <c r="L24" i="5"/>
  <c r="M23" i="5"/>
  <c r="H23" i="5"/>
  <c r="G25" i="5"/>
  <c r="G24" i="5"/>
  <c r="D25" i="5"/>
  <c r="D24" i="5"/>
  <c r="D22" i="5"/>
  <c r="L9" i="5"/>
  <c r="M8" i="5"/>
  <c r="H8" i="5"/>
  <c r="C10" i="5"/>
  <c r="G10" i="5" s="1"/>
  <c r="C9" i="5"/>
  <c r="C55" i="4"/>
  <c r="C54" i="4"/>
  <c r="C53" i="4"/>
  <c r="C52" i="4"/>
  <c r="C51" i="4"/>
  <c r="C50" i="4"/>
  <c r="C40" i="4"/>
  <c r="C39" i="4"/>
  <c r="C27" i="4"/>
  <c r="C28" i="4"/>
  <c r="C26" i="4"/>
  <c r="C25" i="4"/>
  <c r="D16" i="4"/>
  <c r="C15" i="4"/>
  <c r="C14" i="4"/>
  <c r="C5" i="4"/>
  <c r="C7" i="4" s="1"/>
  <c r="C6" i="4"/>
  <c r="D38" i="3"/>
  <c r="C34" i="3"/>
  <c r="C35" i="3"/>
  <c r="C33" i="3"/>
  <c r="D24" i="3"/>
  <c r="D21" i="3"/>
  <c r="C16" i="3"/>
  <c r="C17" i="3" s="1"/>
  <c r="C6" i="3"/>
  <c r="C9" i="3" s="1"/>
  <c r="C76" i="2"/>
  <c r="C74" i="2"/>
  <c r="C73" i="2"/>
  <c r="C72" i="2"/>
  <c r="D59" i="2"/>
  <c r="D57" i="2"/>
  <c r="D55" i="2"/>
  <c r="D53" i="2"/>
  <c r="D52" i="2"/>
  <c r="D51" i="2"/>
  <c r="D50" i="2"/>
  <c r="D43" i="2"/>
  <c r="D42" i="2"/>
  <c r="C43" i="2"/>
  <c r="C42" i="2"/>
  <c r="C29" i="2"/>
  <c r="C28" i="2"/>
  <c r="C17" i="2"/>
  <c r="C7" i="2"/>
  <c r="M20" i="1"/>
  <c r="M16" i="1"/>
  <c r="M10" i="1"/>
  <c r="M8" i="1"/>
  <c r="D12" i="1"/>
  <c r="D8" i="1"/>
  <c r="D7" i="1"/>
  <c r="F20" i="9" l="1"/>
  <c r="N20" i="9" s="1"/>
  <c r="G20" i="9"/>
  <c r="O20" i="9" s="1"/>
  <c r="I21" i="9"/>
  <c r="Q21" i="9" s="1"/>
  <c r="K20" i="9"/>
  <c r="S20" i="9" s="1"/>
  <c r="H21" i="9"/>
  <c r="P21" i="9" s="1"/>
  <c r="H20" i="9"/>
  <c r="P20" i="9" s="1"/>
  <c r="J22" i="9"/>
  <c r="R22" i="9" s="1"/>
  <c r="K19" i="9"/>
  <c r="S19" i="9" s="1"/>
  <c r="G19" i="9"/>
  <c r="O19" i="9" s="1"/>
  <c r="J19" i="9"/>
  <c r="R19" i="9" s="1"/>
  <c r="I22" i="9"/>
  <c r="Q22" i="9" s="1"/>
  <c r="F21" i="9"/>
  <c r="N21" i="9" s="1"/>
  <c r="I19" i="9"/>
  <c r="Q19" i="9" s="1"/>
  <c r="J20" i="9"/>
  <c r="R20" i="9" s="1"/>
  <c r="K21" i="9"/>
  <c r="S21" i="9" s="1"/>
  <c r="G21" i="9"/>
  <c r="O21" i="9" s="1"/>
  <c r="H22" i="9"/>
  <c r="P22" i="9" s="1"/>
  <c r="F19" i="9"/>
  <c r="N19" i="9" s="1"/>
  <c r="F22" i="9"/>
  <c r="N22" i="9" s="1"/>
  <c r="K22" i="9"/>
  <c r="S22" i="9" s="1"/>
  <c r="G9" i="5"/>
  <c r="C41" i="4"/>
  <c r="C42" i="4"/>
  <c r="C30" i="2"/>
  <c r="C28" i="9" l="1"/>
</calcChain>
</file>

<file path=xl/sharedStrings.xml><?xml version="1.0" encoding="utf-8"?>
<sst xmlns="http://schemas.openxmlformats.org/spreadsheetml/2006/main" count="388" uniqueCount="283">
  <si>
    <t>Ex 1:</t>
  </si>
  <si>
    <t>lambda =</t>
  </si>
  <si>
    <t>accidents/day</t>
  </si>
  <si>
    <t>k =</t>
  </si>
  <si>
    <t>P(k=0)</t>
  </si>
  <si>
    <t xml:space="preserve">b/ </t>
  </si>
  <si>
    <t>accidents/2days</t>
  </si>
  <si>
    <t xml:space="preserve">Exercise 1: Suppose the average number of car accidents on the highway in one day is 4. </t>
  </si>
  <si>
    <t>a/ What is the probability of no car accident in one day?</t>
  </si>
  <si>
    <t>b/ What is the probability of 1 car accident in two days?</t>
  </si>
  <si>
    <t xml:space="preserve">a/ </t>
  </si>
  <si>
    <t xml:space="preserve">Exercise 2: Suppose an average number of calls by 104 in one minute is 2. </t>
  </si>
  <si>
    <t>a/ What is the probability of 10 calls in 5 minutes?</t>
  </si>
  <si>
    <t>b/ What is the probability of less than 10 calls in 5 minutes?</t>
  </si>
  <si>
    <t>c/ What is the probability of at least 10 calls in 5 minutes?</t>
  </si>
  <si>
    <t>d/ What is the probability of exactly 10 calls in 30 seconds?</t>
  </si>
  <si>
    <t>Ex 2:</t>
  </si>
  <si>
    <t>calls/5 minutes</t>
  </si>
  <si>
    <t>P(k=10)</t>
  </si>
  <si>
    <t>k &lt;</t>
  </si>
  <si>
    <t>k is an integer and k less than 10</t>
  </si>
  <si>
    <t>=&gt; k is smaller or equal 9 ( k &lt; = 9)</t>
  </si>
  <si>
    <t>P(k &lt;= 9)</t>
  </si>
  <si>
    <t xml:space="preserve">c/ </t>
  </si>
  <si>
    <t>k &gt;=</t>
  </si>
  <si>
    <t>p(k &gt;= 10)</t>
  </si>
  <si>
    <t xml:space="preserve">Exercise 1: What is the probability of rolling a dice and its value is less than 4 knowing </t>
  </si>
  <si>
    <t>that the value is an odd number?</t>
  </si>
  <si>
    <t>n(A) =</t>
  </si>
  <si>
    <t xml:space="preserve">n(S) = </t>
  </si>
  <si>
    <t xml:space="preserve">p(A) = </t>
  </si>
  <si>
    <t>Exercise 2: At the International University, the probability that a student takes Computer Programming and Spanish is 0.15. The probability that a student takes Computer Programming is 0.4.</t>
  </si>
  <si>
    <t>What is the probability that a student takes Spanish given that the student is taking Computer Programming?</t>
  </si>
  <si>
    <t xml:space="preserve">P(CP) = </t>
  </si>
  <si>
    <t xml:space="preserve">P(CP n Sp) = </t>
  </si>
  <si>
    <t xml:space="preserve">P(Sp|CP) = </t>
  </si>
  <si>
    <t>What is the probability a person thinks college is too expensive given they have a child in college?</t>
  </si>
  <si>
    <t>Exercise 3:  Here are the results of a survey completed with adult parents with children. </t>
  </si>
  <si>
    <t>Too Expensive</t>
  </si>
  <si>
    <t>Affordable</t>
  </si>
  <si>
    <t>Child in college</t>
  </si>
  <si>
    <t>Child not in college</t>
  </si>
  <si>
    <t>Too Cheap</t>
  </si>
  <si>
    <t xml:space="preserve">P(CiC) = </t>
  </si>
  <si>
    <t>P (CiC n TooExp) =</t>
  </si>
  <si>
    <t xml:space="preserve">P(TooExp | CiC) = </t>
  </si>
  <si>
    <t>Ex 3:</t>
  </si>
  <si>
    <t>Exercise 4: Forty seven mice were divided according to species and nutrition levels as follows:</t>
  </si>
  <si>
    <t xml:space="preserve">Nutrition level </t>
  </si>
  <si>
    <t>High (H)</t>
  </si>
  <si>
    <t>Low (L)</t>
  </si>
  <si>
    <t>Species</t>
  </si>
  <si>
    <t>A</t>
  </si>
  <si>
    <t>B</t>
  </si>
  <si>
    <t>a/ Find P(B u L)</t>
  </si>
  <si>
    <t>b/ Find P(A|H)</t>
  </si>
  <si>
    <t>c/ Are events A and H independent on each other?</t>
  </si>
  <si>
    <t>Ex 4:</t>
  </si>
  <si>
    <t xml:space="preserve">P(B) = 9/47 + 13/47 </t>
  </si>
  <si>
    <t xml:space="preserve">P(L) = 10/47 + 13/47 </t>
  </si>
  <si>
    <t xml:space="preserve">P(B n L) = </t>
  </si>
  <si>
    <t xml:space="preserve">P (B u L ) = P(B) + P(L) - P(B n L) = </t>
  </si>
  <si>
    <t>p(A n H) = 15/47</t>
  </si>
  <si>
    <t xml:space="preserve">p(H) = 15/47 + 9/47 </t>
  </si>
  <si>
    <t xml:space="preserve">p(A n H) = </t>
  </si>
  <si>
    <t>p(A|H) = P(A n H) / P(H)</t>
  </si>
  <si>
    <t xml:space="preserve">p(A)*p(H) = 25/47 * 24/47 = 600/2209 </t>
  </si>
  <si>
    <t>Since p(A n H) does not equal p(A)*p(H)</t>
  </si>
  <si>
    <t>Thus, A and H are not independent events</t>
  </si>
  <si>
    <t>Events A and H are independent if the equation P(A n H) = P(A) * P(H) holds true</t>
  </si>
  <si>
    <t>Exercise 5: 1% of the population has X disease. A screening test accurately detects the disease for 90% if people with it. The test also indicates the disease for 15% of the people without it (the false positives). Suppose a person screened for the disease tests positive. What is the probability they have it?</t>
  </si>
  <si>
    <t xml:space="preserve">P(X) = </t>
  </si>
  <si>
    <t xml:space="preserve">P(X^c) = </t>
  </si>
  <si>
    <t xml:space="preserve">P(Positive|X) = </t>
  </si>
  <si>
    <t xml:space="preserve">P(Nagative|X) = </t>
  </si>
  <si>
    <t xml:space="preserve">P(X|Positive) = </t>
  </si>
  <si>
    <t>Exercise 1: Hospital records show that of patients suffering from a certain disease, %75% die of it. What is the probability that of 6 randomly selected patients, 4 will recover?</t>
  </si>
  <si>
    <t xml:space="preserve">p = </t>
  </si>
  <si>
    <t>q =</t>
  </si>
  <si>
    <t xml:space="preserve">X = </t>
  </si>
  <si>
    <t>n =</t>
  </si>
  <si>
    <t xml:space="preserve">P(X=6) = </t>
  </si>
  <si>
    <t>Exercise 2: A (blindfolded) marksman finds that on the average he hits the target 4 times out of 5. If he fires 4 shots, what is the probability of</t>
  </si>
  <si>
    <t>(a) more than 2 hits?</t>
  </si>
  <si>
    <t>(b) at least 3 misses?</t>
  </si>
  <si>
    <t>p =</t>
  </si>
  <si>
    <t xml:space="preserve">q = </t>
  </si>
  <si>
    <t>a/ More than 2 hits</t>
  </si>
  <si>
    <t xml:space="preserve">P(X&gt;2) = </t>
  </si>
  <si>
    <t>1 - P(X&lt;=2)</t>
  </si>
  <si>
    <t>b/ At least 3 misses</t>
  </si>
  <si>
    <t>P(Y&gt;=3)=</t>
  </si>
  <si>
    <t>1- P(Y&lt;2)</t>
  </si>
  <si>
    <t>Exercise 3: Sixty two percent of 12th graders attend school in a particular urban school district. If a sample of 500 12th grade children are selected, find the probability that at least 290 are actually enrolled in school.</t>
  </si>
  <si>
    <t xml:space="preserve">n = </t>
  </si>
  <si>
    <t>mean = n*p =</t>
  </si>
  <si>
    <t>sd =sqrt(npq)</t>
  </si>
  <si>
    <t xml:space="preserve">n*q = </t>
  </si>
  <si>
    <t>Since n*p and n*q both greater than 5</t>
  </si>
  <si>
    <t>We can use normal distribution to approximate binomial</t>
  </si>
  <si>
    <t>P(X &gt;= 290) =</t>
  </si>
  <si>
    <t>Ex 3</t>
  </si>
  <si>
    <t>1 - P(X &lt;= 289.5) =</t>
  </si>
  <si>
    <t>P (Z &lt;= -1) =</t>
  </si>
  <si>
    <t xml:space="preserve">P(-1 &lt;= Z &lt;= 2) = </t>
  </si>
  <si>
    <t>Exercise 2: Finding Probabilities of the Standard Normal Distribution: P(-1 &lt;= Z &lt;= 1)</t>
  </si>
  <si>
    <t xml:space="preserve">P(Z &lt;=1) = </t>
  </si>
  <si>
    <t>P(50 &lt;= X &lt;= 60)</t>
  </si>
  <si>
    <t xml:space="preserve">(50 - 55)/5 = </t>
  </si>
  <si>
    <t xml:space="preserve">(60-55)/5 = </t>
  </si>
  <si>
    <t>P(50 &lt;= X &lt;= 60) =</t>
  </si>
  <si>
    <t xml:space="preserve">P(-1 &lt;= Z &lt;=1) = </t>
  </si>
  <si>
    <t xml:space="preserve">Exercise 3: Using the normal transformation to find P(50 &lt;= X &lt;= 60) with μ = 55, σ = 5  </t>
  </si>
  <si>
    <t>Exercise 4: A sample of size n = 100 produced the sample mean = 16. Assuming the population standard deviation σ = 3, compute a 95% confidence interval for the population mean µ</t>
  </si>
  <si>
    <t>Xbar =</t>
  </si>
  <si>
    <t>σ =</t>
  </si>
  <si>
    <t xml:space="preserve">alpha = </t>
  </si>
  <si>
    <t xml:space="preserve">Z(alpha/2) = </t>
  </si>
  <si>
    <t xml:space="preserve">Lower value = </t>
  </si>
  <si>
    <t xml:space="preserve">Upper value = </t>
  </si>
  <si>
    <t xml:space="preserve">Exercise 5: A blood analyst wants to estimate the average AFP index of the Vietnamese people.  </t>
  </si>
  <si>
    <t xml:space="preserve">A random blood sample of  size 15 yields an average of 10.37 mg/ml and a standard deviation of s = 3.5 ng/ml.  </t>
  </si>
  <si>
    <t>Assuming a normal population of the AFP values, give a 95% confidence interval for the average AFP value of the Vietnamese population? (AFP=alpha-fetoprotein)</t>
  </si>
  <si>
    <t>Ex 5:</t>
  </si>
  <si>
    <t xml:space="preserve">sd = </t>
  </si>
  <si>
    <t>t(alpha/2)</t>
  </si>
  <si>
    <t xml:space="preserve">Exercise 6: Out of 250 patients treated with a particular drug, 206 recovered completely.  </t>
  </si>
  <si>
    <t>Find a 95% confidence interval for overall proportion of patients who can be expected to recover when treated with this drug.</t>
  </si>
  <si>
    <t>Ex 6:</t>
  </si>
  <si>
    <t xml:space="preserve">p_hat = </t>
  </si>
  <si>
    <t>q_hat =</t>
  </si>
  <si>
    <t>Exercise 1: In an anthropological study of animial craniums it was found that the mean circumference of a buffalo's skull is 50 inches with a variance of 25.</t>
  </si>
  <si>
    <t xml:space="preserve"> A pit study at an Indian reservation yielded 64 animals skulls with a mean circumference of 64 inches. Test whether the animal at Indian reservation were buffaloes or not?</t>
  </si>
  <si>
    <t xml:space="preserve">sigma = </t>
  </si>
  <si>
    <t>X_bar =</t>
  </si>
  <si>
    <t xml:space="preserve">mu = </t>
  </si>
  <si>
    <t>u = 50</t>
  </si>
  <si>
    <t>H1:</t>
  </si>
  <si>
    <r>
      <t xml:space="preserve">u </t>
    </r>
    <r>
      <rPr>
        <sz val="11"/>
        <color theme="1"/>
        <rFont val="Calibri"/>
        <family val="2"/>
      </rPr>
      <t>≠ 50</t>
    </r>
  </si>
  <si>
    <t>Ho:</t>
  </si>
  <si>
    <t>(X_bar - mu)/(sigma/sqrt(n))</t>
  </si>
  <si>
    <t>Since Z_score not in [Z_crit1 : Zcrit2], reject Ho</t>
  </si>
  <si>
    <t>Conclusion: The animals at Indian reservation are not buffaloes</t>
  </si>
  <si>
    <t>Solution 1: Compare test statistic with critical value</t>
  </si>
  <si>
    <t>Solution 2: Compare p_value with alpha or alpha/2</t>
  </si>
  <si>
    <t>u ≠ 50</t>
  </si>
  <si>
    <t>p-value =</t>
  </si>
  <si>
    <t xml:space="preserve">Z_score = </t>
  </si>
  <si>
    <t>Z_crit1 =</t>
  </si>
  <si>
    <t>Z_crit2 =</t>
  </si>
  <si>
    <t>Since p-value &lt; alpha (5%), reject Ho</t>
  </si>
  <si>
    <t xml:space="preserve">Exercise 2: To assess the accuracy of a laboratory scale, a standard weight that is known to weigh 1 gram is repeatedly weighed 4 times. </t>
  </si>
  <si>
    <t xml:space="preserve">The resulting measurements (in grams) are: 0.95, 1.02, 1.01, 0.98. </t>
  </si>
  <si>
    <t xml:space="preserve">Assume that the weighings by the scale when the true weight is 1 gram are normally distributed with mean µ. </t>
  </si>
  <si>
    <t>Do these data give evidence at 5% significance level that the scale is not accurate? Answer this question by performing an appropriate test of hypothesis.</t>
  </si>
  <si>
    <t>Result</t>
  </si>
  <si>
    <t xml:space="preserve">mean = </t>
  </si>
  <si>
    <t xml:space="preserve">X_bar = </t>
  </si>
  <si>
    <t>sd</t>
  </si>
  <si>
    <t>u = 1</t>
  </si>
  <si>
    <r>
      <t xml:space="preserve">u </t>
    </r>
    <r>
      <rPr>
        <sz val="11"/>
        <color theme="1"/>
        <rFont val="Calibri"/>
        <family val="2"/>
      </rPr>
      <t>≠ 1</t>
    </r>
  </si>
  <si>
    <t xml:space="preserve">t-score = </t>
  </si>
  <si>
    <t>(X_bar - mu)/(sd/sqrt(n))</t>
  </si>
  <si>
    <t>t-crit 1 =</t>
  </si>
  <si>
    <t>t-crit 2 =</t>
  </si>
  <si>
    <t>Since t_score in [t_crit1 : tcrit2], we do not reject Ho</t>
  </si>
  <si>
    <t xml:space="preserve">p_value </t>
  </si>
  <si>
    <t>Solution 2: Compare test statistic with alpha or alpha/2</t>
  </si>
  <si>
    <t>Since p_value &gt; alpha/2 (0.05/2), we do not reject Ho</t>
  </si>
  <si>
    <t>Conclusion: The scale is accurate</t>
  </si>
  <si>
    <t>Exercise 1: For a certain genetic cross it is predicted that one quarter of the offspring will be deficient in a particular enzyme.</t>
  </si>
  <si>
    <t>Of 48 offspring examined, 8 exhibited this deficiency. Test whether these data are consistent with the theoretical proportion.</t>
  </si>
  <si>
    <t>q = 1 -p</t>
  </si>
  <si>
    <t>alpha =</t>
  </si>
  <si>
    <t>Ho: p = 0.25</t>
  </si>
  <si>
    <t>H1: p ≠ 0.25</t>
  </si>
  <si>
    <t>Z-score</t>
  </si>
  <si>
    <t>p-value</t>
  </si>
  <si>
    <t>Conclusion: The data are consistent with the null hypothesis which is the proportion of the enzyme deficiency is 25%</t>
  </si>
  <si>
    <t>Exercise 2: A cell culture method usually has a failure rate of 20% (caused by aseptic technique failing etc.).</t>
  </si>
  <si>
    <t xml:space="preserve"> Using a changed method, six failures occurred in 50 test cultures. Does this imply that the change has reduced the failure rate?</t>
  </si>
  <si>
    <t>Ho: p = 0.2</t>
  </si>
  <si>
    <t>H1: p &lt; 0.2</t>
  </si>
  <si>
    <t>Since p-value &gt; alpha/2, we do not reject Ho</t>
  </si>
  <si>
    <t>Since p-value &gt; alpha, we do not reject Ho</t>
  </si>
  <si>
    <t>Conclusion: The changed method still has a failure rate of 20%</t>
  </si>
  <si>
    <t xml:space="preserve"> a sample variance of 31.2 hours. What do the results of this analysis suggest about the drug ingredient readjustment?</t>
  </si>
  <si>
    <t xml:space="preserve">Exericse 1: An analysist is interested in the variance in time required to observe some medical effects of a newly developed drug at a clinical trial center. </t>
  </si>
  <si>
    <t>The drug developer will readjust the ingredients of the medicine if there is sufficient evidence (at apha = 0.01) that the population variance exceeds 20 hours. A sample of 31 trails exhibits</t>
  </si>
  <si>
    <t xml:space="preserve">s^2 = </t>
  </si>
  <si>
    <t xml:space="preserve">sigma^2 = </t>
  </si>
  <si>
    <r>
      <t xml:space="preserve">Ho: sigma^2 </t>
    </r>
    <r>
      <rPr>
        <sz val="11"/>
        <color theme="1"/>
        <rFont val="Calibri"/>
        <family val="2"/>
      </rPr>
      <t>≤ 20</t>
    </r>
  </si>
  <si>
    <r>
      <t>H1: sigma^2 &gt;</t>
    </r>
    <r>
      <rPr>
        <sz val="11"/>
        <color theme="1"/>
        <rFont val="Calibri"/>
        <family val="2"/>
      </rPr>
      <t xml:space="preserve"> 20</t>
    </r>
  </si>
  <si>
    <t>chisquare score =</t>
  </si>
  <si>
    <t>critical value =</t>
  </si>
  <si>
    <t>Since chisquare score &lt; critical value</t>
  </si>
  <si>
    <t>We do not reject Ho</t>
  </si>
  <si>
    <t>Conclusion: The developer does not need not readjust the drug ingredient</t>
  </si>
  <si>
    <t>p_value</t>
  </si>
  <si>
    <t xml:space="preserve">Exercise 2: Employees working in a factory were tested for fatigue after working in hot and cold conditions. Eight men and eight women were tested in both environments. </t>
  </si>
  <si>
    <t xml:space="preserve">a/ Is there any evidence that there was a difference in mean fatigue for the men due to the temperature? </t>
  </si>
  <si>
    <t>b/ Is there any evidence that men differ from women in respect of fatigue when working at $16^o C$?</t>
  </si>
  <si>
    <t>Men</t>
  </si>
  <si>
    <t>Women</t>
  </si>
  <si>
    <t>25oC</t>
  </si>
  <si>
    <t>16oC</t>
  </si>
  <si>
    <t>difference</t>
  </si>
  <si>
    <t>16oC - 25oC</t>
  </si>
  <si>
    <t xml:space="preserve">d_bar </t>
  </si>
  <si>
    <t>t score</t>
  </si>
  <si>
    <t>t crit 1</t>
  </si>
  <si>
    <t xml:space="preserve">alpha </t>
  </si>
  <si>
    <t>t crit 2</t>
  </si>
  <si>
    <t>Since t score &lt; t_crit1, we reject Ho</t>
  </si>
  <si>
    <t>Conclusion: There was a difference in mean fatigue for the men due to temperature</t>
  </si>
  <si>
    <t>average</t>
  </si>
  <si>
    <t>Ho: sigma_men^2 = sigma_women^2</t>
  </si>
  <si>
    <t>H1: sigma_men^2 != sigma_women^2</t>
  </si>
  <si>
    <t>sample variance</t>
  </si>
  <si>
    <t>F score</t>
  </si>
  <si>
    <t xml:space="preserve">Fcrit1 </t>
  </si>
  <si>
    <t>alpha</t>
  </si>
  <si>
    <t>Fcrit2</t>
  </si>
  <si>
    <t>Since F_score in [Fcrit1 , Fcrit2], we do not reject Ho</t>
  </si>
  <si>
    <t>Conclusion: The two population variance are equal</t>
  </si>
  <si>
    <t>Ho: u_men - u_women = 0</t>
  </si>
  <si>
    <t>H1: u_men - u_women != 0</t>
  </si>
  <si>
    <t>t_score</t>
  </si>
  <si>
    <t>tcrit1</t>
  </si>
  <si>
    <t>tcrit2</t>
  </si>
  <si>
    <t>Conclusion: There was a difference in mean fatigue between men and women when working at 16oC</t>
  </si>
  <si>
    <t xml:space="preserve">Exercise 1:The presence of harmful insects in farm fields is detected by erecting boards which are covered  </t>
  </si>
  <si>
    <t xml:space="preserve">The table below gives the numbers of cereal leaf beetles trapped. </t>
  </si>
  <si>
    <t xml:space="preserve">To investigate which colours are most attractive to cereal leaf beetles researchers placed six boards of each of four colours in a field of oats in July. </t>
  </si>
  <si>
    <t>with a sticky material and then examining the insects trapped on the board.</t>
  </si>
  <si>
    <t>Color</t>
  </si>
  <si>
    <t>Lemon Yellow</t>
  </si>
  <si>
    <t xml:space="preserve">White </t>
  </si>
  <si>
    <t xml:space="preserve">Green </t>
  </si>
  <si>
    <t>Blue</t>
  </si>
  <si>
    <t>Insects trapped</t>
  </si>
  <si>
    <t>Does this data suggest that colour influences the number of beetles?   </t>
  </si>
  <si>
    <t>H_0: Mean abundance is the same for all colours of boards</t>
  </si>
  <si>
    <t xml:space="preserve">H_1: At least one pair of means differ </t>
  </si>
  <si>
    <t>Average</t>
  </si>
  <si>
    <t>White</t>
  </si>
  <si>
    <t>Green</t>
  </si>
  <si>
    <t>Yellow</t>
  </si>
  <si>
    <t>Error Deviation</t>
  </si>
  <si>
    <t>Error Deviation ^2</t>
  </si>
  <si>
    <t>Grandmean</t>
  </si>
  <si>
    <t xml:space="preserve">SSE </t>
  </si>
  <si>
    <t>MSE</t>
  </si>
  <si>
    <t xml:space="preserve">n </t>
  </si>
  <si>
    <t>r</t>
  </si>
  <si>
    <t>SSTr</t>
  </si>
  <si>
    <t>n_1</t>
  </si>
  <si>
    <t>n_2</t>
  </si>
  <si>
    <t>n_3</t>
  </si>
  <si>
    <t>n_4</t>
  </si>
  <si>
    <t>MSTr</t>
  </si>
  <si>
    <t>F_score</t>
  </si>
  <si>
    <t>F_critical</t>
  </si>
  <si>
    <t>Since F_score &gt; F_crit</t>
  </si>
  <si>
    <t>Reject Ho</t>
  </si>
  <si>
    <t>Conclusion: There were significant differences amanong mean abundance</t>
  </si>
  <si>
    <t>Anova: Single Factor</t>
  </si>
  <si>
    <t>SUMMARY</t>
  </si>
  <si>
    <t>Groups</t>
  </si>
  <si>
    <t>Count</t>
  </si>
  <si>
    <t>Sum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</si>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</sst>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0000"/>
  </numFmts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1"/>
    </font>
    <font>
      <sz val="11"/>
      <color rgb="FFFF0000"/>
      <name val="Calibri "/>
    </font>
    <font>
      <sz val="11"/>
      <color theme="1"/>
      <name val="Calibri"/>
      <family val="2"/>
    </font>
    <font>
      <sz val="11"/>
      <color theme="1"/>
      <name val="Courier New"/>
      <family val="3"/>
    </font>
    <font>
      <i/>
      <sz val="11"/>
      <color theme="1"/>
      <name val="Calibri"/>
      <family val="2"/>
      <scheme val="minor"/>
    </font>
    <font>
      <sz val="11.5"/>
      <color theme="1"/>
      <name val="Times New Roman"/>
      <family val="1"/>
    </font>
    <font>
      <sz val="11"/>
      <color rgb="FF00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2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quotePrefix="1" applyFill="1" applyBorder="1"/>
    <xf numFmtId="0" fontId="0" fillId="0" borderId="0" xfId="0" applyFill="1" applyBorder="1"/>
    <xf numFmtId="0" fontId="0" fillId="0" borderId="7" xfId="0" quotePrefix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0" xfId="0" applyFont="1"/>
    <xf numFmtId="0" fontId="2" fillId="0" borderId="0" xfId="0" applyFont="1" applyAlignment="1">
      <alignment vertical="center"/>
    </xf>
    <xf numFmtId="9" fontId="0" fillId="0" borderId="0" xfId="0" applyNumberFormat="1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9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4" xfId="0" applyFont="1" applyBorder="1"/>
    <xf numFmtId="164" fontId="1" fillId="0" borderId="16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1" fillId="0" borderId="16" xfId="0" applyFont="1" applyBorder="1"/>
    <xf numFmtId="0" fontId="1" fillId="0" borderId="17" xfId="0" applyFont="1" applyBorder="1"/>
    <xf numFmtId="10" fontId="0" fillId="0" borderId="0" xfId="0" applyNumberFormat="1" applyBorder="1"/>
    <xf numFmtId="0" fontId="1" fillId="0" borderId="0" xfId="0" applyFont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18" xfId="0" applyBorder="1"/>
    <xf numFmtId="0" fontId="0" fillId="0" borderId="19" xfId="0" applyBorder="1"/>
    <xf numFmtId="0" fontId="0" fillId="0" borderId="20" xfId="0" applyBorder="1"/>
    <xf numFmtId="165" fontId="0" fillId="0" borderId="0" xfId="0" applyNumberFormat="1"/>
    <xf numFmtId="0" fontId="5" fillId="0" borderId="0" xfId="0" applyFont="1"/>
    <xf numFmtId="0" fontId="0" fillId="0" borderId="0" xfId="0" applyFill="1" applyBorder="1" applyAlignment="1"/>
    <xf numFmtId="9" fontId="0" fillId="0" borderId="0" xfId="0" applyNumberFormat="1"/>
    <xf numFmtId="0" fontId="6" fillId="0" borderId="0" xfId="0" applyFont="1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7" fillId="0" borderId="0" xfId="0" applyFont="1" applyAlignment="1">
      <alignment vertical="center"/>
    </xf>
    <xf numFmtId="0" fontId="1" fillId="0" borderId="20" xfId="0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9" xfId="0" applyFont="1" applyBorder="1"/>
    <xf numFmtId="0" fontId="8" fillId="0" borderId="22" xfId="0" applyFont="1" applyBorder="1" applyAlignment="1">
      <alignment vertical="center" wrapText="1"/>
    </xf>
    <xf numFmtId="0" fontId="8" fillId="0" borderId="23" xfId="0" applyFont="1" applyBorder="1" applyAlignment="1">
      <alignment vertical="center" wrapText="1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1" fillId="0" borderId="0" xfId="0" applyFont="1" applyFill="1" applyBorder="1"/>
    <xf numFmtId="0" fontId="0" fillId="0" borderId="24" xfId="0" applyFill="1" applyBorder="1" applyAlignment="1"/>
    <xf numFmtId="0" fontId="6" fillId="0" borderId="25" xfId="0" applyFont="1" applyFill="1" applyBorder="1" applyAlignment="1">
      <alignment horizontal="center"/>
    </xf>
    <xf numFmtId="0" fontId="1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F628-1FC8-4371-A46C-E8B0C8D0D5B1}">
  <dimension ref="A1:E76"/>
  <sheetViews>
    <sheetView topLeftCell="A62" workbookViewId="0">
      <selection activeCell="C76" sqref="C76"/>
    </sheetView>
  </sheetViews>
  <sheetFormatPr defaultRowHeight="15"/>
  <cols>
    <col min="2" max="2" width="21.42578125" customWidth="1"/>
    <col min="3" max="3" width="29.5703125" customWidth="1"/>
    <col min="4" max="4" width="15.140625" customWidth="1"/>
    <col min="5" max="5" width="13.28515625" customWidth="1"/>
  </cols>
  <sheetData>
    <row r="1" spans="1:4">
      <c r="A1" s="16" t="s">
        <v>26</v>
      </c>
    </row>
    <row r="2" spans="1:4">
      <c r="A2" s="16" t="s">
        <v>27</v>
      </c>
      <c r="B2" s="16"/>
    </row>
    <row r="4" spans="1:4">
      <c r="B4" s="46" t="s">
        <v>0</v>
      </c>
      <c r="C4" s="47"/>
      <c r="D4" s="48"/>
    </row>
    <row r="5" spans="1:4">
      <c r="B5" s="11" t="s">
        <v>28</v>
      </c>
      <c r="C5" s="24">
        <v>2</v>
      </c>
      <c r="D5" s="12"/>
    </row>
    <row r="6" spans="1:4">
      <c r="B6" s="11" t="s">
        <v>29</v>
      </c>
      <c r="C6" s="24">
        <v>3</v>
      </c>
      <c r="D6" s="12"/>
    </row>
    <row r="7" spans="1:4">
      <c r="B7" s="13" t="s">
        <v>30</v>
      </c>
      <c r="C7" s="27">
        <f>C5/C6</f>
        <v>0.66666666666666663</v>
      </c>
      <c r="D7" s="15"/>
    </row>
    <row r="10" spans="1:4">
      <c r="A10" s="16" t="s">
        <v>31</v>
      </c>
    </row>
    <row r="12" spans="1:4">
      <c r="A12" s="16" t="s">
        <v>32</v>
      </c>
    </row>
    <row r="14" spans="1:4">
      <c r="B14" s="49" t="s">
        <v>16</v>
      </c>
      <c r="C14" s="50"/>
      <c r="D14" s="51"/>
    </row>
    <row r="15" spans="1:4">
      <c r="B15" s="11" t="s">
        <v>33</v>
      </c>
      <c r="C15" s="24">
        <v>0.4</v>
      </c>
      <c r="D15" s="12"/>
    </row>
    <row r="16" spans="1:4">
      <c r="B16" s="11" t="s">
        <v>34</v>
      </c>
      <c r="C16" s="24">
        <v>0.15</v>
      </c>
      <c r="D16" s="12"/>
    </row>
    <row r="17" spans="1:5">
      <c r="B17" s="13" t="s">
        <v>35</v>
      </c>
      <c r="C17" s="27">
        <f>C16/C15</f>
        <v>0.37499999999999994</v>
      </c>
      <c r="D17" s="15"/>
    </row>
    <row r="20" spans="1:5" ht="15.75">
      <c r="A20" s="17" t="s">
        <v>37</v>
      </c>
    </row>
    <row r="21" spans="1:5" ht="15.75">
      <c r="A21" s="17" t="s">
        <v>36</v>
      </c>
    </row>
    <row r="23" spans="1:5">
      <c r="B23" s="19"/>
      <c r="C23" s="19" t="s">
        <v>38</v>
      </c>
      <c r="D23" s="19" t="s">
        <v>39</v>
      </c>
      <c r="E23" s="19" t="s">
        <v>42</v>
      </c>
    </row>
    <row r="24" spans="1:5">
      <c r="B24" s="19" t="s">
        <v>40</v>
      </c>
      <c r="C24" s="22">
        <v>0.55000000000000004</v>
      </c>
      <c r="D24" s="22">
        <v>0.04</v>
      </c>
      <c r="E24" s="22">
        <v>0</v>
      </c>
    </row>
    <row r="25" spans="1:5">
      <c r="B25" s="19" t="s">
        <v>41</v>
      </c>
      <c r="C25" s="22">
        <v>0.3</v>
      </c>
      <c r="D25" s="22">
        <v>0.08</v>
      </c>
      <c r="E25" s="22">
        <v>0.03</v>
      </c>
    </row>
    <row r="26" spans="1:5">
      <c r="B26" s="1"/>
      <c r="C26" s="18"/>
      <c r="D26" s="18"/>
      <c r="E26" s="18"/>
    </row>
    <row r="27" spans="1:5">
      <c r="B27" s="52" t="s">
        <v>46</v>
      </c>
      <c r="C27" s="53"/>
      <c r="D27" s="54"/>
    </row>
    <row r="28" spans="1:5">
      <c r="B28" s="11" t="s">
        <v>43</v>
      </c>
      <c r="C28" s="23">
        <f>C24+D24+E24</f>
        <v>0.59000000000000008</v>
      </c>
      <c r="D28" s="12"/>
    </row>
    <row r="29" spans="1:5">
      <c r="B29" s="11" t="s">
        <v>44</v>
      </c>
      <c r="C29" s="23">
        <f>C24</f>
        <v>0.55000000000000004</v>
      </c>
      <c r="D29" s="12"/>
    </row>
    <row r="30" spans="1:5">
      <c r="B30" s="13" t="s">
        <v>45</v>
      </c>
      <c r="C30" s="26">
        <f>C29/C28</f>
        <v>0.93220338983050843</v>
      </c>
      <c r="D30" s="15"/>
    </row>
    <row r="33" spans="1:4">
      <c r="A33" s="16" t="s">
        <v>47</v>
      </c>
    </row>
    <row r="35" spans="1:4">
      <c r="B35" s="20"/>
      <c r="C35" s="55" t="s">
        <v>48</v>
      </c>
      <c r="D35" s="55"/>
    </row>
    <row r="36" spans="1:4">
      <c r="B36" s="21" t="s">
        <v>51</v>
      </c>
      <c r="C36" s="21" t="s">
        <v>49</v>
      </c>
      <c r="D36" s="21" t="s">
        <v>50</v>
      </c>
    </row>
    <row r="37" spans="1:4">
      <c r="B37" s="21" t="s">
        <v>52</v>
      </c>
      <c r="C37" s="21">
        <v>15</v>
      </c>
      <c r="D37" s="21">
        <v>10</v>
      </c>
    </row>
    <row r="38" spans="1:4">
      <c r="B38" s="21" t="s">
        <v>53</v>
      </c>
      <c r="C38" s="21">
        <v>9</v>
      </c>
      <c r="D38" s="21">
        <v>13</v>
      </c>
    </row>
    <row r="40" spans="1:4">
      <c r="B40" s="20"/>
      <c r="C40" s="55" t="s">
        <v>48</v>
      </c>
      <c r="D40" s="55"/>
    </row>
    <row r="41" spans="1:4">
      <c r="B41" s="21" t="s">
        <v>51</v>
      </c>
      <c r="C41" s="21" t="s">
        <v>49</v>
      </c>
      <c r="D41" s="21" t="s">
        <v>50</v>
      </c>
    </row>
    <row r="42" spans="1:4">
      <c r="B42" s="21" t="s">
        <v>52</v>
      </c>
      <c r="C42" s="21">
        <f>15/47</f>
        <v>0.31914893617021278</v>
      </c>
      <c r="D42" s="21">
        <f>10/47</f>
        <v>0.21276595744680851</v>
      </c>
    </row>
    <row r="43" spans="1:4">
      <c r="B43" s="21" t="s">
        <v>53</v>
      </c>
      <c r="C43" s="21">
        <f>9/47</f>
        <v>0.19148936170212766</v>
      </c>
      <c r="D43" s="21">
        <f>13/47</f>
        <v>0.27659574468085107</v>
      </c>
    </row>
    <row r="45" spans="1:4">
      <c r="B45" t="s">
        <v>54</v>
      </c>
    </row>
    <row r="46" spans="1:4">
      <c r="B46" t="s">
        <v>55</v>
      </c>
    </row>
    <row r="47" spans="1:4">
      <c r="B47" t="s">
        <v>56</v>
      </c>
    </row>
    <row r="49" spans="2:4">
      <c r="B49" s="43" t="s">
        <v>57</v>
      </c>
      <c r="C49" s="44"/>
      <c r="D49" s="45"/>
    </row>
    <row r="50" spans="2:4">
      <c r="B50" s="11" t="s">
        <v>10</v>
      </c>
      <c r="C50" s="1" t="s">
        <v>58</v>
      </c>
      <c r="D50" s="12">
        <f>C43+D43</f>
        <v>0.46808510638297873</v>
      </c>
    </row>
    <row r="51" spans="2:4">
      <c r="B51" s="11"/>
      <c r="C51" s="1" t="s">
        <v>59</v>
      </c>
      <c r="D51" s="12">
        <f>D42+D43</f>
        <v>0.48936170212765961</v>
      </c>
    </row>
    <row r="52" spans="2:4">
      <c r="B52" s="11"/>
      <c r="C52" s="1" t="s">
        <v>60</v>
      </c>
      <c r="D52" s="12">
        <f>D43</f>
        <v>0.27659574468085107</v>
      </c>
    </row>
    <row r="53" spans="2:4">
      <c r="B53" s="11"/>
      <c r="C53" s="1" t="s">
        <v>61</v>
      </c>
      <c r="D53" s="25">
        <f>D50+D51-D52</f>
        <v>0.68085106382978733</v>
      </c>
    </row>
    <row r="54" spans="2:4">
      <c r="B54" s="11"/>
      <c r="C54" s="1"/>
      <c r="D54" s="12"/>
    </row>
    <row r="55" spans="2:4">
      <c r="B55" s="11" t="s">
        <v>5</v>
      </c>
      <c r="C55" s="1" t="s">
        <v>63</v>
      </c>
      <c r="D55" s="12">
        <f>C42+C43</f>
        <v>0.5106382978723405</v>
      </c>
    </row>
    <row r="56" spans="2:4">
      <c r="B56" s="11"/>
      <c r="C56" s="1"/>
      <c r="D56" s="12"/>
    </row>
    <row r="57" spans="2:4">
      <c r="B57" s="11"/>
      <c r="C57" s="1" t="s">
        <v>64</v>
      </c>
      <c r="D57" s="12">
        <f>C42</f>
        <v>0.31914893617021278</v>
      </c>
    </row>
    <row r="58" spans="2:4">
      <c r="B58" s="11"/>
      <c r="C58" s="1"/>
      <c r="D58" s="12"/>
    </row>
    <row r="59" spans="2:4">
      <c r="B59" s="11"/>
      <c r="C59" s="1" t="s">
        <v>65</v>
      </c>
      <c r="D59" s="25">
        <f>D57/D55</f>
        <v>0.625</v>
      </c>
    </row>
    <row r="60" spans="2:4">
      <c r="B60" s="11"/>
      <c r="C60" s="1"/>
      <c r="D60" s="12"/>
    </row>
    <row r="61" spans="2:4">
      <c r="B61" s="11" t="s">
        <v>23</v>
      </c>
      <c r="C61" s="1" t="s">
        <v>69</v>
      </c>
      <c r="D61" s="12"/>
    </row>
    <row r="62" spans="2:4">
      <c r="B62" s="11"/>
      <c r="C62" s="1"/>
      <c r="D62" s="12"/>
    </row>
    <row r="63" spans="2:4">
      <c r="B63" s="11"/>
      <c r="C63" s="1" t="s">
        <v>62</v>
      </c>
      <c r="D63" s="12"/>
    </row>
    <row r="64" spans="2:4">
      <c r="B64" s="11"/>
      <c r="C64" s="1"/>
      <c r="D64" s="12"/>
    </row>
    <row r="65" spans="1:4">
      <c r="B65" s="11"/>
      <c r="C65" s="1" t="s">
        <v>66</v>
      </c>
      <c r="D65" s="12"/>
    </row>
    <row r="66" spans="1:4">
      <c r="B66" s="11"/>
      <c r="C66" s="1"/>
      <c r="D66" s="12"/>
    </row>
    <row r="67" spans="1:4">
      <c r="B67" s="11"/>
      <c r="C67" s="1" t="s">
        <v>67</v>
      </c>
      <c r="D67" s="12"/>
    </row>
    <row r="68" spans="1:4">
      <c r="B68" s="11"/>
      <c r="C68" s="1"/>
      <c r="D68" s="12"/>
    </row>
    <row r="69" spans="1:4">
      <c r="B69" s="13"/>
      <c r="C69" s="14" t="s">
        <v>68</v>
      </c>
      <c r="D69" s="15"/>
    </row>
    <row r="71" spans="1:4">
      <c r="A71" s="28" t="s">
        <v>70</v>
      </c>
    </row>
    <row r="72" spans="1:4">
      <c r="B72" t="s">
        <v>71</v>
      </c>
      <c r="C72">
        <f>0.01</f>
        <v>0.01</v>
      </c>
    </row>
    <row r="73" spans="1:4">
      <c r="B73" t="s">
        <v>72</v>
      </c>
      <c r="C73">
        <f>1-C72</f>
        <v>0.99</v>
      </c>
    </row>
    <row r="74" spans="1:4">
      <c r="B74" t="s">
        <v>73</v>
      </c>
      <c r="C74">
        <f>0.9</f>
        <v>0.9</v>
      </c>
    </row>
    <row r="75" spans="1:4">
      <c r="B75" t="s">
        <v>74</v>
      </c>
      <c r="C75">
        <v>0.15</v>
      </c>
    </row>
    <row r="76" spans="1:4">
      <c r="B76" t="s">
        <v>75</v>
      </c>
      <c r="C76">
        <f>(C72*C74)/(C72*C74+C73*C75)</f>
        <v>5.7142857142857148E-2</v>
      </c>
    </row>
  </sheetData>
  <mergeCells count="6">
    <mergeCell ref="B49:D49"/>
    <mergeCell ref="B4:D4"/>
    <mergeCell ref="B14:D14"/>
    <mergeCell ref="B27:D27"/>
    <mergeCell ref="C35:D35"/>
    <mergeCell ref="C40:D40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100EF-38DC-40CD-B801-134093940D47}">
  <dimension ref="A1:O22"/>
  <sheetViews>
    <sheetView workbookViewId="0">
      <selection activeCell="M20" sqref="M20"/>
    </sheetView>
  </sheetViews>
  <sheetFormatPr defaultRowHeight="15"/>
  <sheetData>
    <row r="1" spans="1:15">
      <c r="A1" t="s">
        <v>7</v>
      </c>
      <c r="K1" t="s">
        <v>11</v>
      </c>
    </row>
    <row r="2" spans="1:15">
      <c r="A2" s="2" t="s">
        <v>8</v>
      </c>
      <c r="K2" t="s">
        <v>12</v>
      </c>
    </row>
    <row r="3" spans="1:15">
      <c r="A3" s="3" t="s">
        <v>9</v>
      </c>
      <c r="K3" t="s">
        <v>13</v>
      </c>
    </row>
    <row r="4" spans="1:15">
      <c r="K4" t="s">
        <v>14</v>
      </c>
    </row>
    <row r="5" spans="1:15">
      <c r="B5" s="59" t="s">
        <v>0</v>
      </c>
      <c r="C5" s="60"/>
      <c r="D5" s="60"/>
      <c r="E5" s="60"/>
      <c r="F5" s="61"/>
      <c r="K5" t="s">
        <v>15</v>
      </c>
    </row>
    <row r="6" spans="1:15">
      <c r="B6" s="3" t="s">
        <v>10</v>
      </c>
      <c r="C6" s="1" t="s">
        <v>1</v>
      </c>
      <c r="D6" s="1">
        <v>4</v>
      </c>
      <c r="E6" s="1" t="s">
        <v>2</v>
      </c>
      <c r="F6" s="4"/>
    </row>
    <row r="7" spans="1:15">
      <c r="B7" s="3"/>
      <c r="C7" s="1" t="s">
        <v>3</v>
      </c>
      <c r="D7" s="1">
        <f xml:space="preserve"> 0</f>
        <v>0</v>
      </c>
      <c r="E7" s="1"/>
      <c r="F7" s="4"/>
      <c r="K7" s="56" t="s">
        <v>16</v>
      </c>
      <c r="L7" s="57"/>
      <c r="M7" s="57"/>
      <c r="N7" s="57"/>
      <c r="O7" s="58"/>
    </row>
    <row r="8" spans="1:15">
      <c r="B8" s="3"/>
      <c r="C8" s="1" t="s">
        <v>4</v>
      </c>
      <c r="D8" s="1">
        <f>_xlfn.POISSON.DIST(0,4,0)</f>
        <v>1.8315638888734179E-2</v>
      </c>
      <c r="E8" s="1"/>
      <c r="F8" s="4"/>
      <c r="K8" s="3" t="s">
        <v>10</v>
      </c>
      <c r="L8" s="1" t="s">
        <v>1</v>
      </c>
      <c r="M8" s="1">
        <f>2*5</f>
        <v>10</v>
      </c>
      <c r="N8" s="1" t="s">
        <v>17</v>
      </c>
      <c r="O8" s="4"/>
    </row>
    <row r="9" spans="1:15">
      <c r="B9" s="3"/>
      <c r="C9" s="1"/>
      <c r="D9" s="1"/>
      <c r="E9" s="1"/>
      <c r="F9" s="4"/>
      <c r="K9" s="3"/>
      <c r="L9" s="1" t="s">
        <v>3</v>
      </c>
      <c r="M9" s="1">
        <v>10</v>
      </c>
      <c r="N9" s="1"/>
      <c r="O9" s="4"/>
    </row>
    <row r="10" spans="1:15">
      <c r="B10" s="3" t="s">
        <v>5</v>
      </c>
      <c r="C10" s="1" t="s">
        <v>1</v>
      </c>
      <c r="D10" s="1">
        <v>8</v>
      </c>
      <c r="E10" s="1" t="s">
        <v>6</v>
      </c>
      <c r="F10" s="4"/>
      <c r="K10" s="3"/>
      <c r="L10" s="1" t="s">
        <v>18</v>
      </c>
      <c r="M10" s="1">
        <f>_xlfn.POISSON.DIST(10,10,0)</f>
        <v>0.1251100357211333</v>
      </c>
      <c r="N10" s="1"/>
      <c r="O10" s="4"/>
    </row>
    <row r="11" spans="1:15">
      <c r="B11" s="3"/>
      <c r="C11" s="1" t="s">
        <v>3</v>
      </c>
      <c r="D11" s="1">
        <v>1</v>
      </c>
      <c r="E11" s="1"/>
      <c r="F11" s="4"/>
      <c r="K11" s="3"/>
      <c r="L11" s="1"/>
      <c r="M11" s="1"/>
      <c r="N11" s="1"/>
      <c r="O11" s="4"/>
    </row>
    <row r="12" spans="1:15">
      <c r="B12" s="5"/>
      <c r="C12" s="6" t="s">
        <v>4</v>
      </c>
      <c r="D12" s="6">
        <f>_xlfn.POISSON.DIST(1,8,0)</f>
        <v>2.683701023220094E-3</v>
      </c>
      <c r="E12" s="6"/>
      <c r="F12" s="7"/>
      <c r="K12" s="3" t="s">
        <v>5</v>
      </c>
      <c r="L12" s="1" t="s">
        <v>1</v>
      </c>
      <c r="M12" s="1">
        <v>10</v>
      </c>
      <c r="N12" s="1" t="s">
        <v>17</v>
      </c>
      <c r="O12" s="4"/>
    </row>
    <row r="13" spans="1:15">
      <c r="K13" s="3"/>
      <c r="L13" s="1" t="s">
        <v>19</v>
      </c>
      <c r="M13" s="1">
        <v>10</v>
      </c>
      <c r="N13" s="1"/>
      <c r="O13" s="4"/>
    </row>
    <row r="14" spans="1:15">
      <c r="K14" s="3"/>
      <c r="L14" s="8" t="s">
        <v>20</v>
      </c>
      <c r="M14" s="1"/>
      <c r="N14" s="1"/>
      <c r="O14" s="4"/>
    </row>
    <row r="15" spans="1:15">
      <c r="K15" s="3"/>
      <c r="L15" s="8" t="s">
        <v>21</v>
      </c>
      <c r="M15" s="1"/>
      <c r="N15" s="1"/>
      <c r="O15" s="4"/>
    </row>
    <row r="16" spans="1:15">
      <c r="K16" s="3"/>
      <c r="L16" s="9" t="s">
        <v>22</v>
      </c>
      <c r="M16" s="1">
        <f>_xlfn.POISSON.DIST(9,10,1)</f>
        <v>0.45792971447185227</v>
      </c>
      <c r="N16" s="1"/>
      <c r="O16" s="4"/>
    </row>
    <row r="17" spans="11:15">
      <c r="K17" s="3"/>
      <c r="L17" s="1"/>
      <c r="M17" s="1"/>
      <c r="N17" s="1"/>
      <c r="O17" s="4"/>
    </row>
    <row r="18" spans="11:15">
      <c r="K18" s="3" t="s">
        <v>23</v>
      </c>
      <c r="L18" s="1" t="s">
        <v>1</v>
      </c>
      <c r="M18" s="1">
        <v>10</v>
      </c>
      <c r="N18" s="1" t="s">
        <v>17</v>
      </c>
      <c r="O18" s="4"/>
    </row>
    <row r="19" spans="11:15">
      <c r="K19" s="3"/>
      <c r="L19" s="1" t="s">
        <v>24</v>
      </c>
      <c r="M19" s="1">
        <v>10</v>
      </c>
      <c r="N19" s="1"/>
      <c r="O19" s="4"/>
    </row>
    <row r="20" spans="11:15">
      <c r="K20" s="5"/>
      <c r="L20" s="10" t="s">
        <v>25</v>
      </c>
      <c r="M20" s="6">
        <f xml:space="preserve"> 1 - _xlfn.POISSON.DIST(9,10,1)</f>
        <v>0.54207028552814773</v>
      </c>
      <c r="N20" s="6"/>
      <c r="O20" s="7"/>
    </row>
    <row r="21" spans="11:15">
      <c r="L21" s="8"/>
    </row>
    <row r="22" spans="11:15">
      <c r="L22" s="9"/>
    </row>
  </sheetData>
  <mergeCells count="2">
    <mergeCell ref="K7:O7"/>
    <mergeCell ref="B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92C8-AA38-4BB6-9655-493AF60B7CE2}">
  <dimension ref="A2:D39"/>
  <sheetViews>
    <sheetView topLeftCell="A21" workbookViewId="0">
      <selection activeCell="H43" sqref="H43"/>
    </sheetView>
  </sheetViews>
  <sheetFormatPr defaultRowHeight="15"/>
  <cols>
    <col min="2" max="2" width="15.140625" customWidth="1"/>
    <col min="3" max="3" width="14.28515625" customWidth="1"/>
  </cols>
  <sheetData>
    <row r="2" spans="1:4">
      <c r="A2" s="16" t="s">
        <v>76</v>
      </c>
    </row>
    <row r="4" spans="1:4">
      <c r="B4" s="46" t="s">
        <v>0</v>
      </c>
      <c r="C4" s="47"/>
      <c r="D4" s="48"/>
    </row>
    <row r="5" spans="1:4">
      <c r="B5" s="11" t="s">
        <v>78</v>
      </c>
      <c r="C5" s="1">
        <v>0.75</v>
      </c>
      <c r="D5" s="12"/>
    </row>
    <row r="6" spans="1:4">
      <c r="B6" s="11" t="s">
        <v>77</v>
      </c>
      <c r="C6" s="1">
        <f>1-C5</f>
        <v>0.25</v>
      </c>
      <c r="D6" s="12"/>
    </row>
    <row r="7" spans="1:4">
      <c r="B7" s="11" t="s">
        <v>79</v>
      </c>
      <c r="C7" s="1">
        <v>4</v>
      </c>
      <c r="D7" s="12"/>
    </row>
    <row r="8" spans="1:4">
      <c r="B8" s="11" t="s">
        <v>80</v>
      </c>
      <c r="C8" s="1">
        <v>6</v>
      </c>
      <c r="D8" s="12"/>
    </row>
    <row r="9" spans="1:4">
      <c r="B9" s="13" t="s">
        <v>81</v>
      </c>
      <c r="C9" s="29">
        <f>BINOMDIST(C7,C8,C6,0)</f>
        <v>3.2958984375000007E-2</v>
      </c>
      <c r="D9" s="15"/>
    </row>
    <row r="11" spans="1:4">
      <c r="A11" s="16" t="s">
        <v>82</v>
      </c>
    </row>
    <row r="12" spans="1:4">
      <c r="A12" s="16" t="s">
        <v>83</v>
      </c>
    </row>
    <row r="13" spans="1:4">
      <c r="A13" s="16" t="s">
        <v>84</v>
      </c>
    </row>
    <row r="15" spans="1:4">
      <c r="B15" s="62" t="s">
        <v>16</v>
      </c>
      <c r="C15" s="63"/>
      <c r="D15" s="64"/>
    </row>
    <row r="16" spans="1:4">
      <c r="B16" s="11" t="s">
        <v>85</v>
      </c>
      <c r="C16" s="1">
        <f>4/5</f>
        <v>0.8</v>
      </c>
      <c r="D16" s="12"/>
    </row>
    <row r="17" spans="1:4">
      <c r="B17" s="11" t="s">
        <v>86</v>
      </c>
      <c r="C17" s="1">
        <f>1-C16</f>
        <v>0.19999999999999996</v>
      </c>
      <c r="D17" s="12"/>
    </row>
    <row r="18" spans="1:4">
      <c r="B18" s="11" t="s">
        <v>80</v>
      </c>
      <c r="C18" s="1">
        <v>4</v>
      </c>
      <c r="D18" s="12"/>
    </row>
    <row r="19" spans="1:4">
      <c r="B19" s="11"/>
      <c r="C19" s="1"/>
      <c r="D19" s="12"/>
    </row>
    <row r="20" spans="1:4">
      <c r="B20" s="11" t="s">
        <v>87</v>
      </c>
      <c r="C20" s="1"/>
      <c r="D20" s="12"/>
    </row>
    <row r="21" spans="1:4">
      <c r="B21" s="11" t="s">
        <v>88</v>
      </c>
      <c r="C21" s="1" t="s">
        <v>89</v>
      </c>
      <c r="D21" s="25">
        <f>1 - _xlfn.BINOM.DIST(2,4,0.8,2)</f>
        <v>0.81920000000000004</v>
      </c>
    </row>
    <row r="22" spans="1:4">
      <c r="B22" s="11"/>
      <c r="C22" s="1"/>
      <c r="D22" s="12"/>
    </row>
    <row r="23" spans="1:4">
      <c r="B23" s="11" t="s">
        <v>90</v>
      </c>
      <c r="C23" s="1"/>
      <c r="D23" s="12"/>
    </row>
    <row r="24" spans="1:4">
      <c r="B24" s="13" t="s">
        <v>91</v>
      </c>
      <c r="C24" s="14" t="s">
        <v>92</v>
      </c>
      <c r="D24" s="30">
        <f>1 - BINOMDIST(2,4,0.2,1)</f>
        <v>2.7200000000000002E-2</v>
      </c>
    </row>
    <row r="27" spans="1:4">
      <c r="A27" s="16" t="s">
        <v>93</v>
      </c>
    </row>
    <row r="28" spans="1:4">
      <c r="A28" s="16"/>
    </row>
    <row r="29" spans="1:4">
      <c r="B29" s="62" t="s">
        <v>101</v>
      </c>
      <c r="C29" s="63"/>
      <c r="D29" s="64"/>
    </row>
    <row r="30" spans="1:4">
      <c r="B30" s="11" t="s">
        <v>94</v>
      </c>
      <c r="C30" s="1">
        <v>500</v>
      </c>
      <c r="D30" s="12"/>
    </row>
    <row r="31" spans="1:4">
      <c r="B31" s="11" t="s">
        <v>77</v>
      </c>
      <c r="C31" s="1">
        <v>0.62</v>
      </c>
      <c r="D31" s="12"/>
    </row>
    <row r="32" spans="1:4">
      <c r="B32" s="11" t="s">
        <v>86</v>
      </c>
      <c r="C32" s="1">
        <v>0.38</v>
      </c>
      <c r="D32" s="12"/>
    </row>
    <row r="33" spans="2:4">
      <c r="B33" s="11" t="s">
        <v>95</v>
      </c>
      <c r="C33" s="1">
        <f>C30*C31</f>
        <v>310</v>
      </c>
      <c r="D33" s="12"/>
    </row>
    <row r="34" spans="2:4">
      <c r="B34" s="11" t="s">
        <v>97</v>
      </c>
      <c r="C34" s="1">
        <f>C30*C32</f>
        <v>190</v>
      </c>
      <c r="D34" s="12"/>
    </row>
    <row r="35" spans="2:4">
      <c r="B35" s="11" t="s">
        <v>96</v>
      </c>
      <c r="C35" s="1">
        <f>SQRT(C30*C31*C32)</f>
        <v>10.853570840972107</v>
      </c>
      <c r="D35" s="12"/>
    </row>
    <row r="36" spans="2:4">
      <c r="B36" s="11" t="s">
        <v>98</v>
      </c>
      <c r="C36" s="1"/>
      <c r="D36" s="12"/>
    </row>
    <row r="37" spans="2:4">
      <c r="B37" s="11" t="s">
        <v>99</v>
      </c>
      <c r="C37" s="1"/>
      <c r="D37" s="12"/>
    </row>
    <row r="38" spans="2:4">
      <c r="B38" s="11" t="s">
        <v>100</v>
      </c>
      <c r="C38" s="1" t="s">
        <v>102</v>
      </c>
      <c r="D38" s="25">
        <f>1-_xlfn.NORM.DIST(289.5,C33,C35,1)</f>
        <v>0.97053929660064486</v>
      </c>
    </row>
    <row r="39" spans="2:4">
      <c r="B39" s="13"/>
      <c r="C39" s="29"/>
      <c r="D39" s="15"/>
    </row>
  </sheetData>
  <mergeCells count="3">
    <mergeCell ref="B4:D4"/>
    <mergeCell ref="B15:D15"/>
    <mergeCell ref="B29:D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52F42-5707-4709-B241-3D6EF625B071}">
  <dimension ref="A2:D55"/>
  <sheetViews>
    <sheetView topLeftCell="A38" workbookViewId="0">
      <selection activeCell="F46" sqref="F46"/>
    </sheetView>
  </sheetViews>
  <sheetFormatPr defaultRowHeight="15"/>
  <cols>
    <col min="2" max="2" width="16.85546875" customWidth="1"/>
    <col min="3" max="3" width="16.5703125" customWidth="1"/>
  </cols>
  <sheetData>
    <row r="2" spans="1:4">
      <c r="A2" s="16" t="s">
        <v>105</v>
      </c>
    </row>
    <row r="4" spans="1:4">
      <c r="B4" s="62" t="s">
        <v>16</v>
      </c>
      <c r="C4" s="63"/>
      <c r="D4" s="64"/>
    </row>
    <row r="5" spans="1:4">
      <c r="B5" s="11" t="s">
        <v>106</v>
      </c>
      <c r="C5" s="1">
        <f>_xlfn.NORM.S.DIST(1,1)</f>
        <v>0.84134474606854304</v>
      </c>
      <c r="D5" s="12"/>
    </row>
    <row r="6" spans="1:4">
      <c r="B6" s="11" t="s">
        <v>103</v>
      </c>
      <c r="C6" s="1">
        <f>_xlfn.NORM.S.DIST(-1,1)</f>
        <v>0.15865525393145699</v>
      </c>
      <c r="D6" s="12"/>
    </row>
    <row r="7" spans="1:4">
      <c r="B7" s="13" t="s">
        <v>104</v>
      </c>
      <c r="C7" s="29">
        <f>C5-C6</f>
        <v>0.68268949213708607</v>
      </c>
      <c r="D7" s="15"/>
    </row>
    <row r="10" spans="1:4">
      <c r="A10" s="16" t="s">
        <v>112</v>
      </c>
    </row>
    <row r="11" spans="1:4">
      <c r="A11" s="16"/>
    </row>
    <row r="12" spans="1:4">
      <c r="B12" s="46" t="s">
        <v>46</v>
      </c>
      <c r="C12" s="47"/>
      <c r="D12" s="48"/>
    </row>
    <row r="13" spans="1:4">
      <c r="B13" s="11" t="s">
        <v>107</v>
      </c>
      <c r="C13" s="1"/>
      <c r="D13" s="12"/>
    </row>
    <row r="14" spans="1:4">
      <c r="B14" s="11" t="s">
        <v>108</v>
      </c>
      <c r="C14" s="1">
        <f>(50-55)/5</f>
        <v>-1</v>
      </c>
      <c r="D14" s="12"/>
    </row>
    <row r="15" spans="1:4">
      <c r="B15" s="11" t="s">
        <v>109</v>
      </c>
      <c r="C15" s="1">
        <f>(60-55)/5</f>
        <v>1</v>
      </c>
      <c r="D15" s="12"/>
    </row>
    <row r="16" spans="1:4">
      <c r="B16" s="13" t="s">
        <v>110</v>
      </c>
      <c r="C16" s="14" t="s">
        <v>111</v>
      </c>
      <c r="D16" s="30">
        <f>_xlfn.NORM.S.DIST(1,1)-_xlfn.NORM.S.DIST(-1,1)</f>
        <v>0.68268949213708607</v>
      </c>
    </row>
    <row r="19" spans="1:4">
      <c r="A19" s="16" t="s">
        <v>113</v>
      </c>
    </row>
    <row r="21" spans="1:4">
      <c r="B21" s="49" t="s">
        <v>57</v>
      </c>
      <c r="C21" s="50"/>
      <c r="D21" s="51"/>
    </row>
    <row r="22" spans="1:4">
      <c r="B22" s="11" t="s">
        <v>94</v>
      </c>
      <c r="C22" s="1">
        <v>100</v>
      </c>
      <c r="D22" s="12"/>
    </row>
    <row r="23" spans="1:4">
      <c r="B23" s="11" t="s">
        <v>114</v>
      </c>
      <c r="C23" s="1">
        <v>16</v>
      </c>
      <c r="D23" s="12"/>
    </row>
    <row r="24" spans="1:4">
      <c r="B24" s="11" t="s">
        <v>115</v>
      </c>
      <c r="C24" s="1">
        <v>3</v>
      </c>
      <c r="D24" s="12"/>
    </row>
    <row r="25" spans="1:4">
      <c r="B25" s="11" t="s">
        <v>116</v>
      </c>
      <c r="C25" s="31">
        <f>100%-95%</f>
        <v>5.0000000000000044E-2</v>
      </c>
      <c r="D25" s="12"/>
    </row>
    <row r="26" spans="1:4">
      <c r="B26" s="11" t="s">
        <v>117</v>
      </c>
      <c r="C26" s="1">
        <f>_xlfn.NORM.S.INV(C25/2)</f>
        <v>-1.9599639845400536</v>
      </c>
      <c r="D26" s="12"/>
    </row>
    <row r="27" spans="1:4">
      <c r="B27" s="11" t="s">
        <v>118</v>
      </c>
      <c r="C27" s="32">
        <f>C23+C26*(C24/SQRT(C22))</f>
        <v>15.412010804637983</v>
      </c>
      <c r="D27" s="12"/>
    </row>
    <row r="28" spans="1:4">
      <c r="B28" s="13" t="s">
        <v>119</v>
      </c>
      <c r="C28" s="29">
        <f>C23-C26*(C24/SQRT(C22))</f>
        <v>16.587989195362017</v>
      </c>
      <c r="D28" s="15"/>
    </row>
    <row r="31" spans="1:4">
      <c r="A31" s="16" t="s">
        <v>120</v>
      </c>
    </row>
    <row r="32" spans="1:4">
      <c r="A32" s="16" t="s">
        <v>121</v>
      </c>
    </row>
    <row r="33" spans="1:4">
      <c r="A33" s="16" t="s">
        <v>122</v>
      </c>
    </row>
    <row r="35" spans="1:4">
      <c r="B35" s="52" t="s">
        <v>123</v>
      </c>
      <c r="C35" s="53"/>
      <c r="D35" s="54"/>
    </row>
    <row r="36" spans="1:4">
      <c r="B36" s="11" t="s">
        <v>94</v>
      </c>
      <c r="C36" s="1">
        <v>15</v>
      </c>
      <c r="D36" s="12"/>
    </row>
    <row r="37" spans="1:4">
      <c r="B37" s="11" t="s">
        <v>114</v>
      </c>
      <c r="C37" s="1">
        <v>10.37</v>
      </c>
      <c r="D37" s="12"/>
    </row>
    <row r="38" spans="1:4">
      <c r="B38" s="11" t="s">
        <v>124</v>
      </c>
      <c r="C38" s="1">
        <v>3.5</v>
      </c>
      <c r="D38" s="12"/>
    </row>
    <row r="39" spans="1:4">
      <c r="B39" s="11" t="s">
        <v>116</v>
      </c>
      <c r="C39" s="31">
        <f>100%-95%</f>
        <v>5.0000000000000044E-2</v>
      </c>
      <c r="D39" s="12"/>
    </row>
    <row r="40" spans="1:4">
      <c r="B40" s="11" t="s">
        <v>125</v>
      </c>
      <c r="C40" s="1">
        <f>_xlfn.T.INV(C39/2,C36-1)</f>
        <v>-2.1447866879178035</v>
      </c>
      <c r="D40" s="12"/>
    </row>
    <row r="41" spans="1:4">
      <c r="B41" s="11" t="s">
        <v>118</v>
      </c>
      <c r="C41" s="32">
        <f>C37+C40*(C38/SQRT(C36))</f>
        <v>8.4317646045229626</v>
      </c>
      <c r="D41" s="12"/>
    </row>
    <row r="42" spans="1:4">
      <c r="B42" s="13" t="s">
        <v>119</v>
      </c>
      <c r="C42" s="29">
        <f>C37-C40*(C38/SQRT(C36))</f>
        <v>12.308235395477036</v>
      </c>
      <c r="D42" s="15"/>
    </row>
    <row r="45" spans="1:4">
      <c r="A45" s="16" t="s">
        <v>126</v>
      </c>
    </row>
    <row r="46" spans="1:4">
      <c r="A46" s="16" t="s">
        <v>127</v>
      </c>
    </row>
    <row r="48" spans="1:4">
      <c r="B48" s="65" t="s">
        <v>128</v>
      </c>
      <c r="C48" s="66"/>
      <c r="D48" s="67"/>
    </row>
    <row r="49" spans="2:4">
      <c r="B49" s="11" t="s">
        <v>94</v>
      </c>
      <c r="C49" s="1">
        <v>250</v>
      </c>
      <c r="D49" s="12"/>
    </row>
    <row r="50" spans="2:4">
      <c r="B50" s="11" t="s">
        <v>129</v>
      </c>
      <c r="C50" s="1">
        <f>206/C49</f>
        <v>0.82399999999999995</v>
      </c>
      <c r="D50" s="12"/>
    </row>
    <row r="51" spans="2:4">
      <c r="B51" s="11" t="s">
        <v>130</v>
      </c>
      <c r="C51" s="1">
        <f>1-C50</f>
        <v>0.17600000000000005</v>
      </c>
      <c r="D51" s="12"/>
    </row>
    <row r="52" spans="2:4">
      <c r="B52" s="11" t="s">
        <v>116</v>
      </c>
      <c r="C52" s="31">
        <f>100% - 95%</f>
        <v>5.0000000000000044E-2</v>
      </c>
      <c r="D52" s="12"/>
    </row>
    <row r="53" spans="2:4">
      <c r="B53" s="11" t="s">
        <v>117</v>
      </c>
      <c r="C53" s="1">
        <f>_xlfn.NORM.S.INV(C52/2)</f>
        <v>-1.9599639845400536</v>
      </c>
      <c r="D53" s="12"/>
    </row>
    <row r="54" spans="2:4">
      <c r="B54" s="11" t="s">
        <v>118</v>
      </c>
      <c r="C54" s="32">
        <f xml:space="preserve"> C50 + C53*SQRT((C50*C51)/C49)</f>
        <v>0.77679391039230872</v>
      </c>
      <c r="D54" s="12"/>
    </row>
    <row r="55" spans="2:4">
      <c r="B55" s="13" t="s">
        <v>119</v>
      </c>
      <c r="C55" s="29">
        <f>C50-C53*SQRT(C50*C51/C49)</f>
        <v>0.87120608960769119</v>
      </c>
      <c r="D55" s="15"/>
    </row>
  </sheetData>
  <mergeCells count="5">
    <mergeCell ref="B4:D4"/>
    <mergeCell ref="B12:D12"/>
    <mergeCell ref="B21:D21"/>
    <mergeCell ref="B35:D35"/>
    <mergeCell ref="B48:D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F4F68-6B42-46D7-8B86-0D07EE376027}">
  <dimension ref="A2:O27"/>
  <sheetViews>
    <sheetView workbookViewId="0">
      <selection activeCell="L7" sqref="L7"/>
    </sheetView>
  </sheetViews>
  <sheetFormatPr defaultRowHeight="15"/>
  <cols>
    <col min="4" max="4" width="11.5703125" bestFit="1" customWidth="1"/>
    <col min="7" max="7" width="26.28515625" customWidth="1"/>
    <col min="8" max="8" width="15.28515625" customWidth="1"/>
    <col min="12" max="12" width="27.5703125" customWidth="1"/>
  </cols>
  <sheetData>
    <row r="2" spans="1:15">
      <c r="A2" s="16" t="s">
        <v>131</v>
      </c>
    </row>
    <row r="3" spans="1:15">
      <c r="A3" s="16" t="s">
        <v>132</v>
      </c>
    </row>
    <row r="5" spans="1:15">
      <c r="B5" s="70" t="s">
        <v>0</v>
      </c>
      <c r="C5" s="70"/>
      <c r="D5" s="70"/>
      <c r="F5" s="68" t="s">
        <v>143</v>
      </c>
      <c r="G5" s="68"/>
      <c r="H5" s="68"/>
      <c r="K5" s="68" t="s">
        <v>144</v>
      </c>
      <c r="L5" s="68"/>
      <c r="M5" s="68"/>
      <c r="N5" s="68"/>
      <c r="O5" s="68"/>
    </row>
    <row r="6" spans="1:15">
      <c r="B6" t="s">
        <v>94</v>
      </c>
      <c r="C6">
        <v>64</v>
      </c>
      <c r="F6" t="s">
        <v>139</v>
      </c>
      <c r="G6" t="s">
        <v>136</v>
      </c>
      <c r="K6" t="s">
        <v>139</v>
      </c>
      <c r="L6" t="s">
        <v>136</v>
      </c>
    </row>
    <row r="7" spans="1:15">
      <c r="B7" t="s">
        <v>134</v>
      </c>
      <c r="C7">
        <v>64</v>
      </c>
      <c r="F7" t="s">
        <v>137</v>
      </c>
      <c r="G7" t="s">
        <v>138</v>
      </c>
      <c r="K7" t="s">
        <v>137</v>
      </c>
      <c r="L7" t="s">
        <v>145</v>
      </c>
    </row>
    <row r="8" spans="1:15">
      <c r="B8" t="s">
        <v>135</v>
      </c>
      <c r="C8">
        <v>50</v>
      </c>
      <c r="F8" t="s">
        <v>147</v>
      </c>
      <c r="G8" t="s">
        <v>140</v>
      </c>
      <c r="H8">
        <f xml:space="preserve"> (C7-C8)/(C9/SQRT(C6))</f>
        <v>22.4</v>
      </c>
      <c r="K8" t="s">
        <v>147</v>
      </c>
      <c r="L8" t="s">
        <v>140</v>
      </c>
      <c r="M8">
        <f>(C7-C8)/(C9/SQRT(C6))</f>
        <v>22.4</v>
      </c>
    </row>
    <row r="9" spans="1:15">
      <c r="B9" t="s">
        <v>133</v>
      </c>
      <c r="C9">
        <f>SQRT(25)</f>
        <v>5</v>
      </c>
      <c r="F9" t="s">
        <v>148</v>
      </c>
      <c r="G9">
        <f>_xlfn.NORM.S.INV(C10/2)</f>
        <v>-1.9599639845400538</v>
      </c>
      <c r="K9" t="s">
        <v>146</v>
      </c>
      <c r="L9">
        <f>1 - _xlfn.NORM.S.DIST(M8,1)</f>
        <v>0</v>
      </c>
    </row>
    <row r="10" spans="1:15">
      <c r="B10" t="s">
        <v>116</v>
      </c>
      <c r="C10">
        <f xml:space="preserve"> 5%</f>
        <v>0.05</v>
      </c>
      <c r="F10" t="s">
        <v>149</v>
      </c>
      <c r="G10">
        <f>_xlfn.NORM.S.INV(1-C10/2)</f>
        <v>1.9599639845400536</v>
      </c>
      <c r="K10" s="68" t="s">
        <v>150</v>
      </c>
      <c r="L10" s="68"/>
      <c r="M10" s="68"/>
      <c r="N10" s="68"/>
    </row>
    <row r="11" spans="1:15">
      <c r="F11" s="68" t="s">
        <v>141</v>
      </c>
      <c r="G11" s="68"/>
      <c r="H11" s="68"/>
      <c r="I11" s="33"/>
      <c r="K11" t="s">
        <v>142</v>
      </c>
    </row>
    <row r="12" spans="1:15">
      <c r="F12" s="34" t="s">
        <v>142</v>
      </c>
      <c r="G12" s="34"/>
      <c r="H12" s="34"/>
      <c r="I12" s="34"/>
    </row>
    <row r="14" spans="1:15">
      <c r="F14" s="68"/>
      <c r="G14" s="68"/>
      <c r="H14" s="68"/>
    </row>
    <row r="15" spans="1:15">
      <c r="A15" s="16" t="s">
        <v>151</v>
      </c>
      <c r="F15" s="33"/>
    </row>
    <row r="16" spans="1:15">
      <c r="A16" s="16" t="s">
        <v>152</v>
      </c>
    </row>
    <row r="17" spans="1:14">
      <c r="A17" s="16" t="s">
        <v>153</v>
      </c>
    </row>
    <row r="18" spans="1:14">
      <c r="A18" s="16" t="s">
        <v>154</v>
      </c>
    </row>
    <row r="20" spans="1:14">
      <c r="B20" s="69" t="s">
        <v>16</v>
      </c>
      <c r="C20" s="69"/>
      <c r="D20" s="69"/>
      <c r="F20" s="68" t="s">
        <v>143</v>
      </c>
      <c r="G20" s="68"/>
      <c r="H20" s="68"/>
      <c r="K20" s="68" t="s">
        <v>167</v>
      </c>
      <c r="L20" s="68"/>
      <c r="M20" s="68"/>
      <c r="N20" s="68"/>
    </row>
    <row r="21" spans="1:14">
      <c r="B21" s="19" t="s">
        <v>155</v>
      </c>
      <c r="C21" t="s">
        <v>80</v>
      </c>
      <c r="D21">
        <v>4</v>
      </c>
      <c r="F21" t="s">
        <v>139</v>
      </c>
      <c r="G21" t="s">
        <v>159</v>
      </c>
      <c r="K21" t="s">
        <v>139</v>
      </c>
      <c r="L21" t="s">
        <v>159</v>
      </c>
    </row>
    <row r="22" spans="1:14">
      <c r="B22" s="35">
        <v>0.95</v>
      </c>
      <c r="C22" t="s">
        <v>116</v>
      </c>
      <c r="D22">
        <f>5%</f>
        <v>0.05</v>
      </c>
      <c r="F22" t="s">
        <v>137</v>
      </c>
      <c r="G22" t="s">
        <v>160</v>
      </c>
      <c r="K22" t="s">
        <v>137</v>
      </c>
      <c r="L22" t="s">
        <v>160</v>
      </c>
    </row>
    <row r="23" spans="1:14">
      <c r="B23" s="36">
        <v>1.02</v>
      </c>
      <c r="C23" t="s">
        <v>156</v>
      </c>
      <c r="D23">
        <v>1</v>
      </c>
      <c r="F23" t="s">
        <v>161</v>
      </c>
      <c r="G23" t="s">
        <v>162</v>
      </c>
      <c r="H23">
        <f>(D24-D23)/(D25/SQRT(D21))</f>
        <v>-0.63245553203367588</v>
      </c>
      <c r="K23" t="s">
        <v>161</v>
      </c>
      <c r="L23" t="s">
        <v>162</v>
      </c>
      <c r="M23">
        <f>(D24-D23)/(D25/SQRT(D21))</f>
        <v>-0.63245553203367588</v>
      </c>
    </row>
    <row r="24" spans="1:14">
      <c r="B24" s="36">
        <v>1.01</v>
      </c>
      <c r="C24" t="s">
        <v>157</v>
      </c>
      <c r="D24">
        <f>AVERAGE(B22:B25)</f>
        <v>0.99</v>
      </c>
      <c r="F24" t="s">
        <v>163</v>
      </c>
      <c r="G24">
        <f>_xlfn.T.INV(D22/2,D21-1)</f>
        <v>-3.1824463052837091</v>
      </c>
      <c r="K24" t="s">
        <v>166</v>
      </c>
      <c r="L24">
        <f>_xlfn.T.DIST(M23,D21-1,1)</f>
        <v>0.28600169035032047</v>
      </c>
    </row>
    <row r="25" spans="1:14">
      <c r="B25" s="37">
        <v>0.98</v>
      </c>
      <c r="C25" t="s">
        <v>158</v>
      </c>
      <c r="D25" s="38">
        <f>_xlfn.STDEV.S(B22:B25)</f>
        <v>3.1622776601683819E-2</v>
      </c>
      <c r="F25" t="s">
        <v>164</v>
      </c>
      <c r="G25">
        <f>_xlfn.T.INV(1-D22/2,D21-1)</f>
        <v>3.1824463052837078</v>
      </c>
      <c r="K25" s="68" t="s">
        <v>168</v>
      </c>
      <c r="L25" s="68"/>
      <c r="M25" s="68"/>
      <c r="N25" s="68"/>
    </row>
    <row r="26" spans="1:14">
      <c r="F26" s="68" t="s">
        <v>165</v>
      </c>
      <c r="G26" s="68"/>
      <c r="H26" s="68"/>
      <c r="K26" s="68" t="s">
        <v>169</v>
      </c>
      <c r="L26" s="68"/>
      <c r="M26" s="68"/>
      <c r="N26" s="68"/>
    </row>
    <row r="27" spans="1:14">
      <c r="F27" s="68" t="s">
        <v>169</v>
      </c>
      <c r="G27" s="68"/>
      <c r="H27" s="68"/>
    </row>
  </sheetData>
  <mergeCells count="13">
    <mergeCell ref="F26:H26"/>
    <mergeCell ref="K20:N20"/>
    <mergeCell ref="F27:H27"/>
    <mergeCell ref="K26:N26"/>
    <mergeCell ref="K25:N25"/>
    <mergeCell ref="F14:H14"/>
    <mergeCell ref="K5:O5"/>
    <mergeCell ref="K10:N10"/>
    <mergeCell ref="F11:H11"/>
    <mergeCell ref="B20:D20"/>
    <mergeCell ref="F20:H20"/>
    <mergeCell ref="B5:D5"/>
    <mergeCell ref="F5:H5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E4607-BCA5-4736-A445-C57E03D0C436}">
  <dimension ref="A2:I25"/>
  <sheetViews>
    <sheetView topLeftCell="A7" workbookViewId="0">
      <selection activeCell="E26" sqref="E26"/>
    </sheetView>
  </sheetViews>
  <sheetFormatPr defaultRowHeight="15"/>
  <sheetData>
    <row r="2" spans="1:9">
      <c r="A2" s="16" t="s">
        <v>170</v>
      </c>
    </row>
    <row r="3" spans="1:9">
      <c r="A3" s="16"/>
    </row>
    <row r="4" spans="1:9">
      <c r="A4" s="16" t="s">
        <v>171</v>
      </c>
    </row>
    <row r="6" spans="1:9">
      <c r="B6" s="69" t="s">
        <v>0</v>
      </c>
      <c r="C6" s="69"/>
      <c r="D6" s="69"/>
    </row>
    <row r="7" spans="1:9">
      <c r="B7" t="s">
        <v>80</v>
      </c>
      <c r="C7">
        <v>48</v>
      </c>
      <c r="E7" t="s">
        <v>174</v>
      </c>
    </row>
    <row r="8" spans="1:9">
      <c r="B8" t="s">
        <v>77</v>
      </c>
      <c r="C8">
        <f>1/4</f>
        <v>0.25</v>
      </c>
      <c r="E8" t="s">
        <v>175</v>
      </c>
    </row>
    <row r="9" spans="1:9">
      <c r="B9" t="s">
        <v>172</v>
      </c>
      <c r="C9">
        <f>1-C8</f>
        <v>0.75</v>
      </c>
      <c r="E9" t="s">
        <v>176</v>
      </c>
      <c r="F9">
        <f xml:space="preserve"> (C11-C8)/SQRT((C8*C9)/C7)</f>
        <v>-1.3333333333333335</v>
      </c>
    </row>
    <row r="10" spans="1:9">
      <c r="B10" t="s">
        <v>173</v>
      </c>
      <c r="C10">
        <f>5%</f>
        <v>0.05</v>
      </c>
      <c r="E10" t="s">
        <v>177</v>
      </c>
      <c r="F10">
        <f xml:space="preserve"> _xlfn.NORM.S.DIST(F9,1)</f>
        <v>9.1211219725867806E-2</v>
      </c>
    </row>
    <row r="11" spans="1:9">
      <c r="B11" t="s">
        <v>129</v>
      </c>
      <c r="C11">
        <f>8/48</f>
        <v>0.16666666666666666</v>
      </c>
      <c r="E11" s="68" t="s">
        <v>183</v>
      </c>
      <c r="F11" s="68"/>
      <c r="G11" s="68"/>
      <c r="H11" s="68"/>
      <c r="I11" s="68"/>
    </row>
    <row r="12" spans="1:9">
      <c r="E12" t="s">
        <v>178</v>
      </c>
    </row>
    <row r="15" spans="1:9">
      <c r="A15" s="16" t="s">
        <v>179</v>
      </c>
    </row>
    <row r="17" spans="1:9">
      <c r="A17" s="16" t="s">
        <v>180</v>
      </c>
    </row>
    <row r="19" spans="1:9">
      <c r="B19" s="71" t="s">
        <v>16</v>
      </c>
      <c r="C19" s="71"/>
      <c r="D19" s="71"/>
    </row>
    <row r="20" spans="1:9">
      <c r="B20" t="s">
        <v>80</v>
      </c>
      <c r="C20">
        <f>50</f>
        <v>50</v>
      </c>
      <c r="E20" t="s">
        <v>181</v>
      </c>
    </row>
    <row r="21" spans="1:9">
      <c r="B21" t="s">
        <v>77</v>
      </c>
      <c r="C21">
        <f>20%</f>
        <v>0.2</v>
      </c>
      <c r="E21" t="s">
        <v>182</v>
      </c>
    </row>
    <row r="22" spans="1:9">
      <c r="B22" t="s">
        <v>172</v>
      </c>
      <c r="C22">
        <f>1-C21</f>
        <v>0.8</v>
      </c>
      <c r="E22" t="s">
        <v>176</v>
      </c>
      <c r="F22">
        <f xml:space="preserve"> (C24-C21)/SQRT((C21*C22)/C20)</f>
        <v>-1.4142135623730951</v>
      </c>
    </row>
    <row r="23" spans="1:9">
      <c r="B23" t="s">
        <v>173</v>
      </c>
      <c r="C23">
        <f>5%</f>
        <v>0.05</v>
      </c>
      <c r="E23" t="s">
        <v>177</v>
      </c>
      <c r="F23">
        <f xml:space="preserve"> _xlfn.NORM.S.DIST(F22,1)</f>
        <v>7.8649603525142497E-2</v>
      </c>
    </row>
    <row r="24" spans="1:9">
      <c r="B24" t="s">
        <v>129</v>
      </c>
      <c r="C24">
        <f>6/50</f>
        <v>0.12</v>
      </c>
      <c r="E24" s="68" t="s">
        <v>184</v>
      </c>
      <c r="F24" s="68"/>
      <c r="G24" s="68"/>
      <c r="H24" s="68"/>
      <c r="I24" s="68"/>
    </row>
    <row r="25" spans="1:9">
      <c r="E25" t="s">
        <v>185</v>
      </c>
    </row>
  </sheetData>
  <mergeCells count="4">
    <mergeCell ref="B6:D6"/>
    <mergeCell ref="E11:I11"/>
    <mergeCell ref="B19:D19"/>
    <mergeCell ref="E24:I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06896-870C-492A-93E0-A63B04A3DDE8}">
  <dimension ref="A2:L15"/>
  <sheetViews>
    <sheetView workbookViewId="0">
      <selection activeCell="J13" sqref="J13"/>
    </sheetView>
  </sheetViews>
  <sheetFormatPr defaultRowHeight="15"/>
  <cols>
    <col min="6" max="6" width="16" customWidth="1"/>
  </cols>
  <sheetData>
    <row r="2" spans="1:12">
      <c r="A2" s="16" t="s">
        <v>187</v>
      </c>
    </row>
    <row r="4" spans="1:12">
      <c r="A4" s="16" t="s">
        <v>188</v>
      </c>
    </row>
    <row r="6" spans="1:12">
      <c r="A6" s="16" t="s">
        <v>186</v>
      </c>
    </row>
    <row r="8" spans="1:12">
      <c r="C8" s="70" t="s">
        <v>0</v>
      </c>
      <c r="D8" s="70"/>
      <c r="E8" s="70"/>
    </row>
    <row r="9" spans="1:12">
      <c r="C9" t="s">
        <v>80</v>
      </c>
      <c r="D9">
        <v>31</v>
      </c>
      <c r="F9" t="s">
        <v>191</v>
      </c>
    </row>
    <row r="10" spans="1:12">
      <c r="C10" t="s">
        <v>189</v>
      </c>
      <c r="D10">
        <f>31.2</f>
        <v>31.2</v>
      </c>
      <c r="F10" t="s">
        <v>192</v>
      </c>
    </row>
    <row r="11" spans="1:12">
      <c r="C11" t="s">
        <v>190</v>
      </c>
      <c r="D11">
        <v>20</v>
      </c>
      <c r="F11" t="s">
        <v>193</v>
      </c>
      <c r="G11" s="16">
        <f>(D9-1)*D10/D11</f>
        <v>46.8</v>
      </c>
    </row>
    <row r="12" spans="1:12">
      <c r="C12" t="s">
        <v>116</v>
      </c>
      <c r="D12">
        <f>1%</f>
        <v>0.01</v>
      </c>
      <c r="F12" t="s">
        <v>194</v>
      </c>
      <c r="G12" s="16">
        <f>_xlfn.CHISQ.INV(1-D12,D9-1)</f>
        <v>50.892181311517106</v>
      </c>
      <c r="I12" t="s">
        <v>198</v>
      </c>
      <c r="J12">
        <f>1-_xlfn.CHISQ.DIST(G11,D9-1,1)</f>
        <v>2.6025000893334038E-2</v>
      </c>
    </row>
    <row r="13" spans="1:12">
      <c r="F13" s="68" t="s">
        <v>195</v>
      </c>
      <c r="G13" s="68"/>
      <c r="H13" s="68"/>
      <c r="I13" s="68"/>
    </row>
    <row r="14" spans="1:12">
      <c r="F14" s="68" t="s">
        <v>196</v>
      </c>
      <c r="G14" s="68"/>
      <c r="H14" s="68"/>
      <c r="I14" s="68"/>
    </row>
    <row r="15" spans="1:12">
      <c r="F15" s="68" t="s">
        <v>197</v>
      </c>
      <c r="G15" s="68"/>
      <c r="H15" s="68"/>
      <c r="I15" s="68"/>
      <c r="J15" s="68"/>
      <c r="K15" s="68"/>
      <c r="L15" s="68"/>
    </row>
  </sheetData>
  <mergeCells count="4">
    <mergeCell ref="C8:E8"/>
    <mergeCell ref="F13:I13"/>
    <mergeCell ref="F14:I14"/>
    <mergeCell ref="F15:L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3EA68-64E4-411F-A392-E3BE4DACA645}">
  <dimension ref="B2:AD21"/>
  <sheetViews>
    <sheetView topLeftCell="A4" workbookViewId="0">
      <selection activeCell="C11" activeCellId="1" sqref="AC14 C11"/>
    </sheetView>
  </sheetViews>
  <sheetFormatPr defaultRowHeight="15"/>
  <cols>
    <col min="19" max="19" width="15.140625" customWidth="1"/>
  </cols>
  <sheetData>
    <row r="2" spans="2:30">
      <c r="B2" s="16" t="s">
        <v>199</v>
      </c>
    </row>
    <row r="4" spans="2:30">
      <c r="B4" s="68" t="s">
        <v>202</v>
      </c>
      <c r="C4" s="68"/>
      <c r="D4" s="68" t="s">
        <v>203</v>
      </c>
      <c r="E4" s="68"/>
      <c r="G4" s="16" t="s">
        <v>200</v>
      </c>
      <c r="S4" s="16" t="s">
        <v>201</v>
      </c>
    </row>
    <row r="5" spans="2:30">
      <c r="B5" t="s">
        <v>205</v>
      </c>
      <c r="C5" t="s">
        <v>204</v>
      </c>
      <c r="D5" t="s">
        <v>205</v>
      </c>
      <c r="E5" t="s">
        <v>204</v>
      </c>
    </row>
    <row r="6" spans="2:30">
      <c r="B6" s="39">
        <v>34</v>
      </c>
      <c r="C6" s="39">
        <v>42</v>
      </c>
      <c r="D6">
        <v>51</v>
      </c>
      <c r="E6">
        <v>56</v>
      </c>
      <c r="G6" s="68" t="s">
        <v>202</v>
      </c>
      <c r="H6" s="68"/>
      <c r="I6" t="s">
        <v>206</v>
      </c>
      <c r="K6" t="s">
        <v>208</v>
      </c>
      <c r="L6">
        <f>AVERAGE(I8:I15)</f>
        <v>-2.875</v>
      </c>
      <c r="T6" t="s">
        <v>202</v>
      </c>
      <c r="U6" t="s">
        <v>203</v>
      </c>
      <c r="W6" t="s">
        <v>216</v>
      </c>
      <c r="AC6" t="s">
        <v>225</v>
      </c>
    </row>
    <row r="7" spans="2:30">
      <c r="B7">
        <v>37</v>
      </c>
      <c r="C7">
        <v>39</v>
      </c>
      <c r="D7">
        <v>53</v>
      </c>
      <c r="E7">
        <v>59</v>
      </c>
      <c r="G7" t="s">
        <v>205</v>
      </c>
      <c r="H7" t="s">
        <v>204</v>
      </c>
      <c r="I7" t="s">
        <v>207</v>
      </c>
      <c r="K7" t="s">
        <v>158</v>
      </c>
      <c r="L7">
        <f>_xlfn.STDEV.S(I8:I15)</f>
        <v>2.8504385627478448</v>
      </c>
      <c r="T7" t="s">
        <v>205</v>
      </c>
      <c r="U7" t="s">
        <v>205</v>
      </c>
      <c r="W7" t="s">
        <v>217</v>
      </c>
      <c r="AC7" t="s">
        <v>226</v>
      </c>
    </row>
    <row r="8" spans="2:30">
      <c r="B8">
        <v>43</v>
      </c>
      <c r="C8">
        <v>46</v>
      </c>
      <c r="D8">
        <v>41</v>
      </c>
      <c r="E8">
        <v>45</v>
      </c>
      <c r="G8" s="39">
        <v>34</v>
      </c>
      <c r="H8" s="39">
        <v>42</v>
      </c>
      <c r="I8">
        <f>G8-H8</f>
        <v>-8</v>
      </c>
      <c r="K8" t="s">
        <v>94</v>
      </c>
      <c r="L8">
        <f>COUNT(I8:I15)</f>
        <v>8</v>
      </c>
      <c r="N8" s="1"/>
      <c r="O8" s="1"/>
      <c r="P8" s="1"/>
      <c r="Q8" s="1"/>
      <c r="T8" s="39">
        <v>34</v>
      </c>
      <c r="U8">
        <v>51</v>
      </c>
    </row>
    <row r="9" spans="2:30">
      <c r="B9">
        <v>25</v>
      </c>
      <c r="C9">
        <v>25</v>
      </c>
      <c r="D9">
        <v>59</v>
      </c>
      <c r="E9">
        <v>57</v>
      </c>
      <c r="G9">
        <v>37</v>
      </c>
      <c r="H9">
        <v>39</v>
      </c>
      <c r="I9">
        <f t="shared" ref="I9:I15" si="0">G9-H9</f>
        <v>-2</v>
      </c>
      <c r="K9" t="s">
        <v>211</v>
      </c>
      <c r="L9" s="41">
        <f>5%</f>
        <v>0.05</v>
      </c>
      <c r="N9" s="1"/>
      <c r="O9" s="1"/>
      <c r="P9" s="1"/>
      <c r="Q9" s="1"/>
      <c r="T9">
        <v>37</v>
      </c>
      <c r="U9">
        <v>53</v>
      </c>
      <c r="W9" t="s">
        <v>219</v>
      </c>
      <c r="X9">
        <f>T18/U18</f>
        <v>1.2727272727272727</v>
      </c>
      <c r="AC9" t="s">
        <v>227</v>
      </c>
      <c r="AD9">
        <f>((T17-U17)-0)/(SQRT((T18*(T16-1)+U18*(U16-1))/(T16+U16-2))*SQRT(1/T16+1/U16))</f>
        <v>-3.2403703492039297</v>
      </c>
    </row>
    <row r="10" spans="2:30">
      <c r="B10">
        <v>51</v>
      </c>
      <c r="C10">
        <v>50</v>
      </c>
      <c r="D10">
        <v>37</v>
      </c>
      <c r="E10">
        <v>37</v>
      </c>
      <c r="G10">
        <v>43</v>
      </c>
      <c r="H10">
        <v>46</v>
      </c>
      <c r="I10">
        <f t="shared" si="0"/>
        <v>-3</v>
      </c>
      <c r="K10" t="s">
        <v>209</v>
      </c>
      <c r="L10">
        <f>(L6-0)/(L7/SQRT(L8))</f>
        <v>-2.8527988955517949</v>
      </c>
      <c r="N10" s="42"/>
      <c r="O10" s="42"/>
      <c r="P10" s="42"/>
      <c r="Q10" s="1"/>
      <c r="T10">
        <v>43</v>
      </c>
      <c r="U10">
        <v>41</v>
      </c>
      <c r="W10" t="s">
        <v>220</v>
      </c>
      <c r="X10">
        <f>_xlfn.F.INV(T19/2,T16-1,U16-1)</f>
        <v>0.2002038387771827</v>
      </c>
      <c r="AC10" t="s">
        <v>228</v>
      </c>
      <c r="AD10">
        <f>_xlfn.T.INV(T19/2,T16+U16-2)</f>
        <v>-2.1447866879178044</v>
      </c>
    </row>
    <row r="11" spans="2:30">
      <c r="B11">
        <v>37</v>
      </c>
      <c r="C11">
        <v>41</v>
      </c>
      <c r="D11">
        <v>42</v>
      </c>
      <c r="E11">
        <v>46</v>
      </c>
      <c r="G11">
        <v>25</v>
      </c>
      <c r="H11">
        <v>25</v>
      </c>
      <c r="I11">
        <f t="shared" si="0"/>
        <v>0</v>
      </c>
      <c r="K11" t="s">
        <v>210</v>
      </c>
      <c r="L11">
        <f>_xlfn.T.INV(L9/2,L8-1)</f>
        <v>-2.3646242515927849</v>
      </c>
      <c r="N11" s="40"/>
      <c r="O11" s="40"/>
      <c r="P11" s="40"/>
      <c r="Q11" s="1"/>
      <c r="T11">
        <v>25</v>
      </c>
      <c r="U11">
        <v>59</v>
      </c>
      <c r="W11" t="s">
        <v>222</v>
      </c>
      <c r="X11">
        <f>_xlfn.F.INV(1-T19/2,T16-1,U16-1)</f>
        <v>4.9949092190632358</v>
      </c>
      <c r="AC11" t="s">
        <v>229</v>
      </c>
      <c r="AD11">
        <f>_xlfn.T.INV(1-T19/2,T16+U16-2)</f>
        <v>2.1447866879178035</v>
      </c>
    </row>
    <row r="12" spans="2:30">
      <c r="B12">
        <v>21</v>
      </c>
      <c r="C12">
        <v>26</v>
      </c>
      <c r="D12">
        <v>61</v>
      </c>
      <c r="E12">
        <v>45</v>
      </c>
      <c r="G12">
        <v>51</v>
      </c>
      <c r="H12">
        <v>50</v>
      </c>
      <c r="I12">
        <f t="shared" si="0"/>
        <v>1</v>
      </c>
      <c r="K12" t="s">
        <v>212</v>
      </c>
      <c r="L12">
        <f>_xlfn.T.INV(1-L9/2,L8-1)</f>
        <v>2.3646242515927849</v>
      </c>
      <c r="N12" s="40"/>
      <c r="O12" s="40"/>
      <c r="P12" s="40"/>
      <c r="Q12" s="1"/>
      <c r="T12">
        <v>51</v>
      </c>
      <c r="U12">
        <v>37</v>
      </c>
      <c r="W12" t="s">
        <v>223</v>
      </c>
      <c r="AC12" t="s">
        <v>213</v>
      </c>
    </row>
    <row r="13" spans="2:30">
      <c r="B13">
        <v>28</v>
      </c>
      <c r="C13">
        <v>30</v>
      </c>
      <c r="D13">
        <v>52</v>
      </c>
      <c r="E13">
        <v>50</v>
      </c>
      <c r="G13">
        <v>37</v>
      </c>
      <c r="H13">
        <v>41</v>
      </c>
      <c r="I13">
        <f t="shared" si="0"/>
        <v>-4</v>
      </c>
      <c r="K13" t="s">
        <v>213</v>
      </c>
      <c r="N13" s="40"/>
      <c r="O13" s="40"/>
      <c r="P13" s="40"/>
      <c r="Q13" s="1"/>
      <c r="T13">
        <v>37</v>
      </c>
      <c r="U13">
        <v>42</v>
      </c>
      <c r="W13" t="s">
        <v>224</v>
      </c>
      <c r="AC13" t="s">
        <v>230</v>
      </c>
    </row>
    <row r="14" spans="2:30">
      <c r="G14">
        <v>21</v>
      </c>
      <c r="H14">
        <v>26</v>
      </c>
      <c r="I14">
        <f t="shared" si="0"/>
        <v>-5</v>
      </c>
      <c r="K14" t="s">
        <v>214</v>
      </c>
      <c r="N14" s="40"/>
      <c r="O14" s="40"/>
      <c r="P14" s="40"/>
      <c r="Q14" s="1"/>
      <c r="T14">
        <v>21</v>
      </c>
      <c r="U14">
        <v>61</v>
      </c>
    </row>
    <row r="15" spans="2:30">
      <c r="G15">
        <v>28</v>
      </c>
      <c r="H15">
        <v>30</v>
      </c>
      <c r="I15">
        <f t="shared" si="0"/>
        <v>-2</v>
      </c>
      <c r="N15" s="40"/>
      <c r="O15" s="40"/>
      <c r="P15" s="40"/>
      <c r="Q15" s="1"/>
      <c r="T15">
        <v>28</v>
      </c>
      <c r="U15">
        <v>52</v>
      </c>
    </row>
    <row r="16" spans="2:30">
      <c r="N16" s="40"/>
      <c r="O16" s="40"/>
      <c r="P16" s="40"/>
      <c r="Q16" s="1"/>
      <c r="S16" t="s">
        <v>94</v>
      </c>
      <c r="T16">
        <f>COUNT(T8:T15)</f>
        <v>8</v>
      </c>
      <c r="U16">
        <f>COUNT(U8:U15)</f>
        <v>8</v>
      </c>
    </row>
    <row r="17" spans="14:21">
      <c r="N17" s="40"/>
      <c r="O17" s="40"/>
      <c r="P17" s="40"/>
      <c r="Q17" s="1"/>
      <c r="S17" t="s">
        <v>215</v>
      </c>
      <c r="T17">
        <f>AVERAGE(T8:T15)</f>
        <v>34.5</v>
      </c>
      <c r="U17">
        <f>AVERAGE(U8:U15)</f>
        <v>49.5</v>
      </c>
    </row>
    <row r="18" spans="14:21">
      <c r="N18" s="40"/>
      <c r="O18" s="40"/>
      <c r="P18" s="40"/>
      <c r="Q18" s="1"/>
      <c r="S18" t="s">
        <v>218</v>
      </c>
      <c r="T18">
        <f>_xlfn.VAR.S(T8:T15)</f>
        <v>96</v>
      </c>
      <c r="U18">
        <f>_xlfn.VAR.S(U8:U15)</f>
        <v>75.428571428571431</v>
      </c>
    </row>
    <row r="19" spans="14:21">
      <c r="N19" s="40"/>
      <c r="O19" s="40"/>
      <c r="P19" s="40"/>
      <c r="Q19" s="1"/>
      <c r="S19" t="s">
        <v>221</v>
      </c>
      <c r="T19">
        <f>5%</f>
        <v>0.05</v>
      </c>
    </row>
    <row r="20" spans="14:21">
      <c r="N20" s="40"/>
      <c r="O20" s="40"/>
      <c r="P20" s="40"/>
      <c r="Q20" s="1"/>
    </row>
    <row r="21" spans="14:21">
      <c r="N21" s="40"/>
      <c r="O21" s="40"/>
      <c r="P21" s="40"/>
      <c r="Q21" s="1"/>
    </row>
  </sheetData>
  <mergeCells count="3">
    <mergeCell ref="B4:C4"/>
    <mergeCell ref="D4:E4"/>
    <mergeCell ref="G6:H6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20105-7FE0-43B3-B420-835C44619676}">
  <dimension ref="B2:S41"/>
  <sheetViews>
    <sheetView tabSelected="1" topLeftCell="A22" workbookViewId="0">
      <selection activeCell="E33" sqref="E33"/>
    </sheetView>
  </sheetViews>
  <sheetFormatPr defaultRowHeight="15"/>
  <cols>
    <col min="2" max="2" width="20.140625" customWidth="1"/>
    <col min="5" max="5" width="18.85546875" customWidth="1"/>
    <col min="13" max="13" width="22.140625" customWidth="1"/>
  </cols>
  <sheetData>
    <row r="2" spans="2:9">
      <c r="B2" s="72" t="s">
        <v>231</v>
      </c>
      <c r="C2" s="72"/>
      <c r="D2" s="72"/>
      <c r="E2" s="72"/>
      <c r="F2" s="72"/>
      <c r="G2" s="72"/>
      <c r="H2" s="72"/>
      <c r="I2" s="72"/>
    </row>
    <row r="3" spans="2:9">
      <c r="B3" s="72" t="s">
        <v>234</v>
      </c>
      <c r="C3" s="72"/>
      <c r="D3" s="72"/>
      <c r="E3" s="72"/>
      <c r="F3" s="72"/>
      <c r="G3" s="72"/>
      <c r="H3" s="72"/>
      <c r="I3" s="72"/>
    </row>
    <row r="4" spans="2:9">
      <c r="B4" s="72" t="s">
        <v>233</v>
      </c>
      <c r="C4" s="72"/>
      <c r="D4" s="72"/>
      <c r="E4" s="72"/>
      <c r="F4" s="72"/>
      <c r="G4" s="72"/>
      <c r="H4" s="72"/>
      <c r="I4" s="72"/>
    </row>
    <row r="5" spans="2:9">
      <c r="B5" s="72" t="s">
        <v>232</v>
      </c>
      <c r="C5" s="72"/>
      <c r="D5" s="72"/>
      <c r="E5" s="72"/>
      <c r="F5" s="72"/>
      <c r="G5" s="72"/>
      <c r="H5" s="72"/>
      <c r="I5" s="72"/>
    </row>
    <row r="6" spans="2:9">
      <c r="B6" s="72"/>
      <c r="C6" s="72"/>
      <c r="D6" s="72"/>
      <c r="E6" s="72"/>
      <c r="F6" s="72"/>
      <c r="G6" s="72"/>
      <c r="H6" s="72"/>
      <c r="I6" s="72"/>
    </row>
    <row r="7" spans="2:9">
      <c r="B7" s="82" t="s">
        <v>235</v>
      </c>
      <c r="C7" s="80" t="s">
        <v>240</v>
      </c>
      <c r="D7" s="80"/>
      <c r="E7" s="80"/>
      <c r="F7" s="80"/>
      <c r="G7" s="80"/>
      <c r="H7" s="81"/>
      <c r="I7" s="72"/>
    </row>
    <row r="8" spans="2:9">
      <c r="B8" s="82" t="s">
        <v>236</v>
      </c>
      <c r="C8" s="75">
        <v>45</v>
      </c>
      <c r="D8" s="75">
        <v>59</v>
      </c>
      <c r="E8" s="75">
        <v>48</v>
      </c>
      <c r="F8" s="75">
        <v>46</v>
      </c>
      <c r="G8" s="75">
        <v>38</v>
      </c>
      <c r="H8" s="76">
        <v>47</v>
      </c>
    </row>
    <row r="9" spans="2:9">
      <c r="B9" s="82" t="s">
        <v>237</v>
      </c>
      <c r="C9" s="78">
        <v>21</v>
      </c>
      <c r="D9" s="78">
        <v>12</v>
      </c>
      <c r="E9" s="78">
        <v>14</v>
      </c>
      <c r="F9" s="78">
        <v>17</v>
      </c>
      <c r="G9" s="78">
        <v>13</v>
      </c>
      <c r="H9" s="79">
        <v>17</v>
      </c>
    </row>
    <row r="10" spans="2:9">
      <c r="B10" s="82" t="s">
        <v>238</v>
      </c>
      <c r="C10" s="78">
        <v>37</v>
      </c>
      <c r="D10" s="78">
        <v>32</v>
      </c>
      <c r="E10" s="78">
        <v>15</v>
      </c>
      <c r="F10" s="78">
        <v>25</v>
      </c>
      <c r="G10" s="78">
        <v>39</v>
      </c>
      <c r="H10" s="79">
        <v>41</v>
      </c>
    </row>
    <row r="11" spans="2:9">
      <c r="B11" s="82" t="s">
        <v>239</v>
      </c>
      <c r="C11" s="78">
        <v>16</v>
      </c>
      <c r="D11" s="78">
        <v>11</v>
      </c>
      <c r="E11" s="78">
        <v>20</v>
      </c>
      <c r="F11" s="78">
        <v>21</v>
      </c>
      <c r="G11" s="78">
        <v>14</v>
      </c>
      <c r="H11" s="79">
        <v>7</v>
      </c>
    </row>
    <row r="13" spans="2:9">
      <c r="B13" t="s">
        <v>241</v>
      </c>
    </row>
    <row r="15" spans="2:9">
      <c r="B15" t="s">
        <v>242</v>
      </c>
    </row>
    <row r="16" spans="2:9">
      <c r="B16" t="s">
        <v>243</v>
      </c>
    </row>
    <row r="18" spans="2:19">
      <c r="C18" s="19" t="s">
        <v>244</v>
      </c>
      <c r="E18" s="19" t="s">
        <v>248</v>
      </c>
      <c r="M18" s="19" t="s">
        <v>249</v>
      </c>
    </row>
    <row r="19" spans="2:19">
      <c r="B19" s="19" t="s">
        <v>247</v>
      </c>
      <c r="C19" s="77">
        <f>AVERAGE(C8:H8)</f>
        <v>47.166666666666664</v>
      </c>
      <c r="E19" s="74" t="s">
        <v>247</v>
      </c>
      <c r="F19" s="74">
        <f>C8-$C$19</f>
        <v>-2.1666666666666643</v>
      </c>
      <c r="G19" s="75">
        <f t="shared" ref="G19:J19" si="0">D8-$C$19</f>
        <v>11.833333333333336</v>
      </c>
      <c r="H19" s="75">
        <f t="shared" si="0"/>
        <v>0.8333333333333357</v>
      </c>
      <c r="I19" s="75">
        <f t="shared" si="0"/>
        <v>-1.1666666666666643</v>
      </c>
      <c r="J19" s="75">
        <f t="shared" si="0"/>
        <v>-9.1666666666666643</v>
      </c>
      <c r="K19" s="76">
        <f>H8-$C$19</f>
        <v>-0.1666666666666643</v>
      </c>
      <c r="L19" s="1"/>
      <c r="M19" s="19" t="s">
        <v>247</v>
      </c>
      <c r="N19" s="74">
        <f>F19^2</f>
        <v>4.694444444444434</v>
      </c>
      <c r="O19" s="75">
        <f>G19^2</f>
        <v>140.02777777777783</v>
      </c>
      <c r="P19" s="75">
        <f>H19^2</f>
        <v>0.69444444444444842</v>
      </c>
      <c r="Q19" s="75">
        <f>I19^2</f>
        <v>1.3611111111111056</v>
      </c>
      <c r="R19" s="75">
        <f>J19^2</f>
        <v>84.027777777777729</v>
      </c>
      <c r="S19" s="76">
        <f t="shared" ref="S19:S22" si="1">K19^2</f>
        <v>2.7777777777776989E-2</v>
      </c>
    </row>
    <row r="20" spans="2:19">
      <c r="B20" s="19" t="s">
        <v>245</v>
      </c>
      <c r="C20" s="77">
        <f>AVERAGE(C9:H9)</f>
        <v>15.666666666666666</v>
      </c>
      <c r="E20" s="74" t="s">
        <v>245</v>
      </c>
      <c r="F20" s="74">
        <f>C9-$C$20</f>
        <v>5.3333333333333339</v>
      </c>
      <c r="G20" s="75">
        <f t="shared" ref="G20:J20" si="2">D9-$C$20</f>
        <v>-3.6666666666666661</v>
      </c>
      <c r="H20" s="75">
        <f t="shared" si="2"/>
        <v>-1.6666666666666661</v>
      </c>
      <c r="I20" s="75">
        <f t="shared" si="2"/>
        <v>1.3333333333333339</v>
      </c>
      <c r="J20" s="75">
        <f t="shared" si="2"/>
        <v>-2.6666666666666661</v>
      </c>
      <c r="K20" s="76">
        <f>H9-$C$20</f>
        <v>1.3333333333333339</v>
      </c>
      <c r="L20" s="1"/>
      <c r="M20" s="19" t="s">
        <v>245</v>
      </c>
      <c r="N20" s="74">
        <f>F20^2</f>
        <v>28.44444444444445</v>
      </c>
      <c r="O20" s="75">
        <f>G20^2</f>
        <v>13.444444444444439</v>
      </c>
      <c r="P20" s="75">
        <f>H20^2</f>
        <v>2.7777777777777759</v>
      </c>
      <c r="Q20" s="75">
        <f>I20^2</f>
        <v>1.7777777777777795</v>
      </c>
      <c r="R20" s="75">
        <f>J20^2</f>
        <v>7.1111111111111081</v>
      </c>
      <c r="S20" s="76">
        <f t="shared" si="1"/>
        <v>1.7777777777777795</v>
      </c>
    </row>
    <row r="21" spans="2:19">
      <c r="B21" s="19" t="s">
        <v>246</v>
      </c>
      <c r="C21" s="77">
        <f t="shared" ref="C21:C22" si="3">AVERAGE(C10:H10)</f>
        <v>31.5</v>
      </c>
      <c r="E21" s="74" t="s">
        <v>246</v>
      </c>
      <c r="F21" s="74">
        <f>C10-$C$21</f>
        <v>5.5</v>
      </c>
      <c r="G21" s="75">
        <f t="shared" ref="G21:J21" si="4">D10-$C$21</f>
        <v>0.5</v>
      </c>
      <c r="H21" s="75">
        <f t="shared" si="4"/>
        <v>-16.5</v>
      </c>
      <c r="I21" s="75">
        <f t="shared" si="4"/>
        <v>-6.5</v>
      </c>
      <c r="J21" s="75">
        <f t="shared" si="4"/>
        <v>7.5</v>
      </c>
      <c r="K21" s="76">
        <f>H10-$C$21</f>
        <v>9.5</v>
      </c>
      <c r="L21" s="1"/>
      <c r="M21" s="36" t="s">
        <v>246</v>
      </c>
      <c r="N21" s="11">
        <f>F21^2</f>
        <v>30.25</v>
      </c>
      <c r="O21" s="1">
        <f>G21^2</f>
        <v>0.25</v>
      </c>
      <c r="P21" s="1">
        <f>H21^2</f>
        <v>272.25</v>
      </c>
      <c r="Q21" s="1">
        <f>I21^2</f>
        <v>42.25</v>
      </c>
      <c r="R21" s="1">
        <f>J21^2</f>
        <v>56.25</v>
      </c>
      <c r="S21" s="12">
        <f t="shared" si="1"/>
        <v>90.25</v>
      </c>
    </row>
    <row r="22" spans="2:19">
      <c r="B22" s="37" t="s">
        <v>239</v>
      </c>
      <c r="C22" s="73">
        <f t="shared" si="3"/>
        <v>14.833333333333334</v>
      </c>
      <c r="E22" s="13" t="s">
        <v>239</v>
      </c>
      <c r="F22" s="13">
        <f>C11-$C$22</f>
        <v>1.1666666666666661</v>
      </c>
      <c r="G22" s="14">
        <f t="shared" ref="G22:J22" si="5">D11-$C$22</f>
        <v>-3.8333333333333339</v>
      </c>
      <c r="H22" s="14">
        <f t="shared" si="5"/>
        <v>5.1666666666666661</v>
      </c>
      <c r="I22" s="14">
        <f t="shared" si="5"/>
        <v>6.1666666666666661</v>
      </c>
      <c r="J22" s="14">
        <f t="shared" si="5"/>
        <v>-0.83333333333333393</v>
      </c>
      <c r="K22" s="15">
        <f>H11-$C$22</f>
        <v>-7.8333333333333339</v>
      </c>
      <c r="L22" s="1"/>
      <c r="M22" s="19" t="s">
        <v>239</v>
      </c>
      <c r="N22" s="74">
        <f>F22^2</f>
        <v>1.3611111111111098</v>
      </c>
      <c r="O22" s="75">
        <f>G22^2</f>
        <v>14.694444444444448</v>
      </c>
      <c r="P22" s="75">
        <f>H22^2</f>
        <v>26.694444444444439</v>
      </c>
      <c r="Q22" s="75">
        <f>I22^2</f>
        <v>38.027777777777771</v>
      </c>
      <c r="R22" s="75">
        <f>J22^2</f>
        <v>0.69444444444444542</v>
      </c>
      <c r="S22" s="76">
        <f t="shared" si="1"/>
        <v>61.361111111111121</v>
      </c>
    </row>
    <row r="24" spans="2:19">
      <c r="B24" t="s">
        <v>250</v>
      </c>
      <c r="C24" s="83">
        <f>AVERAGE(C8:H11)</f>
        <v>27.291666666666668</v>
      </c>
    </row>
    <row r="25" spans="2:19">
      <c r="C25" s="83"/>
    </row>
    <row r="26" spans="2:19">
      <c r="B26" t="s">
        <v>253</v>
      </c>
      <c r="C26" s="83">
        <f>COUNT(C8:H11)</f>
        <v>24</v>
      </c>
      <c r="E26" s="74" t="s">
        <v>256</v>
      </c>
      <c r="F26" s="76">
        <f>COUNT(C8:H8)</f>
        <v>6</v>
      </c>
      <c r="H26" t="s">
        <v>266</v>
      </c>
    </row>
    <row r="27" spans="2:19">
      <c r="B27" t="s">
        <v>254</v>
      </c>
      <c r="C27" s="16">
        <f>4</f>
        <v>4</v>
      </c>
      <c r="E27" s="74" t="s">
        <v>257</v>
      </c>
      <c r="F27" s="76">
        <f t="shared" ref="F27:F29" si="6">COUNT(C9:H9)</f>
        <v>6</v>
      </c>
    </row>
    <row r="28" spans="2:19" ht="15.75" thickBot="1">
      <c r="B28" t="s">
        <v>251</v>
      </c>
      <c r="C28" s="16">
        <f>SUM(N19:S22)</f>
        <v>920.49999999999989</v>
      </c>
      <c r="E28" s="74" t="s">
        <v>258</v>
      </c>
      <c r="F28" s="76">
        <f t="shared" si="6"/>
        <v>6</v>
      </c>
      <c r="H28" t="s">
        <v>267</v>
      </c>
    </row>
    <row r="29" spans="2:19">
      <c r="B29" t="s">
        <v>252</v>
      </c>
      <c r="C29" s="16">
        <f>C28/(C26-C27)</f>
        <v>46.024999999999991</v>
      </c>
      <c r="E29" s="13" t="s">
        <v>259</v>
      </c>
      <c r="F29" s="15">
        <f t="shared" si="6"/>
        <v>6</v>
      </c>
      <c r="H29" s="85" t="s">
        <v>268</v>
      </c>
      <c r="I29" s="85" t="s">
        <v>269</v>
      </c>
      <c r="J29" s="85" t="s">
        <v>270</v>
      </c>
      <c r="K29" s="85" t="s">
        <v>244</v>
      </c>
      <c r="L29" s="85" t="s">
        <v>271</v>
      </c>
    </row>
    <row r="30" spans="2:19">
      <c r="B30" t="s">
        <v>255</v>
      </c>
      <c r="C30" s="16">
        <f>F26*(C19-C24)^2 + F27*(C20-C24)^2 + F28*(C21-C24)^2 + F29*(C22-C24)^2</f>
        <v>4218.4583333333321</v>
      </c>
      <c r="H30" s="40" t="s">
        <v>236</v>
      </c>
      <c r="I30" s="40">
        <v>6</v>
      </c>
      <c r="J30" s="40">
        <v>283</v>
      </c>
      <c r="K30" s="40">
        <v>47.166666666666664</v>
      </c>
      <c r="L30" s="40">
        <v>46.166666666666785</v>
      </c>
    </row>
    <row r="31" spans="2:19">
      <c r="B31" t="s">
        <v>260</v>
      </c>
      <c r="C31" s="16">
        <f xml:space="preserve"> C30/(C27-1)</f>
        <v>1406.1527777777774</v>
      </c>
      <c r="H31" s="40" t="s">
        <v>237</v>
      </c>
      <c r="I31" s="40">
        <v>6</v>
      </c>
      <c r="J31" s="40">
        <v>94</v>
      </c>
      <c r="K31" s="40">
        <v>15.666666666666666</v>
      </c>
      <c r="L31" s="40">
        <v>11.066666666666652</v>
      </c>
    </row>
    <row r="32" spans="2:19">
      <c r="B32" t="s">
        <v>261</v>
      </c>
      <c r="C32" s="16">
        <f>C31/C29</f>
        <v>30.551934335204294</v>
      </c>
      <c r="H32" s="40" t="s">
        <v>238</v>
      </c>
      <c r="I32" s="40">
        <v>6</v>
      </c>
      <c r="J32" s="40">
        <v>189</v>
      </c>
      <c r="K32" s="40">
        <v>31.5</v>
      </c>
      <c r="L32" s="40">
        <v>98.3</v>
      </c>
    </row>
    <row r="33" spans="2:14" ht="15.75" thickBot="1">
      <c r="B33" t="s">
        <v>262</v>
      </c>
      <c r="C33" s="16">
        <f xml:space="preserve"> _xlfn.F.INV(1 - 0.05, C27-1,C26-C27)</f>
        <v>3.0983912121407773</v>
      </c>
      <c r="H33" s="84" t="s">
        <v>239</v>
      </c>
      <c r="I33" s="84">
        <v>6</v>
      </c>
      <c r="J33" s="84">
        <v>89</v>
      </c>
      <c r="K33" s="84">
        <v>14.833333333333334</v>
      </c>
      <c r="L33" s="84">
        <v>28.566666666666652</v>
      </c>
    </row>
    <row r="34" spans="2:14">
      <c r="B34" t="s">
        <v>263</v>
      </c>
    </row>
    <row r="35" spans="2:14">
      <c r="B35" t="s">
        <v>264</v>
      </c>
    </row>
    <row r="36" spans="2:14" ht="15.75" thickBot="1">
      <c r="B36" t="s">
        <v>265</v>
      </c>
      <c r="H36" t="s">
        <v>272</v>
      </c>
    </row>
    <row r="37" spans="2:14">
      <c r="H37" s="85" t="s">
        <v>273</v>
      </c>
      <c r="I37" s="85" t="s">
        <v>274</v>
      </c>
      <c r="J37" s="85" t="s">
        <v>275</v>
      </c>
      <c r="K37" s="85" t="s">
        <v>276</v>
      </c>
      <c r="L37" s="85" t="s">
        <v>277</v>
      </c>
      <c r="M37" s="85" t="s">
        <v>278</v>
      </c>
      <c r="N37" s="85" t="s">
        <v>279</v>
      </c>
    </row>
    <row r="38" spans="2:14">
      <c r="H38" s="40" t="s">
        <v>280</v>
      </c>
      <c r="I38" s="86">
        <v>4218.458333333333</v>
      </c>
      <c r="J38" s="40">
        <v>3</v>
      </c>
      <c r="K38" s="86">
        <v>1406.1527777777776</v>
      </c>
      <c r="L38" s="86">
        <v>30.551934335204294</v>
      </c>
      <c r="M38" s="40">
        <v>1.1510461331325205E-7</v>
      </c>
      <c r="N38" s="86">
        <v>3.0983912121407795</v>
      </c>
    </row>
    <row r="39" spans="2:14">
      <c r="H39" s="40" t="s">
        <v>281</v>
      </c>
      <c r="I39" s="86">
        <v>920.5</v>
      </c>
      <c r="J39" s="40">
        <v>20</v>
      </c>
      <c r="K39" s="86">
        <v>46.024999999999999</v>
      </c>
      <c r="L39" s="40"/>
      <c r="M39" s="40"/>
      <c r="N39" s="40"/>
    </row>
    <row r="40" spans="2:14">
      <c r="H40" s="40"/>
      <c r="I40" s="40"/>
      <c r="J40" s="40"/>
      <c r="K40" s="40"/>
      <c r="L40" s="40"/>
      <c r="M40" s="40"/>
      <c r="N40" s="40"/>
    </row>
    <row r="41" spans="2:14" ht="15.75" thickBot="1">
      <c r="H41" s="84" t="s">
        <v>282</v>
      </c>
      <c r="I41" s="84">
        <v>5138.958333333333</v>
      </c>
      <c r="J41" s="84">
        <v>23</v>
      </c>
      <c r="K41" s="84"/>
      <c r="L41" s="84"/>
      <c r="M41" s="84"/>
      <c r="N41" s="84"/>
    </row>
  </sheetData>
  <mergeCells count="1">
    <mergeCell ref="C7:H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Basic Probability</vt:lpstr>
      <vt:lpstr>Poisson Distribution</vt:lpstr>
      <vt:lpstr>Binomial Distribution</vt:lpstr>
      <vt:lpstr>Normal Distribution </vt:lpstr>
      <vt:lpstr>1 mean test</vt:lpstr>
      <vt:lpstr>1 pop proportion test</vt:lpstr>
      <vt:lpstr>1 pop var test</vt:lpstr>
      <vt:lpstr>2 mean test</vt:lpstr>
      <vt:lpstr>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2021-08-02T09:10:19Z</dcterms:created>
  <dcterms:modified xsi:type="dcterms:W3CDTF">2021-08-16T10:15:49Z</dcterms:modified>
</cp:coreProperties>
</file>