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uca Cermak\Nextcloud\Replication_Games\Replication\discussion\"/>
    </mc:Choice>
  </mc:AlternateContent>
  <xr:revisionPtr revIDLastSave="0" documentId="13_ncr:1_{9AE1617D-F977-4277-8A3B-A8D8262C0711}" xr6:coauthVersionLast="47" xr6:coauthVersionMax="47" xr10:uidLastSave="{00000000-0000-0000-0000-000000000000}"/>
  <bookViews>
    <workbookView xWindow="38280" yWindow="-120" windowWidth="29040" windowHeight="17520" activeTab="2" xr2:uid="{564AD858-058B-46D5-9710-1DB4A9CFF7C9}"/>
  </bookViews>
  <sheets>
    <sheet name="Final Table" sheetId="3" r:id="rId1"/>
    <sheet name="Example 1 Charcoal Cookstove In" sheetId="1" r:id="rId2"/>
    <sheet name="Example 2 -Consumption"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2" i="1" l="1"/>
  <c r="D4" i="2"/>
  <c r="B54" i="2"/>
  <c r="B51" i="2"/>
  <c r="D20" i="1"/>
  <c r="E20" i="1"/>
  <c r="C20" i="1"/>
  <c r="C21" i="1" s="1"/>
  <c r="D18" i="1"/>
  <c r="E18" i="1"/>
  <c r="C18" i="1"/>
  <c r="D13" i="1"/>
  <c r="E13" i="1"/>
  <c r="F13" i="1"/>
  <c r="G13" i="1"/>
  <c r="H13" i="1"/>
  <c r="I13" i="1"/>
  <c r="J13" i="1"/>
  <c r="K13" i="1"/>
  <c r="L13" i="1"/>
  <c r="M13" i="1"/>
  <c r="N13" i="1"/>
  <c r="O13" i="1"/>
  <c r="P13" i="1"/>
  <c r="Q13" i="1"/>
  <c r="R13" i="1"/>
  <c r="S13" i="1"/>
  <c r="T13" i="1"/>
  <c r="U13" i="1"/>
  <c r="V13" i="1"/>
  <c r="W13" i="1"/>
  <c r="X13" i="1"/>
  <c r="Y13" i="1"/>
  <c r="Z13" i="1"/>
  <c r="C13" i="1"/>
  <c r="M37" i="2"/>
  <c r="M38" i="2" s="1"/>
  <c r="D28" i="2"/>
  <c r="D24" i="2"/>
  <c r="D20" i="2"/>
  <c r="D23" i="2" s="1"/>
  <c r="D25" i="2" s="1"/>
  <c r="D27" i="2" s="1"/>
  <c r="D29" i="2" s="1"/>
  <c r="D19" i="2"/>
  <c r="J15" i="2"/>
  <c r="G15" i="2"/>
  <c r="F15" i="2"/>
  <c r="D50" i="2"/>
  <c r="D46" i="2"/>
  <c r="D43" i="2"/>
  <c r="D45" i="2" s="1"/>
  <c r="D47" i="2" s="1"/>
  <c r="D49" i="2" s="1"/>
  <c r="D51" i="2" s="1"/>
  <c r="J37" i="2"/>
  <c r="G37" i="2"/>
  <c r="F37" i="2"/>
  <c r="D9" i="2"/>
  <c r="D6" i="2"/>
  <c r="E15" i="2" s="1"/>
  <c r="H25" i="2" s="1"/>
  <c r="D5" i="2"/>
  <c r="AC12" i="1"/>
  <c r="I4" i="1"/>
  <c r="H4" i="1"/>
  <c r="C19" i="1"/>
  <c r="C16" i="1"/>
  <c r="C22" i="1" s="1"/>
  <c r="G4" i="1"/>
  <c r="C6" i="1"/>
  <c r="G19" i="2" l="1"/>
  <c r="E28" i="2"/>
  <c r="E29" i="2"/>
  <c r="J18" i="2"/>
  <c r="E27" i="2"/>
  <c r="H28" i="2"/>
  <c r="P28" i="2" s="1"/>
  <c r="H29" i="2"/>
  <c r="P29" i="2" s="1"/>
  <c r="H27" i="2"/>
  <c r="P27" i="2" s="1"/>
  <c r="B40" i="2"/>
  <c r="E20" i="2"/>
  <c r="E21" i="1"/>
  <c r="E15" i="1"/>
  <c r="M16" i="1"/>
  <c r="T15" i="1"/>
  <c r="L15" i="1"/>
  <c r="L16" i="1"/>
  <c r="AA13" i="1"/>
  <c r="S15" i="1"/>
  <c r="K15" i="1"/>
  <c r="R15" i="1"/>
  <c r="J15" i="1"/>
  <c r="Y15" i="1"/>
  <c r="X15" i="1"/>
  <c r="F15" i="1"/>
  <c r="K16" i="1"/>
  <c r="D16" i="1"/>
  <c r="D22" i="1" s="1"/>
  <c r="D23" i="1" s="1"/>
  <c r="Z15" i="1"/>
  <c r="I15" i="1"/>
  <c r="J16" i="1"/>
  <c r="E16" i="1"/>
  <c r="E22" i="1" s="1"/>
  <c r="E23" i="1" s="1"/>
  <c r="Q15" i="1"/>
  <c r="E19" i="1"/>
  <c r="I16" i="1"/>
  <c r="AC18" i="1"/>
  <c r="P15" i="1"/>
  <c r="H15" i="1"/>
  <c r="H16" i="1"/>
  <c r="W15" i="1"/>
  <c r="O15" i="1"/>
  <c r="G15" i="1"/>
  <c r="G16" i="1"/>
  <c r="V15" i="1"/>
  <c r="N15" i="1"/>
  <c r="N16" i="1"/>
  <c r="F16" i="1"/>
  <c r="U15" i="1"/>
  <c r="M15" i="1"/>
  <c r="D15" i="1"/>
  <c r="D21" i="1"/>
  <c r="C23" i="1"/>
  <c r="AC20" i="1"/>
  <c r="D19" i="1"/>
  <c r="AC13" i="1"/>
  <c r="AE13" i="1" s="1"/>
  <c r="C15" i="1"/>
  <c r="H23" i="2"/>
  <c r="P23" i="2" s="1"/>
  <c r="P25" i="2"/>
  <c r="H24" i="2"/>
  <c r="P24" i="2" s="1"/>
  <c r="F24" i="2"/>
  <c r="E19" i="2"/>
  <c r="F19" i="2"/>
  <c r="F20" i="2"/>
  <c r="F23" i="2" s="1"/>
  <c r="F25" i="2" s="1"/>
  <c r="F27" i="2" s="1"/>
  <c r="F29" i="2" s="1"/>
  <c r="G42" i="2"/>
  <c r="E42" i="2"/>
  <c r="F42" i="2"/>
  <c r="G43" i="2"/>
  <c r="F46" i="2"/>
  <c r="G20" i="2"/>
  <c r="E24" i="2"/>
  <c r="J24" i="2" s="1"/>
  <c r="E25" i="2"/>
  <c r="J25" i="2" s="1"/>
  <c r="H15" i="2"/>
  <c r="E23" i="2"/>
  <c r="J23" i="2" s="1"/>
  <c r="F50" i="2"/>
  <c r="F28" i="2"/>
  <c r="E37" i="2"/>
  <c r="F43" i="2"/>
  <c r="F45" i="2" s="1"/>
  <c r="F47" i="2" s="1"/>
  <c r="F49" i="2" s="1"/>
  <c r="F51" i="2" s="1"/>
  <c r="E49" i="2" l="1"/>
  <c r="J49" i="2" s="1"/>
  <c r="E43" i="2"/>
  <c r="AC21" i="1"/>
  <c r="AE18" i="1"/>
  <c r="AC22" i="1"/>
  <c r="AE22" i="1" s="1"/>
  <c r="AA16" i="1"/>
  <c r="AC19" i="1"/>
  <c r="AC16" i="1"/>
  <c r="AE20" i="1"/>
  <c r="AC23" i="1"/>
  <c r="AC15" i="1"/>
  <c r="AE21" i="1" s="1"/>
  <c r="AA15" i="1"/>
  <c r="AE12" i="1"/>
  <c r="H19" i="2"/>
  <c r="E51" i="2"/>
  <c r="J51" i="2" s="1"/>
  <c r="E50" i="2"/>
  <c r="J50" i="2" s="1"/>
  <c r="H42" i="2"/>
  <c r="E45" i="2"/>
  <c r="J45" i="2" s="1"/>
  <c r="E46" i="2"/>
  <c r="J46" i="2" s="1"/>
  <c r="H37" i="2"/>
  <c r="J40" i="2" s="1"/>
  <c r="E47" i="2"/>
  <c r="J47" i="2" s="1"/>
  <c r="AE16" i="1" l="1"/>
  <c r="AE19" i="1"/>
  <c r="AE23" i="1"/>
  <c r="AE15" i="1"/>
  <c r="J29" i="2"/>
  <c r="J27" i="2"/>
  <c r="J19" i="2"/>
  <c r="J42" i="2"/>
  <c r="J28" i="2"/>
</calcChain>
</file>

<file path=xl/sharedStrings.xml><?xml version="1.0" encoding="utf-8"?>
<sst xmlns="http://schemas.openxmlformats.org/spreadsheetml/2006/main" count="245" uniqueCount="107">
  <si>
    <t>delta</t>
  </si>
  <si>
    <t>beta</t>
  </si>
  <si>
    <t>debt i</t>
  </si>
  <si>
    <t>annual return</t>
  </si>
  <si>
    <t>Month 1</t>
  </si>
  <si>
    <t>Month 2</t>
  </si>
  <si>
    <t>Month 3</t>
  </si>
  <si>
    <t>Month 4</t>
  </si>
  <si>
    <t>Month 5</t>
  </si>
  <si>
    <t>Month 6</t>
  </si>
  <si>
    <t>Month 7</t>
  </si>
  <si>
    <t>Month 8</t>
  </si>
  <si>
    <t>Month 9</t>
  </si>
  <si>
    <t>Month 10</t>
  </si>
  <si>
    <t>Month 11</t>
  </si>
  <si>
    <t>Month 12</t>
  </si>
  <si>
    <t>Month 13</t>
  </si>
  <si>
    <t>Month 14</t>
  </si>
  <si>
    <t>Month 15</t>
  </si>
  <si>
    <t>Month 16</t>
  </si>
  <si>
    <t>Month 17</t>
  </si>
  <si>
    <t>Month 18</t>
  </si>
  <si>
    <t>Month 19</t>
  </si>
  <si>
    <t>Month 20</t>
  </si>
  <si>
    <t>Month 21</t>
  </si>
  <si>
    <t>Month 22</t>
  </si>
  <si>
    <t>Month 23</t>
  </si>
  <si>
    <t>Month 24</t>
  </si>
  <si>
    <t>price</t>
  </si>
  <si>
    <t>Loan</t>
  </si>
  <si>
    <t>Total</t>
  </si>
  <si>
    <t>Benefits</t>
  </si>
  <si>
    <t>Cost Loan</t>
  </si>
  <si>
    <t>Sum</t>
  </si>
  <si>
    <t>Annual Return</t>
  </si>
  <si>
    <t>Debt aversion</t>
  </si>
  <si>
    <t>lambda</t>
  </si>
  <si>
    <t>Savings over two years</t>
  </si>
  <si>
    <t>Price</t>
  </si>
  <si>
    <t>Interest rate</t>
  </si>
  <si>
    <t>with loan</t>
  </si>
  <si>
    <t>w/o loan</t>
  </si>
  <si>
    <t>with debt aversion and without time preferences</t>
  </si>
  <si>
    <t>with debt aversion and with time preferences</t>
  </si>
  <si>
    <t>In this context, the interaction between the two does not have a large effect since time preferences also discount the debt payments. We expect then for debt aversion to have a starker effect when the benefits of the investment realize after the debt repayments start.</t>
  </si>
  <si>
    <t>Debt aversion of 1.15 (the max. level of debt aversion our experiment can detect) alone as a similar effect as beta delta with beta 0.8</t>
  </si>
  <si>
    <t>Table X (Simulated Borrowing Decisions)</t>
  </si>
  <si>
    <t>Row</t>
  </si>
  <si>
    <t>Scenario</t>
  </si>
  <si>
    <t>Present Focus</t>
  </si>
  <si>
    <t>Debt Aversion</t>
  </si>
  <si>
    <t>$\Beta = 1, \delta= 1, \lambda = 0$</t>
  </si>
  <si>
    <t>No</t>
  </si>
  <si>
    <t>Percentage Return</t>
  </si>
  <si>
    <t>Yes</t>
  </si>
  <si>
    <t>$\Beta = 0.80, \delta= 0.95, \lambda = 0$</t>
  </si>
  <si>
    <t>$\Beta = 0.80, \delta= 0.95, \lambda = 0.15$</t>
  </si>
  <si>
    <t>$\Beta = 1, \delta= 1, \lambda = 0.15$</t>
  </si>
  <si>
    <t>$\Beta = 1, \delta= 1, \lambda = 0.5$</t>
  </si>
  <si>
    <t>$\Beta = 1, \delta= 1, \lambda = 1$</t>
  </si>
  <si>
    <t>$\Beta = 0.80, \delta= 0.95, \lambda = 0.5$</t>
  </si>
  <si>
    <t>$\Beta = 0.80, \delta= 0.95, \lambda = 1$</t>
  </si>
  <si>
    <t>loan amount</t>
  </si>
  <si>
    <t>Linear Utility Function</t>
  </si>
  <si>
    <t>Week 1</t>
  </si>
  <si>
    <t>Week 2</t>
  </si>
  <si>
    <t>Week 3</t>
  </si>
  <si>
    <t>Week 4</t>
  </si>
  <si>
    <t>Annual Percentage Rate</t>
  </si>
  <si>
    <t>Benefit/Loan Ratio</t>
  </si>
  <si>
    <t>Present Discounted Value</t>
  </si>
  <si>
    <t>with time preferences</t>
  </si>
  <si>
    <t>Debt aversion &amp; Present focus</t>
  </si>
  <si>
    <t>Debt aversion of 1.15 (the max. level of debt aversion our experiment can detect) is almost the minimum magnitude of debt aversion that will keep people from borrowing in their setting.</t>
  </si>
  <si>
    <t>A present focus beta of 0.80 is enough to overcome any debt aversion less than 1.15 (the max.level that our experiment can detect)</t>
  </si>
  <si>
    <t xml:space="preserve">In this context, present focus mitigates debt aversion as the disutility of debt is  discounted. Here the benefits of borrowing materialize before the debt repayments, so present bias and debt aversion work in the opposite direction. </t>
  </si>
  <si>
    <t>Exponential Utility Function</t>
  </si>
  <si>
    <t>alpha</t>
  </si>
  <si>
    <t>A present focus beta of 0.80 is enough to counteract a lambda of 1.15 (the max. level that our experiment can detect)</t>
  </si>
  <si>
    <t>(a) Example 1 - Charcoal Cookstove Investment</t>
  </si>
  <si>
    <t>(b) Example 2 - Payday Lending Example</t>
  </si>
  <si>
    <t>Notes: Panel (a) simulates borrowing a $40 3-month loan at an interest rate of 14% to purchase a charcoal cookstove, as in John(2022). Percentage returns use their coal savings estimates without incorporating any additional health or environmental benefits.  Panel (b) simulates a two-week payday loan of $200 to finance an immediate expenditure/consumption. Present focus $\beta$ is chosen from the middle-point of the estimated range in  Alcott. et al. 2022. A percentage return higher than 100% implies a profit, while a percentage lower than 100% implies a loss.</t>
  </si>
  <si>
    <t>(c) Example 2 - Payday Lending Example with Exponential Utility $\alpha=0.0064$</t>
  </si>
  <si>
    <t>Example 2 PaydayLoan</t>
  </si>
  <si>
    <t>delta (monthly)</t>
  </si>
  <si>
    <t>Parameters</t>
  </si>
  <si>
    <t>People borrow a two week long pay day loan to purchase an immediate consumption good. The loan is payed in whole at the end of the borrowing period. We use both a linear and an exponential utility function.</t>
  </si>
  <si>
    <t>applies to u(x)</t>
  </si>
  <si>
    <t>u(x)</t>
  </si>
  <si>
    <t>lambda = 0.15</t>
  </si>
  <si>
    <t>lambda = 0.5</t>
  </si>
  <si>
    <t>lambda = 1</t>
  </si>
  <si>
    <t>Example 1 Charcoal Oven</t>
  </si>
  <si>
    <t>Cost Loan (Repaid in 3 months)</t>
  </si>
  <si>
    <t>Monthly Benefit ($9.91 per month)</t>
  </si>
  <si>
    <t>Debt aversion (overweight loan cost)</t>
  </si>
  <si>
    <t>Debt Aversion + Time Preferences</t>
  </si>
  <si>
    <t>lambda 0.15</t>
  </si>
  <si>
    <t>lambda 0.5</t>
  </si>
  <si>
    <t>lambda 1</t>
  </si>
  <si>
    <t>1+lambda</t>
  </si>
  <si>
    <t>Present Discounted Value Benefits</t>
  </si>
  <si>
    <t>Present Discounted Cost Loan</t>
  </si>
  <si>
    <t>Notes: Green cells are the ones displayed in the table</t>
  </si>
  <si>
    <t>Present Discounted Benefits</t>
  </si>
  <si>
    <t>no time preferences</t>
  </si>
  <si>
    <t>Beta delta applies to the utility function whereas debt aversion applies to the balance, last column checks what happens if instead applies to the utility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</si>
</sst>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sz val="8"/>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0" borderId="0" xfId="0" applyAlignment="1">
      <alignment horizontal="center"/>
    </xf>
    <xf numFmtId="9" fontId="0" fillId="0" borderId="0" xfId="1" applyFont="1" applyAlignment="1">
      <alignment horizontal="center"/>
    </xf>
    <xf numFmtId="0" fontId="0" fillId="2" borderId="0" xfId="0" applyFill="1"/>
    <xf numFmtId="0" fontId="0" fillId="2" borderId="0" xfId="0" applyFill="1" applyAlignment="1">
      <alignment horizontal="center"/>
    </xf>
    <xf numFmtId="9" fontId="0" fillId="2" borderId="0" xfId="1" applyFont="1" applyFill="1" applyAlignment="1">
      <alignment horizontal="center"/>
    </xf>
    <xf numFmtId="9" fontId="0" fillId="0" borderId="0" xfId="0" applyNumberFormat="1" applyAlignment="1">
      <alignment horizontal="center"/>
    </xf>
    <xf numFmtId="0" fontId="3" fillId="2" borderId="0" xfId="0" applyFont="1" applyFill="1"/>
    <xf numFmtId="9" fontId="0" fillId="0" borderId="0" xfId="1" applyFont="1"/>
    <xf numFmtId="0" fontId="0" fillId="0" borderId="0" xfId="0" applyAlignment="1">
      <alignment horizontal="left"/>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xf>
    <xf numFmtId="9" fontId="0" fillId="3" borderId="0" xfId="1" applyFont="1" applyFill="1"/>
    <xf numFmtId="9" fontId="0" fillId="3" borderId="0" xfId="1" applyFont="1" applyFill="1" applyAlignment="1">
      <alignment horizontal="center"/>
    </xf>
    <xf numFmtId="9" fontId="0" fillId="3" borderId="0" xfId="1" applyNumberFormat="1" applyFont="1" applyFill="1" applyAlignment="1">
      <alignment horizontal="center"/>
    </xf>
    <xf numFmtId="0" fontId="3" fillId="0" borderId="0" xfId="0" applyFont="1"/>
    <xf numFmtId="0" fontId="0" fillId="0" borderId="0" xfId="0" applyAlignment="1">
      <alignment horizontal="center"/>
    </xf>
    <xf numFmtId="0" fontId="0" fillId="0" borderId="0" xfId="0" applyAlignment="1">
      <alignment horizontal="center" wrapText="1"/>
    </xf>
    <xf numFmtId="0" fontId="3" fillId="2" borderId="0" xfId="0" applyFont="1" applyFill="1" applyAlignment="1">
      <alignment horizontal="center" vertical="center"/>
    </xf>
    <xf numFmtId="0" fontId="3" fillId="0" borderId="0" xfId="0" applyFont="1" applyAlignment="1">
      <alignment horizontal="center"/>
    </xf>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687BB-9141-4368-8F5A-285D97088D1E}">
  <dimension ref="B3:R39"/>
  <sheetViews>
    <sheetView zoomScale="115" zoomScaleNormal="115" workbookViewId="0">
      <selection activeCell="F6" sqref="F6:F13"/>
    </sheetView>
  </sheetViews>
  <sheetFormatPr baseColWidth="10" defaultColWidth="9.06640625" defaultRowHeight="14.25" x14ac:dyDescent="0.45"/>
  <cols>
    <col min="2" max="2" width="9.1328125" style="1"/>
    <col min="3" max="3" width="39.59765625" style="1" bestFit="1" customWidth="1"/>
    <col min="4" max="4" width="13.3984375" style="1" bestFit="1" customWidth="1"/>
    <col min="5" max="5" width="13.73046875" style="1" bestFit="1" customWidth="1"/>
    <col min="6" max="6" width="17.73046875" style="1" bestFit="1" customWidth="1"/>
    <col min="12" max="12" width="47.1328125" customWidth="1"/>
    <col min="13" max="13" width="13.3984375" bestFit="1" customWidth="1"/>
    <col min="14" max="14" width="13.73046875" bestFit="1" customWidth="1"/>
    <col min="15" max="15" width="17.73046875" bestFit="1" customWidth="1"/>
  </cols>
  <sheetData>
    <row r="3" spans="2:18" x14ac:dyDescent="0.45">
      <c r="B3" s="17" t="s">
        <v>46</v>
      </c>
      <c r="C3" s="17"/>
      <c r="D3" s="17"/>
      <c r="E3" s="17"/>
      <c r="F3" s="17"/>
      <c r="G3" s="17"/>
      <c r="H3" s="17"/>
      <c r="I3" s="17"/>
    </row>
    <row r="4" spans="2:18" x14ac:dyDescent="0.45">
      <c r="B4" s="17" t="s">
        <v>79</v>
      </c>
      <c r="C4" s="17"/>
      <c r="D4" s="17"/>
      <c r="E4" s="17"/>
      <c r="F4" s="17"/>
      <c r="G4" s="17"/>
      <c r="H4" s="17"/>
      <c r="I4" s="17"/>
    </row>
    <row r="5" spans="2:18" x14ac:dyDescent="0.45">
      <c r="B5" s="1" t="s">
        <v>47</v>
      </c>
      <c r="C5" s="1" t="s">
        <v>48</v>
      </c>
      <c r="D5" s="1" t="s">
        <v>49</v>
      </c>
      <c r="E5" s="1" t="s">
        <v>50</v>
      </c>
      <c r="F5" s="1" t="s">
        <v>53</v>
      </c>
    </row>
    <row r="6" spans="2:18" x14ac:dyDescent="0.45">
      <c r="B6" s="1">
        <v>1</v>
      </c>
      <c r="C6" s="9" t="s">
        <v>51</v>
      </c>
      <c r="D6" s="1" t="s">
        <v>52</v>
      </c>
      <c r="E6" s="1" t="s">
        <v>52</v>
      </c>
      <c r="F6" s="6">
        <v>2.9</v>
      </c>
    </row>
    <row r="7" spans="2:18" x14ac:dyDescent="0.45">
      <c r="B7" s="1">
        <v>2</v>
      </c>
      <c r="C7" s="9" t="s">
        <v>55</v>
      </c>
      <c r="D7" s="1" t="s">
        <v>54</v>
      </c>
      <c r="E7" s="1" t="s">
        <v>52</v>
      </c>
      <c r="F7" s="6">
        <v>2.59</v>
      </c>
    </row>
    <row r="8" spans="2:18" x14ac:dyDescent="0.45">
      <c r="B8" s="1">
        <v>3</v>
      </c>
      <c r="C8" s="9" t="s">
        <v>57</v>
      </c>
      <c r="D8" s="1" t="s">
        <v>52</v>
      </c>
      <c r="E8" s="1" t="s">
        <v>54</v>
      </c>
      <c r="F8" s="6">
        <v>2.52</v>
      </c>
    </row>
    <row r="9" spans="2:18" x14ac:dyDescent="0.45">
      <c r="B9" s="1">
        <v>4</v>
      </c>
      <c r="C9" s="9" t="s">
        <v>58</v>
      </c>
      <c r="D9" s="1" t="s">
        <v>52</v>
      </c>
      <c r="E9" s="1" t="s">
        <v>54</v>
      </c>
      <c r="F9" s="6">
        <v>2.25</v>
      </c>
    </row>
    <row r="10" spans="2:18" x14ac:dyDescent="0.45">
      <c r="B10" s="1">
        <v>5</v>
      </c>
      <c r="C10" s="9" t="s">
        <v>59</v>
      </c>
      <c r="D10" s="1" t="s">
        <v>52</v>
      </c>
      <c r="E10" s="1" t="s">
        <v>54</v>
      </c>
      <c r="F10" s="6">
        <v>1.93</v>
      </c>
    </row>
    <row r="11" spans="2:18" x14ac:dyDescent="0.45">
      <c r="B11" s="1">
        <v>6</v>
      </c>
      <c r="C11" s="9" t="s">
        <v>56</v>
      </c>
      <c r="D11" s="1" t="s">
        <v>54</v>
      </c>
      <c r="E11" s="1" t="s">
        <v>54</v>
      </c>
      <c r="F11" s="6">
        <v>1.72</v>
      </c>
    </row>
    <row r="12" spans="2:18" x14ac:dyDescent="0.45">
      <c r="B12" s="1">
        <v>7</v>
      </c>
      <c r="C12" s="9" t="s">
        <v>60</v>
      </c>
      <c r="D12" s="1" t="s">
        <v>54</v>
      </c>
      <c r="E12" s="1" t="s">
        <v>54</v>
      </c>
      <c r="F12" s="6">
        <v>1.45</v>
      </c>
    </row>
    <row r="13" spans="2:18" x14ac:dyDescent="0.45">
      <c r="B13" s="1">
        <v>8</v>
      </c>
      <c r="C13" s="9" t="s">
        <v>61</v>
      </c>
      <c r="D13" s="1" t="s">
        <v>54</v>
      </c>
      <c r="E13" s="1" t="s">
        <v>54</v>
      </c>
      <c r="F13" s="6">
        <v>1.29</v>
      </c>
    </row>
    <row r="14" spans="2:18" ht="15" customHeight="1" x14ac:dyDescent="0.45">
      <c r="B14" s="17" t="s">
        <v>80</v>
      </c>
      <c r="C14" s="17"/>
      <c r="D14" s="17"/>
      <c r="E14" s="17"/>
      <c r="F14" s="17"/>
      <c r="G14" s="17"/>
      <c r="H14" s="17"/>
      <c r="I14" s="17"/>
      <c r="K14" s="17" t="s">
        <v>82</v>
      </c>
      <c r="L14" s="17"/>
      <c r="M14" s="17"/>
      <c r="N14" s="17"/>
      <c r="O14" s="17"/>
      <c r="P14" s="17"/>
      <c r="Q14" s="17"/>
      <c r="R14" s="17"/>
    </row>
    <row r="15" spans="2:18" x14ac:dyDescent="0.45">
      <c r="B15" s="1" t="s">
        <v>47</v>
      </c>
      <c r="C15" s="1" t="s">
        <v>48</v>
      </c>
      <c r="D15" s="1" t="s">
        <v>49</v>
      </c>
      <c r="E15" s="1" t="s">
        <v>50</v>
      </c>
      <c r="F15" s="1" t="s">
        <v>53</v>
      </c>
      <c r="K15" s="1" t="s">
        <v>47</v>
      </c>
      <c r="L15" s="1" t="s">
        <v>48</v>
      </c>
      <c r="M15" s="1" t="s">
        <v>49</v>
      </c>
      <c r="N15" s="1" t="s">
        <v>50</v>
      </c>
      <c r="O15" s="1" t="s">
        <v>53</v>
      </c>
    </row>
    <row r="16" spans="2:18" x14ac:dyDescent="0.45">
      <c r="B16" s="1">
        <v>1</v>
      </c>
      <c r="C16" s="9" t="s">
        <v>51</v>
      </c>
      <c r="D16" s="1" t="s">
        <v>52</v>
      </c>
      <c r="E16" s="1" t="s">
        <v>52</v>
      </c>
      <c r="F16" s="6">
        <v>0.87</v>
      </c>
      <c r="H16" s="6"/>
      <c r="K16" s="1">
        <v>1</v>
      </c>
      <c r="L16" s="9" t="s">
        <v>51</v>
      </c>
      <c r="M16" s="1" t="s">
        <v>52</v>
      </c>
      <c r="N16" s="1" t="s">
        <v>52</v>
      </c>
      <c r="O16" s="6">
        <v>0.87</v>
      </c>
    </row>
    <row r="17" spans="2:15" x14ac:dyDescent="0.45">
      <c r="B17" s="1">
        <v>2</v>
      </c>
      <c r="C17" s="9" t="s">
        <v>55</v>
      </c>
      <c r="D17" s="1" t="s">
        <v>54</v>
      </c>
      <c r="E17" s="1" t="s">
        <v>52</v>
      </c>
      <c r="F17" s="6">
        <v>1.0722712512955987</v>
      </c>
      <c r="H17" s="6"/>
      <c r="K17" s="1">
        <v>2</v>
      </c>
      <c r="L17" s="9" t="s">
        <v>55</v>
      </c>
      <c r="M17" s="1" t="s">
        <v>54</v>
      </c>
      <c r="N17" s="1" t="s">
        <v>52</v>
      </c>
      <c r="O17" s="6">
        <v>1.1399999999999999</v>
      </c>
    </row>
    <row r="18" spans="2:15" x14ac:dyDescent="0.45">
      <c r="B18" s="1">
        <v>3</v>
      </c>
      <c r="C18" s="9" t="s">
        <v>57</v>
      </c>
      <c r="D18" s="1" t="s">
        <v>52</v>
      </c>
      <c r="E18" s="1" t="s">
        <v>54</v>
      </c>
      <c r="F18" s="6">
        <v>0.88476210488201756</v>
      </c>
      <c r="H18" s="6"/>
      <c r="K18" s="1">
        <v>3</v>
      </c>
      <c r="L18" s="9" t="s">
        <v>57</v>
      </c>
      <c r="M18" s="1" t="s">
        <v>52</v>
      </c>
      <c r="N18" s="1" t="s">
        <v>54</v>
      </c>
      <c r="O18" s="6">
        <v>0.7561436672967865</v>
      </c>
    </row>
    <row r="19" spans="2:15" x14ac:dyDescent="0.45">
      <c r="B19" s="1">
        <v>4</v>
      </c>
      <c r="C19" s="9" t="s">
        <v>58</v>
      </c>
      <c r="D19" s="1" t="s">
        <v>52</v>
      </c>
      <c r="E19" s="1" t="s">
        <v>54</v>
      </c>
      <c r="F19" s="6">
        <v>0.81112138013505175</v>
      </c>
      <c r="H19" s="6"/>
      <c r="K19" s="1">
        <v>4</v>
      </c>
      <c r="L19" s="9" t="s">
        <v>58</v>
      </c>
      <c r="M19" s="1" t="s">
        <v>52</v>
      </c>
      <c r="N19" s="1" t="s">
        <v>54</v>
      </c>
      <c r="O19" s="6">
        <v>0.57971014492753636</v>
      </c>
    </row>
    <row r="20" spans="2:15" x14ac:dyDescent="0.45">
      <c r="B20" s="1">
        <v>5</v>
      </c>
      <c r="C20" s="9" t="s">
        <v>59</v>
      </c>
      <c r="D20" s="1" t="s">
        <v>52</v>
      </c>
      <c r="E20" s="1" t="s">
        <v>54</v>
      </c>
      <c r="F20" s="6">
        <v>0.76209032814474964</v>
      </c>
      <c r="H20" s="6"/>
      <c r="K20" s="1">
        <v>5</v>
      </c>
      <c r="L20" s="9" t="s">
        <v>59</v>
      </c>
      <c r="M20" s="1" t="s">
        <v>52</v>
      </c>
      <c r="N20" s="1" t="s">
        <v>54</v>
      </c>
      <c r="O20" s="6">
        <v>0.43478260869565222</v>
      </c>
    </row>
    <row r="21" spans="2:15" x14ac:dyDescent="0.45">
      <c r="B21" s="1">
        <v>6</v>
      </c>
      <c r="C21" s="9" t="s">
        <v>56</v>
      </c>
      <c r="D21" s="1" t="s">
        <v>54</v>
      </c>
      <c r="E21" s="1" t="s">
        <v>54</v>
      </c>
      <c r="F21" s="6">
        <v>0.99750043303896485</v>
      </c>
      <c r="H21" s="6"/>
      <c r="K21" s="1">
        <v>6</v>
      </c>
      <c r="L21" s="9" t="s">
        <v>56</v>
      </c>
      <c r="M21" s="1" t="s">
        <v>54</v>
      </c>
      <c r="N21" s="1" t="s">
        <v>54</v>
      </c>
      <c r="O21" s="6">
        <v>0.99492587802208754</v>
      </c>
    </row>
    <row r="22" spans="2:15" x14ac:dyDescent="0.45">
      <c r="B22" s="1">
        <v>7</v>
      </c>
      <c r="C22" s="9" t="s">
        <v>60</v>
      </c>
      <c r="D22" s="1" t="s">
        <v>54</v>
      </c>
      <c r="E22" s="1" t="s">
        <v>54</v>
      </c>
      <c r="F22" s="6">
        <v>0.88773053857591477</v>
      </c>
      <c r="H22" s="6"/>
      <c r="K22" s="1">
        <v>7</v>
      </c>
      <c r="L22" s="9" t="s">
        <v>60</v>
      </c>
      <c r="M22" s="1" t="s">
        <v>54</v>
      </c>
      <c r="N22" s="1" t="s">
        <v>54</v>
      </c>
      <c r="O22" s="6">
        <v>0.76277650648360051</v>
      </c>
    </row>
    <row r="23" spans="2:15" x14ac:dyDescent="0.45">
      <c r="B23" s="1">
        <v>8</v>
      </c>
      <c r="C23" s="9" t="s">
        <v>61</v>
      </c>
      <c r="D23" s="1" t="s">
        <v>54</v>
      </c>
      <c r="E23" s="1" t="s">
        <v>54</v>
      </c>
      <c r="F23" s="6">
        <v>0.80822575569713095</v>
      </c>
      <c r="H23" s="6"/>
      <c r="K23" s="1">
        <v>8</v>
      </c>
      <c r="L23" s="9" t="s">
        <v>61</v>
      </c>
      <c r="M23" s="1" t="s">
        <v>54</v>
      </c>
      <c r="N23" s="1" t="s">
        <v>54</v>
      </c>
      <c r="O23" s="6">
        <v>0.57208237986270027</v>
      </c>
    </row>
    <row r="25" spans="2:15" x14ac:dyDescent="0.45">
      <c r="C25" s="18" t="s">
        <v>81</v>
      </c>
      <c r="D25" s="18"/>
      <c r="E25" s="18"/>
      <c r="F25" s="18"/>
    </row>
    <row r="26" spans="2:15" x14ac:dyDescent="0.45">
      <c r="C26" s="18"/>
      <c r="D26" s="18"/>
      <c r="E26" s="18"/>
      <c r="F26" s="18"/>
    </row>
    <row r="27" spans="2:15" x14ac:dyDescent="0.45">
      <c r="C27" s="18"/>
      <c r="D27" s="18"/>
      <c r="E27" s="18"/>
      <c r="F27" s="18"/>
    </row>
    <row r="28" spans="2:15" ht="15" customHeight="1" x14ac:dyDescent="0.45">
      <c r="C28" s="18"/>
      <c r="D28" s="18"/>
      <c r="E28" s="18"/>
      <c r="F28" s="18"/>
    </row>
    <row r="29" spans="2:15" x14ac:dyDescent="0.45">
      <c r="C29" s="18"/>
      <c r="D29" s="18"/>
      <c r="E29" s="18"/>
      <c r="F29" s="18"/>
    </row>
    <row r="30" spans="2:15" x14ac:dyDescent="0.45">
      <c r="C30" s="18"/>
      <c r="D30" s="18"/>
      <c r="E30" s="18"/>
      <c r="F30" s="18"/>
      <c r="L30">
        <v>1.0722712512955987</v>
      </c>
      <c r="M30" t="s">
        <v>71</v>
      </c>
    </row>
    <row r="31" spans="2:15" x14ac:dyDescent="0.45">
      <c r="C31" s="18"/>
      <c r="D31" s="18"/>
      <c r="E31" s="18"/>
      <c r="F31" s="18"/>
    </row>
    <row r="32" spans="2:15" x14ac:dyDescent="0.45">
      <c r="C32" s="18"/>
      <c r="D32" s="18"/>
      <c r="E32" s="18"/>
      <c r="F32" s="18"/>
    </row>
    <row r="33" spans="12:13" x14ac:dyDescent="0.45">
      <c r="L33">
        <v>0.88476210488201756</v>
      </c>
      <c r="M33" t="s">
        <v>42</v>
      </c>
    </row>
    <row r="34" spans="12:13" x14ac:dyDescent="0.45">
      <c r="L34">
        <v>0.81112138013505175</v>
      </c>
      <c r="M34" t="s">
        <v>42</v>
      </c>
    </row>
    <row r="35" spans="12:13" x14ac:dyDescent="0.45">
      <c r="L35">
        <v>0.76209032814474964</v>
      </c>
      <c r="M35" t="s">
        <v>42</v>
      </c>
    </row>
    <row r="37" spans="12:13" x14ac:dyDescent="0.45">
      <c r="L37">
        <v>0.99750043303896485</v>
      </c>
      <c r="M37" t="s">
        <v>43</v>
      </c>
    </row>
    <row r="38" spans="12:13" x14ac:dyDescent="0.45">
      <c r="L38">
        <v>0.88773053857591477</v>
      </c>
      <c r="M38" t="s">
        <v>43</v>
      </c>
    </row>
    <row r="39" spans="12:13" x14ac:dyDescent="0.45">
      <c r="L39">
        <v>0.80822575569713095</v>
      </c>
      <c r="M39" t="s">
        <v>43</v>
      </c>
    </row>
  </sheetData>
  <mergeCells count="5">
    <mergeCell ref="B4:I4"/>
    <mergeCell ref="B3:I3"/>
    <mergeCell ref="B14:I14"/>
    <mergeCell ref="C25:F32"/>
    <mergeCell ref="K14:R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A1C82-167E-41AB-AB65-9452262BFF8C}">
  <dimension ref="A2:AF28"/>
  <sheetViews>
    <sheetView topLeftCell="B1" zoomScale="70" zoomScaleNormal="70" workbookViewId="0">
      <selection activeCell="AF22" sqref="AF22"/>
    </sheetView>
  </sheetViews>
  <sheetFormatPr baseColWidth="10" defaultColWidth="9.06640625" defaultRowHeight="14.25" x14ac:dyDescent="0.45"/>
  <cols>
    <col min="1" max="1" width="19.73046875" bestFit="1" customWidth="1"/>
    <col min="2" max="2" width="35.73046875" customWidth="1"/>
    <col min="3" max="3" width="9.265625" customWidth="1"/>
    <col min="5" max="5" width="22.1328125" bestFit="1" customWidth="1"/>
    <col min="7" max="9" width="14.86328125" bestFit="1" customWidth="1"/>
    <col min="18" max="18" width="10" style="1" customWidth="1"/>
    <col min="28" max="28" width="13.73046875" customWidth="1"/>
  </cols>
  <sheetData>
    <row r="2" spans="1:32" x14ac:dyDescent="0.45">
      <c r="A2" s="19" t="s">
        <v>92</v>
      </c>
      <c r="B2" s="19"/>
    </row>
    <row r="3" spans="1:32" x14ac:dyDescent="0.45">
      <c r="B3" s="16" t="s">
        <v>85</v>
      </c>
      <c r="E3" t="s">
        <v>37</v>
      </c>
      <c r="F3">
        <v>237</v>
      </c>
      <c r="G3" t="s">
        <v>97</v>
      </c>
      <c r="H3" t="s">
        <v>98</v>
      </c>
      <c r="I3" t="s">
        <v>99</v>
      </c>
    </row>
    <row r="4" spans="1:32" x14ac:dyDescent="0.45">
      <c r="B4" t="s">
        <v>0</v>
      </c>
      <c r="C4">
        <v>1</v>
      </c>
      <c r="E4" t="s">
        <v>38</v>
      </c>
      <c r="F4">
        <v>40</v>
      </c>
      <c r="G4">
        <f>F4*C9</f>
        <v>40</v>
      </c>
      <c r="H4">
        <f>F4*1.5</f>
        <v>60</v>
      </c>
      <c r="I4">
        <f>F4*2</f>
        <v>80</v>
      </c>
    </row>
    <row r="5" spans="1:32" x14ac:dyDescent="0.45">
      <c r="B5" t="s">
        <v>1</v>
      </c>
      <c r="C5">
        <v>1</v>
      </c>
      <c r="E5" t="s">
        <v>39</v>
      </c>
      <c r="F5">
        <v>14</v>
      </c>
    </row>
    <row r="6" spans="1:32" x14ac:dyDescent="0.45">
      <c r="B6" t="s">
        <v>2</v>
      </c>
      <c r="C6">
        <f>10</f>
        <v>10</v>
      </c>
    </row>
    <row r="7" spans="1:32" x14ac:dyDescent="0.45">
      <c r="B7" t="s">
        <v>3</v>
      </c>
      <c r="C7">
        <v>300</v>
      </c>
    </row>
    <row r="8" spans="1:32" x14ac:dyDescent="0.45">
      <c r="B8" t="s">
        <v>28</v>
      </c>
      <c r="C8">
        <v>40</v>
      </c>
    </row>
    <row r="9" spans="1:32" x14ac:dyDescent="0.45">
      <c r="B9" t="s">
        <v>100</v>
      </c>
      <c r="C9">
        <v>1</v>
      </c>
    </row>
    <row r="11" spans="1:32" x14ac:dyDescent="0.45">
      <c r="C11" t="s">
        <v>4</v>
      </c>
      <c r="D11" t="s">
        <v>5</v>
      </c>
      <c r="E11" t="s">
        <v>6</v>
      </c>
      <c r="F11" t="s">
        <v>7</v>
      </c>
      <c r="G11" t="s">
        <v>8</v>
      </c>
      <c r="H11" t="s">
        <v>9</v>
      </c>
      <c r="I11" t="s">
        <v>10</v>
      </c>
      <c r="J11" t="s">
        <v>11</v>
      </c>
      <c r="K11" t="s">
        <v>12</v>
      </c>
      <c r="L11" t="s">
        <v>13</v>
      </c>
      <c r="M11" t="s">
        <v>14</v>
      </c>
      <c r="N11" t="s">
        <v>15</v>
      </c>
      <c r="O11" t="s">
        <v>16</v>
      </c>
      <c r="P11" t="s">
        <v>17</v>
      </c>
      <c r="Q11" t="s">
        <v>18</v>
      </c>
      <c r="R11" t="s">
        <v>19</v>
      </c>
      <c r="S11" t="s">
        <v>20</v>
      </c>
      <c r="T11" t="s">
        <v>21</v>
      </c>
      <c r="U11" t="s">
        <v>22</v>
      </c>
      <c r="V11" t="s">
        <v>23</v>
      </c>
      <c r="W11" t="s">
        <v>24</v>
      </c>
      <c r="X11" t="s">
        <v>25</v>
      </c>
      <c r="Y11" t="s">
        <v>26</v>
      </c>
      <c r="Z11" t="s">
        <v>27</v>
      </c>
      <c r="AA11" s="9" t="s">
        <v>30</v>
      </c>
      <c r="AC11" t="s">
        <v>33</v>
      </c>
      <c r="AE11" s="1" t="s">
        <v>34</v>
      </c>
    </row>
    <row r="12" spans="1:32" x14ac:dyDescent="0.45">
      <c r="B12" t="s">
        <v>93</v>
      </c>
      <c r="C12">
        <v>13.65</v>
      </c>
      <c r="D12">
        <v>13.65</v>
      </c>
      <c r="E12">
        <v>13.65</v>
      </c>
      <c r="R12"/>
      <c r="AA12">
        <f>SUM(C12:Z12)</f>
        <v>40.950000000000003</v>
      </c>
      <c r="AC12">
        <f>SUM(C12:N12)</f>
        <v>40.950000000000003</v>
      </c>
      <c r="AE12" s="15">
        <f>(AC13/2)/AC12</f>
        <v>2.9059829059829045</v>
      </c>
      <c r="AF12" t="s">
        <v>40</v>
      </c>
    </row>
    <row r="13" spans="1:32" x14ac:dyDescent="0.45">
      <c r="B13" t="s">
        <v>94</v>
      </c>
      <c r="C13">
        <f>119/12</f>
        <v>9.9166666666666661</v>
      </c>
      <c r="D13">
        <f t="shared" ref="D13:Z13" si="0">119/12</f>
        <v>9.9166666666666661</v>
      </c>
      <c r="E13">
        <f t="shared" si="0"/>
        <v>9.9166666666666661</v>
      </c>
      <c r="F13">
        <f t="shared" si="0"/>
        <v>9.9166666666666661</v>
      </c>
      <c r="G13">
        <f t="shared" si="0"/>
        <v>9.9166666666666661</v>
      </c>
      <c r="H13">
        <f t="shared" si="0"/>
        <v>9.9166666666666661</v>
      </c>
      <c r="I13">
        <f t="shared" si="0"/>
        <v>9.9166666666666661</v>
      </c>
      <c r="J13">
        <f t="shared" si="0"/>
        <v>9.9166666666666661</v>
      </c>
      <c r="K13">
        <f t="shared" si="0"/>
        <v>9.9166666666666661</v>
      </c>
      <c r="L13">
        <f t="shared" si="0"/>
        <v>9.9166666666666661</v>
      </c>
      <c r="M13">
        <f t="shared" si="0"/>
        <v>9.9166666666666661</v>
      </c>
      <c r="N13">
        <f t="shared" si="0"/>
        <v>9.9166666666666661</v>
      </c>
      <c r="O13">
        <f t="shared" si="0"/>
        <v>9.9166666666666661</v>
      </c>
      <c r="P13">
        <f t="shared" si="0"/>
        <v>9.9166666666666661</v>
      </c>
      <c r="Q13">
        <f t="shared" si="0"/>
        <v>9.9166666666666661</v>
      </c>
      <c r="R13">
        <f t="shared" si="0"/>
        <v>9.9166666666666661</v>
      </c>
      <c r="S13">
        <f t="shared" si="0"/>
        <v>9.9166666666666661</v>
      </c>
      <c r="T13">
        <f t="shared" si="0"/>
        <v>9.9166666666666661</v>
      </c>
      <c r="U13">
        <f t="shared" si="0"/>
        <v>9.9166666666666661</v>
      </c>
      <c r="V13">
        <f t="shared" si="0"/>
        <v>9.9166666666666661</v>
      </c>
      <c r="W13">
        <f t="shared" si="0"/>
        <v>9.9166666666666661</v>
      </c>
      <c r="X13">
        <f t="shared" si="0"/>
        <v>9.9166666666666661</v>
      </c>
      <c r="Y13">
        <f t="shared" si="0"/>
        <v>9.9166666666666661</v>
      </c>
      <c r="Z13">
        <f t="shared" si="0"/>
        <v>9.9166666666666661</v>
      </c>
      <c r="AA13">
        <f>SUM(C13:Z13)</f>
        <v>237.99999999999991</v>
      </c>
      <c r="AC13">
        <f>SUM(C13:Z13)</f>
        <v>237.99999999999991</v>
      </c>
      <c r="AE13" s="2">
        <f>(AC13/2)/F4</f>
        <v>2.9749999999999988</v>
      </c>
      <c r="AF13" t="s">
        <v>41</v>
      </c>
    </row>
    <row r="14" spans="1:32" x14ac:dyDescent="0.45">
      <c r="AE14" s="1"/>
    </row>
    <row r="15" spans="1:32" x14ac:dyDescent="0.45">
      <c r="B15" t="s">
        <v>101</v>
      </c>
      <c r="C15">
        <f>C13</f>
        <v>9.9166666666666661</v>
      </c>
      <c r="D15">
        <f>D13*$C$5*($C$4^(1/12))</f>
        <v>9.9166666666666661</v>
      </c>
      <c r="E15">
        <f>E13*$C$5*($C$4^(2/12))</f>
        <v>9.9166666666666661</v>
      </c>
      <c r="F15">
        <f>F13*$C$5*($C$4^(3/12))</f>
        <v>9.9166666666666661</v>
      </c>
      <c r="G15">
        <f>G13*$C$5*($C$4^(4/12))</f>
        <v>9.9166666666666661</v>
      </c>
      <c r="H15">
        <f>H13*$C$5*($C$4^(5/12))</f>
        <v>9.9166666666666661</v>
      </c>
      <c r="I15">
        <f>I13*$C$5*($C$4^(6/12))</f>
        <v>9.9166666666666661</v>
      </c>
      <c r="J15">
        <f>J13*$C$5*($C$4^(7/12))</f>
        <v>9.9166666666666661</v>
      </c>
      <c r="K15">
        <f>K13*$C$5*($C$4^(8/12))</f>
        <v>9.9166666666666661</v>
      </c>
      <c r="L15">
        <f>L13*$C$5*($C$4^(9/12))</f>
        <v>9.9166666666666661</v>
      </c>
      <c r="M15">
        <f>M13*$C$5*($C$4^(10/12))</f>
        <v>9.9166666666666661</v>
      </c>
      <c r="N15">
        <f>N13*$C$5*($C$4^(11/12))</f>
        <v>9.9166666666666661</v>
      </c>
      <c r="O15">
        <f>O13*$C$5*($C$4^(12/12))</f>
        <v>9.9166666666666661</v>
      </c>
      <c r="P15">
        <f>P13*$C$5*($C$4^(13/12))</f>
        <v>9.9166666666666661</v>
      </c>
      <c r="Q15">
        <f>Q13*$C$5*($C$4^(14/12))</f>
        <v>9.9166666666666661</v>
      </c>
      <c r="R15">
        <f>R13*$C$5*($C$4^(15/12))</f>
        <v>9.9166666666666661</v>
      </c>
      <c r="S15">
        <f>S13*$C$5*($C$4^(16/12))</f>
        <v>9.9166666666666661</v>
      </c>
      <c r="T15">
        <f>T13*$C$5*($C$4^(17/12))</f>
        <v>9.9166666666666661</v>
      </c>
      <c r="U15">
        <f>U13*$C$5*($C$4^(18/12))</f>
        <v>9.9166666666666661</v>
      </c>
      <c r="V15">
        <f>V13*$C$5*($C$4^(19/12))</f>
        <v>9.9166666666666661</v>
      </c>
      <c r="W15">
        <f>W13*$C$5*($C$4^(20/12))</f>
        <v>9.9166666666666661</v>
      </c>
      <c r="X15">
        <f>X13*$C$5*($C$4^(21/12))</f>
        <v>9.9166666666666661</v>
      </c>
      <c r="Y15">
        <f>Y13*$C$5*($C$4^(22/12))</f>
        <v>9.9166666666666661</v>
      </c>
      <c r="Z15">
        <f>Z13*$C$5*($C$4^(23/12))</f>
        <v>9.9166666666666661</v>
      </c>
      <c r="AA15">
        <f>SUM(C15:Z15)</f>
        <v>237.99999999999991</v>
      </c>
      <c r="AC15">
        <f>SUM(C15:Z15)</f>
        <v>237.99999999999991</v>
      </c>
      <c r="AE15" s="14">
        <f>(AC15/2)/AC16</f>
        <v>2.9059829059829045</v>
      </c>
      <c r="AF15" t="s">
        <v>40</v>
      </c>
    </row>
    <row r="16" spans="1:32" x14ac:dyDescent="0.45">
      <c r="B16" t="s">
        <v>102</v>
      </c>
      <c r="C16">
        <f>C12</f>
        <v>13.65</v>
      </c>
      <c r="D16">
        <f>D12*$C$5*($C$4^(1/12))</f>
        <v>13.65</v>
      </c>
      <c r="E16">
        <f>E12*$C$5*($C$4^(2/12))</f>
        <v>13.65</v>
      </c>
      <c r="F16">
        <f t="shared" ref="F16:N16" si="1">F12*$C$5*($C$4^(1/12))</f>
        <v>0</v>
      </c>
      <c r="G16">
        <f t="shared" si="1"/>
        <v>0</v>
      </c>
      <c r="H16">
        <f t="shared" si="1"/>
        <v>0</v>
      </c>
      <c r="I16">
        <f t="shared" si="1"/>
        <v>0</v>
      </c>
      <c r="J16">
        <f t="shared" si="1"/>
        <v>0</v>
      </c>
      <c r="K16">
        <f t="shared" si="1"/>
        <v>0</v>
      </c>
      <c r="L16">
        <f t="shared" si="1"/>
        <v>0</v>
      </c>
      <c r="M16">
        <f t="shared" si="1"/>
        <v>0</v>
      </c>
      <c r="N16">
        <f t="shared" si="1"/>
        <v>0</v>
      </c>
      <c r="AA16">
        <f>SUM(C16:Z16)</f>
        <v>40.950000000000003</v>
      </c>
      <c r="AC16">
        <f>SUM(C16:N16)</f>
        <v>40.950000000000003</v>
      </c>
      <c r="AE16" s="2">
        <f>(AC15/2)/40</f>
        <v>2.9749999999999988</v>
      </c>
      <c r="AF16" t="s">
        <v>41</v>
      </c>
    </row>
    <row r="17" spans="2:32" x14ac:dyDescent="0.45">
      <c r="AE17" s="1"/>
    </row>
    <row r="18" spans="2:32" x14ac:dyDescent="0.45">
      <c r="B18" t="s">
        <v>95</v>
      </c>
      <c r="C18">
        <f>C12*1.15</f>
        <v>15.6975</v>
      </c>
      <c r="D18">
        <f>D12*1.15</f>
        <v>15.6975</v>
      </c>
      <c r="E18">
        <f>E12*1.15</f>
        <v>15.6975</v>
      </c>
      <c r="AB18" t="s">
        <v>89</v>
      </c>
      <c r="AC18">
        <f t="shared" ref="AC18:AC23" si="2">SUM(C18:N18)</f>
        <v>47.092500000000001</v>
      </c>
      <c r="AE18" s="14">
        <f>AC13/2/AC18</f>
        <v>2.5269416573764389</v>
      </c>
      <c r="AF18" t="s">
        <v>42</v>
      </c>
    </row>
    <row r="19" spans="2:32" s="3" customFormat="1" x14ac:dyDescent="0.45">
      <c r="B19" s="3" t="s">
        <v>96</v>
      </c>
      <c r="C19" s="3">
        <f>C18</f>
        <v>15.6975</v>
      </c>
      <c r="D19" s="3">
        <f>D18*$C$5*($C$4^(1/12))</f>
        <v>15.6975</v>
      </c>
      <c r="E19" s="3">
        <f>E18*$C$5*($C$4^(2/12))</f>
        <v>15.6975</v>
      </c>
      <c r="R19" s="4"/>
      <c r="AB19" s="3" t="s">
        <v>89</v>
      </c>
      <c r="AC19" s="3">
        <f t="shared" si="2"/>
        <v>47.092500000000001</v>
      </c>
      <c r="AE19" s="14">
        <f>(AC15/2)/AC19</f>
        <v>2.5269416573764389</v>
      </c>
      <c r="AF19" s="3" t="s">
        <v>43</v>
      </c>
    </row>
    <row r="20" spans="2:32" x14ac:dyDescent="0.45">
      <c r="B20" t="s">
        <v>90</v>
      </c>
      <c r="C20">
        <f>C12*1.5</f>
        <v>20.475000000000001</v>
      </c>
      <c r="D20">
        <f>D12*1.5</f>
        <v>20.475000000000001</v>
      </c>
      <c r="E20">
        <f>E12*1.5</f>
        <v>20.475000000000001</v>
      </c>
      <c r="AB20" t="s">
        <v>90</v>
      </c>
      <c r="AC20">
        <f t="shared" si="2"/>
        <v>61.425000000000004</v>
      </c>
      <c r="AE20" s="2">
        <f>AC13/2/AC20</f>
        <v>1.9373219373219366</v>
      </c>
      <c r="AF20" t="s">
        <v>42</v>
      </c>
    </row>
    <row r="21" spans="2:32" s="3" customFormat="1" x14ac:dyDescent="0.45">
      <c r="B21" s="3" t="s">
        <v>32</v>
      </c>
      <c r="C21" s="3">
        <f>C20</f>
        <v>20.475000000000001</v>
      </c>
      <c r="D21" s="3">
        <f>D20*$C$5*($C$4^(1/12))</f>
        <v>20.475000000000001</v>
      </c>
      <c r="E21" s="3">
        <f>E20*$C$5*($C$4^(2/12))</f>
        <v>20.475000000000001</v>
      </c>
      <c r="R21" s="4"/>
      <c r="AB21" s="3" t="s">
        <v>90</v>
      </c>
      <c r="AC21" s="3">
        <f t="shared" si="2"/>
        <v>61.425000000000004</v>
      </c>
      <c r="AE21" s="5">
        <f>(AC15/2)/AC21</f>
        <v>1.9373219373219366</v>
      </c>
      <c r="AF21" s="3" t="s">
        <v>43</v>
      </c>
    </row>
    <row r="22" spans="2:32" x14ac:dyDescent="0.45">
      <c r="B22" t="s">
        <v>91</v>
      </c>
      <c r="C22">
        <f>C16*2</f>
        <v>27.3</v>
      </c>
      <c r="D22">
        <f t="shared" ref="D22:E22" si="3">D16*2</f>
        <v>27.3</v>
      </c>
      <c r="E22">
        <f t="shared" si="3"/>
        <v>27.3</v>
      </c>
      <c r="AB22" t="s">
        <v>91</v>
      </c>
      <c r="AC22">
        <f t="shared" si="2"/>
        <v>81.900000000000006</v>
      </c>
      <c r="AE22" s="2">
        <f>AC13/2/AC22</f>
        <v>1.4529914529914523</v>
      </c>
      <c r="AF22" t="s">
        <v>42</v>
      </c>
    </row>
    <row r="23" spans="2:32" s="3" customFormat="1" x14ac:dyDescent="0.45">
      <c r="B23" s="3" t="s">
        <v>32</v>
      </c>
      <c r="C23" s="3">
        <f>C22</f>
        <v>27.3</v>
      </c>
      <c r="D23" s="3">
        <f>D22*$C$5*($C$4^(1/12))</f>
        <v>27.3</v>
      </c>
      <c r="E23" s="3">
        <f>E22*$C$5*($C$4^(2/12))</f>
        <v>27.3</v>
      </c>
      <c r="R23" s="4"/>
      <c r="AB23" s="3" t="s">
        <v>91</v>
      </c>
      <c r="AC23" s="3">
        <f t="shared" si="2"/>
        <v>81.900000000000006</v>
      </c>
      <c r="AE23" s="14">
        <f>(AC15/2)/AC23</f>
        <v>1.4529914529914523</v>
      </c>
      <c r="AF23" s="3" t="s">
        <v>43</v>
      </c>
    </row>
    <row r="26" spans="2:32" x14ac:dyDescent="0.45">
      <c r="C26" t="s">
        <v>45</v>
      </c>
    </row>
    <row r="27" spans="2:32" x14ac:dyDescent="0.45">
      <c r="C27" t="s">
        <v>44</v>
      </c>
    </row>
    <row r="28" spans="2:32" x14ac:dyDescent="0.45">
      <c r="C28" t="s">
        <v>103</v>
      </c>
    </row>
  </sheetData>
  <mergeCells count="1">
    <mergeCell ref="A2:B2"/>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DA3EA-1994-4626-B1CF-7F3FEB692DAE}">
  <dimension ref="B2:AF55"/>
  <sheetViews>
    <sheetView tabSelected="1" topLeftCell="A28" zoomScale="85" zoomScaleNormal="85" workbookViewId="0">
      <selection activeCell="O12" sqref="O12"/>
    </sheetView>
  </sheetViews>
  <sheetFormatPr baseColWidth="10" defaultColWidth="9.06640625" defaultRowHeight="14.25" x14ac:dyDescent="0.45"/>
  <cols>
    <col min="2" max="2" width="24" customWidth="1"/>
    <col min="3" max="3" width="26.265625" customWidth="1"/>
    <col min="4" max="4" width="9.265625" customWidth="1"/>
    <col min="8" max="8" width="12.265625" bestFit="1" customWidth="1"/>
    <col min="10" max="10" width="20.73046875" customWidth="1"/>
    <col min="19" max="19" width="10" style="1" customWidth="1"/>
    <col min="29" max="29" width="12.73046875" bestFit="1" customWidth="1"/>
  </cols>
  <sheetData>
    <row r="2" spans="2:19" ht="14.45" customHeight="1" x14ac:dyDescent="0.45">
      <c r="B2" s="7" t="s">
        <v>83</v>
      </c>
      <c r="G2" s="10"/>
      <c r="H2" s="10"/>
      <c r="I2" s="10"/>
      <c r="J2" s="10"/>
      <c r="K2" s="10"/>
      <c r="S2"/>
    </row>
    <row r="3" spans="2:19" ht="18" customHeight="1" x14ac:dyDescent="0.45">
      <c r="C3" s="20" t="s">
        <v>85</v>
      </c>
      <c r="D3" s="20"/>
      <c r="F3" s="18" t="s">
        <v>86</v>
      </c>
      <c r="G3" s="18"/>
      <c r="H3" s="18"/>
      <c r="I3" s="18"/>
      <c r="J3" s="18"/>
      <c r="K3" s="10"/>
      <c r="S3"/>
    </row>
    <row r="4" spans="2:19" x14ac:dyDescent="0.45">
      <c r="C4" t="s">
        <v>84</v>
      </c>
      <c r="D4">
        <f>1</f>
        <v>1</v>
      </c>
      <c r="F4" s="18"/>
      <c r="G4" s="18"/>
      <c r="H4" s="18"/>
      <c r="I4" s="18"/>
      <c r="J4" s="18"/>
      <c r="K4" s="10"/>
      <c r="S4"/>
    </row>
    <row r="5" spans="2:19" x14ac:dyDescent="0.45">
      <c r="C5" t="s">
        <v>1</v>
      </c>
      <c r="D5">
        <f>0.8</f>
        <v>0.8</v>
      </c>
      <c r="F5" s="18"/>
      <c r="G5" s="18"/>
      <c r="H5" s="18"/>
      <c r="I5" s="18"/>
      <c r="J5" s="18"/>
      <c r="K5" s="10"/>
      <c r="S5"/>
    </row>
    <row r="6" spans="2:19" x14ac:dyDescent="0.45">
      <c r="C6" t="s">
        <v>2</v>
      </c>
      <c r="D6">
        <f>15</f>
        <v>15</v>
      </c>
      <c r="F6" s="18"/>
      <c r="G6" s="18"/>
      <c r="H6" s="18"/>
      <c r="I6" s="18"/>
      <c r="J6" s="18"/>
      <c r="K6" s="10"/>
      <c r="S6"/>
    </row>
    <row r="7" spans="2:19" x14ac:dyDescent="0.45">
      <c r="C7" t="s">
        <v>3</v>
      </c>
      <c r="D7">
        <v>300</v>
      </c>
      <c r="S7"/>
    </row>
    <row r="8" spans="2:19" x14ac:dyDescent="0.45">
      <c r="C8" t="s">
        <v>62</v>
      </c>
      <c r="D8">
        <v>200</v>
      </c>
      <c r="S8"/>
    </row>
    <row r="9" spans="2:19" x14ac:dyDescent="0.45">
      <c r="C9" t="s">
        <v>36</v>
      </c>
      <c r="D9">
        <f>1.15</f>
        <v>1.1499999999999999</v>
      </c>
    </row>
    <row r="11" spans="2:19" s="7" customFormat="1" x14ac:dyDescent="0.45">
      <c r="B11" s="7" t="s">
        <v>76</v>
      </c>
      <c r="C11" s="3"/>
    </row>
    <row r="12" spans="2:19" x14ac:dyDescent="0.45">
      <c r="C12" t="s">
        <v>77</v>
      </c>
      <c r="D12">
        <v>6.4000000000000003E-3</v>
      </c>
    </row>
    <row r="14" spans="2:19" x14ac:dyDescent="0.45">
      <c r="D14" t="s">
        <v>64</v>
      </c>
      <c r="E14" t="s">
        <v>65</v>
      </c>
      <c r="F14" t="s">
        <v>66</v>
      </c>
      <c r="G14" t="s">
        <v>67</v>
      </c>
      <c r="H14" t="s">
        <v>30</v>
      </c>
      <c r="J14" s="17" t="s">
        <v>68</v>
      </c>
      <c r="K14" s="17"/>
    </row>
    <row r="15" spans="2:19" x14ac:dyDescent="0.45">
      <c r="C15" t="s">
        <v>32</v>
      </c>
      <c r="D15">
        <v>0</v>
      </c>
      <c r="E15">
        <f>D8*(1+D6/100)</f>
        <v>229.99999999999997</v>
      </c>
      <c r="F15">
        <f>0</f>
        <v>0</v>
      </c>
      <c r="G15">
        <f>0</f>
        <v>0</v>
      </c>
      <c r="H15">
        <f>SUM(D15:G15)</f>
        <v>229.99999999999997</v>
      </c>
      <c r="J15" s="2">
        <f>(30/200)*365/(14)</f>
        <v>3.9107142857142856</v>
      </c>
      <c r="K15" t="s">
        <v>29</v>
      </c>
    </row>
    <row r="16" spans="2:19" x14ac:dyDescent="0.45">
      <c r="J16" s="2"/>
    </row>
    <row r="17" spans="3:19" x14ac:dyDescent="0.45">
      <c r="J17" t="s">
        <v>69</v>
      </c>
    </row>
    <row r="18" spans="3:19" x14ac:dyDescent="0.45">
      <c r="C18" t="s">
        <v>31</v>
      </c>
      <c r="D18">
        <v>200</v>
      </c>
      <c r="J18" s="13">
        <f>D19/(1-EXP(-D12*E15))</f>
        <v>0.9369642188370928</v>
      </c>
      <c r="K18" t="s">
        <v>105</v>
      </c>
    </row>
    <row r="19" spans="3:19" x14ac:dyDescent="0.45">
      <c r="C19" t="s">
        <v>104</v>
      </c>
      <c r="D19">
        <f>1-EXP(-D12*D18)</f>
        <v>0.72196269954680581</v>
      </c>
      <c r="E19">
        <f>E17*$D$5*($D$4^(1/12))</f>
        <v>0</v>
      </c>
      <c r="F19">
        <f>F17*$D$5*($D$4^(2/12))</f>
        <v>0</v>
      </c>
      <c r="G19">
        <f>G17*$D$5*($D$4^(3/12))</f>
        <v>0</v>
      </c>
      <c r="H19">
        <f>SUM(D19:G19)</f>
        <v>0.72196269954680581</v>
      </c>
      <c r="J19" s="13">
        <f>D19/E20</f>
        <v>1.1712052735463658</v>
      </c>
      <c r="K19" t="s">
        <v>71</v>
      </c>
    </row>
    <row r="20" spans="3:19" x14ac:dyDescent="0.45">
      <c r="C20" t="s">
        <v>102</v>
      </c>
      <c r="D20">
        <f>D16</f>
        <v>0</v>
      </c>
      <c r="E20">
        <f>(1-EXP(-D12*E15))*D5*(D4^0.5)</f>
        <v>0.61642712499127472</v>
      </c>
      <c r="F20">
        <f>F16*$D$5*($D$4^(2/12))</f>
        <v>0</v>
      </c>
      <c r="G20">
        <f t="shared" ref="G20" si="0">G16*$D$5*($D$4^(1/12))</f>
        <v>0</v>
      </c>
    </row>
    <row r="21" spans="3:19" x14ac:dyDescent="0.45">
      <c r="S21" s="12"/>
    </row>
    <row r="22" spans="3:19" x14ac:dyDescent="0.45">
      <c r="C22" s="7" t="s">
        <v>35</v>
      </c>
      <c r="H22" t="s">
        <v>87</v>
      </c>
      <c r="P22" s="11" t="s">
        <v>88</v>
      </c>
    </row>
    <row r="23" spans="3:19" x14ac:dyDescent="0.45">
      <c r="C23" t="s">
        <v>89</v>
      </c>
      <c r="D23">
        <f>D20</f>
        <v>0</v>
      </c>
      <c r="E23">
        <f>1-EXP(-D12*E15*1.15)</f>
        <v>0.81599640803228013</v>
      </c>
      <c r="F23">
        <f>F20*$D$5*($D$4^(2/12))</f>
        <v>0</v>
      </c>
      <c r="H23">
        <f>(1-EXP(-$D$12*$E$15))*1.15</f>
        <v>0.88611399217495723</v>
      </c>
      <c r="J23" s="13">
        <f>D19/E23</f>
        <v>0.88476210488201756</v>
      </c>
      <c r="K23" t="s">
        <v>42</v>
      </c>
      <c r="P23" s="8">
        <f>D19/H23</f>
        <v>0.81475149464095042</v>
      </c>
    </row>
    <row r="24" spans="3:19" x14ac:dyDescent="0.45">
      <c r="C24" t="s">
        <v>90</v>
      </c>
      <c r="D24">
        <f>D22</f>
        <v>0</v>
      </c>
      <c r="E24">
        <f>1-EXP(-D12*E15*1.5)</f>
        <v>0.89007973063981982</v>
      </c>
      <c r="F24">
        <f>F22*$D$5*($D$4^(2/12))</f>
        <v>0</v>
      </c>
      <c r="H24">
        <f>(1-EXP(-$D$12*$E$15))*1.5</f>
        <v>1.15580085935864</v>
      </c>
      <c r="J24" s="8">
        <f>D19/E24</f>
        <v>0.81112138013505175</v>
      </c>
      <c r="K24" t="s">
        <v>42</v>
      </c>
      <c r="P24" s="8">
        <f>D19/H24</f>
        <v>0.62464281255806187</v>
      </c>
    </row>
    <row r="25" spans="3:19" x14ac:dyDescent="0.45">
      <c r="C25" t="s">
        <v>91</v>
      </c>
      <c r="D25">
        <f>D23</f>
        <v>0</v>
      </c>
      <c r="E25">
        <f>1-EXP(-D12*E15*2)</f>
        <v>0.94734531181411075</v>
      </c>
      <c r="F25">
        <f>F23*$D$5*($D$4^(2/12))</f>
        <v>0</v>
      </c>
      <c r="H25">
        <f>(1-EXP(-$D$12*$E$15))*2</f>
        <v>1.5410678124781867</v>
      </c>
      <c r="J25" s="8">
        <f>D19/E25</f>
        <v>0.76209032814474964</v>
      </c>
      <c r="K25" t="s">
        <v>42</v>
      </c>
      <c r="P25" s="8">
        <f>D19/H25</f>
        <v>0.4684821094185464</v>
      </c>
    </row>
    <row r="26" spans="3:19" x14ac:dyDescent="0.45">
      <c r="C26" s="7" t="s">
        <v>72</v>
      </c>
      <c r="J26" s="8"/>
    </row>
    <row r="27" spans="3:19" x14ac:dyDescent="0.45">
      <c r="C27" t="s">
        <v>89</v>
      </c>
      <c r="D27">
        <f>D25</f>
        <v>0</v>
      </c>
      <c r="E27">
        <f>(1-EXP(-D12*E15*1.15))*D5*(D4^0.5)</f>
        <v>0.6527971264258241</v>
      </c>
      <c r="F27">
        <f>F25*$D$5*($D$4^(2/12))</f>
        <v>0</v>
      </c>
      <c r="H27">
        <f>(1-EXP(-D12*E15))*1.15*D5*(D4^0.5)</f>
        <v>0.70889119373996579</v>
      </c>
      <c r="J27" s="13">
        <f>D19/E27</f>
        <v>1.1059526311025218</v>
      </c>
      <c r="K27" t="s">
        <v>43</v>
      </c>
      <c r="P27" s="8">
        <f>D19/H27</f>
        <v>1.0184393683011879</v>
      </c>
    </row>
    <row r="28" spans="3:19" x14ac:dyDescent="0.45">
      <c r="C28" t="s">
        <v>90</v>
      </c>
      <c r="D28">
        <f>D26</f>
        <v>0</v>
      </c>
      <c r="E28">
        <f>(1-EXP(-D12*E15*1.5))*D5*(D4^0.5)</f>
        <v>0.71206378451185592</v>
      </c>
      <c r="F28">
        <f>F26*$D$5*($D$4^(2/12))</f>
        <v>0</v>
      </c>
      <c r="H28">
        <f>(1-EXP(-D12*E15))*1.5*D5*(D4^0.5)</f>
        <v>0.92464068748691197</v>
      </c>
      <c r="J28" s="8">
        <f>D19/E28</f>
        <v>1.0139017251688147</v>
      </c>
      <c r="K28" t="s">
        <v>43</v>
      </c>
      <c r="P28" s="8">
        <f>D19/H28</f>
        <v>0.78080351569757733</v>
      </c>
    </row>
    <row r="29" spans="3:19" x14ac:dyDescent="0.45">
      <c r="C29" t="s">
        <v>91</v>
      </c>
      <c r="D29">
        <f>D27</f>
        <v>0</v>
      </c>
      <c r="E29">
        <f>(1-EXP(-D12*E15*2))*D5*(D4^0.5)</f>
        <v>0.75787624945128862</v>
      </c>
      <c r="F29">
        <f>F27*$D$5*($D$4^(2/12))</f>
        <v>0</v>
      </c>
      <c r="H29">
        <f>(1-EXP(-D12*E15))*2*D5*(D4^0.5)</f>
        <v>1.2328542499825494</v>
      </c>
      <c r="J29" s="13">
        <f>D19/E29</f>
        <v>0.95261291018093697</v>
      </c>
      <c r="K29" t="s">
        <v>43</v>
      </c>
      <c r="P29" s="8">
        <f>D19/H29</f>
        <v>0.58560263677318292</v>
      </c>
    </row>
    <row r="32" spans="3:19" x14ac:dyDescent="0.45">
      <c r="D32" t="s">
        <v>106</v>
      </c>
    </row>
    <row r="33" spans="2:32" x14ac:dyDescent="0.45">
      <c r="D33" t="s">
        <v>78</v>
      </c>
    </row>
    <row r="34" spans="2:32" x14ac:dyDescent="0.45">
      <c r="S34" s="12"/>
    </row>
    <row r="35" spans="2:32" s="7" customFormat="1" x14ac:dyDescent="0.45">
      <c r="B35" s="7" t="s">
        <v>63</v>
      </c>
    </row>
    <row r="36" spans="2:32" x14ac:dyDescent="0.45">
      <c r="D36" t="s">
        <v>64</v>
      </c>
      <c r="E36" t="s">
        <v>65</v>
      </c>
      <c r="F36" t="s">
        <v>66</v>
      </c>
      <c r="G36" t="s">
        <v>67</v>
      </c>
      <c r="H36" t="s">
        <v>30</v>
      </c>
      <c r="J36" s="17" t="s">
        <v>68</v>
      </c>
      <c r="K36" s="17"/>
    </row>
    <row r="37" spans="2:32" x14ac:dyDescent="0.45">
      <c r="C37" t="s">
        <v>32</v>
      </c>
      <c r="D37">
        <v>0</v>
      </c>
      <c r="E37">
        <f>D8*(1+D6/100)</f>
        <v>229.99999999999997</v>
      </c>
      <c r="F37">
        <f>0</f>
        <v>0</v>
      </c>
      <c r="G37">
        <f>0</f>
        <v>0</v>
      </c>
      <c r="H37">
        <f>SUM(D37:G37)</f>
        <v>229.99999999999997</v>
      </c>
      <c r="J37" s="2">
        <f>(30/200)*365/(14)</f>
        <v>3.9107142857142856</v>
      </c>
      <c r="K37" t="s">
        <v>29</v>
      </c>
      <c r="M37">
        <f>0.95^0.5</f>
        <v>0.97467943448089633</v>
      </c>
    </row>
    <row r="38" spans="2:32" x14ac:dyDescent="0.45">
      <c r="J38" s="2"/>
      <c r="M38">
        <f>M37*M37</f>
        <v>0.94999999999999984</v>
      </c>
    </row>
    <row r="39" spans="2:32" x14ac:dyDescent="0.45">
      <c r="J39" t="s">
        <v>69</v>
      </c>
    </row>
    <row r="40" spans="2:32" x14ac:dyDescent="0.45">
      <c r="B40">
        <f>D5*D4^0.5*230</f>
        <v>184</v>
      </c>
      <c r="C40" t="s">
        <v>31</v>
      </c>
      <c r="D40">
        <v>200</v>
      </c>
      <c r="J40" s="8">
        <f>D40/H37</f>
        <v>0.86956521739130443</v>
      </c>
    </row>
    <row r="42" spans="2:32" x14ac:dyDescent="0.45">
      <c r="C42" t="s">
        <v>70</v>
      </c>
      <c r="D42">
        <v>200</v>
      </c>
      <c r="E42">
        <f>E39*$D$5*($D$4^(1/12))</f>
        <v>0</v>
      </c>
      <c r="F42">
        <f>F39*$D$5*($D$4^(2/12))</f>
        <v>0</v>
      </c>
      <c r="G42">
        <f>G39*$D$5*($D$4^(3/12))</f>
        <v>0</v>
      </c>
      <c r="H42">
        <f>SUM(D42:G42)</f>
        <v>200</v>
      </c>
      <c r="J42" s="8">
        <f>D42/E43</f>
        <v>1.0869565217391304</v>
      </c>
      <c r="K42" t="s">
        <v>71</v>
      </c>
    </row>
    <row r="43" spans="2:32" x14ac:dyDescent="0.45">
      <c r="C43" t="s">
        <v>32</v>
      </c>
      <c r="D43">
        <f>D38</f>
        <v>0</v>
      </c>
      <c r="E43">
        <f>E37*$D$5*($D$4^0.5)</f>
        <v>184</v>
      </c>
      <c r="F43">
        <f>F38*$D$5*($D$4^(2/12))</f>
        <v>0</v>
      </c>
      <c r="G43">
        <f t="shared" ref="G43" si="1">G38*$D$5*($D$4^(1/12))</f>
        <v>0</v>
      </c>
    </row>
    <row r="44" spans="2:32" x14ac:dyDescent="0.45">
      <c r="C44" s="7" t="s">
        <v>35</v>
      </c>
    </row>
    <row r="45" spans="2:32" x14ac:dyDescent="0.45">
      <c r="C45" t="s">
        <v>89</v>
      </c>
      <c r="D45">
        <f>D43</f>
        <v>0</v>
      </c>
      <c r="E45">
        <f>E37*1.15</f>
        <v>264.49999999999994</v>
      </c>
      <c r="F45">
        <f>F43*$D$5*($D$4^(2/12))</f>
        <v>0</v>
      </c>
      <c r="J45" s="8">
        <f>D40/E45</f>
        <v>0.7561436672967865</v>
      </c>
      <c r="K45" t="s">
        <v>42</v>
      </c>
    </row>
    <row r="46" spans="2:32" x14ac:dyDescent="0.45">
      <c r="C46" t="s">
        <v>90</v>
      </c>
      <c r="D46">
        <f>D44</f>
        <v>0</v>
      </c>
      <c r="E46">
        <f>E37*1.5</f>
        <v>344.99999999999994</v>
      </c>
      <c r="F46">
        <f>F44*$D$5*($D$4^(2/12))</f>
        <v>0</v>
      </c>
      <c r="J46" s="8">
        <f>D42/E46</f>
        <v>0.57971014492753636</v>
      </c>
      <c r="K46" t="s">
        <v>42</v>
      </c>
    </row>
    <row r="47" spans="2:32" ht="16.149999999999999" customHeight="1" x14ac:dyDescent="0.45">
      <c r="C47" t="s">
        <v>91</v>
      </c>
      <c r="D47">
        <f>D45</f>
        <v>0</v>
      </c>
      <c r="E47">
        <f>E37*2</f>
        <v>459.99999999999994</v>
      </c>
      <c r="F47">
        <f>F45*$D$5*($D$4^(2/12))</f>
        <v>0</v>
      </c>
      <c r="J47" s="8">
        <f>D42/E47</f>
        <v>0.43478260869565222</v>
      </c>
      <c r="K47" t="s">
        <v>42</v>
      </c>
      <c r="S47"/>
      <c r="AD47" t="s">
        <v>33</v>
      </c>
      <c r="AF47" s="1" t="s">
        <v>34</v>
      </c>
    </row>
    <row r="48" spans="2:32" ht="16.149999999999999" customHeight="1" x14ac:dyDescent="0.45">
      <c r="C48" s="7" t="s">
        <v>72</v>
      </c>
      <c r="J48" s="8"/>
      <c r="S48"/>
      <c r="AF48" s="1"/>
    </row>
    <row r="49" spans="2:32" ht="16.149999999999999" customHeight="1" x14ac:dyDescent="0.45">
      <c r="C49" t="s">
        <v>89</v>
      </c>
      <c r="D49">
        <f>D47</f>
        <v>0</v>
      </c>
      <c r="E49">
        <f>$E$37*1.15*$D$5*($D$4^0.5)</f>
        <v>211.59999999999997</v>
      </c>
      <c r="F49">
        <f>F47*$D$5*($D$4^(2/12))</f>
        <v>0</v>
      </c>
      <c r="J49" s="8">
        <f>D42/E49</f>
        <v>0.94517958412098313</v>
      </c>
      <c r="K49" t="s">
        <v>43</v>
      </c>
      <c r="S49"/>
      <c r="AF49" s="1"/>
    </row>
    <row r="50" spans="2:32" ht="16.149999999999999" customHeight="1" x14ac:dyDescent="0.45">
      <c r="C50" t="s">
        <v>90</v>
      </c>
      <c r="D50">
        <f>D48</f>
        <v>0</v>
      </c>
      <c r="E50">
        <f>$E$37*1.5*$D$5*($D$4^0.5)</f>
        <v>275.99999999999994</v>
      </c>
      <c r="F50">
        <f>F48*$D$5*($D$4^(2/12))</f>
        <v>0</v>
      </c>
      <c r="J50" s="8">
        <f>D42/E50</f>
        <v>0.7246376811594204</v>
      </c>
      <c r="K50" t="s">
        <v>43</v>
      </c>
      <c r="S50"/>
      <c r="AF50" s="1"/>
    </row>
    <row r="51" spans="2:32" ht="16.149999999999999" customHeight="1" x14ac:dyDescent="0.45">
      <c r="B51">
        <f>1/(0.8*0.95*1.15)</f>
        <v>1.1441647597254005</v>
      </c>
      <c r="C51" t="s">
        <v>91</v>
      </c>
      <c r="D51">
        <f>D49</f>
        <v>0</v>
      </c>
      <c r="E51">
        <f>$E$37*2*$D$5*($D$4^0.5)</f>
        <v>368</v>
      </c>
      <c r="F51">
        <f>F49*$D$5*($D$4^(2/12))</f>
        <v>0</v>
      </c>
      <c r="J51" s="8">
        <f>D42/E51</f>
        <v>0.54347826086956519</v>
      </c>
      <c r="K51" t="s">
        <v>43</v>
      </c>
      <c r="S51"/>
      <c r="AF51" s="1"/>
    </row>
    <row r="53" spans="2:32" x14ac:dyDescent="0.45">
      <c r="D53" t="s">
        <v>73</v>
      </c>
    </row>
    <row r="54" spans="2:32" x14ac:dyDescent="0.45">
      <c r="B54">
        <f>1.1/1.035-1</f>
        <v>6.2801932367150037E-2</v>
      </c>
      <c r="D54" t="s">
        <v>74</v>
      </c>
    </row>
    <row r="55" spans="2:32" x14ac:dyDescent="0.45">
      <c r="D55" t="s">
        <v>75</v>
      </c>
    </row>
  </sheetData>
  <mergeCells count="4">
    <mergeCell ref="C3:D3"/>
    <mergeCell ref="F3:J6"/>
    <mergeCell ref="J36:K36"/>
    <mergeCell ref="J14:K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Final Table</vt:lpstr>
      <vt:lpstr>Example 1 Charcoal Cookstove In</vt:lpstr>
      <vt:lpstr>Example 2 -Consumption</vt:lpstr>
    </vt:vector>
  </TitlesOfParts>
  <Company>Marshall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Martinez, Alejandro</dc:creator>
  <cp:lastModifiedBy>Luca Cermak</cp:lastModifiedBy>
  <dcterms:created xsi:type="dcterms:W3CDTF">2023-06-06T00:11:44Z</dcterms:created>
  <dcterms:modified xsi:type="dcterms:W3CDTF">2024-10-22T12:29:23Z</dcterms:modified>
</cp:coreProperties>
</file>