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work\梦境国内\整体方案\"/>
    </mc:Choice>
  </mc:AlternateContent>
  <xr:revisionPtr revIDLastSave="0" documentId="13_ncr:1_{13CFCD42-0F8A-4938-8D3D-AEE14FA67128}" xr6:coauthVersionLast="47" xr6:coauthVersionMax="47" xr10:uidLastSave="{00000000-0000-0000-0000-000000000000}"/>
  <bookViews>
    <workbookView xWindow="9660" yWindow="1680" windowWidth="17955" windowHeight="12180" activeTab="2" xr2:uid="{00000000-000D-0000-FFFF-FFFF00000000}"/>
  </bookViews>
  <sheets>
    <sheet name="数值设计" sheetId="1" r:id="rId1"/>
    <sheet name="配置表头" sheetId="2" r:id="rId2"/>
    <sheet name="配置表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6" i="3"/>
  <c r="G45" i="3"/>
  <c r="G46" i="3" s="1"/>
  <c r="G47" i="3" s="1"/>
  <c r="G42" i="3"/>
  <c r="G43" i="3" s="1"/>
  <c r="G44" i="3" s="1"/>
  <c r="G39" i="3"/>
  <c r="G40" i="3" s="1"/>
  <c r="G41" i="3" s="1"/>
  <c r="G36" i="3"/>
  <c r="G37" i="3" s="1"/>
  <c r="G38" i="3" s="1"/>
  <c r="G33" i="3"/>
  <c r="G34" i="3" s="1"/>
  <c r="G35" i="3" s="1"/>
  <c r="G31" i="3"/>
  <c r="G32" i="3" s="1"/>
  <c r="G30" i="3"/>
  <c r="G16" i="3"/>
  <c r="G17" i="3" s="1"/>
  <c r="G15" i="3"/>
  <c r="G13" i="3"/>
  <c r="G14" i="3" s="1"/>
  <c r="G12" i="3"/>
  <c r="G27" i="3"/>
  <c r="G28" i="3" s="1"/>
  <c r="G29" i="3" s="1"/>
  <c r="G25" i="3"/>
  <c r="G26" i="3" s="1"/>
  <c r="G24" i="3"/>
  <c r="G21" i="3"/>
  <c r="G22" i="3" s="1"/>
  <c r="G23" i="3" s="1"/>
  <c r="G19" i="3"/>
  <c r="G20" i="3" s="1"/>
  <c r="G18" i="3"/>
  <c r="L152" i="3"/>
  <c r="L151" i="3"/>
  <c r="L150" i="3"/>
  <c r="L149" i="3"/>
  <c r="L148" i="3"/>
  <c r="L147" i="3"/>
  <c r="I152" i="3"/>
  <c r="I151" i="3"/>
  <c r="I150" i="3"/>
  <c r="I149" i="3"/>
  <c r="I148" i="3"/>
  <c r="I147" i="3"/>
  <c r="E152" i="3"/>
  <c r="E151" i="3"/>
  <c r="E150" i="3"/>
  <c r="E149" i="3"/>
  <c r="E148" i="3"/>
  <c r="E141" i="3"/>
  <c r="D152" i="3"/>
  <c r="D151" i="3"/>
  <c r="D150" i="3"/>
  <c r="D149" i="3"/>
  <c r="D148" i="3"/>
  <c r="D147" i="3"/>
  <c r="C147" i="3"/>
  <c r="C148" i="3"/>
  <c r="C149" i="3"/>
  <c r="C150" i="3"/>
  <c r="C151" i="3"/>
  <c r="C152" i="3"/>
  <c r="L146" i="3"/>
  <c r="L145" i="3"/>
  <c r="L144" i="3"/>
  <c r="L143" i="3"/>
  <c r="L142" i="3"/>
  <c r="L141" i="3"/>
  <c r="I146" i="3"/>
  <c r="I145" i="3"/>
  <c r="I144" i="3"/>
  <c r="I143" i="3"/>
  <c r="I142" i="3"/>
  <c r="I141" i="3"/>
  <c r="K146" i="3"/>
  <c r="K152" i="3" s="1"/>
  <c r="K145" i="3"/>
  <c r="K151" i="3" s="1"/>
  <c r="K144" i="3"/>
  <c r="K150" i="3" s="1"/>
  <c r="K143" i="3"/>
  <c r="K149" i="3" s="1"/>
  <c r="K142" i="3"/>
  <c r="K148" i="3" s="1"/>
  <c r="K141" i="3"/>
  <c r="K147" i="3" s="1"/>
  <c r="E153" i="1"/>
  <c r="E152" i="1"/>
  <c r="E151" i="1"/>
  <c r="G146" i="3" l="1"/>
  <c r="G152" i="3" s="1"/>
  <c r="E148" i="1"/>
  <c r="E147" i="1"/>
  <c r="G145" i="3" s="1"/>
  <c r="G151" i="3" s="1"/>
  <c r="E146" i="1"/>
  <c r="E143" i="1"/>
  <c r="E142" i="1"/>
  <c r="E141" i="1"/>
  <c r="E138" i="1"/>
  <c r="E137" i="1"/>
  <c r="E136" i="1"/>
  <c r="G143" i="3" s="1"/>
  <c r="G149" i="3" s="1"/>
  <c r="E133" i="1"/>
  <c r="E132" i="1"/>
  <c r="E131" i="1"/>
  <c r="G142" i="3" s="1"/>
  <c r="G148" i="3" s="1"/>
  <c r="E127" i="1"/>
  <c r="E128" i="1"/>
  <c r="E126" i="1"/>
  <c r="G141" i="3" s="1"/>
  <c r="G147" i="3" s="1"/>
  <c r="C142" i="3"/>
  <c r="C143" i="3"/>
  <c r="C144" i="3"/>
  <c r="C145" i="3"/>
  <c r="C146" i="3"/>
  <c r="C141" i="3"/>
  <c r="G144" i="3" l="1"/>
  <c r="G150" i="3" s="1"/>
  <c r="M13" i="3" l="1"/>
  <c r="E147" i="3"/>
  <c r="E146" i="3"/>
  <c r="E145" i="3"/>
  <c r="E144" i="3"/>
  <c r="E143" i="3"/>
  <c r="E142" i="3"/>
  <c r="D146" i="3"/>
  <c r="D145" i="3"/>
  <c r="D144" i="3"/>
  <c r="D143" i="3"/>
  <c r="D142" i="3"/>
  <c r="D141" i="3"/>
  <c r="M7" i="3"/>
  <c r="M8" i="3"/>
  <c r="M9" i="3"/>
  <c r="M10" i="3"/>
  <c r="M11" i="3"/>
  <c r="M12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6" i="3"/>
  <c r="R32" i="3"/>
  <c r="R34" i="3" s="1"/>
  <c r="R36" i="3" s="1"/>
  <c r="R38" i="3" s="1"/>
  <c r="R40" i="3" s="1"/>
  <c r="R42" i="3" s="1"/>
  <c r="R44" i="3" s="1"/>
  <c r="R46" i="3" s="1"/>
  <c r="E80" i="3" l="1"/>
  <c r="E95" i="3" s="1"/>
  <c r="E110" i="3" s="1"/>
  <c r="E81" i="3"/>
  <c r="E96" i="3" s="1"/>
  <c r="E111" i="3" s="1"/>
  <c r="E82" i="3"/>
  <c r="E97" i="3" s="1"/>
  <c r="E112" i="3" s="1"/>
  <c r="E83" i="3"/>
  <c r="E98" i="3" s="1"/>
  <c r="E113" i="3" s="1"/>
  <c r="E84" i="3"/>
  <c r="E99" i="3" s="1"/>
  <c r="E114" i="3" s="1"/>
  <c r="E85" i="3"/>
  <c r="E100" i="3" s="1"/>
  <c r="E115" i="3" s="1"/>
  <c r="E86" i="3"/>
  <c r="E101" i="3" s="1"/>
  <c r="E116" i="3" s="1"/>
  <c r="E87" i="3"/>
  <c r="E102" i="3" s="1"/>
  <c r="E117" i="3" s="1"/>
  <c r="E88" i="3"/>
  <c r="E103" i="3" s="1"/>
  <c r="E118" i="3" s="1"/>
  <c r="E89" i="3"/>
  <c r="E104" i="3" s="1"/>
  <c r="E119" i="3" s="1"/>
  <c r="E90" i="3"/>
  <c r="E105" i="3" s="1"/>
  <c r="E120" i="3" s="1"/>
  <c r="E91" i="3"/>
  <c r="E106" i="3" s="1"/>
  <c r="E121" i="3" s="1"/>
  <c r="E92" i="3"/>
  <c r="E107" i="3" s="1"/>
  <c r="E122" i="3" s="1"/>
  <c r="E93" i="3"/>
  <c r="E108" i="3" s="1"/>
  <c r="E123" i="3" s="1"/>
  <c r="E94" i="3"/>
  <c r="E109" i="3" s="1"/>
  <c r="E124" i="3" s="1"/>
  <c r="F86" i="3" l="1"/>
  <c r="F88" i="3"/>
  <c r="F91" i="3"/>
  <c r="F96" i="3"/>
  <c r="F98" i="3"/>
  <c r="F101" i="3"/>
  <c r="F104" i="3"/>
  <c r="F106" i="3"/>
  <c r="F112" i="3"/>
  <c r="F113" i="3"/>
  <c r="F120" i="3"/>
  <c r="F121" i="3"/>
  <c r="F83" i="3"/>
  <c r="F84" i="3"/>
  <c r="F111" i="3"/>
  <c r="F85" i="3"/>
  <c r="F116" i="3"/>
  <c r="F118" i="3"/>
  <c r="F119" i="3"/>
  <c r="F92" i="3"/>
  <c r="F93" i="3"/>
  <c r="F110" i="3"/>
  <c r="G110" i="3" s="1"/>
  <c r="F114" i="3"/>
  <c r="F100" i="3"/>
  <c r="F80" i="3"/>
  <c r="G80" i="3" s="1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80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65" i="3"/>
  <c r="G65" i="3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65" i="3"/>
  <c r="R15" i="3"/>
  <c r="R18" i="3" s="1"/>
  <c r="R21" i="3" s="1"/>
  <c r="R24" i="3" s="1"/>
  <c r="R27" i="3" s="1"/>
  <c r="P13" i="3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O13" i="3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P9" i="3"/>
  <c r="P7" i="3"/>
  <c r="P8" i="3" s="1"/>
  <c r="P11" i="3" s="1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J45" i="3"/>
  <c r="J46" i="3"/>
  <c r="J47" i="3"/>
  <c r="C45" i="3"/>
  <c r="C46" i="3"/>
  <c r="C47" i="3"/>
  <c r="F79" i="3" l="1"/>
  <c r="F94" i="3"/>
  <c r="G111" i="3"/>
  <c r="G112" i="3" s="1"/>
  <c r="G113" i="3" s="1"/>
  <c r="G114" i="3" s="1"/>
  <c r="F117" i="3"/>
  <c r="F102" i="3"/>
  <c r="F115" i="3"/>
  <c r="F82" i="3"/>
  <c r="F103" i="3"/>
  <c r="F95" i="3"/>
  <c r="G95" i="3" s="1"/>
  <c r="G96" i="3" s="1"/>
  <c r="F87" i="3"/>
  <c r="F81" i="3"/>
  <c r="G81" i="3" s="1"/>
  <c r="F99" i="3"/>
  <c r="F90" i="3"/>
  <c r="F105" i="3"/>
  <c r="F97" i="3"/>
  <c r="F89" i="3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P10" i="3"/>
  <c r="G82" i="3" l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115" i="3"/>
  <c r="G116" i="3" s="1"/>
  <c r="G117" i="3" s="1"/>
  <c r="G118" i="3" s="1"/>
  <c r="G119" i="3" s="1"/>
  <c r="G120" i="3" s="1"/>
  <c r="G121" i="3" s="1"/>
  <c r="F122" i="3"/>
  <c r="F107" i="3"/>
  <c r="F108" i="3"/>
  <c r="F123" i="3"/>
  <c r="G97" i="3"/>
  <c r="G98" i="3" s="1"/>
  <c r="G99" i="3" s="1"/>
  <c r="G100" i="3" s="1"/>
  <c r="G101" i="3" s="1"/>
  <c r="G102" i="3" s="1"/>
  <c r="G103" i="3" s="1"/>
  <c r="G104" i="3" s="1"/>
  <c r="G105" i="3" s="1"/>
  <c r="G106" i="3" s="1"/>
  <c r="F109" i="3" l="1"/>
  <c r="G107" i="3"/>
  <c r="F124" i="3"/>
  <c r="G108" i="3"/>
  <c r="G109" i="3" s="1"/>
  <c r="G122" i="3"/>
  <c r="G123" i="3" s="1"/>
  <c r="G124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6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19" i="3"/>
  <c r="C20" i="3"/>
  <c r="C21" i="3"/>
  <c r="C22" i="3"/>
  <c r="C23" i="3"/>
  <c r="C24" i="3"/>
  <c r="C25" i="3"/>
  <c r="C26" i="3"/>
  <c r="C27" i="3"/>
  <c r="C28" i="3"/>
  <c r="C29" i="3"/>
  <c r="C12" i="3"/>
  <c r="C13" i="3"/>
  <c r="C14" i="3"/>
  <c r="C15" i="3"/>
  <c r="C16" i="3"/>
  <c r="C17" i="3"/>
  <c r="C18" i="3"/>
  <c r="O9" i="3"/>
  <c r="N10" i="3"/>
  <c r="N13" i="3" s="1"/>
  <c r="N16" i="3" s="1"/>
  <c r="N19" i="3" s="1"/>
  <c r="N22" i="3" s="1"/>
  <c r="N25" i="3" s="1"/>
  <c r="N28" i="3" s="1"/>
  <c r="N30" i="3" s="1"/>
  <c r="N32" i="3" s="1"/>
  <c r="N34" i="3" s="1"/>
  <c r="N36" i="3" s="1"/>
  <c r="N38" i="3" s="1"/>
  <c r="N40" i="3" s="1"/>
  <c r="N42" i="3" s="1"/>
  <c r="N44" i="3" s="1"/>
  <c r="N46" i="3" s="1"/>
  <c r="N11" i="3"/>
  <c r="N14" i="3" s="1"/>
  <c r="N17" i="3" s="1"/>
  <c r="N20" i="3" s="1"/>
  <c r="N23" i="3" s="1"/>
  <c r="N26" i="3" s="1"/>
  <c r="N29" i="3" s="1"/>
  <c r="N31" i="3" s="1"/>
  <c r="N33" i="3" s="1"/>
  <c r="N35" i="3" s="1"/>
  <c r="N37" i="3" s="1"/>
  <c r="N39" i="3" s="1"/>
  <c r="N41" i="3" s="1"/>
  <c r="N43" i="3" s="1"/>
  <c r="N45" i="3" s="1"/>
  <c r="N47" i="3" s="1"/>
  <c r="N9" i="3"/>
  <c r="N12" i="3" s="1"/>
  <c r="N15" i="3" s="1"/>
  <c r="N18" i="3" s="1"/>
  <c r="N21" i="3" s="1"/>
  <c r="N24" i="3" s="1"/>
  <c r="N27" i="3" s="1"/>
  <c r="R7" i="3"/>
  <c r="R10" i="3" s="1"/>
  <c r="R13" i="3" s="1"/>
  <c r="R16" i="3" s="1"/>
  <c r="R19" i="3" s="1"/>
  <c r="R22" i="3" s="1"/>
  <c r="R25" i="3" s="1"/>
  <c r="R28" i="3" s="1"/>
  <c r="O7" i="3"/>
  <c r="O8" i="3" s="1"/>
  <c r="O11" i="3" s="1"/>
  <c r="C9" i="3"/>
  <c r="C10" i="3"/>
  <c r="C11" i="3"/>
  <c r="R8" i="3" l="1"/>
  <c r="R11" i="3" s="1"/>
  <c r="R14" i="3" s="1"/>
  <c r="R17" i="3" s="1"/>
  <c r="R20" i="3" s="1"/>
  <c r="R23" i="3" s="1"/>
  <c r="R26" i="3" s="1"/>
  <c r="R29" i="3" s="1"/>
  <c r="R31" i="3" s="1"/>
  <c r="R33" i="3" s="1"/>
  <c r="R35" i="3" s="1"/>
  <c r="R37" i="3" s="1"/>
  <c r="R39" i="3" s="1"/>
  <c r="R41" i="3" s="1"/>
  <c r="R43" i="3" s="1"/>
  <c r="R45" i="3" s="1"/>
  <c r="R47" i="3" s="1"/>
  <c r="O10" i="3"/>
  <c r="C7" i="3"/>
  <c r="C8" i="3"/>
  <c r="C6" i="3"/>
  <c r="L100" i="1" l="1"/>
  <c r="H101" i="1" s="1"/>
  <c r="H105" i="1"/>
  <c r="H108" i="1"/>
  <c r="H113" i="1"/>
  <c r="H99" i="1"/>
  <c r="C64" i="1"/>
  <c r="D38" i="1"/>
  <c r="C38" i="1"/>
  <c r="F51" i="1"/>
  <c r="F52" i="1" s="1"/>
  <c r="F53" i="1" s="1"/>
  <c r="F54" i="1" s="1"/>
  <c r="I54" i="1"/>
  <c r="I46" i="1"/>
  <c r="J53" i="1"/>
  <c r="J45" i="1"/>
  <c r="C51" i="1"/>
  <c r="C52" i="1" s="1"/>
  <c r="D51" i="1"/>
  <c r="D52" i="1" s="1"/>
  <c r="D53" i="1" s="1"/>
  <c r="D54" i="1" s="1"/>
  <c r="K5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0" i="1"/>
  <c r="D118" i="1" s="1"/>
  <c r="E98" i="1"/>
  <c r="E99" i="1"/>
  <c r="E97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00" i="1"/>
  <c r="G98" i="1"/>
  <c r="G99" i="1"/>
  <c r="G97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00" i="1"/>
  <c r="C92" i="1"/>
  <c r="F98" i="1"/>
  <c r="F99" i="1"/>
  <c r="F97" i="1"/>
  <c r="K38" i="1" l="1"/>
  <c r="E120" i="1"/>
  <c r="H98" i="1"/>
  <c r="H107" i="1"/>
  <c r="H100" i="1"/>
  <c r="H106" i="1"/>
  <c r="H112" i="1"/>
  <c r="H104" i="1"/>
  <c r="H111" i="1"/>
  <c r="H103" i="1"/>
  <c r="H110" i="1"/>
  <c r="H102" i="1"/>
  <c r="H97" i="1"/>
  <c r="H109" i="1"/>
  <c r="F119" i="1"/>
  <c r="F121" i="1"/>
  <c r="F120" i="1"/>
  <c r="F118" i="1"/>
  <c r="E119" i="1"/>
  <c r="K51" i="1"/>
  <c r="K52" i="1"/>
  <c r="C53" i="1"/>
  <c r="E118" i="1"/>
  <c r="D121" i="1"/>
  <c r="D120" i="1"/>
  <c r="D119" i="1"/>
  <c r="E121" i="1"/>
  <c r="C54" i="1" l="1"/>
  <c r="K53" i="1"/>
  <c r="I77" i="1"/>
  <c r="J76" i="1"/>
  <c r="J77" i="1" s="1"/>
  <c r="E74" i="1"/>
  <c r="E75" i="1" s="1"/>
  <c r="E76" i="1" s="1"/>
  <c r="E77" i="1" s="1"/>
  <c r="F74" i="1"/>
  <c r="F75" i="1" s="1"/>
  <c r="F76" i="1" s="1"/>
  <c r="F77" i="1" s="1"/>
  <c r="R62" i="1"/>
  <c r="K54" i="1" l="1"/>
  <c r="R63" i="1"/>
  <c r="S63" i="1" s="1"/>
  <c r="S62" i="1"/>
  <c r="D74" i="1"/>
  <c r="D75" i="1" s="1"/>
  <c r="D76" i="1" s="1"/>
  <c r="D77" i="1" s="1"/>
  <c r="C74" i="1"/>
  <c r="K42" i="1"/>
  <c r="D43" i="1"/>
  <c r="D44" i="1" s="1"/>
  <c r="D45" i="1" s="1"/>
  <c r="D46" i="1" s="1"/>
  <c r="C43" i="1"/>
  <c r="K43" i="1" l="1"/>
  <c r="R68" i="1"/>
  <c r="S68" i="1" s="1"/>
  <c r="R64" i="1"/>
  <c r="S64" i="1" s="1"/>
  <c r="C65" i="1"/>
  <c r="C66" i="1" s="1"/>
  <c r="R70" i="1"/>
  <c r="S70" i="1" s="1"/>
  <c r="R69" i="1"/>
  <c r="S69" i="1" s="1"/>
  <c r="R71" i="1"/>
  <c r="S71" i="1" s="1"/>
  <c r="R72" i="1"/>
  <c r="S72" i="1" s="1"/>
  <c r="R65" i="1"/>
  <c r="S65" i="1" s="1"/>
  <c r="R73" i="1"/>
  <c r="S73" i="1" s="1"/>
  <c r="R66" i="1"/>
  <c r="S66" i="1" s="1"/>
  <c r="R74" i="1"/>
  <c r="S74" i="1" s="1"/>
  <c r="R67" i="1"/>
  <c r="S67" i="1" s="1"/>
  <c r="R75" i="1"/>
  <c r="S75" i="1" s="1"/>
  <c r="C75" i="1"/>
  <c r="C44" i="1"/>
  <c r="C68" i="1" l="1"/>
  <c r="C67" i="1"/>
  <c r="C76" i="1"/>
  <c r="K44" i="1"/>
  <c r="C45" i="1"/>
  <c r="D81" i="1" l="1"/>
  <c r="D84" i="1"/>
  <c r="D82" i="1"/>
  <c r="D85" i="1"/>
  <c r="D83" i="1"/>
  <c r="E83" i="1"/>
  <c r="E85" i="1"/>
  <c r="E84" i="1"/>
  <c r="E81" i="1"/>
  <c r="E82" i="1"/>
  <c r="K75" i="1"/>
  <c r="L73" i="1"/>
  <c r="L74" i="1"/>
  <c r="L75" i="1"/>
  <c r="K73" i="1"/>
  <c r="K74" i="1"/>
  <c r="L76" i="1"/>
  <c r="K76" i="1"/>
  <c r="C77" i="1"/>
  <c r="C46" i="1"/>
  <c r="K46" i="1" s="1"/>
  <c r="K45" i="1"/>
  <c r="L77" i="1" l="1"/>
  <c r="K77" i="1"/>
  <c r="C33" i="1" l="1"/>
  <c r="M38" i="1" s="1"/>
  <c r="M50" i="1" l="1"/>
  <c r="M51" i="1"/>
  <c r="M52" i="1"/>
  <c r="M53" i="1"/>
  <c r="M54" i="1"/>
  <c r="M45" i="1"/>
  <c r="M46" i="1"/>
  <c r="M43" i="1"/>
  <c r="M44" i="1"/>
  <c r="M42" i="1"/>
  <c r="C31" i="1"/>
  <c r="C32" i="1" s="1"/>
  <c r="L38" i="1" s="1"/>
  <c r="L50" i="1" l="1"/>
  <c r="L51" i="1"/>
  <c r="L52" i="1"/>
  <c r="L53" i="1"/>
  <c r="L54" i="1"/>
  <c r="L46" i="1"/>
  <c r="L42" i="1"/>
  <c r="L43" i="1"/>
  <c r="L44" i="1"/>
  <c r="L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bianhaiqiang</author>
  </authors>
  <commentList>
    <comment ref="B33" authorId="0" shapeId="0" xr:uid="{594FF273-D874-4C28-AC35-082E2D6FED23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按照玩家会追半队（5人），每御魂追3条附加属性强化</t>
        </r>
      </text>
    </comment>
    <comment ref="B68" authorId="0" shapeId="0" xr:uid="{AF050511-1511-4877-A0A5-B9F7D7178B0F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按照玩家满养成追6个角色预估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bianhaiqiang</author>
  </authors>
  <commentList>
    <comment ref="E2" authorId="0" shapeId="0" xr:uid="{A027DC45-4DA2-4F8F-9C92-AF58276C82CE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F2" authorId="0" shapeId="0" xr:uid="{71948ACC-6CE3-4B67-BB89-EC9E8CDAB789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1、位置1
2、位置2
3、位置3
</t>
        </r>
      </text>
    </comment>
    <comment ref="C12" authorId="0" shapeId="0" xr:uid="{EED939E4-7A78-44E3-BB0F-C70DE4375F5A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1、位置1
2、位置2
3、位置3
</t>
        </r>
      </text>
    </comment>
    <comment ref="C22" authorId="0" shapeId="0" xr:uid="{1F6CC9CE-FBAF-4DC5-9362-6247D00CEE31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1、位置1
2、位置2
3、位置3
</t>
        </r>
      </text>
    </comment>
    <comment ref="D22" authorId="0" shapeId="0" xr:uid="{5FF3A339-B2BC-4F08-98F6-A3A791A218F6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F41" authorId="0" shapeId="0" xr:uid="{E80CCA6A-2EEE-4961-BFBF-BD0DDE9ADAB2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件数，属性类型，属性值；
满级配置为all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bianhaiqiang</author>
    <author>作者</author>
  </authors>
  <commentList>
    <comment ref="E2" authorId="0" shapeId="0" xr:uid="{528779C4-B2FF-49C5-AFF8-9FEDD4C7CA3A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F2" authorId="0" shapeId="0" xr:uid="{404BDA80-33EF-49E9-90F4-667D61A55CA1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1、位置1
2、位置2
3、位置3
</t>
        </r>
      </text>
    </comment>
    <comment ref="O2" authorId="0" shapeId="0" xr:uid="{F2727F62-880A-4FE8-B959-352C951DBB8A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时魄生成时，随机附加属性权重</t>
        </r>
      </text>
    </comment>
    <comment ref="P2" authorId="0" shapeId="0" xr:uid="{BCC8D59D-B059-4FCC-A3AA-E2FD39BD69A1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时魄升级时，随机附加属性权重</t>
        </r>
      </text>
    </comment>
    <comment ref="C51" authorId="0" shapeId="0" xr:uid="{8AEE7856-59BB-4C56-8C4D-C816CF56AC5B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1、位置1
2、位置2
3、位置3
</t>
        </r>
      </text>
    </comment>
    <comment ref="E61" authorId="0" shapeId="0" xr:uid="{86BD93E0-3C33-4B3B-9C5B-EEB8AC0C5565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I136" authorId="1" shapeId="0" xr:uid="{E914684C-C518-4743-975A-001F27661FB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属性类型，属性值；
满级配置为all
</t>
        </r>
      </text>
    </comment>
    <comment ref="J136" authorId="1" shapeId="0" xr:uid="{F409D374-AB11-4A63-BB9F-652DAAEC9A6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满级属性套装效果
的件数激活条件要求</t>
        </r>
      </text>
    </comment>
    <comment ref="L136" authorId="1" shapeId="0" xr:uid="{F5345B9E-967D-4576-A363-E437212D00E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属性类型，属性值；
满级配置为all
</t>
        </r>
      </text>
    </comment>
  </commentList>
</comments>
</file>

<file path=xl/sharedStrings.xml><?xml version="1.0" encoding="utf-8"?>
<sst xmlns="http://schemas.openxmlformats.org/spreadsheetml/2006/main" count="852" uniqueCount="469">
  <si>
    <t>主属性</t>
    <phoneticPr fontId="1" type="noConversion"/>
  </si>
  <si>
    <t>位置1</t>
    <phoneticPr fontId="1" type="noConversion"/>
  </si>
  <si>
    <t>攻击</t>
    <phoneticPr fontId="1" type="noConversion"/>
  </si>
  <si>
    <t>生命</t>
    <phoneticPr fontId="1" type="noConversion"/>
  </si>
  <si>
    <t>防御</t>
    <phoneticPr fontId="1" type="noConversion"/>
  </si>
  <si>
    <t>基础</t>
    <phoneticPr fontId="1" type="noConversion"/>
  </si>
  <si>
    <t>升级</t>
    <phoneticPr fontId="1" type="noConversion"/>
  </si>
  <si>
    <t>套装</t>
    <phoneticPr fontId="1" type="noConversion"/>
  </si>
  <si>
    <t>暴击</t>
    <phoneticPr fontId="1" type="noConversion"/>
  </si>
  <si>
    <t>暴击伤害</t>
    <phoneticPr fontId="1" type="noConversion"/>
  </si>
  <si>
    <t>抗暴</t>
    <phoneticPr fontId="1" type="noConversion"/>
  </si>
  <si>
    <t>格挡</t>
    <phoneticPr fontId="1" type="noConversion"/>
  </si>
  <si>
    <t>格挡强度</t>
    <phoneticPr fontId="1" type="noConversion"/>
  </si>
  <si>
    <t>抗格挡</t>
    <phoneticPr fontId="1" type="noConversion"/>
  </si>
  <si>
    <t>伤害率</t>
    <phoneticPr fontId="1" type="noConversion"/>
  </si>
  <si>
    <t>免伤率</t>
    <phoneticPr fontId="1" type="noConversion"/>
  </si>
  <si>
    <t>先手值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</si>
  <si>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</si>
  <si>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</si>
  <si>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</si>
  <si>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一、</t>
    <phoneticPr fontId="1" type="noConversion"/>
  </si>
  <si>
    <t>目的</t>
    <phoneticPr fontId="1" type="noConversion"/>
  </si>
  <si>
    <t>二、</t>
    <phoneticPr fontId="1" type="noConversion"/>
  </si>
  <si>
    <t>思路</t>
    <phoneticPr fontId="1" type="noConversion"/>
  </si>
  <si>
    <t>2、增加新类型活动的新投放内容</t>
    <phoneticPr fontId="1" type="noConversion"/>
  </si>
  <si>
    <t>1、主角过于强势，角色作用偏单一，增加角色在场上的存在感</t>
    <phoneticPr fontId="1" type="noConversion"/>
  </si>
  <si>
    <t>2、让玩家用自由搭配的方式，选择性的增强目标角色的职业强度</t>
    <phoneticPr fontId="1" type="noConversion"/>
  </si>
  <si>
    <t>3、尽可能的增加该养成的生命周期，增加随机的效果</t>
    <phoneticPr fontId="1" type="noConversion"/>
  </si>
  <si>
    <t>1、解决目前玩家养成空缺</t>
    <phoneticPr fontId="1" type="noConversion"/>
  </si>
  <si>
    <t>3、至少提供半年以上的投放选择</t>
    <phoneticPr fontId="1" type="noConversion"/>
  </si>
  <si>
    <t>4、增加随机性的同时，通过分散随机效果，不至于让高品质坯子极难获得</t>
    <phoneticPr fontId="1" type="noConversion"/>
  </si>
  <si>
    <t>三、</t>
    <phoneticPr fontId="1" type="noConversion"/>
  </si>
  <si>
    <t>四、</t>
    <phoneticPr fontId="1" type="noConversion"/>
  </si>
  <si>
    <t>攻击百分比</t>
    <phoneticPr fontId="1" type="noConversion"/>
  </si>
  <si>
    <t>防御百分比</t>
    <phoneticPr fontId="1" type="noConversion"/>
  </si>
  <si>
    <t>生命百分比</t>
    <phoneticPr fontId="1" type="noConversion"/>
  </si>
  <si>
    <t>御魂产出</t>
    <phoneticPr fontId="1" type="noConversion"/>
  </si>
  <si>
    <t>部位及随机规则</t>
    <phoneticPr fontId="1" type="noConversion"/>
  </si>
  <si>
    <t>1、每个英魂有数个部位，每个部位可装备不同的御魂</t>
    <phoneticPr fontId="1" type="noConversion"/>
  </si>
  <si>
    <t>2、每个御魂有2类属性，基础属性与附加属性</t>
    <phoneticPr fontId="1" type="noConversion"/>
  </si>
  <si>
    <t>3、基础属性每个位置固定，为配置，随等级逐级提高</t>
    <phoneticPr fontId="1" type="noConversion"/>
  </si>
  <si>
    <t>4、附加属性为从配置的属性库中随机条目数（最大3条），以及随机类型</t>
    <phoneticPr fontId="1" type="noConversion"/>
  </si>
  <si>
    <t>例如：获得1件御魂后，基础属性固定，附加属性数量在1~3条之间随机，属性类型在配置好的类型库中随机</t>
    <phoneticPr fontId="1" type="noConversion"/>
  </si>
  <si>
    <t>附加属性条数</t>
    <phoneticPr fontId="1" type="noConversion"/>
  </si>
  <si>
    <t>附加属性等级</t>
    <phoneticPr fontId="1" type="noConversion"/>
  </si>
  <si>
    <t>每人御魂上限</t>
    <phoneticPr fontId="1" type="noConversion"/>
  </si>
  <si>
    <t>御魂总数</t>
    <phoneticPr fontId="1" type="noConversion"/>
  </si>
  <si>
    <t>御魂极限需求</t>
    <phoneticPr fontId="1" type="noConversion"/>
  </si>
  <si>
    <t>实际预估需求</t>
    <phoneticPr fontId="1" type="noConversion"/>
  </si>
  <si>
    <t>小R</t>
    <phoneticPr fontId="1" type="noConversion"/>
  </si>
  <si>
    <t>中R</t>
    <phoneticPr fontId="1" type="noConversion"/>
  </si>
  <si>
    <t>大R</t>
    <phoneticPr fontId="1" type="noConversion"/>
  </si>
  <si>
    <t>超R</t>
    <phoneticPr fontId="1" type="noConversion"/>
  </si>
  <si>
    <t>活动副本</t>
    <phoneticPr fontId="1" type="noConversion"/>
  </si>
  <si>
    <t>通行证</t>
    <phoneticPr fontId="1" type="noConversion"/>
  </si>
  <si>
    <t>活动礼包</t>
    <phoneticPr fontId="1" type="noConversion"/>
  </si>
  <si>
    <t>月礼包</t>
    <phoneticPr fontId="1" type="noConversion"/>
  </si>
  <si>
    <t>免费</t>
    <phoneticPr fontId="1" type="noConversion"/>
  </si>
  <si>
    <t>日礼包</t>
    <phoneticPr fontId="1" type="noConversion"/>
  </si>
  <si>
    <t>周礼包</t>
    <phoneticPr fontId="1" type="noConversion"/>
  </si>
  <si>
    <t>极限时间</t>
    <phoneticPr fontId="1" type="noConversion"/>
  </si>
  <si>
    <t>实际时间</t>
    <phoneticPr fontId="1" type="noConversion"/>
  </si>
  <si>
    <t>全橙色时间</t>
    <phoneticPr fontId="1" type="noConversion"/>
  </si>
  <si>
    <t>月</t>
    <phoneticPr fontId="1" type="noConversion"/>
  </si>
  <si>
    <t>五、</t>
    <phoneticPr fontId="1" type="noConversion"/>
  </si>
  <si>
    <t>御魂升级</t>
    <phoneticPr fontId="1" type="noConversion"/>
  </si>
  <si>
    <t>御魂最大经验</t>
    <phoneticPr fontId="1" type="noConversion"/>
  </si>
  <si>
    <t>初级基础</t>
    <phoneticPr fontId="1" type="noConversion"/>
  </si>
  <si>
    <t>每级增加</t>
    <phoneticPr fontId="1" type="noConversion"/>
  </si>
  <si>
    <t>最大等级</t>
    <phoneticPr fontId="1" type="noConversion"/>
  </si>
  <si>
    <t>最大经验</t>
    <phoneticPr fontId="1" type="noConversion"/>
  </si>
  <si>
    <t>经验道具需求数</t>
    <phoneticPr fontId="1" type="noConversion"/>
  </si>
  <si>
    <t>经验道具需求总</t>
    <phoneticPr fontId="1" type="noConversion"/>
  </si>
  <si>
    <t>极限深度</t>
    <phoneticPr fontId="1" type="noConversion"/>
  </si>
  <si>
    <t>实际深度</t>
    <phoneticPr fontId="1" type="noConversion"/>
  </si>
  <si>
    <t>等级</t>
    <phoneticPr fontId="1" type="noConversion"/>
  </si>
  <si>
    <t>经验</t>
    <phoneticPr fontId="1" type="noConversion"/>
  </si>
  <si>
    <t>六、</t>
    <phoneticPr fontId="1" type="noConversion"/>
  </si>
  <si>
    <t>属性投放</t>
    <phoneticPr fontId="1" type="noConversion"/>
  </si>
  <si>
    <t>玩法预留</t>
    <phoneticPr fontId="1" type="noConversion"/>
  </si>
  <si>
    <t>活动预留</t>
    <phoneticPr fontId="1" type="noConversion"/>
  </si>
  <si>
    <t>总属性：</t>
    <phoneticPr fontId="1" type="noConversion"/>
  </si>
  <si>
    <t>分配比例：</t>
    <phoneticPr fontId="1" type="noConversion"/>
  </si>
  <si>
    <t>比例</t>
    <phoneticPr fontId="1" type="noConversion"/>
  </si>
  <si>
    <t>品质比例：</t>
    <phoneticPr fontId="1" type="noConversion"/>
  </si>
  <si>
    <t>绿</t>
    <phoneticPr fontId="1" type="noConversion"/>
  </si>
  <si>
    <t>经验消耗：</t>
    <phoneticPr fontId="1" type="noConversion"/>
  </si>
  <si>
    <t>金币消耗：</t>
    <phoneticPr fontId="1" type="noConversion"/>
  </si>
  <si>
    <t>经验金币比</t>
    <phoneticPr fontId="1" type="noConversion"/>
  </si>
  <si>
    <t>金币</t>
    <phoneticPr fontId="1" type="noConversion"/>
  </si>
  <si>
    <t>总投放</t>
    <phoneticPr fontId="1" type="noConversion"/>
  </si>
  <si>
    <t>副属性升级次数</t>
    <phoneticPr fontId="1" type="noConversion"/>
  </si>
  <si>
    <t>品质效果：</t>
    <phoneticPr fontId="1" type="noConversion"/>
  </si>
  <si>
    <t>升级/级</t>
    <phoneticPr fontId="1" type="noConversion"/>
  </si>
  <si>
    <t>附加属性1</t>
    <phoneticPr fontId="1" type="noConversion"/>
  </si>
  <si>
    <t>附加属性5</t>
  </si>
  <si>
    <t>防御值</t>
    <phoneticPr fontId="1" type="noConversion"/>
  </si>
  <si>
    <t>生命值</t>
    <phoneticPr fontId="1" type="noConversion"/>
  </si>
  <si>
    <t>攻击值</t>
    <phoneticPr fontId="1" type="noConversion"/>
  </si>
  <si>
    <t>防御百分比</t>
  </si>
  <si>
    <t>暴击伤害</t>
    <phoneticPr fontId="1" type="noConversion"/>
  </si>
  <si>
    <t>抗暴击</t>
    <phoneticPr fontId="1" type="noConversion"/>
  </si>
  <si>
    <t>先手值</t>
    <phoneticPr fontId="1" type="noConversion"/>
  </si>
  <si>
    <t>攻击百分比</t>
  </si>
  <si>
    <t>抗格挡</t>
    <phoneticPr fontId="1" type="noConversion"/>
  </si>
  <si>
    <t>格挡伤害</t>
    <phoneticPr fontId="1" type="noConversion"/>
  </si>
  <si>
    <t>附加属性2</t>
    <phoneticPr fontId="1" type="noConversion"/>
  </si>
  <si>
    <t>附加属性3</t>
    <phoneticPr fontId="1" type="noConversion"/>
  </si>
  <si>
    <t>附加属性4</t>
    <phoneticPr fontId="1" type="noConversion"/>
  </si>
  <si>
    <t>位置2</t>
    <phoneticPr fontId="1" type="noConversion"/>
  </si>
  <si>
    <t>位置3</t>
    <phoneticPr fontId="1" type="noConversion"/>
  </si>
  <si>
    <t>伤害率</t>
    <phoneticPr fontId="1" type="noConversion"/>
  </si>
  <si>
    <t>免伤率</t>
    <phoneticPr fontId="1" type="noConversion"/>
  </si>
  <si>
    <t>反伤率</t>
    <phoneticPr fontId="1" type="noConversion"/>
  </si>
  <si>
    <t>吸血率</t>
    <phoneticPr fontId="1" type="noConversion"/>
  </si>
  <si>
    <t>暴击率</t>
    <phoneticPr fontId="1" type="noConversion"/>
  </si>
  <si>
    <t>格挡率</t>
    <phoneticPr fontId="1" type="noConversion"/>
  </si>
  <si>
    <t>投放途径：</t>
    <phoneticPr fontId="1" type="noConversion"/>
  </si>
  <si>
    <t>全紫色时间</t>
    <phoneticPr fontId="1" type="noConversion"/>
  </si>
  <si>
    <t>紫色御魂投放：</t>
    <phoneticPr fontId="1" type="noConversion"/>
  </si>
  <si>
    <t>橙色御魂投放：</t>
    <phoneticPr fontId="1" type="noConversion"/>
  </si>
  <si>
    <t>绿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</si>
  <si>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</si>
  <si>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</si>
  <si>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</si>
  <si>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比例</t>
    <phoneticPr fontId="1" type="noConversion"/>
  </si>
  <si>
    <t>总御魂投放：</t>
    <phoneticPr fontId="1" type="noConversion"/>
  </si>
  <si>
    <t>结余/月</t>
    <phoneticPr fontId="1" type="noConversion"/>
  </si>
  <si>
    <t>月</t>
    <phoneticPr fontId="1" type="noConversion"/>
  </si>
  <si>
    <t>七、</t>
    <phoneticPr fontId="1" type="noConversion"/>
  </si>
  <si>
    <t>套装效果</t>
    <phoneticPr fontId="1" type="noConversion"/>
  </si>
  <si>
    <t>满级套装</t>
    <phoneticPr fontId="1" type="noConversion"/>
  </si>
  <si>
    <t>1、</t>
    <phoneticPr fontId="1" type="noConversion"/>
  </si>
  <si>
    <t>暴击套装</t>
    <phoneticPr fontId="1" type="noConversion"/>
  </si>
  <si>
    <t>2件：</t>
    <phoneticPr fontId="1" type="noConversion"/>
  </si>
  <si>
    <t>3件：</t>
  </si>
  <si>
    <t>满级：</t>
    <phoneticPr fontId="1" type="noConversion"/>
  </si>
  <si>
    <t>暴击率</t>
    <phoneticPr fontId="1" type="noConversion"/>
  </si>
  <si>
    <t>暴击伤害</t>
    <phoneticPr fontId="1" type="noConversion"/>
  </si>
  <si>
    <t>2、</t>
    <phoneticPr fontId="1" type="noConversion"/>
  </si>
  <si>
    <t>格挡套装</t>
    <phoneticPr fontId="1" type="noConversion"/>
  </si>
  <si>
    <t>格挡率</t>
    <phoneticPr fontId="1" type="noConversion"/>
  </si>
  <si>
    <t>3、</t>
    <phoneticPr fontId="1" type="noConversion"/>
  </si>
  <si>
    <t>抵抗套装</t>
    <phoneticPr fontId="1" type="noConversion"/>
  </si>
  <si>
    <t>抗暴率</t>
    <phoneticPr fontId="1" type="noConversion"/>
  </si>
  <si>
    <t>免伤率</t>
    <phoneticPr fontId="1" type="noConversion"/>
  </si>
  <si>
    <t>4、</t>
    <phoneticPr fontId="1" type="noConversion"/>
  </si>
  <si>
    <t>穿透套装</t>
    <phoneticPr fontId="1" type="noConversion"/>
  </si>
  <si>
    <t>伤害率</t>
    <phoneticPr fontId="1" type="noConversion"/>
  </si>
  <si>
    <t>5、</t>
    <phoneticPr fontId="1" type="noConversion"/>
  </si>
  <si>
    <t>特殊套装</t>
    <phoneticPr fontId="1" type="noConversion"/>
  </si>
  <si>
    <t>反伤率</t>
    <phoneticPr fontId="1" type="noConversion"/>
  </si>
  <si>
    <t>吸血率</t>
    <phoneticPr fontId="1" type="noConversion"/>
  </si>
  <si>
    <t>6、</t>
    <phoneticPr fontId="1" type="noConversion"/>
  </si>
  <si>
    <t>输出套装</t>
    <phoneticPr fontId="1" type="noConversion"/>
  </si>
  <si>
    <t>Gem</t>
    <phoneticPr fontId="1" type="noConversion"/>
  </si>
  <si>
    <t>标识</t>
  </si>
  <si>
    <t>CS</t>
  </si>
  <si>
    <t>string</t>
  </si>
  <si>
    <t>Id</t>
  </si>
  <si>
    <t>名称</t>
  </si>
  <si>
    <t>Name</t>
  </si>
  <si>
    <t>$</t>
  </si>
  <si>
    <t>$名称</t>
    <phoneticPr fontId="1" type="noConversion"/>
  </si>
  <si>
    <t>$Name</t>
    <phoneticPr fontId="1" type="noConversion"/>
  </si>
  <si>
    <t>int</t>
  </si>
  <si>
    <t>Rareity</t>
  </si>
  <si>
    <t>Type</t>
  </si>
  <si>
    <t>资质</t>
    <phoneticPr fontId="1" type="noConversion"/>
  </si>
  <si>
    <t>部位</t>
    <phoneticPr fontId="1" type="noConversion"/>
  </si>
  <si>
    <t>基础属性</t>
    <phoneticPr fontId="1" type="noConversion"/>
  </si>
  <si>
    <t>升级属性</t>
    <phoneticPr fontId="1" type="noConversion"/>
  </si>
  <si>
    <t>开启品质</t>
    <phoneticPr fontId="1" type="noConversion"/>
  </si>
  <si>
    <t>Levelup</t>
    <phoneticPr fontId="1" type="noConversion"/>
  </si>
  <si>
    <t>Unlock</t>
    <phoneticPr fontId="1" type="noConversion"/>
  </si>
  <si>
    <t>附加条数</t>
    <phoneticPr fontId="1" type="noConversion"/>
  </si>
  <si>
    <t>附加属性</t>
    <phoneticPr fontId="1" type="noConversion"/>
  </si>
  <si>
    <t>Addattr</t>
    <phoneticPr fontId="1" type="noConversion"/>
  </si>
  <si>
    <t>Attrnum</t>
    <phoneticPr fontId="1" type="noConversion"/>
  </si>
  <si>
    <t>Attr</t>
    <phoneticPr fontId="1" type="noConversion"/>
  </si>
  <si>
    <t>Attrprobability</t>
    <phoneticPr fontId="1" type="noConversion"/>
  </si>
  <si>
    <t>数目概率</t>
    <phoneticPr fontId="1" type="noConversion"/>
  </si>
  <si>
    <t>Numprobability</t>
    <phoneticPr fontId="1" type="noConversion"/>
  </si>
  <si>
    <t>Gemexp</t>
    <phoneticPr fontId="1" type="noConversion"/>
  </si>
  <si>
    <t>Hole</t>
    <phoneticPr fontId="1" type="noConversion"/>
  </si>
  <si>
    <t>Level</t>
    <phoneticPr fontId="1" type="noConversion"/>
  </si>
  <si>
    <t>Exp</t>
    <phoneticPr fontId="1" type="noConversion"/>
  </si>
  <si>
    <t>ConfigValue</t>
  </si>
  <si>
    <t>内容</t>
  </si>
  <si>
    <t>值类型</t>
  </si>
  <si>
    <t>备注</t>
  </si>
  <si>
    <t>auto</t>
  </si>
  <si>
    <t>content</t>
  </si>
  <si>
    <t>clz</t>
  </si>
  <si>
    <t>$描述</t>
  </si>
  <si>
    <t>PRIMARY</t>
  </si>
  <si>
    <t>dict</t>
  </si>
  <si>
    <t>GemAddattr</t>
    <phoneticPr fontId="1" type="noConversion"/>
  </si>
  <si>
    <t>int</t>
    <phoneticPr fontId="1" type="noConversion"/>
  </si>
  <si>
    <t>附加属性升级条件（阶段）</t>
    <phoneticPr fontId="1" type="noConversion"/>
  </si>
  <si>
    <t>3,6,9,12,15</t>
    <phoneticPr fontId="1" type="noConversion"/>
  </si>
  <si>
    <t>升级权重</t>
    <phoneticPr fontId="1" type="noConversion"/>
  </si>
  <si>
    <t>属性权重</t>
    <phoneticPr fontId="1" type="noConversion"/>
  </si>
  <si>
    <t>Attrprobabilitylev</t>
    <phoneticPr fontId="1" type="noConversion"/>
  </si>
  <si>
    <t>suit</t>
    <phoneticPr fontId="1" type="noConversion"/>
  </si>
  <si>
    <t>suit1</t>
    <phoneticPr fontId="1" type="noConversion"/>
  </si>
  <si>
    <t>暴击套装</t>
    <phoneticPr fontId="1" type="noConversion"/>
  </si>
  <si>
    <t>包含组件</t>
    <phoneticPr fontId="1" type="noConversion"/>
  </si>
  <si>
    <t>Gem101,Gem102,Gem103</t>
    <phoneticPr fontId="1" type="noConversion"/>
  </si>
  <si>
    <t>套装效果</t>
    <phoneticPr fontId="1" type="noConversion"/>
  </si>
  <si>
    <t>Part</t>
    <phoneticPr fontId="1" type="noConversion"/>
  </si>
  <si>
    <t>Partattr</t>
    <phoneticPr fontId="1" type="noConversion"/>
  </si>
  <si>
    <t>2,critAdd,200;3,critAdd,400;all,critAdd,600</t>
    <phoneticPr fontId="1" type="noConversion"/>
  </si>
  <si>
    <t>Gem101</t>
  </si>
  <si>
    <t>宝石</t>
    <phoneticPr fontId="1" type="noConversion"/>
  </si>
  <si>
    <t>atk,100</t>
    <phoneticPr fontId="1" type="noConversion"/>
  </si>
  <si>
    <t>def,hpmax,</t>
    <phoneticPr fontId="1" type="noConversion"/>
  </si>
  <si>
    <t>0,20;1,20;2,20;3,20</t>
    <phoneticPr fontId="1" type="noConversion"/>
  </si>
  <si>
    <t>def,30;hpmax,20</t>
    <phoneticPr fontId="1" type="noConversion"/>
  </si>
  <si>
    <t>1、橙色，紫色品质有套装属性效果</t>
    <phoneticPr fontId="1" type="noConversion"/>
  </si>
  <si>
    <t>2、套装效果分为2件、3件，3件满级效果3类</t>
    <phoneticPr fontId="1" type="noConversion"/>
  </si>
  <si>
    <t>附加属性升级效果</t>
    <phoneticPr fontId="1" type="noConversion"/>
  </si>
  <si>
    <t>Addattrlev</t>
    <phoneticPr fontId="1" type="noConversion"/>
  </si>
  <si>
    <t>def,100,,hpmax,100</t>
    <phoneticPr fontId="1" type="noConversion"/>
  </si>
  <si>
    <t>Gem102</t>
    <phoneticPr fontId="1" type="noConversion"/>
  </si>
  <si>
    <t>经验宝石</t>
    <phoneticPr fontId="1" type="noConversion"/>
  </si>
  <si>
    <t>经验比例</t>
    <phoneticPr fontId="1" type="noConversion"/>
  </si>
  <si>
    <t>Expratio</t>
    <phoneticPr fontId="1" type="noConversion"/>
  </si>
  <si>
    <t>绿宝石1</t>
    <phoneticPr fontId="1" type="noConversion"/>
  </si>
  <si>
    <t>绿宝石2</t>
  </si>
  <si>
    <t>绿宝石3</t>
  </si>
  <si>
    <t>蓝宝石1</t>
    <phoneticPr fontId="1" type="noConversion"/>
  </si>
  <si>
    <t>蓝宝石2</t>
  </si>
  <si>
    <t>蓝宝石3</t>
  </si>
  <si>
    <t>暴击</t>
  </si>
  <si>
    <t>紫宝石1</t>
    <phoneticPr fontId="1" type="noConversion"/>
  </si>
  <si>
    <t>紫宝石2</t>
  </si>
  <si>
    <t>紫宝石3</t>
  </si>
  <si>
    <t>紫宝石4</t>
  </si>
  <si>
    <t>紫宝石5</t>
  </si>
  <si>
    <t>紫宝石6</t>
  </si>
  <si>
    <t>紫宝石7</t>
  </si>
  <si>
    <t>紫宝石8</t>
  </si>
  <si>
    <t>紫宝石9</t>
  </si>
  <si>
    <t>紫宝石10</t>
  </si>
  <si>
    <t>紫宝石11</t>
  </si>
  <si>
    <t>紫宝石12</t>
  </si>
  <si>
    <t>紫宝石13</t>
  </si>
  <si>
    <t>紫宝石14</t>
  </si>
  <si>
    <t>紫宝石15</t>
  </si>
  <si>
    <t>紫宝石16</t>
  </si>
  <si>
    <t>紫宝石17</t>
  </si>
  <si>
    <t>紫宝石18</t>
  </si>
  <si>
    <t>DEF</t>
    <phoneticPr fontId="1" type="noConversion"/>
  </si>
  <si>
    <t>HP</t>
    <phoneticPr fontId="1" type="noConversion"/>
  </si>
  <si>
    <t>ATK</t>
    <phoneticPr fontId="1" type="noConversion"/>
  </si>
  <si>
    <t>基础属性类型</t>
    <phoneticPr fontId="1" type="noConversion"/>
  </si>
  <si>
    <t>基础属性值</t>
    <phoneticPr fontId="1" type="noConversion"/>
  </si>
  <si>
    <t>int</t>
    <phoneticPr fontId="1" type="noConversion"/>
  </si>
  <si>
    <t>基础升级效果</t>
    <phoneticPr fontId="1" type="noConversion"/>
  </si>
  <si>
    <t>array</t>
  </si>
  <si>
    <t>橙宝石1</t>
    <phoneticPr fontId="1" type="noConversion"/>
  </si>
  <si>
    <t>橙宝石2</t>
  </si>
  <si>
    <t>橙宝石3</t>
  </si>
  <si>
    <t>橙宝石4</t>
  </si>
  <si>
    <t>橙宝石5</t>
  </si>
  <si>
    <t>橙宝石6</t>
  </si>
  <si>
    <t>橙宝石7</t>
  </si>
  <si>
    <t>橙宝石8</t>
  </si>
  <si>
    <t>橙宝石9</t>
  </si>
  <si>
    <t>橙宝石10</t>
  </si>
  <si>
    <t>橙宝石11</t>
  </si>
  <si>
    <t>橙宝石12</t>
  </si>
  <si>
    <t>橙宝石13</t>
  </si>
  <si>
    <t>橙宝石14</t>
  </si>
  <si>
    <t>橙宝石15</t>
  </si>
  <si>
    <t>橙宝石16</t>
  </si>
  <si>
    <t>橙宝石17</t>
  </si>
  <si>
    <t>橙宝石18</t>
  </si>
  <si>
    <t>等级ID</t>
    <phoneticPr fontId="1" type="noConversion"/>
  </si>
  <si>
    <t>下级Id</t>
    <phoneticPr fontId="1" type="noConversion"/>
  </si>
  <si>
    <t>显示等级</t>
    <phoneticPr fontId="1" type="noConversion"/>
  </si>
  <si>
    <t>升下级所需经验</t>
    <phoneticPr fontId="1" type="noConversion"/>
  </si>
  <si>
    <t>累计经验</t>
    <phoneticPr fontId="1" type="noConversion"/>
  </si>
  <si>
    <t>CS</t>
    <phoneticPr fontId="1" type="noConversion"/>
  </si>
  <si>
    <t>string</t>
    <phoneticPr fontId="9" type="noConversion"/>
  </si>
  <si>
    <t>NextId</t>
    <phoneticPr fontId="1" type="noConversion"/>
  </si>
  <si>
    <t>ShowLevel</t>
    <phoneticPr fontId="1" type="noConversion"/>
  </si>
  <si>
    <t>TotalExp</t>
    <phoneticPr fontId="1" type="noConversion"/>
  </si>
  <si>
    <t>Gem1_1</t>
    <phoneticPr fontId="1" type="noConversion"/>
  </si>
  <si>
    <t>Gem1_2</t>
  </si>
  <si>
    <t>Gem1_3</t>
  </si>
  <si>
    <t>Gem1_4</t>
  </si>
  <si>
    <t>Gem1_5</t>
  </si>
  <si>
    <t>Gem1_6</t>
  </si>
  <si>
    <t>Gem1_7</t>
  </si>
  <si>
    <t>Gem1_8</t>
  </si>
  <si>
    <t>Gem1_9</t>
  </si>
  <si>
    <t>Gem1_10</t>
  </si>
  <si>
    <t>Gem1_11</t>
  </si>
  <si>
    <t>Gem1_12</t>
  </si>
  <si>
    <t>Gem1_13</t>
  </si>
  <si>
    <t>Gem1_14</t>
  </si>
  <si>
    <t>Gem1_15</t>
  </si>
  <si>
    <t>Gem2_1</t>
    <phoneticPr fontId="1" type="noConversion"/>
  </si>
  <si>
    <t>Gem2_2</t>
  </si>
  <si>
    <t>Gem2_3</t>
  </si>
  <si>
    <t>Gem2_4</t>
  </si>
  <si>
    <t>Gem2_5</t>
  </si>
  <si>
    <t>Gem2_6</t>
  </si>
  <si>
    <t>Gem2_7</t>
  </si>
  <si>
    <t>Gem2_8</t>
  </si>
  <si>
    <t>Gem2_9</t>
  </si>
  <si>
    <t>Gem2_10</t>
  </si>
  <si>
    <t>Gem2_11</t>
  </si>
  <si>
    <t>Gem2_12</t>
  </si>
  <si>
    <t>Gem2_13</t>
  </si>
  <si>
    <t>Gem2_14</t>
  </si>
  <si>
    <t>Gem2_15</t>
  </si>
  <si>
    <t>Gem3_1</t>
    <phoneticPr fontId="1" type="noConversion"/>
  </si>
  <si>
    <t>Gem3_2</t>
  </si>
  <si>
    <t>Gem3_3</t>
  </si>
  <si>
    <t>Gem3_4</t>
  </si>
  <si>
    <t>Gem3_5</t>
  </si>
  <si>
    <t>Gem3_6</t>
  </si>
  <si>
    <t>Gem3_7</t>
  </si>
  <si>
    <t>Gem3_8</t>
  </si>
  <si>
    <t>Gem3_9</t>
  </si>
  <si>
    <t>Gem3_10</t>
  </si>
  <si>
    <t>Gem3_11</t>
  </si>
  <si>
    <t>Gem3_12</t>
  </si>
  <si>
    <t>Gem3_13</t>
  </si>
  <si>
    <t>Gem3_14</t>
  </si>
  <si>
    <t>Gem3_15</t>
  </si>
  <si>
    <t>Gem4_1</t>
    <phoneticPr fontId="1" type="noConversion"/>
  </si>
  <si>
    <t>Gem4_2</t>
  </si>
  <si>
    <t>Gem4_3</t>
  </si>
  <si>
    <t>Gem4_4</t>
  </si>
  <si>
    <t>Gem4_5</t>
  </si>
  <si>
    <t>Gem4_6</t>
  </si>
  <si>
    <t>Gem4_7</t>
  </si>
  <si>
    <t>Gem4_8</t>
  </si>
  <si>
    <t>Gem4_9</t>
  </si>
  <si>
    <t>Gem4_10</t>
  </si>
  <si>
    <t>Gem4_11</t>
  </si>
  <si>
    <t>Gem4_12</t>
  </si>
  <si>
    <t>Gem4_13</t>
  </si>
  <si>
    <t>Gem4_14</t>
  </si>
  <si>
    <t>Gem4_15</t>
  </si>
  <si>
    <t>GemLev</t>
    <phoneticPr fontId="1" type="noConversion"/>
  </si>
  <si>
    <t>string</t>
    <phoneticPr fontId="1" type="noConversion"/>
  </si>
  <si>
    <t>[3,6,9,12,15]</t>
    <phoneticPr fontId="1" type="noConversion"/>
  </si>
  <si>
    <t>[1,1,1,1]</t>
    <phoneticPr fontId="1" type="noConversion"/>
  </si>
  <si>
    <t>每个品质御魂的初始等级ID</t>
    <phoneticPr fontId="1" type="noConversion"/>
  </si>
  <si>
    <t>[1,1,1,1,1]</t>
    <phoneticPr fontId="1" type="noConversion"/>
  </si>
  <si>
    <t>附加属性数目</t>
    <phoneticPr fontId="10" type="noConversion"/>
  </si>
  <si>
    <t>[0,1,2,3]</t>
    <phoneticPr fontId="10" type="noConversion"/>
  </si>
  <si>
    <t>[20,20,20,20]</t>
  </si>
  <si>
    <t>[0,1,2,3]</t>
  </si>
  <si>
    <t>套装条件</t>
    <phoneticPr fontId="10" type="noConversion"/>
  </si>
  <si>
    <t>套装属性</t>
    <phoneticPr fontId="10" type="noConversion"/>
  </si>
  <si>
    <t>满级套装件数条件</t>
    <phoneticPr fontId="10" type="noConversion"/>
  </si>
  <si>
    <t>满级属性</t>
    <phoneticPr fontId="10" type="noConversion"/>
  </si>
  <si>
    <t>满级效果</t>
    <phoneticPr fontId="1" type="noConversion"/>
  </si>
  <si>
    <t>CS</t>
    <phoneticPr fontId="10" type="noConversion"/>
  </si>
  <si>
    <t>int</t>
    <phoneticPr fontId="10" type="noConversion"/>
  </si>
  <si>
    <t>Partcondition</t>
    <phoneticPr fontId="10" type="noConversion"/>
  </si>
  <si>
    <t>Suitattr</t>
    <phoneticPr fontId="10" type="noConversion"/>
  </si>
  <si>
    <t>Suitlevpart</t>
    <phoneticPr fontId="10" type="noConversion"/>
  </si>
  <si>
    <t>Suitlevattr</t>
    <phoneticPr fontId="10" type="noConversion"/>
  </si>
  <si>
    <t>Partlevattr</t>
    <phoneticPr fontId="1" type="noConversion"/>
  </si>
  <si>
    <t>FOREIGN:Translate.Id</t>
  </si>
  <si>
    <t>[2,3]</t>
    <phoneticPr fontId="10" type="noConversion"/>
  </si>
  <si>
    <t>Gem1001</t>
    <phoneticPr fontId="1" type="noConversion"/>
  </si>
  <si>
    <t>Gem1002</t>
  </si>
  <si>
    <t>Gem1003</t>
  </si>
  <si>
    <t>Gem2001</t>
    <phoneticPr fontId="1" type="noConversion"/>
  </si>
  <si>
    <t>Gem2002</t>
  </si>
  <si>
    <t>Gem2003</t>
  </si>
  <si>
    <t>Gem3001</t>
    <phoneticPr fontId="1" type="noConversion"/>
  </si>
  <si>
    <t>Gem3002</t>
    <phoneticPr fontId="1" type="noConversion"/>
  </si>
  <si>
    <t>Gem3003</t>
  </si>
  <si>
    <t>Gem3011</t>
    <phoneticPr fontId="1" type="noConversion"/>
  </si>
  <si>
    <t>Gem3012</t>
  </si>
  <si>
    <t>Gem3013</t>
  </si>
  <si>
    <t>Gem3021</t>
    <phoneticPr fontId="1" type="noConversion"/>
  </si>
  <si>
    <t>Gem3022</t>
  </si>
  <si>
    <t>Gem3023</t>
  </si>
  <si>
    <t>Gem3031</t>
    <phoneticPr fontId="1" type="noConversion"/>
  </si>
  <si>
    <t>Gem3032</t>
  </si>
  <si>
    <t>Gem3033</t>
  </si>
  <si>
    <t>Gem3041</t>
    <phoneticPr fontId="1" type="noConversion"/>
  </si>
  <si>
    <t>Gem3042</t>
  </si>
  <si>
    <t>Gem3043</t>
  </si>
  <si>
    <t>Gem3051</t>
    <phoneticPr fontId="1" type="noConversion"/>
  </si>
  <si>
    <t>Gem3052</t>
  </si>
  <si>
    <t>Gem3053</t>
  </si>
  <si>
    <t>Gem4001</t>
    <phoneticPr fontId="1" type="noConversion"/>
  </si>
  <si>
    <t>Gem4002</t>
  </si>
  <si>
    <t>Gem4003</t>
  </si>
  <si>
    <t>Gem4011</t>
    <phoneticPr fontId="1" type="noConversion"/>
  </si>
  <si>
    <t>Gem4012</t>
  </si>
  <si>
    <t>Gem4013</t>
  </si>
  <si>
    <t>Gem4021</t>
    <phoneticPr fontId="1" type="noConversion"/>
  </si>
  <si>
    <t>Gem4022</t>
  </si>
  <si>
    <t>Gem4023</t>
  </si>
  <si>
    <t>Gem4031</t>
    <phoneticPr fontId="1" type="noConversion"/>
  </si>
  <si>
    <t>Gem4032</t>
  </si>
  <si>
    <t>Gem4033</t>
  </si>
  <si>
    <t>Gem4041</t>
    <phoneticPr fontId="1" type="noConversion"/>
  </si>
  <si>
    <t>Gem4042</t>
  </si>
  <si>
    <t>Gem4043</t>
  </si>
  <si>
    <t>Gem4051</t>
    <phoneticPr fontId="1" type="noConversion"/>
  </si>
  <si>
    <t>Gem4052</t>
  </si>
  <si>
    <t>Gem4053</t>
  </si>
  <si>
    <t>CRITRATE</t>
    <phoneticPr fontId="1" type="noConversion"/>
  </si>
  <si>
    <t>CRITSTRG</t>
    <phoneticPr fontId="1" type="noConversion"/>
  </si>
  <si>
    <t>攻击</t>
    <phoneticPr fontId="1" type="noConversion"/>
  </si>
  <si>
    <t>防御</t>
    <phoneticPr fontId="1" type="noConversion"/>
  </si>
  <si>
    <t>生命</t>
    <phoneticPr fontId="1" type="noConversion"/>
  </si>
  <si>
    <t>攻击百分比</t>
    <phoneticPr fontId="1" type="noConversion"/>
  </si>
  <si>
    <t>防御百分比</t>
    <phoneticPr fontId="1" type="noConversion"/>
  </si>
  <si>
    <t>生命百分比</t>
    <phoneticPr fontId="1" type="noConversion"/>
  </si>
  <si>
    <t>暴击率</t>
    <phoneticPr fontId="1" type="noConversion"/>
  </si>
  <si>
    <t>抗暴率</t>
    <phoneticPr fontId="1" type="noConversion"/>
  </si>
  <si>
    <t>格挡率</t>
    <phoneticPr fontId="1" type="noConversion"/>
  </si>
  <si>
    <t>破击率</t>
    <phoneticPr fontId="1" type="noConversion"/>
  </si>
  <si>
    <t>格挡强度</t>
    <phoneticPr fontId="1" type="noConversion"/>
  </si>
  <si>
    <t>伤害率</t>
    <phoneticPr fontId="1" type="noConversion"/>
  </si>
  <si>
    <t>免伤率</t>
    <phoneticPr fontId="1" type="noConversion"/>
  </si>
  <si>
    <t>吸血率</t>
    <phoneticPr fontId="1" type="noConversion"/>
  </si>
  <si>
    <t>反伤率</t>
    <phoneticPr fontId="1" type="noConversion"/>
  </si>
  <si>
    <t>先手值</t>
    <phoneticPr fontId="1" type="noConversion"/>
  </si>
  <si>
    <t>SPEED</t>
  </si>
  <si>
    <t>ATK</t>
    <phoneticPr fontId="1" type="noConversion"/>
  </si>
  <si>
    <t>DEF</t>
    <phoneticPr fontId="1" type="noConversion"/>
  </si>
  <si>
    <t>HP</t>
    <phoneticPr fontId="1" type="noConversion"/>
  </si>
  <si>
    <t>ATKRATE</t>
    <phoneticPr fontId="1" type="noConversion"/>
  </si>
  <si>
    <t>DEFRATE</t>
    <phoneticPr fontId="1" type="noConversion"/>
  </si>
  <si>
    <t>HPRATE</t>
    <phoneticPr fontId="1" type="noConversion"/>
  </si>
  <si>
    <t>UNCRITRATE</t>
    <phoneticPr fontId="1" type="noConversion"/>
  </si>
  <si>
    <t>暴击伤害</t>
    <phoneticPr fontId="1" type="noConversion"/>
  </si>
  <si>
    <t>BLOCKRATE</t>
    <phoneticPr fontId="1" type="noConversion"/>
  </si>
  <si>
    <t>UNBLOCKRATE</t>
    <phoneticPr fontId="1" type="noConversion"/>
  </si>
  <si>
    <t>BLOCKSTRG</t>
    <phoneticPr fontId="1" type="noConversion"/>
  </si>
  <si>
    <t>HURTRATE</t>
    <phoneticPr fontId="1" type="noConversion"/>
  </si>
  <si>
    <t>UNHURTRATE</t>
    <phoneticPr fontId="1" type="noConversion"/>
  </si>
  <si>
    <t>ABSORPTION</t>
    <phoneticPr fontId="1" type="noConversion"/>
  </si>
  <si>
    <t>REFLECTION</t>
    <phoneticPr fontId="1" type="noConversion"/>
  </si>
  <si>
    <t>SuitCri_1</t>
    <phoneticPr fontId="1" type="noConversion"/>
  </si>
  <si>
    <t>SuitBlock_1</t>
    <phoneticPr fontId="1" type="noConversion"/>
  </si>
  <si>
    <t>SuitDef_1</t>
  </si>
  <si>
    <t>SuitUnblock_1</t>
  </si>
  <si>
    <t>SuitSpecial_1</t>
  </si>
  <si>
    <t>SuitAtk_1</t>
  </si>
  <si>
    <t>SuitCri_2</t>
    <phoneticPr fontId="1" type="noConversion"/>
  </si>
  <si>
    <t>SuitBlock_2</t>
    <phoneticPr fontId="1" type="noConversion"/>
  </si>
  <si>
    <t>SuitDef_2</t>
    <phoneticPr fontId="1" type="noConversion"/>
  </si>
  <si>
    <t>SuitUnblock_2</t>
    <phoneticPr fontId="1" type="noConversion"/>
  </si>
  <si>
    <t>SuitSpecial_2</t>
    <phoneticPr fontId="1" type="noConversion"/>
  </si>
  <si>
    <t>SuitAtk_2</t>
    <phoneticPr fontId="1" type="noConversion"/>
  </si>
  <si>
    <t>[2,3]</t>
  </si>
  <si>
    <t>最大附加条数</t>
    <phoneticPr fontId="1" type="noConversion"/>
  </si>
  <si>
    <t>CS</t>
    <phoneticPr fontId="1" type="noConversion"/>
  </si>
  <si>
    <t>归属套装</t>
    <phoneticPr fontId="1" type="noConversion"/>
  </si>
  <si>
    <t>基础经验</t>
    <phoneticPr fontId="1" type="noConversion"/>
  </si>
  <si>
    <t>int</t>
    <phoneticPr fontId="1" type="noConversion"/>
  </si>
  <si>
    <t>Suitid</t>
    <phoneticPr fontId="1" type="noConversion"/>
  </si>
  <si>
    <t>Baseexp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</si>
</sst>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63"/>
        <bgColor indexed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9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10" fontId="2" fillId="0" borderId="1" xfId="0" applyNumberFormat="1" applyFont="1" applyBorder="1"/>
    <xf numFmtId="0" fontId="2" fillId="0" borderId="1" xfId="0" applyNumberFormat="1" applyFont="1" applyBorder="1"/>
    <xf numFmtId="0" fontId="2" fillId="0" borderId="1" xfId="0" applyFont="1" applyFill="1" applyBorder="1"/>
    <xf numFmtId="0" fontId="2" fillId="4" borderId="0" xfId="0" applyFont="1" applyFill="1"/>
    <xf numFmtId="0" fontId="4" fillId="0" borderId="0" xfId="0" applyFont="1" applyBorder="1"/>
    <xf numFmtId="0" fontId="2" fillId="0" borderId="0" xfId="0" applyFont="1" applyFill="1" applyBorder="1"/>
    <xf numFmtId="0" fontId="2" fillId="0" borderId="0" xfId="0" applyFont="1" applyAlignment="1">
      <alignment horizontal="right"/>
    </xf>
    <xf numFmtId="49" fontId="7" fillId="5" borderId="2" xfId="0" applyNumberFormat="1" applyFont="1" applyFill="1" applyBorder="1" applyAlignment="1">
      <alignment horizontal="left" vertical="center"/>
    </xf>
    <xf numFmtId="49" fontId="7" fillId="5" borderId="0" xfId="0" applyNumberFormat="1" applyFont="1" applyFill="1" applyAlignment="1">
      <alignment horizontal="left" vertical="center"/>
    </xf>
    <xf numFmtId="49" fontId="7" fillId="6" borderId="0" xfId="0" applyNumberFormat="1" applyFont="1" applyFill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7" fillId="7" borderId="0" xfId="0" applyNumberFormat="1" applyFont="1" applyFill="1" applyAlignment="1">
      <alignment horizontal="left" vertical="center"/>
    </xf>
    <xf numFmtId="49" fontId="7" fillId="8" borderId="0" xfId="0" applyNumberFormat="1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left" vertical="center"/>
    </xf>
    <xf numFmtId="49" fontId="7" fillId="5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3"/>
  <sheetViews>
    <sheetView topLeftCell="A55" workbookViewId="0">
      <selection activeCell="H114" sqref="H114"/>
    </sheetView>
  </sheetViews>
  <sheetFormatPr defaultRowHeight="13.5"/>
  <cols>
    <col min="1" max="1" width="9" style="5"/>
    <col min="2" max="2" width="14" style="2" customWidth="1"/>
    <col min="3" max="3" width="9.5" style="2" bestFit="1" customWidth="1"/>
    <col min="4" max="4" width="9" style="2"/>
    <col min="5" max="7" width="10.5" style="2" bestFit="1" customWidth="1"/>
    <col min="8" max="16384" width="9" style="2"/>
  </cols>
  <sheetData>
    <row r="1" spans="1:2" s="1" customFormat="1">
      <c r="A1" s="4" t="s">
        <v>20</v>
      </c>
      <c r="B1" s="3" t="s">
        <v>21</v>
      </c>
    </row>
    <row r="2" spans="1:2">
      <c r="B2" s="2" t="s">
        <v>28</v>
      </c>
    </row>
    <row r="3" spans="1:2">
      <c r="B3" s="2" t="s">
        <v>24</v>
      </c>
    </row>
    <row r="4" spans="1:2">
      <c r="B4" s="2" t="s">
        <v>29</v>
      </c>
    </row>
    <row r="6" spans="1:2" s="1" customFormat="1">
      <c r="A6" s="4" t="s">
        <v>22</v>
      </c>
      <c r="B6" s="3" t="s">
        <v>23</v>
      </c>
    </row>
    <row r="8" spans="1:2">
      <c r="B8" s="2" t="s">
        <v>25</v>
      </c>
    </row>
    <row r="9" spans="1:2">
      <c r="B9" s="2" t="s">
        <v>26</v>
      </c>
    </row>
    <row r="10" spans="1:2">
      <c r="B10" s="2" t="s">
        <v>27</v>
      </c>
    </row>
    <row r="11" spans="1:2">
      <c r="B11" s="2" t="s">
        <v>30</v>
      </c>
    </row>
    <row r="13" spans="1:2" s="1" customFormat="1">
      <c r="A13" s="4" t="s">
        <v>31</v>
      </c>
      <c r="B13" s="3" t="s">
        <v>37</v>
      </c>
    </row>
    <row r="14" spans="1:2">
      <c r="B14" s="2" t="s">
        <v>38</v>
      </c>
    </row>
    <row r="15" spans="1:2">
      <c r="B15" s="2" t="s">
        <v>39</v>
      </c>
    </row>
    <row r="16" spans="1:2">
      <c r="B16" s="2" t="s">
        <v>40</v>
      </c>
    </row>
    <row r="17" spans="1:9">
      <c r="B17" s="2" t="s">
        <v>41</v>
      </c>
    </row>
    <row r="18" spans="1:9">
      <c r="B18" s="2" t="s">
        <v>42</v>
      </c>
    </row>
    <row r="20" spans="1:9">
      <c r="B20" s="25"/>
      <c r="C20" s="25" t="s">
        <v>0</v>
      </c>
      <c r="D20" s="25" t="s">
        <v>94</v>
      </c>
      <c r="E20" s="25" t="s">
        <v>106</v>
      </c>
      <c r="F20" s="25" t="s">
        <v>107</v>
      </c>
      <c r="G20" s="25" t="s">
        <v>108</v>
      </c>
      <c r="H20" s="25" t="s">
        <v>95</v>
      </c>
    </row>
    <row r="21" spans="1:9">
      <c r="A21" s="5">
        <v>1</v>
      </c>
      <c r="B21" s="26" t="s">
        <v>1</v>
      </c>
      <c r="C21" s="26" t="s">
        <v>96</v>
      </c>
      <c r="D21" s="26" t="s">
        <v>115</v>
      </c>
      <c r="E21" s="26" t="s">
        <v>116</v>
      </c>
      <c r="F21" s="26" t="s">
        <v>101</v>
      </c>
      <c r="G21" s="26" t="s">
        <v>102</v>
      </c>
      <c r="H21" s="26" t="s">
        <v>35</v>
      </c>
      <c r="I21" s="2" t="s">
        <v>253</v>
      </c>
    </row>
    <row r="22" spans="1:9">
      <c r="A22" s="5">
        <v>2</v>
      </c>
      <c r="B22" s="26" t="s">
        <v>109</v>
      </c>
      <c r="C22" s="26" t="s">
        <v>97</v>
      </c>
      <c r="D22" s="26" t="s">
        <v>100</v>
      </c>
      <c r="E22" s="26" t="s">
        <v>105</v>
      </c>
      <c r="F22" s="26" t="s">
        <v>104</v>
      </c>
      <c r="G22" s="26" t="s">
        <v>99</v>
      </c>
      <c r="H22" s="26"/>
      <c r="I22" s="2" t="s">
        <v>254</v>
      </c>
    </row>
    <row r="23" spans="1:9">
      <c r="A23" s="5">
        <v>3</v>
      </c>
      <c r="B23" s="26" t="s">
        <v>110</v>
      </c>
      <c r="C23" s="26" t="s">
        <v>98</v>
      </c>
      <c r="D23" s="26" t="s">
        <v>111</v>
      </c>
      <c r="E23" s="26" t="s">
        <v>112</v>
      </c>
      <c r="F23" s="26" t="s">
        <v>113</v>
      </c>
      <c r="G23" s="26" t="s">
        <v>114</v>
      </c>
      <c r="H23" s="26" t="s">
        <v>103</v>
      </c>
      <c r="I23" s="2" t="s">
        <v>255</v>
      </c>
    </row>
    <row r="26" spans="1:9" s="1" customFormat="1">
      <c r="A26" s="4" t="s">
        <v>32</v>
      </c>
      <c r="B26" s="3" t="s">
        <v>36</v>
      </c>
    </row>
    <row r="28" spans="1:9">
      <c r="B28" s="9" t="s">
        <v>43</v>
      </c>
      <c r="C28" s="14">
        <v>3</v>
      </c>
      <c r="E28" s="11"/>
      <c r="F28" s="11" t="s">
        <v>125</v>
      </c>
    </row>
    <row r="29" spans="1:9">
      <c r="B29" s="9" t="s">
        <v>44</v>
      </c>
      <c r="C29" s="14">
        <v>5</v>
      </c>
      <c r="E29" s="8" t="s">
        <v>121</v>
      </c>
      <c r="F29" s="8">
        <v>0.4</v>
      </c>
    </row>
    <row r="30" spans="1:9">
      <c r="B30" s="9" t="s">
        <v>45</v>
      </c>
      <c r="C30" s="14">
        <v>3</v>
      </c>
      <c r="E30" s="8" t="s">
        <v>122</v>
      </c>
      <c r="F30" s="8">
        <v>0.3</v>
      </c>
    </row>
    <row r="31" spans="1:9">
      <c r="B31" s="9" t="s">
        <v>46</v>
      </c>
      <c r="C31" s="14">
        <f>C30*10</f>
        <v>30</v>
      </c>
      <c r="E31" s="8" t="s">
        <v>123</v>
      </c>
      <c r="F31" s="8">
        <v>0.2</v>
      </c>
    </row>
    <row r="32" spans="1:9">
      <c r="B32" s="9" t="s">
        <v>47</v>
      </c>
      <c r="C32" s="14">
        <f>C31*C28^5</f>
        <v>7290</v>
      </c>
      <c r="E32" s="8" t="s">
        <v>124</v>
      </c>
      <c r="F32" s="8">
        <v>0.1</v>
      </c>
    </row>
    <row r="33" spans="2:13">
      <c r="B33" s="9" t="s">
        <v>48</v>
      </c>
      <c r="C33" s="14">
        <f>C30*5*C28^3</f>
        <v>405</v>
      </c>
    </row>
    <row r="34" spans="2:13">
      <c r="B34" s="16"/>
      <c r="C34" s="17"/>
    </row>
    <row r="35" spans="2:13">
      <c r="B35" s="16"/>
      <c r="C35" s="17"/>
    </row>
    <row r="36" spans="2:13">
      <c r="B36" s="2" t="s">
        <v>126</v>
      </c>
      <c r="K36" s="6" t="s">
        <v>63</v>
      </c>
      <c r="L36" s="6" t="s">
        <v>63</v>
      </c>
      <c r="M36" s="6" t="s">
        <v>63</v>
      </c>
    </row>
    <row r="37" spans="2:13">
      <c r="B37" s="25"/>
      <c r="C37" s="25" t="s">
        <v>53</v>
      </c>
      <c r="D37" s="25" t="s">
        <v>54</v>
      </c>
      <c r="E37" s="25" t="s">
        <v>79</v>
      </c>
      <c r="F37" s="25" t="s">
        <v>80</v>
      </c>
      <c r="G37" s="25" t="s">
        <v>58</v>
      </c>
      <c r="H37" s="25" t="s">
        <v>59</v>
      </c>
      <c r="I37" s="25" t="s">
        <v>56</v>
      </c>
      <c r="J37" s="25" t="s">
        <v>55</v>
      </c>
      <c r="K37" s="25" t="s">
        <v>118</v>
      </c>
      <c r="L37" s="25" t="s">
        <v>73</v>
      </c>
      <c r="M37" s="25" t="s">
        <v>74</v>
      </c>
    </row>
    <row r="38" spans="2:13">
      <c r="B38" s="26" t="s">
        <v>57</v>
      </c>
      <c r="C38" s="26">
        <f>C42/$F$31</f>
        <v>30</v>
      </c>
      <c r="D38" s="26">
        <f>D42/$F$31</f>
        <v>15</v>
      </c>
      <c r="E38" s="26"/>
      <c r="F38" s="26"/>
      <c r="G38" s="26"/>
      <c r="H38" s="26"/>
      <c r="I38" s="26"/>
      <c r="J38" s="26"/>
      <c r="K38" s="26">
        <f>ROUND($C$30*10/SUM(C38:J38),2)</f>
        <v>0.67</v>
      </c>
      <c r="L38" s="26">
        <f>ROUND($C$32/SUM(C38:J38),2)</f>
        <v>162</v>
      </c>
      <c r="M38" s="26">
        <f>ROUND($C$33/SUM(C38:J38),2)</f>
        <v>9</v>
      </c>
    </row>
    <row r="39" spans="2:13">
      <c r="B39" s="16"/>
      <c r="C39" s="17"/>
    </row>
    <row r="40" spans="2:13">
      <c r="B40" s="2" t="s">
        <v>119</v>
      </c>
      <c r="K40" s="6" t="s">
        <v>63</v>
      </c>
      <c r="L40" s="6" t="s">
        <v>63</v>
      </c>
      <c r="M40" s="6" t="s">
        <v>63</v>
      </c>
    </row>
    <row r="41" spans="2:13">
      <c r="B41" s="25"/>
      <c r="C41" s="25" t="s">
        <v>53</v>
      </c>
      <c r="D41" s="25" t="s">
        <v>54</v>
      </c>
      <c r="E41" s="25" t="s">
        <v>79</v>
      </c>
      <c r="F41" s="25" t="s">
        <v>80</v>
      </c>
      <c r="G41" s="25" t="s">
        <v>58</v>
      </c>
      <c r="H41" s="25" t="s">
        <v>59</v>
      </c>
      <c r="I41" s="25" t="s">
        <v>56</v>
      </c>
      <c r="J41" s="25" t="s">
        <v>55</v>
      </c>
      <c r="K41" s="25" t="s">
        <v>118</v>
      </c>
      <c r="L41" s="25" t="s">
        <v>73</v>
      </c>
      <c r="M41" s="25" t="s">
        <v>74</v>
      </c>
    </row>
    <row r="42" spans="2:13">
      <c r="B42" s="26" t="s">
        <v>57</v>
      </c>
      <c r="C42" s="26">
        <v>6</v>
      </c>
      <c r="D42" s="26">
        <v>3</v>
      </c>
      <c r="E42" s="26"/>
      <c r="F42" s="26">
        <v>3</v>
      </c>
      <c r="G42" s="26"/>
      <c r="H42" s="26"/>
      <c r="I42" s="26"/>
      <c r="J42" s="26"/>
      <c r="K42" s="26">
        <f>ROUND($C$30*10/SUM(C42:J42),2)</f>
        <v>2.5</v>
      </c>
      <c r="L42" s="26">
        <f>ROUND($C$32/SUM(C42:J42),2)</f>
        <v>607.5</v>
      </c>
      <c r="M42" s="26">
        <f>ROUND($C$33/SUM(C42:J42),2)</f>
        <v>33.75</v>
      </c>
    </row>
    <row r="43" spans="2:13">
      <c r="B43" s="26" t="s">
        <v>49</v>
      </c>
      <c r="C43" s="26">
        <f t="shared" ref="C43:D46" si="0">C42</f>
        <v>6</v>
      </c>
      <c r="D43" s="26">
        <f t="shared" si="0"/>
        <v>3</v>
      </c>
      <c r="E43" s="26"/>
      <c r="F43" s="26">
        <v>3</v>
      </c>
      <c r="G43" s="26"/>
      <c r="H43" s="26"/>
      <c r="I43" s="26"/>
      <c r="J43" s="26"/>
      <c r="K43" s="26">
        <f>ROUND($C$30*10/SUM(C43:J43),2)</f>
        <v>2.5</v>
      </c>
      <c r="L43" s="26">
        <f>ROUND($C$32/SUM(C43:J43),2)</f>
        <v>607.5</v>
      </c>
      <c r="M43" s="26">
        <f>ROUND($C$33/SUM(C43:J43),2)</f>
        <v>33.75</v>
      </c>
    </row>
    <row r="44" spans="2:13">
      <c r="B44" s="26" t="s">
        <v>50</v>
      </c>
      <c r="C44" s="27">
        <f t="shared" si="0"/>
        <v>6</v>
      </c>
      <c r="D44" s="26">
        <f t="shared" si="0"/>
        <v>3</v>
      </c>
      <c r="E44" s="26"/>
      <c r="F44" s="26">
        <v>3</v>
      </c>
      <c r="G44" s="26"/>
      <c r="H44" s="26"/>
      <c r="I44" s="26"/>
      <c r="J44" s="26">
        <v>6</v>
      </c>
      <c r="K44" s="26">
        <f>ROUND($C$30*10/SUM(C44:J44),2)</f>
        <v>1.67</v>
      </c>
      <c r="L44" s="26">
        <f>ROUND($C$32/SUM(C44:J44),2)</f>
        <v>405</v>
      </c>
      <c r="M44" s="26">
        <f>ROUND($C$33/SUM(C44:J44),2)</f>
        <v>22.5</v>
      </c>
    </row>
    <row r="45" spans="2:13">
      <c r="B45" s="26" t="s">
        <v>51</v>
      </c>
      <c r="C45" s="27">
        <f t="shared" si="0"/>
        <v>6</v>
      </c>
      <c r="D45" s="26">
        <f t="shared" si="0"/>
        <v>3</v>
      </c>
      <c r="E45" s="26"/>
      <c r="F45" s="26">
        <v>3</v>
      </c>
      <c r="G45" s="26"/>
      <c r="H45" s="26"/>
      <c r="I45" s="26">
        <v>4</v>
      </c>
      <c r="J45" s="26">
        <f>J44</f>
        <v>6</v>
      </c>
      <c r="K45" s="26">
        <f>ROUND($C$30*10/SUM(C45:J45),2)</f>
        <v>1.36</v>
      </c>
      <c r="L45" s="26">
        <f>ROUND($C$32/SUM(C45:J45),2)</f>
        <v>331.36</v>
      </c>
      <c r="M45" s="26">
        <f>ROUND($C$33/SUM(C45:J45),2)</f>
        <v>18.41</v>
      </c>
    </row>
    <row r="46" spans="2:13">
      <c r="B46" s="27" t="s">
        <v>52</v>
      </c>
      <c r="C46" s="27">
        <f t="shared" si="0"/>
        <v>6</v>
      </c>
      <c r="D46" s="26">
        <f t="shared" si="0"/>
        <v>3</v>
      </c>
      <c r="E46" s="26"/>
      <c r="F46" s="26">
        <v>3</v>
      </c>
      <c r="G46" s="26"/>
      <c r="H46" s="26">
        <v>4</v>
      </c>
      <c r="I46" s="26">
        <f>I45</f>
        <v>4</v>
      </c>
      <c r="J46" s="26">
        <v>6</v>
      </c>
      <c r="K46" s="26">
        <f>ROUND($C$30*10/SUM(C46:J46),2)</f>
        <v>1.1499999999999999</v>
      </c>
      <c r="L46" s="26">
        <f>ROUND($C$32/SUM(C46:J46),2)</f>
        <v>280.38</v>
      </c>
      <c r="M46" s="26">
        <f>ROUND($C$33/SUM(C46:J46),2)</f>
        <v>15.58</v>
      </c>
    </row>
    <row r="48" spans="2:13">
      <c r="B48" s="2" t="s">
        <v>120</v>
      </c>
      <c r="K48" s="6" t="s">
        <v>63</v>
      </c>
      <c r="L48" s="6" t="s">
        <v>63</v>
      </c>
      <c r="M48" s="6" t="s">
        <v>63</v>
      </c>
    </row>
    <row r="49" spans="1:19">
      <c r="B49" s="25"/>
      <c r="C49" s="25" t="s">
        <v>53</v>
      </c>
      <c r="D49" s="25" t="s">
        <v>54</v>
      </c>
      <c r="E49" s="25" t="s">
        <v>79</v>
      </c>
      <c r="F49" s="25" t="s">
        <v>80</v>
      </c>
      <c r="G49" s="25" t="s">
        <v>58</v>
      </c>
      <c r="H49" s="25" t="s">
        <v>59</v>
      </c>
      <c r="I49" s="25" t="s">
        <v>56</v>
      </c>
      <c r="J49" s="25" t="s">
        <v>55</v>
      </c>
      <c r="K49" s="25" t="s">
        <v>62</v>
      </c>
      <c r="L49" s="25" t="s">
        <v>73</v>
      </c>
      <c r="M49" s="25" t="s">
        <v>74</v>
      </c>
    </row>
    <row r="50" spans="1:19">
      <c r="B50" s="26" t="s">
        <v>57</v>
      </c>
      <c r="C50" s="26">
        <v>3</v>
      </c>
      <c r="D50" s="26">
        <v>1</v>
      </c>
      <c r="E50" s="26"/>
      <c r="F50" s="26">
        <v>1</v>
      </c>
      <c r="G50" s="26"/>
      <c r="H50" s="26"/>
      <c r="I50" s="26"/>
      <c r="J50" s="26"/>
      <c r="K50" s="26">
        <f>ROUND($C$30*10/SUM(C50:J50),2)</f>
        <v>6</v>
      </c>
      <c r="L50" s="26">
        <f>ROUND($C$32/SUM(C50:J50),2)</f>
        <v>1458</v>
      </c>
      <c r="M50" s="26">
        <f>ROUND($C$33/SUM(C50:J50),2)</f>
        <v>81</v>
      </c>
    </row>
    <row r="51" spans="1:19">
      <c r="B51" s="26" t="s">
        <v>49</v>
      </c>
      <c r="C51" s="26">
        <f t="shared" ref="C51:D54" si="1">C50</f>
        <v>3</v>
      </c>
      <c r="D51" s="26">
        <f t="shared" si="1"/>
        <v>1</v>
      </c>
      <c r="E51" s="26"/>
      <c r="F51" s="26">
        <f>F50</f>
        <v>1</v>
      </c>
      <c r="G51" s="26"/>
      <c r="H51" s="26"/>
      <c r="I51" s="26"/>
      <c r="J51" s="26"/>
      <c r="K51" s="26">
        <f>ROUND($C$30*10/SUM(C51:J51),2)</f>
        <v>6</v>
      </c>
      <c r="L51" s="26">
        <f>ROUND($C$32/SUM(C51:J51),2)</f>
        <v>1458</v>
      </c>
      <c r="M51" s="26">
        <f>ROUND($C$33/SUM(C51:J51),2)</f>
        <v>81</v>
      </c>
    </row>
    <row r="52" spans="1:19">
      <c r="B52" s="26" t="s">
        <v>50</v>
      </c>
      <c r="C52" s="27">
        <f t="shared" si="1"/>
        <v>3</v>
      </c>
      <c r="D52" s="26">
        <f t="shared" si="1"/>
        <v>1</v>
      </c>
      <c r="E52" s="26"/>
      <c r="F52" s="26">
        <f>F51</f>
        <v>1</v>
      </c>
      <c r="G52" s="26"/>
      <c r="H52" s="26"/>
      <c r="I52" s="26"/>
      <c r="J52" s="26">
        <v>3</v>
      </c>
      <c r="K52" s="26">
        <f>ROUND($C$30*10/SUM(C52:J52),2)</f>
        <v>3.75</v>
      </c>
      <c r="L52" s="26">
        <f>ROUND($C$32/SUM(C52:J52),2)</f>
        <v>911.25</v>
      </c>
      <c r="M52" s="26">
        <f>ROUND($C$33/SUM(C52:J52),2)</f>
        <v>50.63</v>
      </c>
    </row>
    <row r="53" spans="1:19">
      <c r="B53" s="26" t="s">
        <v>51</v>
      </c>
      <c r="C53" s="27">
        <f t="shared" si="1"/>
        <v>3</v>
      </c>
      <c r="D53" s="26">
        <f t="shared" si="1"/>
        <v>1</v>
      </c>
      <c r="E53" s="26"/>
      <c r="F53" s="26">
        <f>F52</f>
        <v>1</v>
      </c>
      <c r="G53" s="26"/>
      <c r="H53" s="26"/>
      <c r="I53" s="26">
        <v>3</v>
      </c>
      <c r="J53" s="26">
        <f>J52</f>
        <v>3</v>
      </c>
      <c r="K53" s="26">
        <f>ROUND($C$30*10/SUM(C53:J53),2)</f>
        <v>2.73</v>
      </c>
      <c r="L53" s="26">
        <f>ROUND($C$32/SUM(C53:J53),2)</f>
        <v>662.73</v>
      </c>
      <c r="M53" s="26">
        <f>ROUND($C$33/SUM(C53:J53),2)</f>
        <v>36.82</v>
      </c>
    </row>
    <row r="54" spans="1:19">
      <c r="B54" s="27" t="s">
        <v>52</v>
      </c>
      <c r="C54" s="27">
        <f t="shared" si="1"/>
        <v>3</v>
      </c>
      <c r="D54" s="26">
        <f t="shared" si="1"/>
        <v>1</v>
      </c>
      <c r="E54" s="26"/>
      <c r="F54" s="26">
        <f>F53</f>
        <v>1</v>
      </c>
      <c r="G54" s="26"/>
      <c r="H54" s="26">
        <v>3</v>
      </c>
      <c r="I54" s="26">
        <f>I53</f>
        <v>3</v>
      </c>
      <c r="J54" s="26">
        <v>3</v>
      </c>
      <c r="K54" s="26">
        <f>ROUND($C$30*10/SUM(C54:J54),2)</f>
        <v>2.14</v>
      </c>
      <c r="L54" s="26">
        <f>ROUND($C$32/SUM(C54:J54),2)</f>
        <v>520.71</v>
      </c>
      <c r="M54" s="26">
        <f>ROUND($C$33/SUM(C54:J54),2)</f>
        <v>28.93</v>
      </c>
    </row>
    <row r="58" spans="1:19" s="1" customFormat="1">
      <c r="A58" s="4" t="s">
        <v>64</v>
      </c>
      <c r="B58" s="3" t="s">
        <v>65</v>
      </c>
    </row>
    <row r="59" spans="1:19">
      <c r="B59" s="5"/>
    </row>
    <row r="60" spans="1:19">
      <c r="B60" s="5" t="s">
        <v>86</v>
      </c>
      <c r="M60" s="5" t="s">
        <v>84</v>
      </c>
    </row>
    <row r="61" spans="1:19">
      <c r="B61" s="9" t="s">
        <v>66</v>
      </c>
      <c r="C61" s="14">
        <v>2500</v>
      </c>
      <c r="N61" s="11"/>
      <c r="O61" s="11" t="s">
        <v>83</v>
      </c>
      <c r="Q61" s="25" t="s">
        <v>75</v>
      </c>
      <c r="R61" s="25" t="s">
        <v>76</v>
      </c>
      <c r="S61" s="25" t="s">
        <v>89</v>
      </c>
    </row>
    <row r="62" spans="1:19">
      <c r="B62" s="9" t="s">
        <v>67</v>
      </c>
      <c r="C62" s="14">
        <v>2500</v>
      </c>
      <c r="M62" s="2">
        <v>2</v>
      </c>
      <c r="N62" s="8" t="s">
        <v>85</v>
      </c>
      <c r="O62" s="13">
        <v>0.55000000000000004</v>
      </c>
      <c r="Q62" s="26">
        <v>1</v>
      </c>
      <c r="R62" s="26">
        <f>C62</f>
        <v>2500</v>
      </c>
      <c r="S62" s="26">
        <f>R62*$C$69</f>
        <v>37500</v>
      </c>
    </row>
    <row r="63" spans="1:19">
      <c r="B63" s="9" t="s">
        <v>69</v>
      </c>
      <c r="C63" s="14">
        <v>15</v>
      </c>
      <c r="M63" s="2">
        <v>3</v>
      </c>
      <c r="N63" s="8" t="s">
        <v>17</v>
      </c>
      <c r="O63" s="13">
        <v>0.7</v>
      </c>
      <c r="Q63" s="26">
        <v>2</v>
      </c>
      <c r="R63" s="26">
        <f>R62*1.5</f>
        <v>3750</v>
      </c>
      <c r="S63" s="26">
        <f t="shared" ref="S63:S75" si="2">R63*$C$69</f>
        <v>56250</v>
      </c>
    </row>
    <row r="64" spans="1:19">
      <c r="B64" s="9" t="s">
        <v>68</v>
      </c>
      <c r="C64" s="14">
        <f>C62/2</f>
        <v>1250</v>
      </c>
      <c r="M64" s="2">
        <v>4</v>
      </c>
      <c r="N64" s="8" t="s">
        <v>18</v>
      </c>
      <c r="O64" s="13">
        <v>0.85</v>
      </c>
      <c r="Q64" s="26">
        <v>3</v>
      </c>
      <c r="R64" s="26">
        <f t="shared" ref="R64:R75" si="3">$C$64*Q63+$R$62</f>
        <v>5000</v>
      </c>
      <c r="S64" s="26">
        <f t="shared" si="2"/>
        <v>75000</v>
      </c>
    </row>
    <row r="65" spans="2:19">
      <c r="B65" s="9" t="s">
        <v>70</v>
      </c>
      <c r="C65" s="14">
        <f>C62*(C63-1)+(((1+C63-2)*(C63-2))/2*C64)</f>
        <v>148750</v>
      </c>
      <c r="M65" s="2">
        <v>5</v>
      </c>
      <c r="N65" s="8" t="s">
        <v>19</v>
      </c>
      <c r="O65" s="13">
        <v>1</v>
      </c>
      <c r="Q65" s="26">
        <v>4</v>
      </c>
      <c r="R65" s="26">
        <f t="shared" si="3"/>
        <v>6250</v>
      </c>
      <c r="S65" s="26">
        <f t="shared" si="2"/>
        <v>93750</v>
      </c>
    </row>
    <row r="66" spans="2:19">
      <c r="B66" s="9" t="s">
        <v>71</v>
      </c>
      <c r="C66" s="14">
        <f>C65/C61</f>
        <v>59.5</v>
      </c>
      <c r="Q66" s="26">
        <v>5</v>
      </c>
      <c r="R66" s="26">
        <f t="shared" si="3"/>
        <v>7500</v>
      </c>
      <c r="S66" s="26">
        <f t="shared" si="2"/>
        <v>112500</v>
      </c>
    </row>
    <row r="67" spans="2:19">
      <c r="B67" s="9" t="s">
        <v>72</v>
      </c>
      <c r="C67" s="14">
        <f>C66*30</f>
        <v>1785</v>
      </c>
      <c r="Q67" s="26">
        <v>6</v>
      </c>
      <c r="R67" s="26">
        <f t="shared" si="3"/>
        <v>8750</v>
      </c>
      <c r="S67" s="26">
        <f t="shared" si="2"/>
        <v>131250</v>
      </c>
    </row>
    <row r="68" spans="2:19">
      <c r="B68" s="9" t="s">
        <v>48</v>
      </c>
      <c r="C68" s="14">
        <f>C66*18</f>
        <v>1071</v>
      </c>
      <c r="Q68" s="26">
        <v>7</v>
      </c>
      <c r="R68" s="26">
        <f t="shared" si="3"/>
        <v>10000</v>
      </c>
      <c r="S68" s="26">
        <f t="shared" si="2"/>
        <v>150000</v>
      </c>
    </row>
    <row r="69" spans="2:19">
      <c r="B69" s="9" t="s">
        <v>88</v>
      </c>
      <c r="C69" s="14">
        <v>15</v>
      </c>
      <c r="Q69" s="26">
        <v>8</v>
      </c>
      <c r="R69" s="26">
        <f t="shared" si="3"/>
        <v>11250</v>
      </c>
      <c r="S69" s="26">
        <f t="shared" si="2"/>
        <v>168750</v>
      </c>
    </row>
    <row r="70" spans="2:19">
      <c r="Q70" s="26">
        <v>9</v>
      </c>
      <c r="R70" s="26">
        <f t="shared" si="3"/>
        <v>12500</v>
      </c>
      <c r="S70" s="26">
        <f t="shared" si="2"/>
        <v>187500</v>
      </c>
    </row>
    <row r="71" spans="2:19">
      <c r="B71" s="5" t="s">
        <v>117</v>
      </c>
      <c r="I71" s="7"/>
      <c r="J71" s="7"/>
      <c r="K71" s="7" t="s">
        <v>63</v>
      </c>
      <c r="L71" s="7" t="s">
        <v>63</v>
      </c>
      <c r="Q71" s="26">
        <v>10</v>
      </c>
      <c r="R71" s="26">
        <f t="shared" si="3"/>
        <v>13750</v>
      </c>
      <c r="S71" s="26">
        <f t="shared" si="2"/>
        <v>206250</v>
      </c>
    </row>
    <row r="72" spans="2:19">
      <c r="B72" s="25"/>
      <c r="C72" s="25" t="s">
        <v>53</v>
      </c>
      <c r="D72" s="25" t="s">
        <v>54</v>
      </c>
      <c r="E72" s="25" t="s">
        <v>79</v>
      </c>
      <c r="F72" s="25" t="s">
        <v>80</v>
      </c>
      <c r="G72" s="25" t="s">
        <v>58</v>
      </c>
      <c r="H72" s="25" t="s">
        <v>59</v>
      </c>
      <c r="I72" s="25" t="s">
        <v>56</v>
      </c>
      <c r="J72" s="25" t="s">
        <v>55</v>
      </c>
      <c r="K72" s="25" t="s">
        <v>60</v>
      </c>
      <c r="L72" s="25" t="s">
        <v>61</v>
      </c>
      <c r="Q72" s="26">
        <v>11</v>
      </c>
      <c r="R72" s="26">
        <f t="shared" si="3"/>
        <v>15000</v>
      </c>
      <c r="S72" s="26">
        <f t="shared" si="2"/>
        <v>225000</v>
      </c>
    </row>
    <row r="73" spans="2:19">
      <c r="B73" s="26" t="s">
        <v>57</v>
      </c>
      <c r="C73" s="26">
        <v>30</v>
      </c>
      <c r="D73" s="26">
        <v>10</v>
      </c>
      <c r="E73" s="26">
        <v>15</v>
      </c>
      <c r="F73" s="26">
        <v>10</v>
      </c>
      <c r="G73" s="26"/>
      <c r="H73" s="26"/>
      <c r="I73" s="26"/>
      <c r="J73" s="26"/>
      <c r="K73" s="26">
        <f>ROUND($C$67/SUM(C73:J73),2)</f>
        <v>27.46</v>
      </c>
      <c r="L73" s="26">
        <f>ROUND($C$68/SUM(C73:J73),2)</f>
        <v>16.48</v>
      </c>
      <c r="Q73" s="26">
        <v>12</v>
      </c>
      <c r="R73" s="26">
        <f t="shared" si="3"/>
        <v>16250</v>
      </c>
      <c r="S73" s="26">
        <f t="shared" si="2"/>
        <v>243750</v>
      </c>
    </row>
    <row r="74" spans="2:19">
      <c r="B74" s="26" t="s">
        <v>49</v>
      </c>
      <c r="C74" s="26">
        <f t="shared" ref="C74:D77" si="4">C73</f>
        <v>30</v>
      </c>
      <c r="D74" s="26">
        <f t="shared" si="4"/>
        <v>10</v>
      </c>
      <c r="E74" s="26">
        <f t="shared" ref="E74:F77" si="5">E73</f>
        <v>15</v>
      </c>
      <c r="F74" s="26">
        <f t="shared" si="5"/>
        <v>10</v>
      </c>
      <c r="G74" s="26"/>
      <c r="H74" s="26"/>
      <c r="I74" s="26"/>
      <c r="J74" s="26"/>
      <c r="K74" s="26">
        <f>ROUND($C$67/SUM(C74:J74),2)</f>
        <v>27.46</v>
      </c>
      <c r="L74" s="26">
        <f>ROUND($C$68/SUM(C74:J74),2)</f>
        <v>16.48</v>
      </c>
      <c r="Q74" s="26">
        <v>13</v>
      </c>
      <c r="R74" s="26">
        <f t="shared" si="3"/>
        <v>17500</v>
      </c>
      <c r="S74" s="26">
        <f t="shared" si="2"/>
        <v>262500</v>
      </c>
    </row>
    <row r="75" spans="2:19">
      <c r="B75" s="26" t="s">
        <v>50</v>
      </c>
      <c r="C75" s="27">
        <f t="shared" si="4"/>
        <v>30</v>
      </c>
      <c r="D75" s="26">
        <f t="shared" si="4"/>
        <v>10</v>
      </c>
      <c r="E75" s="26">
        <f t="shared" si="5"/>
        <v>15</v>
      </c>
      <c r="F75" s="26">
        <f t="shared" si="5"/>
        <v>10</v>
      </c>
      <c r="G75" s="26"/>
      <c r="H75" s="26"/>
      <c r="I75" s="26"/>
      <c r="J75" s="26">
        <v>30</v>
      </c>
      <c r="K75" s="26">
        <f>ROUND($C$67/SUM(C75:J75),2)</f>
        <v>18.79</v>
      </c>
      <c r="L75" s="26">
        <f>ROUND($C$68/SUM(C75:J75),2)</f>
        <v>11.27</v>
      </c>
      <c r="Q75" s="26">
        <v>14</v>
      </c>
      <c r="R75" s="26">
        <f t="shared" si="3"/>
        <v>18750</v>
      </c>
      <c r="S75" s="26">
        <f t="shared" si="2"/>
        <v>281250</v>
      </c>
    </row>
    <row r="76" spans="2:19">
      <c r="B76" s="26" t="s">
        <v>51</v>
      </c>
      <c r="C76" s="27">
        <f t="shared" si="4"/>
        <v>30</v>
      </c>
      <c r="D76" s="26">
        <f t="shared" si="4"/>
        <v>10</v>
      </c>
      <c r="E76" s="26">
        <f t="shared" si="5"/>
        <v>15</v>
      </c>
      <c r="F76" s="26">
        <f t="shared" si="5"/>
        <v>10</v>
      </c>
      <c r="G76" s="26"/>
      <c r="H76" s="26"/>
      <c r="I76" s="26">
        <v>30</v>
      </c>
      <c r="J76" s="26">
        <f>J75</f>
        <v>30</v>
      </c>
      <c r="K76" s="26">
        <f>ROUND($C$67/SUM(C76:J76),2)</f>
        <v>14.28</v>
      </c>
      <c r="L76" s="26">
        <f>ROUND($C$68/SUM(C76:J76),2)</f>
        <v>8.57</v>
      </c>
    </row>
    <row r="77" spans="2:19">
      <c r="B77" s="27" t="s">
        <v>52</v>
      </c>
      <c r="C77" s="27">
        <f t="shared" si="4"/>
        <v>30</v>
      </c>
      <c r="D77" s="26">
        <f t="shared" si="4"/>
        <v>10</v>
      </c>
      <c r="E77" s="26">
        <f t="shared" si="5"/>
        <v>15</v>
      </c>
      <c r="F77" s="26">
        <f t="shared" si="5"/>
        <v>10</v>
      </c>
      <c r="G77" s="26">
        <v>30</v>
      </c>
      <c r="H77" s="26">
        <v>30</v>
      </c>
      <c r="I77" s="26">
        <f>I76</f>
        <v>30</v>
      </c>
      <c r="J77" s="26">
        <f>J76</f>
        <v>30</v>
      </c>
      <c r="K77" s="26">
        <f>ROUND($C$67/SUM(C77:J77),2)</f>
        <v>9.65</v>
      </c>
      <c r="L77" s="26">
        <f>ROUND($C$68/SUM(C77:J77),2)</f>
        <v>5.79</v>
      </c>
    </row>
    <row r="79" spans="2:19">
      <c r="B79" s="2" t="s">
        <v>87</v>
      </c>
      <c r="D79" s="7" t="s">
        <v>128</v>
      </c>
      <c r="E79" s="7" t="s">
        <v>128</v>
      </c>
    </row>
    <row r="80" spans="2:19">
      <c r="B80" s="25"/>
      <c r="C80" s="25" t="s">
        <v>127</v>
      </c>
      <c r="D80" s="25" t="s">
        <v>60</v>
      </c>
      <c r="E80" s="25" t="s">
        <v>61</v>
      </c>
    </row>
    <row r="81" spans="1:12">
      <c r="B81" s="26" t="s">
        <v>57</v>
      </c>
      <c r="C81" s="26">
        <v>30000000</v>
      </c>
      <c r="D81" s="26">
        <f>ROUNDDOWN(($C$67*$C$61*$C$69)/C81,2)</f>
        <v>2.23</v>
      </c>
      <c r="E81" s="26">
        <f>ROUNDDOWN(($C$68*$C$61*$C$69)/C81,2)</f>
        <v>1.33</v>
      </c>
    </row>
    <row r="82" spans="1:12">
      <c r="B82" s="26" t="s">
        <v>49</v>
      </c>
      <c r="C82" s="26">
        <v>37800000</v>
      </c>
      <c r="D82" s="26">
        <f>ROUNDDOWN(($C$67*$C$61*$C$69)/C82,2)</f>
        <v>1.77</v>
      </c>
      <c r="E82" s="26">
        <f>ROUNDDOWN(($C$68*$C$61*$C$69)/C82,2)</f>
        <v>1.06</v>
      </c>
    </row>
    <row r="83" spans="1:12">
      <c r="B83" s="26" t="s">
        <v>50</v>
      </c>
      <c r="C83" s="27">
        <v>43800000</v>
      </c>
      <c r="D83" s="26">
        <f>ROUNDDOWN(($C$67*$C$61*$C$69)/C83,2)</f>
        <v>1.52</v>
      </c>
      <c r="E83" s="26">
        <f>ROUNDDOWN(($C$68*$C$61*$C$69)/C83,2)</f>
        <v>0.91</v>
      </c>
    </row>
    <row r="84" spans="1:12">
      <c r="B84" s="26" t="s">
        <v>51</v>
      </c>
      <c r="C84" s="27">
        <v>44100000</v>
      </c>
      <c r="D84" s="26">
        <f>ROUNDDOWN(($C$67*$C$61*$C$69)/C84,2)</f>
        <v>1.51</v>
      </c>
      <c r="E84" s="26">
        <f>ROUNDDOWN(($C$68*$C$61*$C$69)/C84,2)</f>
        <v>0.91</v>
      </c>
    </row>
    <row r="85" spans="1:12">
      <c r="B85" s="27" t="s">
        <v>52</v>
      </c>
      <c r="C85" s="27">
        <v>67800000</v>
      </c>
      <c r="D85" s="26">
        <f>ROUNDDOWN(($C$67*$C$61*$C$69)/C85,2)</f>
        <v>0.98</v>
      </c>
      <c r="E85" s="26">
        <f>ROUNDDOWN(($C$68*$C$61*$C$69)/C85,2)</f>
        <v>0.59</v>
      </c>
    </row>
    <row r="87" spans="1:12" s="1" customFormat="1">
      <c r="A87" s="4" t="s">
        <v>77</v>
      </c>
      <c r="B87" s="3" t="s">
        <v>78</v>
      </c>
    </row>
    <row r="88" spans="1:12">
      <c r="B88" s="2" t="s">
        <v>219</v>
      </c>
    </row>
    <row r="89" spans="1:12">
      <c r="B89" s="2" t="s">
        <v>220</v>
      </c>
    </row>
    <row r="92" spans="1:12">
      <c r="B92" s="9" t="s">
        <v>69</v>
      </c>
      <c r="C92" s="8">
        <f>C63</f>
        <v>15</v>
      </c>
    </row>
    <row r="93" spans="1:12">
      <c r="B93" s="9" t="s">
        <v>91</v>
      </c>
      <c r="C93" s="8">
        <v>5</v>
      </c>
    </row>
    <row r="95" spans="1:12">
      <c r="B95" s="5" t="s">
        <v>81</v>
      </c>
      <c r="J95" s="5" t="s">
        <v>82</v>
      </c>
    </row>
    <row r="96" spans="1:12">
      <c r="C96" s="11"/>
      <c r="D96" s="11" t="s">
        <v>90</v>
      </c>
      <c r="E96" s="11" t="s">
        <v>5</v>
      </c>
      <c r="F96" s="11" t="s">
        <v>93</v>
      </c>
      <c r="G96" s="11" t="s">
        <v>7</v>
      </c>
      <c r="H96" s="11" t="s">
        <v>131</v>
      </c>
      <c r="K96" s="11"/>
      <c r="L96" s="11" t="s">
        <v>83</v>
      </c>
    </row>
    <row r="97" spans="2:12">
      <c r="B97" s="2">
        <v>3</v>
      </c>
      <c r="C97" s="8" t="s">
        <v>2</v>
      </c>
      <c r="D97" s="8">
        <v>15750</v>
      </c>
      <c r="E97" s="8">
        <f>INT($D97*$L$97)</f>
        <v>3150</v>
      </c>
      <c r="F97" s="8">
        <f>INT($D97*$L$98/$C$63)</f>
        <v>525</v>
      </c>
      <c r="G97" s="8">
        <f>INT($D97*$L$99)</f>
        <v>2362</v>
      </c>
      <c r="H97" s="8">
        <f>INT($D97*$L$100)</f>
        <v>2362</v>
      </c>
      <c r="K97" s="8" t="s">
        <v>5</v>
      </c>
      <c r="L97" s="8">
        <v>0.2</v>
      </c>
    </row>
    <row r="98" spans="2:12">
      <c r="B98" s="2">
        <v>1</v>
      </c>
      <c r="C98" s="8" t="s">
        <v>4</v>
      </c>
      <c r="D98" s="8">
        <v>7870</v>
      </c>
      <c r="E98" s="8">
        <f>INT($D98*$L$97)</f>
        <v>1574</v>
      </c>
      <c r="F98" s="8">
        <f>INT($D98*$L$98/$C$63)</f>
        <v>262</v>
      </c>
      <c r="G98" s="8">
        <f>INT($D98*$L$99)</f>
        <v>1180</v>
      </c>
      <c r="H98" s="8">
        <f>INT($D98*$L$100)</f>
        <v>1180</v>
      </c>
      <c r="K98" s="8" t="s">
        <v>6</v>
      </c>
      <c r="L98" s="8">
        <v>0.5</v>
      </c>
    </row>
    <row r="99" spans="2:12">
      <c r="B99" s="2">
        <v>2</v>
      </c>
      <c r="C99" s="8" t="s">
        <v>3</v>
      </c>
      <c r="D99" s="8">
        <v>96550</v>
      </c>
      <c r="E99" s="8">
        <f>INT($D99*$L$97)</f>
        <v>19310</v>
      </c>
      <c r="F99" s="8">
        <f>INT($D99*$L$98/$C$63)</f>
        <v>3218</v>
      </c>
      <c r="G99" s="8">
        <f>INT($D99*$L$99)</f>
        <v>14482</v>
      </c>
      <c r="H99" s="8">
        <f>INT($D99*$L$100)</f>
        <v>14482</v>
      </c>
      <c r="K99" s="8" t="s">
        <v>7</v>
      </c>
      <c r="L99" s="8">
        <v>0.15</v>
      </c>
    </row>
    <row r="100" spans="2:12">
      <c r="C100" s="8" t="s">
        <v>8</v>
      </c>
      <c r="D100" s="10">
        <v>0.25</v>
      </c>
      <c r="E100" s="12">
        <f t="shared" ref="E100:E113" si="6">ROUNDDOWN($D100*$L$97,3)</f>
        <v>0.05</v>
      </c>
      <c r="F100" s="12">
        <f t="shared" ref="F100:F113" si="7">ROUNDDOWN(($D100*$L$98/$C$93),3)</f>
        <v>2.5000000000000001E-2</v>
      </c>
      <c r="G100" s="12">
        <f t="shared" ref="G100:G113" si="8">ROUNDDOWN(($D100*$L$99),3)</f>
        <v>3.6999999999999998E-2</v>
      </c>
      <c r="H100" s="12">
        <f>ROUNDDOWN(($D100*$L$100),3)</f>
        <v>3.6999999999999998E-2</v>
      </c>
      <c r="K100" s="8" t="s">
        <v>131</v>
      </c>
      <c r="L100" s="8">
        <f>L99</f>
        <v>0.15</v>
      </c>
    </row>
    <row r="101" spans="2:12">
      <c r="C101" s="8" t="s">
        <v>9</v>
      </c>
      <c r="D101" s="10">
        <v>0.25</v>
      </c>
      <c r="E101" s="12">
        <f t="shared" si="6"/>
        <v>0.05</v>
      </c>
      <c r="F101" s="12">
        <f t="shared" si="7"/>
        <v>2.5000000000000001E-2</v>
      </c>
      <c r="G101" s="12">
        <f t="shared" si="8"/>
        <v>3.6999999999999998E-2</v>
      </c>
      <c r="H101" s="12">
        <f t="shared" ref="H101:H113" si="9">ROUNDDOWN(($D101*$L$100),3)</f>
        <v>3.6999999999999998E-2</v>
      </c>
    </row>
    <row r="102" spans="2:12">
      <c r="C102" s="8" t="s">
        <v>10</v>
      </c>
      <c r="D102" s="10">
        <v>0.2</v>
      </c>
      <c r="E102" s="12">
        <f t="shared" si="6"/>
        <v>0.04</v>
      </c>
      <c r="F102" s="12">
        <f t="shared" si="7"/>
        <v>0.02</v>
      </c>
      <c r="G102" s="12">
        <f t="shared" si="8"/>
        <v>0.03</v>
      </c>
      <c r="H102" s="12">
        <f t="shared" si="9"/>
        <v>0.03</v>
      </c>
    </row>
    <row r="103" spans="2:12">
      <c r="C103" s="8" t="s">
        <v>11</v>
      </c>
      <c r="D103" s="10">
        <v>0.2</v>
      </c>
      <c r="E103" s="12">
        <f t="shared" si="6"/>
        <v>0.04</v>
      </c>
      <c r="F103" s="12">
        <f t="shared" si="7"/>
        <v>0.02</v>
      </c>
      <c r="G103" s="12">
        <f t="shared" si="8"/>
        <v>0.03</v>
      </c>
      <c r="H103" s="12">
        <f t="shared" si="9"/>
        <v>0.03</v>
      </c>
    </row>
    <row r="104" spans="2:12">
      <c r="C104" s="8" t="s">
        <v>12</v>
      </c>
      <c r="D104" s="10">
        <v>0.2</v>
      </c>
      <c r="E104" s="12">
        <f t="shared" si="6"/>
        <v>0.04</v>
      </c>
      <c r="F104" s="12">
        <f t="shared" si="7"/>
        <v>0.02</v>
      </c>
      <c r="G104" s="12">
        <f t="shared" si="8"/>
        <v>0.03</v>
      </c>
      <c r="H104" s="12">
        <f t="shared" si="9"/>
        <v>0.03</v>
      </c>
    </row>
    <row r="105" spans="2:12">
      <c r="C105" s="8" t="s">
        <v>13</v>
      </c>
      <c r="D105" s="10">
        <v>0.2</v>
      </c>
      <c r="E105" s="12">
        <f t="shared" si="6"/>
        <v>0.04</v>
      </c>
      <c r="F105" s="12">
        <f t="shared" si="7"/>
        <v>0.02</v>
      </c>
      <c r="G105" s="12">
        <f t="shared" si="8"/>
        <v>0.03</v>
      </c>
      <c r="H105" s="12">
        <f t="shared" si="9"/>
        <v>0.03</v>
      </c>
    </row>
    <row r="106" spans="2:12">
      <c r="C106" s="8" t="s">
        <v>14</v>
      </c>
      <c r="D106" s="10">
        <v>0.2</v>
      </c>
      <c r="E106" s="12">
        <f t="shared" si="6"/>
        <v>0.04</v>
      </c>
      <c r="F106" s="12">
        <f t="shared" si="7"/>
        <v>0.02</v>
      </c>
      <c r="G106" s="12">
        <f t="shared" si="8"/>
        <v>0.03</v>
      </c>
      <c r="H106" s="12">
        <f t="shared" si="9"/>
        <v>0.03</v>
      </c>
    </row>
    <row r="107" spans="2:12">
      <c r="C107" s="8" t="s">
        <v>15</v>
      </c>
      <c r="D107" s="10">
        <v>0.2</v>
      </c>
      <c r="E107" s="12">
        <f t="shared" si="6"/>
        <v>0.04</v>
      </c>
      <c r="F107" s="12">
        <f t="shared" si="7"/>
        <v>0.02</v>
      </c>
      <c r="G107" s="12">
        <f t="shared" si="8"/>
        <v>0.03</v>
      </c>
      <c r="H107" s="12">
        <f t="shared" si="9"/>
        <v>0.03</v>
      </c>
    </row>
    <row r="108" spans="2:12">
      <c r="C108" s="8" t="s">
        <v>113</v>
      </c>
      <c r="D108" s="10">
        <v>0.2</v>
      </c>
      <c r="E108" s="12">
        <f t="shared" si="6"/>
        <v>0.04</v>
      </c>
      <c r="F108" s="12">
        <f t="shared" si="7"/>
        <v>0.02</v>
      </c>
      <c r="G108" s="12">
        <f t="shared" si="8"/>
        <v>0.03</v>
      </c>
      <c r="H108" s="12">
        <f t="shared" si="9"/>
        <v>0.03</v>
      </c>
    </row>
    <row r="109" spans="2:12">
      <c r="C109" s="8" t="s">
        <v>114</v>
      </c>
      <c r="D109" s="10">
        <v>0.2</v>
      </c>
      <c r="E109" s="12">
        <f t="shared" si="6"/>
        <v>0.04</v>
      </c>
      <c r="F109" s="12">
        <f t="shared" si="7"/>
        <v>0.02</v>
      </c>
      <c r="G109" s="12">
        <f t="shared" si="8"/>
        <v>0.03</v>
      </c>
      <c r="H109" s="12">
        <f t="shared" si="9"/>
        <v>0.03</v>
      </c>
    </row>
    <row r="110" spans="2:12">
      <c r="C110" s="8" t="s">
        <v>16</v>
      </c>
      <c r="D110" s="8">
        <v>1500</v>
      </c>
      <c r="E110" s="13">
        <f t="shared" si="6"/>
        <v>300</v>
      </c>
      <c r="F110" s="13">
        <f t="shared" si="7"/>
        <v>150</v>
      </c>
      <c r="G110" s="13">
        <f t="shared" si="8"/>
        <v>225</v>
      </c>
      <c r="H110" s="13">
        <f t="shared" si="9"/>
        <v>225</v>
      </c>
    </row>
    <row r="111" spans="2:12">
      <c r="C111" s="8" t="s">
        <v>33</v>
      </c>
      <c r="D111" s="10">
        <v>0.5</v>
      </c>
      <c r="E111" s="12">
        <f t="shared" si="6"/>
        <v>0.1</v>
      </c>
      <c r="F111" s="12">
        <f t="shared" si="7"/>
        <v>0.05</v>
      </c>
      <c r="G111" s="12">
        <f t="shared" si="8"/>
        <v>7.4999999999999997E-2</v>
      </c>
      <c r="H111" s="12">
        <f t="shared" si="9"/>
        <v>7.4999999999999997E-2</v>
      </c>
    </row>
    <row r="112" spans="2:12">
      <c r="C112" s="8" t="s">
        <v>34</v>
      </c>
      <c r="D112" s="10">
        <v>0.5</v>
      </c>
      <c r="E112" s="12">
        <f t="shared" si="6"/>
        <v>0.1</v>
      </c>
      <c r="F112" s="12">
        <f t="shared" si="7"/>
        <v>0.05</v>
      </c>
      <c r="G112" s="12">
        <f t="shared" si="8"/>
        <v>7.4999999999999997E-2</v>
      </c>
      <c r="H112" s="12">
        <f t="shared" si="9"/>
        <v>7.4999999999999997E-2</v>
      </c>
    </row>
    <row r="113" spans="1:12">
      <c r="C113" s="8" t="s">
        <v>35</v>
      </c>
      <c r="D113" s="10">
        <v>0.5</v>
      </c>
      <c r="E113" s="12">
        <f t="shared" si="6"/>
        <v>0.1</v>
      </c>
      <c r="F113" s="12">
        <f t="shared" si="7"/>
        <v>0.05</v>
      </c>
      <c r="G113" s="12">
        <f t="shared" si="8"/>
        <v>7.4999999999999997E-2</v>
      </c>
      <c r="H113" s="12">
        <f t="shared" si="9"/>
        <v>7.4999999999999997E-2</v>
      </c>
    </row>
    <row r="116" spans="1:12">
      <c r="B116" s="5" t="s">
        <v>92</v>
      </c>
      <c r="J116" s="5" t="s">
        <v>84</v>
      </c>
    </row>
    <row r="117" spans="1:12">
      <c r="B117" s="15" t="s">
        <v>234</v>
      </c>
      <c r="C117" s="11"/>
      <c r="D117" s="11" t="s">
        <v>5</v>
      </c>
      <c r="E117" s="11" t="s">
        <v>6</v>
      </c>
      <c r="F117" s="11" t="s">
        <v>7</v>
      </c>
      <c r="K117" s="11"/>
      <c r="L117" s="11" t="s">
        <v>83</v>
      </c>
    </row>
    <row r="118" spans="1:12">
      <c r="C118" s="8" t="s">
        <v>85</v>
      </c>
      <c r="D118" s="12">
        <f>ROUNDDOWN(VLOOKUP($B$117,$C$97:$G$114,3,FALSE)*VLOOKUP(C118,$K$118:$L$121,2,FALSE),3)</f>
        <v>1.4999999999999999E-2</v>
      </c>
      <c r="E118" s="12">
        <f>ROUNDDOWN(VLOOKUP($B$117,$C$97:$G$114,4,FALSE)*VLOOKUP(C118,$K$118:$L$121,2,FALSE),3)</f>
        <v>7.0000000000000001E-3</v>
      </c>
      <c r="F118" s="12">
        <f>ROUNDDOWN(VLOOKUP($B$117,$C$97:$G$114,5,FALSE)*VLOOKUP(C118,$K$118:$L$121,2,FALSE),3)</f>
        <v>1.0999999999999999E-2</v>
      </c>
      <c r="J118" s="2">
        <v>2</v>
      </c>
      <c r="K118" s="8" t="s">
        <v>85</v>
      </c>
      <c r="L118" s="13">
        <v>0.3</v>
      </c>
    </row>
    <row r="119" spans="1:12">
      <c r="C119" s="8" t="s">
        <v>17</v>
      </c>
      <c r="D119" s="12">
        <f>ROUNDDOWN(VLOOKUP($B$117,$C$97:$G$114,3,FALSE)*VLOOKUP(C119,$K$118:$L$121,2,FALSE),3)</f>
        <v>2.7E-2</v>
      </c>
      <c r="E119" s="12">
        <f>ROUNDDOWN(VLOOKUP($B$117,$C$97:$G$114,4,FALSE)*VLOOKUP(C119,$K$118:$L$121,2,FALSE),3)</f>
        <v>1.2999999999999999E-2</v>
      </c>
      <c r="F119" s="12">
        <f>ROUNDDOWN(VLOOKUP($B$117,$C$97:$G$114,5,FALSE)*VLOOKUP(C119,$K$118:$L$121,2,FALSE),3)</f>
        <v>0.02</v>
      </c>
      <c r="J119" s="2">
        <v>3</v>
      </c>
      <c r="K119" s="8" t="s">
        <v>17</v>
      </c>
      <c r="L119" s="13">
        <v>0.55000000000000004</v>
      </c>
    </row>
    <row r="120" spans="1:12">
      <c r="C120" s="8" t="s">
        <v>18</v>
      </c>
      <c r="D120" s="12">
        <f>ROUNDDOWN(VLOOKUP($B$117,$C$97:$G$114,3,FALSE)*VLOOKUP(C120,$K$118:$L$121,2,FALSE),3)</f>
        <v>0.04</v>
      </c>
      <c r="E120" s="12">
        <f>ROUNDDOWN(VLOOKUP($B$117,$C$97:$G$114,4,FALSE)*VLOOKUP(C120,$K$118:$L$121,2,FALSE),3)</f>
        <v>0.02</v>
      </c>
      <c r="F120" s="12">
        <f>ROUNDDOWN(VLOOKUP($B$117,$C$97:$G$114,5,FALSE)*VLOOKUP(C120,$K$118:$L$121,2,FALSE),3)</f>
        <v>2.9000000000000001E-2</v>
      </c>
      <c r="J120" s="2">
        <v>4</v>
      </c>
      <c r="K120" s="8" t="s">
        <v>18</v>
      </c>
      <c r="L120" s="13">
        <v>0.8</v>
      </c>
    </row>
    <row r="121" spans="1:12">
      <c r="C121" s="8" t="s">
        <v>19</v>
      </c>
      <c r="D121" s="12">
        <f>ROUNDDOWN(VLOOKUP($B$117,$C$97:$G$114,3,FALSE)*VLOOKUP(C121,$K$118:$L$121,2,FALSE),3)</f>
        <v>0.05</v>
      </c>
      <c r="E121" s="12">
        <f>ROUNDDOWN(VLOOKUP($B$117,$C$97:$G$114,4,FALSE)*VLOOKUP(C121,$K$118:$L$121,2,FALSE),3)</f>
        <v>2.5000000000000001E-2</v>
      </c>
      <c r="F121" s="12">
        <f>ROUNDDOWN(VLOOKUP($B$117,$C$97:$G$114,5,FALSE)*VLOOKUP(C121,$K$118:$L$121,2,FALSE),3)</f>
        <v>3.6999999999999998E-2</v>
      </c>
      <c r="J121" s="2">
        <v>5</v>
      </c>
      <c r="K121" s="8" t="s">
        <v>19</v>
      </c>
      <c r="L121" s="13">
        <v>1</v>
      </c>
    </row>
    <row r="123" spans="1:12" s="1" customFormat="1">
      <c r="A123" s="4" t="s">
        <v>129</v>
      </c>
      <c r="B123" s="3" t="s">
        <v>130</v>
      </c>
    </row>
    <row r="125" spans="1:12">
      <c r="B125" s="18" t="s">
        <v>132</v>
      </c>
      <c r="C125" s="2" t="s">
        <v>133</v>
      </c>
    </row>
    <row r="126" spans="1:12">
      <c r="B126" s="18"/>
      <c r="C126" s="2" t="s">
        <v>134</v>
      </c>
      <c r="D126" s="2" t="s">
        <v>137</v>
      </c>
      <c r="E126" s="2" t="str">
        <f>VLOOKUP(D126,$H$127:$J$143,2,FALSE)</f>
        <v>CRITRATE</v>
      </c>
    </row>
    <row r="127" spans="1:12">
      <c r="B127" s="18"/>
      <c r="C127" s="2" t="s">
        <v>135</v>
      </c>
      <c r="D127" s="2" t="s">
        <v>138</v>
      </c>
      <c r="E127" s="2" t="str">
        <f t="shared" ref="E127:E128" si="10">VLOOKUP(D127,$H$127:$J$143,2,FALSE)</f>
        <v>CRITSTRG</v>
      </c>
      <c r="H127" s="2" t="s">
        <v>417</v>
      </c>
      <c r="I127" s="2" t="s">
        <v>434</v>
      </c>
    </row>
    <row r="128" spans="1:12">
      <c r="B128" s="18"/>
      <c r="C128" s="2" t="s">
        <v>136</v>
      </c>
      <c r="D128" s="2" t="s">
        <v>137</v>
      </c>
      <c r="E128" s="2" t="str">
        <f t="shared" si="10"/>
        <v>CRITRATE</v>
      </c>
      <c r="H128" s="2" t="s">
        <v>418</v>
      </c>
      <c r="I128" s="2" t="s">
        <v>435</v>
      </c>
    </row>
    <row r="129" spans="2:9">
      <c r="B129" s="18"/>
      <c r="H129" s="2" t="s">
        <v>419</v>
      </c>
      <c r="I129" s="2" t="s">
        <v>436</v>
      </c>
    </row>
    <row r="130" spans="2:9">
      <c r="B130" s="18" t="s">
        <v>139</v>
      </c>
      <c r="C130" s="2" t="s">
        <v>140</v>
      </c>
      <c r="H130" s="2" t="s">
        <v>420</v>
      </c>
      <c r="I130" s="2" t="s">
        <v>437</v>
      </c>
    </row>
    <row r="131" spans="2:9">
      <c r="B131" s="18"/>
      <c r="C131" s="2" t="s">
        <v>134</v>
      </c>
      <c r="D131" s="2" t="s">
        <v>141</v>
      </c>
      <c r="E131" s="2" t="str">
        <f>VLOOKUP(D131,$H$127:$J$143,2,FALSE)</f>
        <v>BLOCKRATE</v>
      </c>
      <c r="H131" s="2" t="s">
        <v>421</v>
      </c>
      <c r="I131" s="2" t="s">
        <v>438</v>
      </c>
    </row>
    <row r="132" spans="2:9">
      <c r="B132" s="18"/>
      <c r="C132" s="2" t="s">
        <v>135</v>
      </c>
      <c r="D132" s="2" t="s">
        <v>427</v>
      </c>
      <c r="E132" s="2" t="str">
        <f t="shared" ref="E132:E133" si="11">VLOOKUP(D132,$H$127:$J$143,2,FALSE)</f>
        <v>BLOCKSTRG</v>
      </c>
      <c r="H132" s="2" t="s">
        <v>422</v>
      </c>
      <c r="I132" s="2" t="s">
        <v>439</v>
      </c>
    </row>
    <row r="133" spans="2:9">
      <c r="B133" s="18"/>
      <c r="C133" s="2" t="s">
        <v>136</v>
      </c>
      <c r="D133" s="2" t="s">
        <v>141</v>
      </c>
      <c r="E133" s="2" t="str">
        <f t="shared" si="11"/>
        <v>BLOCKRATE</v>
      </c>
      <c r="H133" s="2" t="s">
        <v>423</v>
      </c>
      <c r="I133" s="2" t="s">
        <v>415</v>
      </c>
    </row>
    <row r="134" spans="2:9">
      <c r="B134" s="18"/>
      <c r="H134" s="2" t="s">
        <v>424</v>
      </c>
      <c r="I134" s="2" t="s">
        <v>440</v>
      </c>
    </row>
    <row r="135" spans="2:9">
      <c r="B135" s="18" t="s">
        <v>142</v>
      </c>
      <c r="C135" s="2" t="s">
        <v>143</v>
      </c>
      <c r="H135" s="2" t="s">
        <v>441</v>
      </c>
      <c r="I135" s="2" t="s">
        <v>416</v>
      </c>
    </row>
    <row r="136" spans="2:9">
      <c r="B136" s="18"/>
      <c r="C136" s="2" t="s">
        <v>134</v>
      </c>
      <c r="D136" s="2" t="s">
        <v>144</v>
      </c>
      <c r="E136" s="2" t="str">
        <f>VLOOKUP(D136,$H$127:$J$143,2,FALSE)</f>
        <v>UNCRITRATE</v>
      </c>
      <c r="H136" s="2" t="s">
        <v>425</v>
      </c>
      <c r="I136" s="2" t="s">
        <v>442</v>
      </c>
    </row>
    <row r="137" spans="2:9">
      <c r="B137" s="18"/>
      <c r="C137" s="2" t="s">
        <v>135</v>
      </c>
      <c r="D137" s="2" t="s">
        <v>145</v>
      </c>
      <c r="E137" s="2" t="str">
        <f t="shared" ref="E137:E138" si="12">VLOOKUP(D137,$H$127:$J$143,2,FALSE)</f>
        <v>UNHURTRATE</v>
      </c>
      <c r="H137" s="2" t="s">
        <v>426</v>
      </c>
      <c r="I137" s="2" t="s">
        <v>443</v>
      </c>
    </row>
    <row r="138" spans="2:9">
      <c r="B138" s="18"/>
      <c r="C138" s="2" t="s">
        <v>136</v>
      </c>
      <c r="D138" s="2" t="s">
        <v>144</v>
      </c>
      <c r="E138" s="2" t="str">
        <f t="shared" si="12"/>
        <v>UNCRITRATE</v>
      </c>
      <c r="H138" s="2" t="s">
        <v>427</v>
      </c>
      <c r="I138" s="2" t="s">
        <v>444</v>
      </c>
    </row>
    <row r="139" spans="2:9">
      <c r="B139" s="18"/>
      <c r="H139" s="2" t="s">
        <v>428</v>
      </c>
      <c r="I139" s="2" t="s">
        <v>445</v>
      </c>
    </row>
    <row r="140" spans="2:9">
      <c r="B140" s="18" t="s">
        <v>146</v>
      </c>
      <c r="C140" s="2" t="s">
        <v>147</v>
      </c>
      <c r="H140" s="2" t="s">
        <v>429</v>
      </c>
      <c r="I140" s="2" t="s">
        <v>446</v>
      </c>
    </row>
    <row r="141" spans="2:9">
      <c r="B141" s="18"/>
      <c r="C141" s="2" t="s">
        <v>134</v>
      </c>
      <c r="D141" s="2" t="s">
        <v>426</v>
      </c>
      <c r="E141" s="2" t="str">
        <f>VLOOKUP(D141,$H$127:$J$143,2,FALSE)</f>
        <v>UNBLOCKRATE</v>
      </c>
      <c r="H141" s="2" t="s">
        <v>430</v>
      </c>
      <c r="I141" s="2" t="s">
        <v>447</v>
      </c>
    </row>
    <row r="142" spans="2:9">
      <c r="B142" s="18"/>
      <c r="C142" s="2" t="s">
        <v>135</v>
      </c>
      <c r="D142" s="2" t="s">
        <v>148</v>
      </c>
      <c r="E142" s="2" t="str">
        <f t="shared" ref="E142:E143" si="13">VLOOKUP(D142,$H$127:$J$143,2,FALSE)</f>
        <v>HURTRATE</v>
      </c>
      <c r="H142" s="2" t="s">
        <v>431</v>
      </c>
      <c r="I142" s="2" t="s">
        <v>448</v>
      </c>
    </row>
    <row r="143" spans="2:9">
      <c r="B143" s="18"/>
      <c r="C143" s="2" t="s">
        <v>136</v>
      </c>
      <c r="D143" s="2" t="s">
        <v>426</v>
      </c>
      <c r="E143" s="2" t="str">
        <f t="shared" si="13"/>
        <v>UNBLOCKRATE</v>
      </c>
      <c r="H143" s="2" t="s">
        <v>432</v>
      </c>
      <c r="I143" s="2" t="s">
        <v>433</v>
      </c>
    </row>
    <row r="144" spans="2:9">
      <c r="B144" s="18"/>
    </row>
    <row r="145" spans="2:5">
      <c r="B145" s="18" t="s">
        <v>149</v>
      </c>
      <c r="C145" s="2" t="s">
        <v>150</v>
      </c>
    </row>
    <row r="146" spans="2:5">
      <c r="B146" s="18"/>
      <c r="C146" s="2" t="s">
        <v>134</v>
      </c>
      <c r="D146" s="2" t="s">
        <v>151</v>
      </c>
      <c r="E146" s="2" t="str">
        <f>VLOOKUP(D146,$H$127:$J$143,2,FALSE)</f>
        <v>REFLECTION</v>
      </c>
    </row>
    <row r="147" spans="2:5">
      <c r="B147" s="18"/>
      <c r="C147" s="2" t="s">
        <v>135</v>
      </c>
      <c r="D147" s="2" t="s">
        <v>152</v>
      </c>
      <c r="E147" s="2" t="str">
        <f t="shared" ref="E147:E148" si="14">VLOOKUP(D147,$H$127:$J$143,2,FALSE)</f>
        <v>ABSORPTION</v>
      </c>
    </row>
    <row r="148" spans="2:5">
      <c r="B148" s="18"/>
      <c r="C148" s="2" t="s">
        <v>136</v>
      </c>
      <c r="D148" s="2" t="s">
        <v>151</v>
      </c>
      <c r="E148" s="2" t="str">
        <f t="shared" si="14"/>
        <v>REFLECTION</v>
      </c>
    </row>
    <row r="149" spans="2:5">
      <c r="B149" s="18"/>
    </row>
    <row r="150" spans="2:5">
      <c r="B150" s="18" t="s">
        <v>153</v>
      </c>
      <c r="C150" s="2" t="s">
        <v>154</v>
      </c>
    </row>
    <row r="151" spans="2:5">
      <c r="C151" s="2" t="s">
        <v>134</v>
      </c>
      <c r="D151" s="2" t="s">
        <v>34</v>
      </c>
      <c r="E151" s="2" t="str">
        <f>VLOOKUP(D151,$H$127:$J$143,2,FALSE)</f>
        <v>DEFRATE</v>
      </c>
    </row>
    <row r="152" spans="2:5">
      <c r="C152" s="2" t="s">
        <v>135</v>
      </c>
      <c r="D152" s="2" t="s">
        <v>35</v>
      </c>
      <c r="E152" s="2" t="str">
        <f t="shared" ref="E152:E153" si="15">VLOOKUP(D152,$H$127:$J$143,2,FALSE)</f>
        <v>HPRATE</v>
      </c>
    </row>
    <row r="153" spans="2:5">
      <c r="C153" s="2" t="s">
        <v>136</v>
      </c>
      <c r="D153" s="2" t="s">
        <v>33</v>
      </c>
      <c r="E153" s="2" t="str">
        <f t="shared" si="15"/>
        <v>ATKRATE</v>
      </c>
    </row>
  </sheetData>
  <phoneticPr fontId="1" type="noConversion"/>
  <dataValidations count="1">
    <dataValidation type="list" allowBlank="1" showInputMessage="1" showErrorMessage="1" sqref="B117" xr:uid="{BD834035-F9EE-4318-AD77-4D167A32535C}">
      <formula1>"暴击,暴击伤害,抗暴,格挡,格挡强度,抗格挡,伤害率,免伤率,反伤率,吸血率"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057B-AE77-4629-84E3-8760CAFF03AC}">
  <dimension ref="A1:O46"/>
  <sheetViews>
    <sheetView workbookViewId="0">
      <selection activeCell="F7" sqref="F7"/>
    </sheetView>
  </sheetViews>
  <sheetFormatPr defaultRowHeight="14.25"/>
  <sheetData>
    <row r="1" spans="1:15">
      <c r="A1" t="s">
        <v>155</v>
      </c>
    </row>
    <row r="2" spans="1:15">
      <c r="B2" s="19" t="s">
        <v>156</v>
      </c>
      <c r="C2" s="22" t="s">
        <v>160</v>
      </c>
      <c r="D2" s="19" t="s">
        <v>163</v>
      </c>
      <c r="E2" s="19" t="s">
        <v>168</v>
      </c>
      <c r="F2" s="19" t="s">
        <v>169</v>
      </c>
      <c r="G2" s="19" t="s">
        <v>170</v>
      </c>
      <c r="H2" s="19" t="s">
        <v>171</v>
      </c>
      <c r="I2" s="19" t="s">
        <v>176</v>
      </c>
      <c r="J2" s="19" t="s">
        <v>221</v>
      </c>
      <c r="K2" s="19" t="s">
        <v>175</v>
      </c>
      <c r="L2" s="19" t="s">
        <v>202</v>
      </c>
      <c r="M2" s="19" t="s">
        <v>201</v>
      </c>
      <c r="N2" s="19" t="s">
        <v>181</v>
      </c>
      <c r="O2" s="19" t="s">
        <v>226</v>
      </c>
    </row>
    <row r="3" spans="1:15">
      <c r="B3" s="20" t="s">
        <v>157</v>
      </c>
      <c r="C3" s="20" t="s">
        <v>157</v>
      </c>
      <c r="D3" s="20" t="s">
        <v>162</v>
      </c>
      <c r="E3" s="20" t="s">
        <v>157</v>
      </c>
      <c r="F3" s="20" t="s">
        <v>157</v>
      </c>
      <c r="G3" s="20" t="s">
        <v>157</v>
      </c>
      <c r="H3" s="20" t="s">
        <v>157</v>
      </c>
      <c r="I3" s="20" t="s">
        <v>157</v>
      </c>
      <c r="J3" s="20" t="s">
        <v>157</v>
      </c>
      <c r="K3" s="20" t="s">
        <v>157</v>
      </c>
      <c r="L3" s="20" t="s">
        <v>157</v>
      </c>
      <c r="M3" s="20" t="s">
        <v>157</v>
      </c>
      <c r="N3" s="20" t="s">
        <v>157</v>
      </c>
      <c r="O3" s="20" t="s">
        <v>157</v>
      </c>
    </row>
    <row r="4" spans="1:15">
      <c r="B4" s="21" t="s">
        <v>158</v>
      </c>
      <c r="C4" s="21" t="s">
        <v>158</v>
      </c>
      <c r="D4" s="21" t="s">
        <v>162</v>
      </c>
      <c r="E4" s="21" t="s">
        <v>165</v>
      </c>
      <c r="F4" s="21" t="s">
        <v>165</v>
      </c>
      <c r="G4" s="21" t="s">
        <v>158</v>
      </c>
      <c r="H4" s="21" t="s">
        <v>158</v>
      </c>
      <c r="I4" s="21" t="s">
        <v>158</v>
      </c>
      <c r="J4" s="21" t="s">
        <v>158</v>
      </c>
      <c r="K4" s="21" t="s">
        <v>165</v>
      </c>
      <c r="L4" s="21" t="s">
        <v>198</v>
      </c>
      <c r="M4" s="21" t="s">
        <v>198</v>
      </c>
      <c r="N4" s="21" t="s">
        <v>198</v>
      </c>
      <c r="O4" s="21" t="s">
        <v>165</v>
      </c>
    </row>
    <row r="5" spans="1:15">
      <c r="B5" s="20" t="s">
        <v>159</v>
      </c>
      <c r="C5" s="20" t="s">
        <v>161</v>
      </c>
      <c r="D5" s="20" t="s">
        <v>164</v>
      </c>
      <c r="E5" s="20" t="s">
        <v>166</v>
      </c>
      <c r="F5" s="20" t="s">
        <v>167</v>
      </c>
      <c r="G5" s="20" t="s">
        <v>179</v>
      </c>
      <c r="H5" s="20" t="s">
        <v>173</v>
      </c>
      <c r="I5" s="20" t="s">
        <v>177</v>
      </c>
      <c r="J5" s="20" t="s">
        <v>222</v>
      </c>
      <c r="K5" s="20" t="s">
        <v>178</v>
      </c>
      <c r="L5" s="20" t="s">
        <v>180</v>
      </c>
      <c r="M5" s="20" t="s">
        <v>203</v>
      </c>
      <c r="N5" s="20" t="s">
        <v>182</v>
      </c>
      <c r="O5" s="20" t="s">
        <v>227</v>
      </c>
    </row>
    <row r="6" spans="1:15">
      <c r="B6" t="s">
        <v>213</v>
      </c>
      <c r="C6" t="s">
        <v>213</v>
      </c>
      <c r="D6" t="s">
        <v>214</v>
      </c>
      <c r="E6">
        <v>3</v>
      </c>
      <c r="F6">
        <v>1</v>
      </c>
      <c r="G6" t="s">
        <v>215</v>
      </c>
      <c r="H6" t="s">
        <v>215</v>
      </c>
      <c r="I6" t="s">
        <v>216</v>
      </c>
      <c r="J6" t="s">
        <v>223</v>
      </c>
      <c r="K6">
        <v>3</v>
      </c>
      <c r="L6" t="s">
        <v>218</v>
      </c>
      <c r="M6" t="s">
        <v>218</v>
      </c>
      <c r="N6" t="s">
        <v>217</v>
      </c>
      <c r="O6">
        <v>1</v>
      </c>
    </row>
    <row r="7" spans="1:15">
      <c r="B7" t="s">
        <v>224</v>
      </c>
      <c r="C7" t="s">
        <v>224</v>
      </c>
      <c r="D7" t="s">
        <v>225</v>
      </c>
      <c r="E7">
        <v>4</v>
      </c>
      <c r="F7">
        <v>1</v>
      </c>
      <c r="G7" t="s">
        <v>215</v>
      </c>
      <c r="H7" t="s">
        <v>215</v>
      </c>
      <c r="I7" t="s">
        <v>216</v>
      </c>
      <c r="J7" t="s">
        <v>223</v>
      </c>
      <c r="K7">
        <v>3</v>
      </c>
      <c r="L7" t="s">
        <v>218</v>
      </c>
      <c r="M7" t="s">
        <v>218</v>
      </c>
      <c r="N7" t="s">
        <v>217</v>
      </c>
      <c r="O7">
        <v>2</v>
      </c>
    </row>
    <row r="11" spans="1:15">
      <c r="A11" t="s">
        <v>184</v>
      </c>
    </row>
    <row r="12" spans="1:15">
      <c r="B12" s="19" t="s">
        <v>156</v>
      </c>
      <c r="C12" s="19" t="s">
        <v>169</v>
      </c>
      <c r="D12" s="19" t="s">
        <v>172</v>
      </c>
    </row>
    <row r="13" spans="1:15">
      <c r="B13" s="20" t="s">
        <v>157</v>
      </c>
      <c r="C13" s="20" t="s">
        <v>157</v>
      </c>
      <c r="D13" s="20" t="s">
        <v>157</v>
      </c>
    </row>
    <row r="14" spans="1:15">
      <c r="B14" s="21" t="s">
        <v>158</v>
      </c>
      <c r="C14" s="21" t="s">
        <v>165</v>
      </c>
      <c r="D14" s="21" t="s">
        <v>165</v>
      </c>
    </row>
    <row r="15" spans="1:15">
      <c r="B15" s="20" t="s">
        <v>159</v>
      </c>
      <c r="C15" s="20" t="s">
        <v>167</v>
      </c>
      <c r="D15" s="20" t="s">
        <v>174</v>
      </c>
    </row>
    <row r="16" spans="1:15">
      <c r="B16">
        <v>1</v>
      </c>
      <c r="C16">
        <v>1</v>
      </c>
      <c r="D16">
        <v>2</v>
      </c>
    </row>
    <row r="17" spans="1:6">
      <c r="B17">
        <v>2</v>
      </c>
      <c r="C17">
        <v>2</v>
      </c>
      <c r="D17">
        <v>3</v>
      </c>
    </row>
    <row r="18" spans="1:6">
      <c r="B18">
        <v>3</v>
      </c>
      <c r="C18">
        <v>3</v>
      </c>
      <c r="D18">
        <v>4</v>
      </c>
    </row>
    <row r="21" spans="1:6">
      <c r="A21" t="s">
        <v>183</v>
      </c>
    </row>
    <row r="22" spans="1:6">
      <c r="B22" s="19" t="s">
        <v>156</v>
      </c>
      <c r="C22" s="19" t="s">
        <v>169</v>
      </c>
      <c r="D22" s="19" t="s">
        <v>168</v>
      </c>
      <c r="E22" s="19" t="s">
        <v>75</v>
      </c>
      <c r="F22" s="19" t="s">
        <v>76</v>
      </c>
    </row>
    <row r="23" spans="1:6">
      <c r="B23" s="20" t="s">
        <v>157</v>
      </c>
      <c r="C23" s="20" t="s">
        <v>157</v>
      </c>
      <c r="D23" s="20" t="s">
        <v>157</v>
      </c>
      <c r="E23" s="20" t="s">
        <v>157</v>
      </c>
      <c r="F23" s="20" t="s">
        <v>157</v>
      </c>
    </row>
    <row r="24" spans="1:6">
      <c r="B24" s="21" t="s">
        <v>158</v>
      </c>
      <c r="C24" s="21" t="s">
        <v>165</v>
      </c>
      <c r="D24" s="21" t="s">
        <v>165</v>
      </c>
      <c r="E24" s="21" t="s">
        <v>165</v>
      </c>
      <c r="F24" s="21" t="s">
        <v>165</v>
      </c>
    </row>
    <row r="25" spans="1:6">
      <c r="B25" s="20" t="s">
        <v>159</v>
      </c>
      <c r="C25" s="20" t="s">
        <v>167</v>
      </c>
      <c r="D25" s="20" t="s">
        <v>166</v>
      </c>
      <c r="E25" s="20" t="s">
        <v>185</v>
      </c>
      <c r="F25" s="20" t="s">
        <v>186</v>
      </c>
    </row>
    <row r="26" spans="1:6">
      <c r="B26">
        <v>1</v>
      </c>
      <c r="C26">
        <v>1</v>
      </c>
      <c r="D26">
        <v>4</v>
      </c>
      <c r="E26">
        <v>1</v>
      </c>
      <c r="F26">
        <v>100</v>
      </c>
    </row>
    <row r="27" spans="1:6">
      <c r="B27">
        <v>2</v>
      </c>
      <c r="C27">
        <v>1</v>
      </c>
      <c r="D27">
        <v>4</v>
      </c>
      <c r="E27">
        <v>2</v>
      </c>
      <c r="F27">
        <v>200</v>
      </c>
    </row>
    <row r="28" spans="1:6">
      <c r="B28">
        <v>3</v>
      </c>
      <c r="C28">
        <v>1</v>
      </c>
      <c r="D28">
        <v>4</v>
      </c>
      <c r="E28">
        <v>3</v>
      </c>
      <c r="F28">
        <v>300</v>
      </c>
    </row>
    <row r="31" spans="1:6">
      <c r="A31" t="s">
        <v>187</v>
      </c>
    </row>
    <row r="32" spans="1:6">
      <c r="B32" s="19" t="s">
        <v>156</v>
      </c>
      <c r="C32" s="19" t="s">
        <v>188</v>
      </c>
      <c r="D32" s="19" t="s">
        <v>189</v>
      </c>
      <c r="E32" s="19" t="s">
        <v>190</v>
      </c>
    </row>
    <row r="33" spans="1:6">
      <c r="B33" s="23" t="s">
        <v>157</v>
      </c>
      <c r="C33" s="23" t="s">
        <v>157</v>
      </c>
      <c r="D33" s="23" t="s">
        <v>157</v>
      </c>
      <c r="E33" s="23" t="s">
        <v>162</v>
      </c>
    </row>
    <row r="34" spans="1:6">
      <c r="B34" s="24" t="s">
        <v>158</v>
      </c>
      <c r="C34" s="24" t="s">
        <v>191</v>
      </c>
      <c r="D34" s="24" t="s">
        <v>158</v>
      </c>
      <c r="E34" s="24" t="s">
        <v>162</v>
      </c>
    </row>
    <row r="35" spans="1:6">
      <c r="B35" s="23" t="s">
        <v>159</v>
      </c>
      <c r="C35" s="23" t="s">
        <v>192</v>
      </c>
      <c r="D35" s="23" t="s">
        <v>193</v>
      </c>
      <c r="E35" s="23" t="s">
        <v>194</v>
      </c>
    </row>
    <row r="36" spans="1:6">
      <c r="B36" s="24" t="s">
        <v>195</v>
      </c>
      <c r="C36" s="24"/>
      <c r="D36" s="24"/>
      <c r="E36" s="24"/>
    </row>
    <row r="37" spans="1:6">
      <c r="B37" t="s">
        <v>197</v>
      </c>
      <c r="C37" t="s">
        <v>200</v>
      </c>
      <c r="D37" t="s">
        <v>196</v>
      </c>
      <c r="E37" t="s">
        <v>199</v>
      </c>
    </row>
    <row r="40" spans="1:6">
      <c r="A40" t="s">
        <v>204</v>
      </c>
    </row>
    <row r="41" spans="1:6">
      <c r="B41" s="19" t="s">
        <v>156</v>
      </c>
      <c r="C41" s="22" t="s">
        <v>160</v>
      </c>
      <c r="D41" s="19" t="s">
        <v>163</v>
      </c>
      <c r="E41" s="19" t="s">
        <v>207</v>
      </c>
      <c r="F41" s="19" t="s">
        <v>209</v>
      </c>
    </row>
    <row r="42" spans="1:6">
      <c r="B42" s="23" t="s">
        <v>157</v>
      </c>
      <c r="C42" s="20" t="s">
        <v>157</v>
      </c>
      <c r="D42" s="20" t="s">
        <v>162</v>
      </c>
      <c r="E42" s="20" t="s">
        <v>157</v>
      </c>
      <c r="F42" s="20" t="s">
        <v>157</v>
      </c>
    </row>
    <row r="43" spans="1:6">
      <c r="B43" s="24" t="s">
        <v>158</v>
      </c>
      <c r="C43" s="21" t="s">
        <v>158</v>
      </c>
      <c r="D43" s="21" t="s">
        <v>162</v>
      </c>
      <c r="E43" s="21" t="s">
        <v>198</v>
      </c>
      <c r="F43" s="21" t="s">
        <v>198</v>
      </c>
    </row>
    <row r="44" spans="1:6">
      <c r="B44" s="23" t="s">
        <v>159</v>
      </c>
      <c r="C44" s="20" t="s">
        <v>161</v>
      </c>
      <c r="D44" s="20" t="s">
        <v>164</v>
      </c>
      <c r="E44" s="20" t="s">
        <v>210</v>
      </c>
      <c r="F44" s="20" t="s">
        <v>211</v>
      </c>
    </row>
    <row r="45" spans="1:6">
      <c r="B45" s="24" t="s">
        <v>195</v>
      </c>
      <c r="C45" s="24"/>
      <c r="D45" s="24"/>
      <c r="E45" s="24"/>
      <c r="F45" s="24"/>
    </row>
    <row r="46" spans="1:6">
      <c r="B46">
        <v>1</v>
      </c>
      <c r="C46" t="s">
        <v>205</v>
      </c>
      <c r="D46" t="s">
        <v>206</v>
      </c>
      <c r="E46" t="s">
        <v>208</v>
      </c>
      <c r="F46" t="s">
        <v>212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3E90-84BE-4143-BEC1-A8B0544C443C}">
  <dimension ref="A1:R152"/>
  <sheetViews>
    <sheetView tabSelected="1" topLeftCell="E37" workbookViewId="0">
      <selection activeCell="M42" sqref="M42"/>
    </sheetView>
  </sheetViews>
  <sheetFormatPr defaultRowHeight="13.5"/>
  <cols>
    <col min="1" max="6" width="9" style="2"/>
    <col min="7" max="9" width="11.375" style="2" customWidth="1"/>
    <col min="10" max="10" width="12.75" style="2" customWidth="1"/>
    <col min="11" max="11" width="9" style="2"/>
    <col min="12" max="12" width="14.625" style="2" customWidth="1"/>
    <col min="13" max="15" width="9" style="2"/>
    <col min="16" max="16" width="9.125" style="2" customWidth="1"/>
    <col min="17" max="16384" width="9" style="2"/>
  </cols>
  <sheetData>
    <row r="1" spans="1:18">
      <c r="A1" s="2" t="s">
        <v>155</v>
      </c>
    </row>
    <row r="2" spans="1:18">
      <c r="B2" s="19" t="s">
        <v>156</v>
      </c>
      <c r="C2" s="22" t="s">
        <v>160</v>
      </c>
      <c r="D2" s="19" t="s">
        <v>163</v>
      </c>
      <c r="E2" s="19" t="s">
        <v>168</v>
      </c>
      <c r="F2" s="19" t="s">
        <v>169</v>
      </c>
      <c r="G2" s="19" t="s">
        <v>464</v>
      </c>
      <c r="H2" s="19" t="s">
        <v>465</v>
      </c>
      <c r="I2" s="19" t="s">
        <v>256</v>
      </c>
      <c r="J2" s="19" t="s">
        <v>257</v>
      </c>
      <c r="K2" s="19" t="s">
        <v>259</v>
      </c>
      <c r="L2" s="19" t="s">
        <v>176</v>
      </c>
      <c r="M2" s="19" t="s">
        <v>221</v>
      </c>
      <c r="N2" s="19" t="s">
        <v>462</v>
      </c>
      <c r="O2" s="19" t="s">
        <v>202</v>
      </c>
      <c r="P2" s="19" t="s">
        <v>201</v>
      </c>
      <c r="Q2" s="19" t="s">
        <v>355</v>
      </c>
      <c r="R2" s="19" t="s">
        <v>181</v>
      </c>
    </row>
    <row r="3" spans="1:18">
      <c r="B3" s="20" t="s">
        <v>157</v>
      </c>
      <c r="C3" s="20" t="s">
        <v>157</v>
      </c>
      <c r="D3" s="20" t="s">
        <v>162</v>
      </c>
      <c r="E3" s="20" t="s">
        <v>157</v>
      </c>
      <c r="F3" s="20" t="s">
        <v>157</v>
      </c>
      <c r="G3" s="20" t="s">
        <v>463</v>
      </c>
      <c r="H3" s="20" t="s">
        <v>463</v>
      </c>
      <c r="I3" s="20" t="s">
        <v>157</v>
      </c>
      <c r="J3" s="20" t="s">
        <v>157</v>
      </c>
      <c r="K3" s="20" t="s">
        <v>157</v>
      </c>
      <c r="L3" s="20" t="s">
        <v>157</v>
      </c>
      <c r="M3" s="20" t="s">
        <v>157</v>
      </c>
      <c r="N3" s="20" t="s">
        <v>157</v>
      </c>
      <c r="O3" s="20" t="s">
        <v>157</v>
      </c>
      <c r="P3" s="20" t="s">
        <v>157</v>
      </c>
      <c r="Q3" s="20"/>
      <c r="R3" s="20" t="s">
        <v>157</v>
      </c>
    </row>
    <row r="4" spans="1:18">
      <c r="B4" s="21" t="s">
        <v>158</v>
      </c>
      <c r="C4" s="21" t="s">
        <v>158</v>
      </c>
      <c r="D4" s="21" t="s">
        <v>162</v>
      </c>
      <c r="E4" s="21" t="s">
        <v>165</v>
      </c>
      <c r="F4" s="21" t="s">
        <v>165</v>
      </c>
      <c r="G4" s="21" t="s">
        <v>165</v>
      </c>
      <c r="H4" s="21" t="s">
        <v>466</v>
      </c>
      <c r="I4" s="21" t="s">
        <v>158</v>
      </c>
      <c r="J4" s="21" t="s">
        <v>258</v>
      </c>
      <c r="K4" s="21" t="s">
        <v>165</v>
      </c>
      <c r="L4" s="21" t="s">
        <v>260</v>
      </c>
      <c r="M4" s="21" t="s">
        <v>260</v>
      </c>
      <c r="N4" s="21" t="s">
        <v>165</v>
      </c>
      <c r="O4" s="21" t="s">
        <v>260</v>
      </c>
      <c r="P4" s="21" t="s">
        <v>260</v>
      </c>
      <c r="Q4" s="21" t="s">
        <v>260</v>
      </c>
      <c r="R4" s="21" t="s">
        <v>196</v>
      </c>
    </row>
    <row r="5" spans="1:18">
      <c r="B5" s="20" t="s">
        <v>159</v>
      </c>
      <c r="C5" s="20" t="s">
        <v>161</v>
      </c>
      <c r="D5" s="20" t="s">
        <v>164</v>
      </c>
      <c r="E5" s="20" t="s">
        <v>166</v>
      </c>
      <c r="F5" s="20" t="s">
        <v>167</v>
      </c>
      <c r="G5" s="20" t="s">
        <v>467</v>
      </c>
      <c r="H5" s="20" t="s">
        <v>468</v>
      </c>
      <c r="I5" s="20" t="s">
        <v>179</v>
      </c>
      <c r="J5" s="20"/>
      <c r="K5" s="20" t="s">
        <v>173</v>
      </c>
      <c r="L5" s="20" t="s">
        <v>177</v>
      </c>
      <c r="M5" s="20" t="s">
        <v>222</v>
      </c>
      <c r="N5" s="20" t="s">
        <v>178</v>
      </c>
      <c r="O5" s="20" t="s">
        <v>180</v>
      </c>
      <c r="P5" s="20" t="s">
        <v>203</v>
      </c>
      <c r="Q5" s="20"/>
      <c r="R5" s="20" t="s">
        <v>182</v>
      </c>
    </row>
    <row r="6" spans="1:18">
      <c r="B6" s="2" t="s">
        <v>373</v>
      </c>
      <c r="C6" s="2" t="str">
        <f>B6</f>
        <v>Gem1001</v>
      </c>
      <c r="D6" s="2" t="s">
        <v>228</v>
      </c>
      <c r="E6" s="2">
        <v>2</v>
      </c>
      <c r="F6" s="2">
        <v>1</v>
      </c>
      <c r="I6" s="2" t="str">
        <f>VLOOKUP(F6,数值设计!$A$21:$I$23,9,FALSE)</f>
        <v>DEF</v>
      </c>
      <c r="J6" s="2">
        <f>INT(VLOOKUP(F6,数值设计!$B$97:$H$113,4,FALSE)*VLOOKUP(E6,数值设计!$J$118:$L$121,3,FALSE))</f>
        <v>472</v>
      </c>
      <c r="K6" s="2">
        <f>INT(VLOOKUP(F6,数值设计!$B$97:$H$113,5,FALSE)*数值设计!$L$118*VLOOKUP(E6,数值设计!$J$118:$L$121,3,FALSE))</f>
        <v>23</v>
      </c>
      <c r="L6" s="2" t="str">
        <f>IF(F6=1,"[CRITRATE,BLOCKRATE,UNCRITRATE,SPEED,HPRATE]",IF(F6=2,"[CRITSTRG,BLOCKSTRG,UNBLOCKRATE,DEFRATE]","[HURTRATE,UNHURTRATE,REFLECTION,ABSORPTION,ATKRATE]"))</f>
        <v>[CRITRATE,BLOCKRATE,UNCRITRATE,SPEED,HPRATE]</v>
      </c>
      <c r="M6" s="2" t="str">
        <f>IF(F6=1,"["&amp;数值设计!$F$100*VLOOKUP(E6,数值设计!$J$118:$L$121,3,FALSE)&amp;","&amp;数值设计!$F$103*VLOOKUP(E6,数值设计!$J$118:$L$121,3,FALSE)&amp;","&amp;数值设计!$F$102*VLOOKUP(E6,数值设计!$J$118:$L$121,3,FALSE)&amp;","&amp;数值设计!$F$110*VLOOKUP(E6,数值设计!$J$118:$L$121,3,FALSE)&amp;","&amp;数值设计!$F$113*VLOOKUP(E6,数值设计!$J$118:$L$121,3,FALSE)&amp;"]",IF(F6=2,"["&amp;数值设计!$F$100*VLOOKUP(E6,数值设计!$J$118:$L$121,3,FALSE)&amp;","&amp;数值设计!$F$103*VLOOKUP(E6,数值设计!$J$118:$L$121,3,FALSE)&amp;","&amp;数值设计!$F$102*VLOOKUP(E6,数值设计!$J$118:$L$121,3,FALSE)&amp;","&amp;数值设计!$F$110*VLOOKUP(E6,数值设计!$J$118:$L$121,3,FALSE)&amp;","&amp;数值设计!$F$113*VLOOKUP(E6,数值设计!$J$118:$L$121,3,FALSE)&amp;"]","["&amp;数值设计!$F$100*VLOOKUP(E6,数值设计!$J$118:$L$121,3,FALSE)&amp;","&amp;数值设计!$F$103*VLOOKUP(E6,数值设计!$J$118:$L$121,3,FALSE)&amp;","&amp;数值设计!$F$102*VLOOKUP(E6,数值设计!$J$118:$L$121,3,FALSE)&amp;","&amp;数值设计!$F$110*VLOOKUP(E6,数值设计!$J$118:$L$121,3,FALSE)&amp;","&amp;数值设计!$F$113*VLOOKUP(E6,数值设计!$J$118:$L$121,3,FALSE)&amp;"]"))</f>
        <v>[0.0075,0.006,0.006,45,0.015]</v>
      </c>
      <c r="N6" s="2">
        <v>3</v>
      </c>
      <c r="O6" s="2" t="s">
        <v>354</v>
      </c>
      <c r="P6" s="2" t="s">
        <v>354</v>
      </c>
      <c r="Q6" s="2" t="s">
        <v>356</v>
      </c>
      <c r="R6" s="2" t="s">
        <v>357</v>
      </c>
    </row>
    <row r="7" spans="1:18">
      <c r="B7" s="2" t="s">
        <v>374</v>
      </c>
      <c r="C7" s="2" t="str">
        <f t="shared" ref="C7:C47" si="0">B7</f>
        <v>Gem1002</v>
      </c>
      <c r="D7" s="2" t="s">
        <v>229</v>
      </c>
      <c r="E7" s="2">
        <v>2</v>
      </c>
      <c r="F7" s="2">
        <v>2</v>
      </c>
      <c r="I7" s="2" t="str">
        <f>VLOOKUP(F7,数值设计!$A$21:$I$23,9,FALSE)</f>
        <v>HP</v>
      </c>
      <c r="J7" s="2">
        <f>INT(VLOOKUP(F7,数值设计!$B$97:$H$113,4,FALSE)*VLOOKUP(E7,数值设计!$J$118:$L$121,3,FALSE))</f>
        <v>5793</v>
      </c>
      <c r="K7" s="2">
        <f>INT(VLOOKUP(F7,数值设计!$B$97:$H$113,5,FALSE)*数值设计!$L$118*VLOOKUP(E7,数值设计!$J$118:$L$121,3,FALSE))</f>
        <v>289</v>
      </c>
      <c r="L7" s="2" t="str">
        <f t="shared" ref="L7:L47" si="1">IF(F7=1,"[CRITRATE,BLOCKRATE,UNCRITRATE,SPEED,HPRATE]",IF(F7=2,"[CRITSTRG,BLOCKSTRG,UNBLOCKRATE,DEFRATE]","[HURTRATE,UNHURTRATE,REFLECTION,ABSORPTION,ATKRATE]"))</f>
        <v>[CRITSTRG,BLOCKSTRG,UNBLOCKRATE,DEFRATE]</v>
      </c>
      <c r="M7" s="2" t="str">
        <f>IF(F7=1,"["&amp;数值设计!$F$100*VLOOKUP(E7,数值设计!$J$118:$L$121,3,FALSE)&amp;","&amp;数值设计!$F$103*VLOOKUP(E7,数值设计!$J$118:$L$121,3,FALSE)&amp;","&amp;数值设计!$F$102*VLOOKUP(E7,数值设计!$J$118:$L$121,3,FALSE)&amp;","&amp;数值设计!$F$110*VLOOKUP(E7,数值设计!$J$118:$L$121,3,FALSE)&amp;","&amp;数值设计!$F$113*VLOOKUP(E7,数值设计!$J$118:$L$121,3,FALSE)&amp;"]",IF(F7=2,"["&amp;数值设计!$F$100*VLOOKUP(E7,数值设计!$J$118:$L$121,3,FALSE)&amp;","&amp;数值设计!$F$103*VLOOKUP(E7,数值设计!$J$118:$L$121,3,FALSE)&amp;","&amp;数值设计!$F$102*VLOOKUP(E7,数值设计!$J$118:$L$121,3,FALSE)&amp;","&amp;数值设计!$F$110*VLOOKUP(E7,数值设计!$J$118:$L$121,3,FALSE)&amp;","&amp;数值设计!$F$113*VLOOKUP(E7,数值设计!$J$118:$L$121,3,FALSE)&amp;"]","["&amp;数值设计!$F$100*VLOOKUP(E7,数值设计!$J$118:$L$121,3,FALSE)&amp;","&amp;数值设计!$F$103*VLOOKUP(E7,数值设计!$J$118:$L$121,3,FALSE)&amp;","&amp;数值设计!$F$102*VLOOKUP(E7,数值设计!$J$118:$L$121,3,FALSE)&amp;","&amp;数值设计!$F$110*VLOOKUP(E7,数值设计!$J$118:$L$121,3,FALSE)&amp;","&amp;数值设计!$F$113*VLOOKUP(E7,数值设计!$J$118:$L$121,3,FALSE)&amp;"]"))</f>
        <v>[0.0075,0.006,0.006,45,0.015]</v>
      </c>
      <c r="N7" s="2">
        <v>3</v>
      </c>
      <c r="O7" s="2" t="str">
        <f t="shared" ref="O7:R8" si="2">O6</f>
        <v>[1,1,1,1,1]</v>
      </c>
      <c r="P7" s="2" t="str">
        <f t="shared" si="2"/>
        <v>[1,1,1,1,1]</v>
      </c>
      <c r="Q7" s="2" t="s">
        <v>356</v>
      </c>
      <c r="R7" s="2" t="str">
        <f t="shared" si="2"/>
        <v>[20,20,20,20]</v>
      </c>
    </row>
    <row r="8" spans="1:18">
      <c r="B8" s="2" t="s">
        <v>375</v>
      </c>
      <c r="C8" s="2" t="str">
        <f t="shared" si="0"/>
        <v>Gem1003</v>
      </c>
      <c r="D8" s="2" t="s">
        <v>230</v>
      </c>
      <c r="E8" s="2">
        <v>2</v>
      </c>
      <c r="F8" s="2">
        <v>3</v>
      </c>
      <c r="I8" s="2" t="str">
        <f>VLOOKUP(F8,数值设计!$A$21:$I$23,9,FALSE)</f>
        <v>ATK</v>
      </c>
      <c r="J8" s="2">
        <f>INT(VLOOKUP(F8,数值设计!$B$97:$H$113,4,FALSE)*VLOOKUP(E8,数值设计!$J$118:$L$121,3,FALSE))</f>
        <v>945</v>
      </c>
      <c r="K8" s="2">
        <f>INT(VLOOKUP(F8,数值设计!$B$97:$H$113,5,FALSE)*数值设计!$L$118*VLOOKUP(E8,数值设计!$J$118:$L$121,3,FALSE))</f>
        <v>47</v>
      </c>
      <c r="L8" s="2" t="str">
        <f t="shared" si="1"/>
        <v>[HURTRATE,UNHURTRATE,REFLECTION,ABSORPTION,ATKRATE]</v>
      </c>
      <c r="M8" s="2" t="str">
        <f>IF(F8=1,"["&amp;数值设计!$F$100*VLOOKUP(E8,数值设计!$J$118:$L$121,3,FALSE)&amp;","&amp;数值设计!$F$103*VLOOKUP(E8,数值设计!$J$118:$L$121,3,FALSE)&amp;","&amp;数值设计!$F$102*VLOOKUP(E8,数值设计!$J$118:$L$121,3,FALSE)&amp;","&amp;数值设计!$F$110*VLOOKUP(E8,数值设计!$J$118:$L$121,3,FALSE)&amp;","&amp;数值设计!$F$113*VLOOKUP(E8,数值设计!$J$118:$L$121,3,FALSE)&amp;"]",IF(F8=2,"["&amp;数值设计!$F$100*VLOOKUP(E8,数值设计!$J$118:$L$121,3,FALSE)&amp;","&amp;数值设计!$F$103*VLOOKUP(E8,数值设计!$J$118:$L$121,3,FALSE)&amp;","&amp;数值设计!$F$102*VLOOKUP(E8,数值设计!$J$118:$L$121,3,FALSE)&amp;","&amp;数值设计!$F$110*VLOOKUP(E8,数值设计!$J$118:$L$121,3,FALSE)&amp;","&amp;数值设计!$F$113*VLOOKUP(E8,数值设计!$J$118:$L$121,3,FALSE)&amp;"]","["&amp;数值设计!$F$100*VLOOKUP(E8,数值设计!$J$118:$L$121,3,FALSE)&amp;","&amp;数值设计!$F$103*VLOOKUP(E8,数值设计!$J$118:$L$121,3,FALSE)&amp;","&amp;数值设计!$F$102*VLOOKUP(E8,数值设计!$J$118:$L$121,3,FALSE)&amp;","&amp;数值设计!$F$110*VLOOKUP(E8,数值设计!$J$118:$L$121,3,FALSE)&amp;","&amp;数值设计!$F$113*VLOOKUP(E8,数值设计!$J$118:$L$121,3,FALSE)&amp;"]"))</f>
        <v>[0.0075,0.006,0.006,45,0.015]</v>
      </c>
      <c r="N8" s="2">
        <v>3</v>
      </c>
      <c r="O8" s="2" t="str">
        <f t="shared" si="2"/>
        <v>[1,1,1,1,1]</v>
      </c>
      <c r="P8" s="2" t="str">
        <f t="shared" si="2"/>
        <v>[1,1,1,1,1]</v>
      </c>
      <c r="Q8" s="2" t="s">
        <v>356</v>
      </c>
      <c r="R8" s="2" t="str">
        <f t="shared" si="2"/>
        <v>[20,20,20,20]</v>
      </c>
    </row>
    <row r="9" spans="1:18">
      <c r="B9" s="2" t="s">
        <v>376</v>
      </c>
      <c r="C9" s="2" t="str">
        <f t="shared" si="0"/>
        <v>Gem2001</v>
      </c>
      <c r="D9" s="2" t="s">
        <v>231</v>
      </c>
      <c r="E9" s="2">
        <v>3</v>
      </c>
      <c r="F9" s="2">
        <v>1</v>
      </c>
      <c r="I9" s="2" t="str">
        <f>VLOOKUP(F9,数值设计!$A$21:$I$23,9,FALSE)</f>
        <v>DEF</v>
      </c>
      <c r="J9" s="2">
        <f>INT(VLOOKUP(F9,数值设计!$B$97:$H$113,4,FALSE)*VLOOKUP(E9,数值设计!$J$118:$L$121,3,FALSE))</f>
        <v>865</v>
      </c>
      <c r="K9" s="2">
        <f>INT(VLOOKUP(F9,数值设计!$B$97:$H$113,5,FALSE)*数值设计!$L$118*VLOOKUP(E9,数值设计!$J$118:$L$121,3,FALSE))</f>
        <v>43</v>
      </c>
      <c r="L9" s="2" t="str">
        <f t="shared" si="1"/>
        <v>[CRITRATE,BLOCKRATE,UNCRITRATE,SPEED,HPRATE]</v>
      </c>
      <c r="M9" s="2" t="str">
        <f>IF(F9=1,"["&amp;数值设计!$F$100*VLOOKUP(E9,数值设计!$J$118:$L$121,3,FALSE)&amp;","&amp;数值设计!$F$103*VLOOKUP(E9,数值设计!$J$118:$L$121,3,FALSE)&amp;","&amp;数值设计!$F$102*VLOOKUP(E9,数值设计!$J$118:$L$121,3,FALSE)&amp;","&amp;数值设计!$F$110*VLOOKUP(E9,数值设计!$J$118:$L$121,3,FALSE)&amp;","&amp;数值设计!$F$113*VLOOKUP(E9,数值设计!$J$118:$L$121,3,FALSE)&amp;"]",IF(F9=2,"["&amp;数值设计!$F$100*VLOOKUP(E9,数值设计!$J$118:$L$121,3,FALSE)&amp;","&amp;数值设计!$F$103*VLOOKUP(E9,数值设计!$J$118:$L$121,3,FALSE)&amp;","&amp;数值设计!$F$102*VLOOKUP(E9,数值设计!$J$118:$L$121,3,FALSE)&amp;","&amp;数值设计!$F$110*VLOOKUP(E9,数值设计!$J$118:$L$121,3,FALSE)&amp;","&amp;数值设计!$F$113*VLOOKUP(E9,数值设计!$J$118:$L$121,3,FALSE)&amp;"]","["&amp;数值设计!$F$100*VLOOKUP(E9,数值设计!$J$118:$L$121,3,FALSE)&amp;","&amp;数值设计!$F$103*VLOOKUP(E9,数值设计!$J$118:$L$121,3,FALSE)&amp;","&amp;数值设计!$F$102*VLOOKUP(E9,数值设计!$J$118:$L$121,3,FALSE)&amp;","&amp;数值设计!$F$110*VLOOKUP(E9,数值设计!$J$118:$L$121,3,FALSE)&amp;","&amp;数值设计!$F$113*VLOOKUP(E9,数值设计!$J$118:$L$121,3,FALSE)&amp;"]"))</f>
        <v>[0.01375,0.011,0.011,82.5,0.0275]</v>
      </c>
      <c r="N9" s="2">
        <f t="shared" ref="N9:P11" si="3">N6</f>
        <v>3</v>
      </c>
      <c r="O9" s="2" t="str">
        <f t="shared" si="3"/>
        <v>[1,1,1,1,1]</v>
      </c>
      <c r="P9" s="2" t="str">
        <f t="shared" si="3"/>
        <v>[1,1,1,1,1]</v>
      </c>
      <c r="Q9" s="2" t="s">
        <v>356</v>
      </c>
      <c r="R9" s="2" t="s">
        <v>357</v>
      </c>
    </row>
    <row r="10" spans="1:18">
      <c r="B10" s="2" t="s">
        <v>377</v>
      </c>
      <c r="C10" s="2" t="str">
        <f t="shared" si="0"/>
        <v>Gem2002</v>
      </c>
      <c r="D10" s="2" t="s">
        <v>232</v>
      </c>
      <c r="E10" s="2">
        <v>3</v>
      </c>
      <c r="F10" s="2">
        <v>2</v>
      </c>
      <c r="I10" s="2" t="str">
        <f>VLOOKUP(F10,数值设计!$A$21:$I$23,9,FALSE)</f>
        <v>HP</v>
      </c>
      <c r="J10" s="2">
        <f>INT(VLOOKUP(F10,数值设计!$B$97:$H$113,4,FALSE)*VLOOKUP(E10,数值设计!$J$118:$L$121,3,FALSE))</f>
        <v>10620</v>
      </c>
      <c r="K10" s="2">
        <f>INT(VLOOKUP(F10,数值设计!$B$97:$H$113,5,FALSE)*数值设计!$L$118*VLOOKUP(E10,数值设计!$J$118:$L$121,3,FALSE))</f>
        <v>530</v>
      </c>
      <c r="L10" s="2" t="str">
        <f t="shared" si="1"/>
        <v>[CRITSTRG,BLOCKSTRG,UNBLOCKRATE,DEFRATE]</v>
      </c>
      <c r="M10" s="2" t="str">
        <f>IF(F10=1,"["&amp;数值设计!$F$100*VLOOKUP(E10,数值设计!$J$118:$L$121,3,FALSE)&amp;","&amp;数值设计!$F$103*VLOOKUP(E10,数值设计!$J$118:$L$121,3,FALSE)&amp;","&amp;数值设计!$F$102*VLOOKUP(E10,数值设计!$J$118:$L$121,3,FALSE)&amp;","&amp;数值设计!$F$110*VLOOKUP(E10,数值设计!$J$118:$L$121,3,FALSE)&amp;","&amp;数值设计!$F$113*VLOOKUP(E10,数值设计!$J$118:$L$121,3,FALSE)&amp;"]",IF(F10=2,"["&amp;数值设计!$F$100*VLOOKUP(E10,数值设计!$J$118:$L$121,3,FALSE)&amp;","&amp;数值设计!$F$103*VLOOKUP(E10,数值设计!$J$118:$L$121,3,FALSE)&amp;","&amp;数值设计!$F$102*VLOOKUP(E10,数值设计!$J$118:$L$121,3,FALSE)&amp;","&amp;数值设计!$F$110*VLOOKUP(E10,数值设计!$J$118:$L$121,3,FALSE)&amp;","&amp;数值设计!$F$113*VLOOKUP(E10,数值设计!$J$118:$L$121,3,FALSE)&amp;"]","["&amp;数值设计!$F$100*VLOOKUP(E10,数值设计!$J$118:$L$121,3,FALSE)&amp;","&amp;数值设计!$F$103*VLOOKUP(E10,数值设计!$J$118:$L$121,3,FALSE)&amp;","&amp;数值设计!$F$102*VLOOKUP(E10,数值设计!$J$118:$L$121,3,FALSE)&amp;","&amp;数值设计!$F$110*VLOOKUP(E10,数值设计!$J$118:$L$121,3,FALSE)&amp;","&amp;数值设计!$F$113*VLOOKUP(E10,数值设计!$J$118:$L$121,3,FALSE)&amp;"]"))</f>
        <v>[0.01375,0.011,0.011,82.5,0.0275]</v>
      </c>
      <c r="N10" s="2">
        <f t="shared" si="3"/>
        <v>3</v>
      </c>
      <c r="O10" s="2" t="str">
        <f t="shared" si="3"/>
        <v>[1,1,1,1,1]</v>
      </c>
      <c r="P10" s="2" t="str">
        <f t="shared" si="3"/>
        <v>[1,1,1,1,1]</v>
      </c>
      <c r="Q10" s="2" t="s">
        <v>356</v>
      </c>
      <c r="R10" s="2" t="str">
        <f>R7</f>
        <v>[20,20,20,20]</v>
      </c>
    </row>
    <row r="11" spans="1:18">
      <c r="B11" s="2" t="s">
        <v>378</v>
      </c>
      <c r="C11" s="2" t="str">
        <f t="shared" si="0"/>
        <v>Gem2003</v>
      </c>
      <c r="D11" s="2" t="s">
        <v>233</v>
      </c>
      <c r="E11" s="2">
        <v>3</v>
      </c>
      <c r="F11" s="2">
        <v>3</v>
      </c>
      <c r="I11" s="2" t="str">
        <f>VLOOKUP(F11,数值设计!$A$21:$I$23,9,FALSE)</f>
        <v>ATK</v>
      </c>
      <c r="J11" s="2">
        <f>INT(VLOOKUP(F11,数值设计!$B$97:$H$113,4,FALSE)*VLOOKUP(E11,数值设计!$J$118:$L$121,3,FALSE))</f>
        <v>1732</v>
      </c>
      <c r="K11" s="2">
        <f>INT(VLOOKUP(F11,数值设计!$B$97:$H$113,5,FALSE)*数值设计!$L$118*VLOOKUP(E11,数值设计!$J$118:$L$121,3,FALSE))</f>
        <v>86</v>
      </c>
      <c r="L11" s="2" t="str">
        <f t="shared" si="1"/>
        <v>[HURTRATE,UNHURTRATE,REFLECTION,ABSORPTION,ATKRATE]</v>
      </c>
      <c r="M11" s="2" t="str">
        <f>IF(F11=1,"["&amp;数值设计!$F$100*VLOOKUP(E11,数值设计!$J$118:$L$121,3,FALSE)&amp;","&amp;数值设计!$F$103*VLOOKUP(E11,数值设计!$J$118:$L$121,3,FALSE)&amp;","&amp;数值设计!$F$102*VLOOKUP(E11,数值设计!$J$118:$L$121,3,FALSE)&amp;","&amp;数值设计!$F$110*VLOOKUP(E11,数值设计!$J$118:$L$121,3,FALSE)&amp;","&amp;数值设计!$F$113*VLOOKUP(E11,数值设计!$J$118:$L$121,3,FALSE)&amp;"]",IF(F11=2,"["&amp;数值设计!$F$100*VLOOKUP(E11,数值设计!$J$118:$L$121,3,FALSE)&amp;","&amp;数值设计!$F$103*VLOOKUP(E11,数值设计!$J$118:$L$121,3,FALSE)&amp;","&amp;数值设计!$F$102*VLOOKUP(E11,数值设计!$J$118:$L$121,3,FALSE)&amp;","&amp;数值设计!$F$110*VLOOKUP(E11,数值设计!$J$118:$L$121,3,FALSE)&amp;","&amp;数值设计!$F$113*VLOOKUP(E11,数值设计!$J$118:$L$121,3,FALSE)&amp;"]","["&amp;数值设计!$F$100*VLOOKUP(E11,数值设计!$J$118:$L$121,3,FALSE)&amp;","&amp;数值设计!$F$103*VLOOKUP(E11,数值设计!$J$118:$L$121,3,FALSE)&amp;","&amp;数值设计!$F$102*VLOOKUP(E11,数值设计!$J$118:$L$121,3,FALSE)&amp;","&amp;数值设计!$F$110*VLOOKUP(E11,数值设计!$J$118:$L$121,3,FALSE)&amp;","&amp;数值设计!$F$113*VLOOKUP(E11,数值设计!$J$118:$L$121,3,FALSE)&amp;"]"))</f>
        <v>[0.01375,0.011,0.011,82.5,0.0275]</v>
      </c>
      <c r="N11" s="2">
        <f t="shared" si="3"/>
        <v>3</v>
      </c>
      <c r="O11" s="2" t="str">
        <f t="shared" si="3"/>
        <v>[1,1,1,1,1]</v>
      </c>
      <c r="P11" s="2" t="str">
        <f t="shared" si="3"/>
        <v>[1,1,1,1,1]</v>
      </c>
      <c r="Q11" s="2" t="s">
        <v>356</v>
      </c>
      <c r="R11" s="2" t="str">
        <f t="shared" ref="R11:R29" si="4">R8</f>
        <v>[20,20,20,20]</v>
      </c>
    </row>
    <row r="12" spans="1:18">
      <c r="B12" s="2" t="s">
        <v>379</v>
      </c>
      <c r="C12" s="2" t="str">
        <f t="shared" si="0"/>
        <v>Gem3001</v>
      </c>
      <c r="D12" s="2" t="s">
        <v>235</v>
      </c>
      <c r="E12" s="2">
        <v>4</v>
      </c>
      <c r="F12" s="2">
        <v>1</v>
      </c>
      <c r="G12" s="2" t="str">
        <f>B141</f>
        <v>SuitCri_1</v>
      </c>
      <c r="I12" s="2" t="str">
        <f>VLOOKUP(F12,数值设计!$A$21:$I$23,9,FALSE)</f>
        <v>DEF</v>
      </c>
      <c r="J12" s="2">
        <f>INT(VLOOKUP(F12,数值设计!$B$97:$H$113,4,FALSE)*VLOOKUP(E12,数值设计!$J$118:$L$121,3,FALSE))</f>
        <v>1259</v>
      </c>
      <c r="K12" s="2">
        <f>INT(VLOOKUP(F12,数值设计!$B$97:$H$113,5,FALSE)*数值设计!$L$118*VLOOKUP(E12,数值设计!$J$118:$L$121,3,FALSE))</f>
        <v>62</v>
      </c>
      <c r="L12" s="2" t="str">
        <f t="shared" si="1"/>
        <v>[CRITRATE,BLOCKRATE,UNCRITRATE,SPEED,HPRATE]</v>
      </c>
      <c r="M12" s="2" t="str">
        <f>IF(F12=1,"["&amp;数值设计!$F$100*VLOOKUP(E12,数值设计!$J$118:$L$121,3,FALSE)&amp;","&amp;数值设计!$F$103*VLOOKUP(E12,数值设计!$J$118:$L$121,3,FALSE)&amp;","&amp;数值设计!$F$102*VLOOKUP(E12,数值设计!$J$118:$L$121,3,FALSE)&amp;","&amp;数值设计!$F$110*VLOOKUP(E12,数值设计!$J$118:$L$121,3,FALSE)&amp;","&amp;数值设计!$F$113*VLOOKUP(E12,数值设计!$J$118:$L$121,3,FALSE)&amp;"]",IF(F12=2,"["&amp;数值设计!$F$100*VLOOKUP(E12,数值设计!$J$118:$L$121,3,FALSE)&amp;","&amp;数值设计!$F$103*VLOOKUP(E12,数值设计!$J$118:$L$121,3,FALSE)&amp;","&amp;数值设计!$F$102*VLOOKUP(E12,数值设计!$J$118:$L$121,3,FALSE)&amp;","&amp;数值设计!$F$110*VLOOKUP(E12,数值设计!$J$118:$L$121,3,FALSE)&amp;","&amp;数值设计!$F$113*VLOOKUP(E12,数值设计!$J$118:$L$121,3,FALSE)&amp;"]","["&amp;数值设计!$F$100*VLOOKUP(E12,数值设计!$J$118:$L$121,3,FALSE)&amp;","&amp;数值设计!$F$103*VLOOKUP(E12,数值设计!$J$118:$L$121,3,FALSE)&amp;","&amp;数值设计!$F$102*VLOOKUP(E12,数值设计!$J$118:$L$121,3,FALSE)&amp;","&amp;数值设计!$F$110*VLOOKUP(E12,数值设计!$J$118:$L$121,3,FALSE)&amp;","&amp;数值设计!$F$113*VLOOKUP(E12,数值设计!$J$118:$L$121,3,FALSE)&amp;"]"))</f>
        <v>[0.02,0.016,0.016,120,0.04]</v>
      </c>
      <c r="N12" s="2">
        <f t="shared" ref="N12:N29" si="5">N9</f>
        <v>3</v>
      </c>
      <c r="O12" s="2" t="s">
        <v>354</v>
      </c>
      <c r="P12" s="2" t="s">
        <v>354</v>
      </c>
      <c r="Q12" s="2" t="s">
        <v>356</v>
      </c>
      <c r="R12" s="2" t="s">
        <v>357</v>
      </c>
    </row>
    <row r="13" spans="1:18">
      <c r="B13" s="2" t="s">
        <v>380</v>
      </c>
      <c r="C13" s="2" t="str">
        <f t="shared" si="0"/>
        <v>Gem3002</v>
      </c>
      <c r="D13" s="2" t="s">
        <v>236</v>
      </c>
      <c r="E13" s="2">
        <v>4</v>
      </c>
      <c r="F13" s="2">
        <v>2</v>
      </c>
      <c r="G13" s="2" t="str">
        <f>G12</f>
        <v>SuitCri_1</v>
      </c>
      <c r="I13" s="2" t="str">
        <f>VLOOKUP(F13,数值设计!$A$21:$I$23,9,FALSE)</f>
        <v>HP</v>
      </c>
      <c r="J13" s="2">
        <f>INT(VLOOKUP(F13,数值设计!$B$97:$H$113,4,FALSE)*VLOOKUP(E13,数值设计!$J$118:$L$121,3,FALSE))</f>
        <v>15448</v>
      </c>
      <c r="K13" s="2">
        <f>INT(VLOOKUP(F13,数值设计!$B$97:$H$113,5,FALSE)*数值设计!$L$118*VLOOKUP(E13,数值设计!$J$118:$L$121,3,FALSE))</f>
        <v>772</v>
      </c>
      <c r="L13" s="2" t="str">
        <f t="shared" si="1"/>
        <v>[CRITSTRG,BLOCKSTRG,UNBLOCKRATE,DEFRATE]</v>
      </c>
      <c r="M13" s="2" t="str">
        <f>IF(F13=1,"["&amp;数值设计!$F$100*VLOOKUP(E13,数值设计!$J$118:$L$121,3,FALSE)&amp;","&amp;数值设计!$F$103*VLOOKUP(E13,数值设计!$J$118:$L$121,3,FALSE)&amp;","&amp;数值设计!$F$102*VLOOKUP(E13,数值设计!$J$118:$L$121,3,FALSE)&amp;","&amp;数值设计!$F$110*VLOOKUP(E13,数值设计!$J$118:$L$121,3,FALSE)&amp;","&amp;数值设计!$F$113*VLOOKUP(E13,数值设计!$J$118:$L$121,3,FALSE)&amp;"]",IF(F13=2,"["&amp;数值设计!$F$100*VLOOKUP(E13,数值设计!$J$118:$L$121,3,FALSE)&amp;","&amp;数值设计!$F$103*VLOOKUP(E13,数值设计!$J$118:$L$121,3,FALSE)&amp;","&amp;数值设计!$F$102*VLOOKUP(E13,数值设计!$J$118:$L$121,3,FALSE)&amp;","&amp;数值设计!$F$110*VLOOKUP(E13,数值设计!$J$118:$L$121,3,FALSE)&amp;","&amp;数值设计!$F$113*VLOOKUP(E13,数值设计!$J$118:$L$121,3,FALSE)&amp;"]","["&amp;数值设计!$F$100*VLOOKUP(E13,数值设计!$J$118:$L$121,3,FALSE)&amp;","&amp;数值设计!$F$103*VLOOKUP(E13,数值设计!$J$118:$L$121,3,FALSE)&amp;","&amp;数值设计!$F$102*VLOOKUP(E13,数值设计!$J$118:$L$121,3,FALSE)&amp;","&amp;数值设计!$F$110*VLOOKUP(E13,数值设计!$J$118:$L$121,3,FALSE)&amp;","&amp;数值设计!$F$113*VLOOKUP(E13,数值设计!$J$118:$L$121,3,FALSE)&amp;"]"))</f>
        <v>[0.02,0.016,0.016,120,0.04]</v>
      </c>
      <c r="N13" s="2">
        <f t="shared" si="5"/>
        <v>3</v>
      </c>
      <c r="O13" s="2" t="str">
        <f>O12</f>
        <v>[1,1,1,1,1]</v>
      </c>
      <c r="P13" s="2" t="str">
        <f>P12</f>
        <v>[1,1,1,1,1]</v>
      </c>
      <c r="Q13" s="2" t="s">
        <v>356</v>
      </c>
      <c r="R13" s="2" t="str">
        <f t="shared" si="4"/>
        <v>[20,20,20,20]</v>
      </c>
    </row>
    <row r="14" spans="1:18">
      <c r="B14" s="2" t="s">
        <v>381</v>
      </c>
      <c r="C14" s="2" t="str">
        <f t="shared" si="0"/>
        <v>Gem3003</v>
      </c>
      <c r="D14" s="2" t="s">
        <v>237</v>
      </c>
      <c r="E14" s="2">
        <v>4</v>
      </c>
      <c r="F14" s="2">
        <v>3</v>
      </c>
      <c r="G14" s="2" t="str">
        <f>G13</f>
        <v>SuitCri_1</v>
      </c>
      <c r="I14" s="2" t="str">
        <f>VLOOKUP(F14,数值设计!$A$21:$I$23,9,FALSE)</f>
        <v>ATK</v>
      </c>
      <c r="J14" s="2">
        <f>INT(VLOOKUP(F14,数值设计!$B$97:$H$113,4,FALSE)*VLOOKUP(E14,数值设计!$J$118:$L$121,3,FALSE))</f>
        <v>2520</v>
      </c>
      <c r="K14" s="2">
        <f>INT(VLOOKUP(F14,数值设计!$B$97:$H$113,5,FALSE)*数值设计!$L$118*VLOOKUP(E14,数值设计!$J$118:$L$121,3,FALSE))</f>
        <v>126</v>
      </c>
      <c r="L14" s="2" t="str">
        <f t="shared" si="1"/>
        <v>[HURTRATE,UNHURTRATE,REFLECTION,ABSORPTION,ATKRATE]</v>
      </c>
      <c r="M14" s="2" t="str">
        <f>IF(F14=1,"["&amp;数值设计!$F$100*VLOOKUP(E14,数值设计!$J$118:$L$121,3,FALSE)&amp;","&amp;数值设计!$F$103*VLOOKUP(E14,数值设计!$J$118:$L$121,3,FALSE)&amp;","&amp;数值设计!$F$102*VLOOKUP(E14,数值设计!$J$118:$L$121,3,FALSE)&amp;","&amp;数值设计!$F$110*VLOOKUP(E14,数值设计!$J$118:$L$121,3,FALSE)&amp;","&amp;数值设计!$F$113*VLOOKUP(E14,数值设计!$J$118:$L$121,3,FALSE)&amp;"]",IF(F14=2,"["&amp;数值设计!$F$100*VLOOKUP(E14,数值设计!$J$118:$L$121,3,FALSE)&amp;","&amp;数值设计!$F$103*VLOOKUP(E14,数值设计!$J$118:$L$121,3,FALSE)&amp;","&amp;数值设计!$F$102*VLOOKUP(E14,数值设计!$J$118:$L$121,3,FALSE)&amp;","&amp;数值设计!$F$110*VLOOKUP(E14,数值设计!$J$118:$L$121,3,FALSE)&amp;","&amp;数值设计!$F$113*VLOOKUP(E14,数值设计!$J$118:$L$121,3,FALSE)&amp;"]","["&amp;数值设计!$F$100*VLOOKUP(E14,数值设计!$J$118:$L$121,3,FALSE)&amp;","&amp;数值设计!$F$103*VLOOKUP(E14,数值设计!$J$118:$L$121,3,FALSE)&amp;","&amp;数值设计!$F$102*VLOOKUP(E14,数值设计!$J$118:$L$121,3,FALSE)&amp;","&amp;数值设计!$F$110*VLOOKUP(E14,数值设计!$J$118:$L$121,3,FALSE)&amp;","&amp;数值设计!$F$113*VLOOKUP(E14,数值设计!$J$118:$L$121,3,FALSE)&amp;"]"))</f>
        <v>[0.02,0.016,0.016,120,0.04]</v>
      </c>
      <c r="N14" s="2">
        <f t="shared" si="5"/>
        <v>3</v>
      </c>
      <c r="O14" s="2" t="str">
        <f t="shared" ref="O14:O35" si="6">O13</f>
        <v>[1,1,1,1,1]</v>
      </c>
      <c r="P14" s="2" t="str">
        <f t="shared" ref="P14:P35" si="7">P13</f>
        <v>[1,1,1,1,1]</v>
      </c>
      <c r="Q14" s="2" t="s">
        <v>356</v>
      </c>
      <c r="R14" s="2" t="str">
        <f t="shared" si="4"/>
        <v>[20,20,20,20]</v>
      </c>
    </row>
    <row r="15" spans="1:18">
      <c r="B15" s="2" t="s">
        <v>382</v>
      </c>
      <c r="C15" s="2" t="str">
        <f t="shared" si="0"/>
        <v>Gem3011</v>
      </c>
      <c r="D15" s="2" t="s">
        <v>238</v>
      </c>
      <c r="E15" s="2">
        <v>4</v>
      </c>
      <c r="F15" s="2">
        <v>1</v>
      </c>
      <c r="G15" s="2" t="str">
        <f>B142</f>
        <v>SuitBlock_1</v>
      </c>
      <c r="I15" s="2" t="str">
        <f>VLOOKUP(F15,数值设计!$A$21:$I$23,9,FALSE)</f>
        <v>DEF</v>
      </c>
      <c r="J15" s="2">
        <f>INT(VLOOKUP(F15,数值设计!$B$97:$H$113,4,FALSE)*VLOOKUP(E15,数值设计!$J$118:$L$121,3,FALSE))</f>
        <v>1259</v>
      </c>
      <c r="K15" s="2">
        <f>INT(VLOOKUP(F15,数值设计!$B$97:$H$113,5,FALSE)*数值设计!$L$118*VLOOKUP(E15,数值设计!$J$118:$L$121,3,FALSE))</f>
        <v>62</v>
      </c>
      <c r="L15" s="2" t="str">
        <f t="shared" si="1"/>
        <v>[CRITRATE,BLOCKRATE,UNCRITRATE,SPEED,HPRATE]</v>
      </c>
      <c r="M15" s="2" t="str">
        <f>IF(F15=1,"["&amp;数值设计!$F$100*VLOOKUP(E15,数值设计!$J$118:$L$121,3,FALSE)&amp;","&amp;数值设计!$F$103*VLOOKUP(E15,数值设计!$J$118:$L$121,3,FALSE)&amp;","&amp;数值设计!$F$102*VLOOKUP(E15,数值设计!$J$118:$L$121,3,FALSE)&amp;","&amp;数值设计!$F$110*VLOOKUP(E15,数值设计!$J$118:$L$121,3,FALSE)&amp;","&amp;数值设计!$F$113*VLOOKUP(E15,数值设计!$J$118:$L$121,3,FALSE)&amp;"]",IF(F15=2,"["&amp;数值设计!$F$100*VLOOKUP(E15,数值设计!$J$118:$L$121,3,FALSE)&amp;","&amp;数值设计!$F$103*VLOOKUP(E15,数值设计!$J$118:$L$121,3,FALSE)&amp;","&amp;数值设计!$F$102*VLOOKUP(E15,数值设计!$J$118:$L$121,3,FALSE)&amp;","&amp;数值设计!$F$110*VLOOKUP(E15,数值设计!$J$118:$L$121,3,FALSE)&amp;","&amp;数值设计!$F$113*VLOOKUP(E15,数值设计!$J$118:$L$121,3,FALSE)&amp;"]","["&amp;数值设计!$F$100*VLOOKUP(E15,数值设计!$J$118:$L$121,3,FALSE)&amp;","&amp;数值设计!$F$103*VLOOKUP(E15,数值设计!$J$118:$L$121,3,FALSE)&amp;","&amp;数值设计!$F$102*VLOOKUP(E15,数值设计!$J$118:$L$121,3,FALSE)&amp;","&amp;数值设计!$F$110*VLOOKUP(E15,数值设计!$J$118:$L$121,3,FALSE)&amp;","&amp;数值设计!$F$113*VLOOKUP(E15,数值设计!$J$118:$L$121,3,FALSE)&amp;"]"))</f>
        <v>[0.02,0.016,0.016,120,0.04]</v>
      </c>
      <c r="N15" s="2">
        <f t="shared" si="5"/>
        <v>3</v>
      </c>
      <c r="O15" s="2" t="str">
        <f t="shared" si="6"/>
        <v>[1,1,1,1,1]</v>
      </c>
      <c r="P15" s="2" t="str">
        <f t="shared" si="7"/>
        <v>[1,1,1,1,1]</v>
      </c>
      <c r="Q15" s="2" t="s">
        <v>356</v>
      </c>
      <c r="R15" s="2" t="str">
        <f t="shared" si="4"/>
        <v>[20,20,20,20]</v>
      </c>
    </row>
    <row r="16" spans="1:18">
      <c r="B16" s="2" t="s">
        <v>383</v>
      </c>
      <c r="C16" s="2" t="str">
        <f t="shared" si="0"/>
        <v>Gem3012</v>
      </c>
      <c r="D16" s="2" t="s">
        <v>239</v>
      </c>
      <c r="E16" s="2">
        <v>4</v>
      </c>
      <c r="F16" s="2">
        <v>2</v>
      </c>
      <c r="G16" s="2" t="str">
        <f>G15</f>
        <v>SuitBlock_1</v>
      </c>
      <c r="I16" s="2" t="str">
        <f>VLOOKUP(F16,数值设计!$A$21:$I$23,9,FALSE)</f>
        <v>HP</v>
      </c>
      <c r="J16" s="2">
        <f>INT(VLOOKUP(F16,数值设计!$B$97:$H$113,4,FALSE)*VLOOKUP(E16,数值设计!$J$118:$L$121,3,FALSE))</f>
        <v>15448</v>
      </c>
      <c r="K16" s="2">
        <f>INT(VLOOKUP(F16,数值设计!$B$97:$H$113,5,FALSE)*数值设计!$L$118*VLOOKUP(E16,数值设计!$J$118:$L$121,3,FALSE))</f>
        <v>772</v>
      </c>
      <c r="L16" s="2" t="str">
        <f t="shared" si="1"/>
        <v>[CRITSTRG,BLOCKSTRG,UNBLOCKRATE,DEFRATE]</v>
      </c>
      <c r="M16" s="2" t="str">
        <f>IF(F16=1,"["&amp;数值设计!$F$100*VLOOKUP(E16,数值设计!$J$118:$L$121,3,FALSE)&amp;","&amp;数值设计!$F$103*VLOOKUP(E16,数值设计!$J$118:$L$121,3,FALSE)&amp;","&amp;数值设计!$F$102*VLOOKUP(E16,数值设计!$J$118:$L$121,3,FALSE)&amp;","&amp;数值设计!$F$110*VLOOKUP(E16,数值设计!$J$118:$L$121,3,FALSE)&amp;","&amp;数值设计!$F$113*VLOOKUP(E16,数值设计!$J$118:$L$121,3,FALSE)&amp;"]",IF(F16=2,"["&amp;数值设计!$F$100*VLOOKUP(E16,数值设计!$J$118:$L$121,3,FALSE)&amp;","&amp;数值设计!$F$103*VLOOKUP(E16,数值设计!$J$118:$L$121,3,FALSE)&amp;","&amp;数值设计!$F$102*VLOOKUP(E16,数值设计!$J$118:$L$121,3,FALSE)&amp;","&amp;数值设计!$F$110*VLOOKUP(E16,数值设计!$J$118:$L$121,3,FALSE)&amp;","&amp;数值设计!$F$113*VLOOKUP(E16,数值设计!$J$118:$L$121,3,FALSE)&amp;"]","["&amp;数值设计!$F$100*VLOOKUP(E16,数值设计!$J$118:$L$121,3,FALSE)&amp;","&amp;数值设计!$F$103*VLOOKUP(E16,数值设计!$J$118:$L$121,3,FALSE)&amp;","&amp;数值设计!$F$102*VLOOKUP(E16,数值设计!$J$118:$L$121,3,FALSE)&amp;","&amp;数值设计!$F$110*VLOOKUP(E16,数值设计!$J$118:$L$121,3,FALSE)&amp;","&amp;数值设计!$F$113*VLOOKUP(E16,数值设计!$J$118:$L$121,3,FALSE)&amp;"]"))</f>
        <v>[0.02,0.016,0.016,120,0.04]</v>
      </c>
      <c r="N16" s="2">
        <f t="shared" si="5"/>
        <v>3</v>
      </c>
      <c r="O16" s="2" t="str">
        <f t="shared" si="6"/>
        <v>[1,1,1,1,1]</v>
      </c>
      <c r="P16" s="2" t="str">
        <f t="shared" si="7"/>
        <v>[1,1,1,1,1]</v>
      </c>
      <c r="Q16" s="2" t="s">
        <v>356</v>
      </c>
      <c r="R16" s="2" t="str">
        <f t="shared" si="4"/>
        <v>[20,20,20,20]</v>
      </c>
    </row>
    <row r="17" spans="2:18">
      <c r="B17" s="2" t="s">
        <v>384</v>
      </c>
      <c r="C17" s="2" t="str">
        <f t="shared" si="0"/>
        <v>Gem3013</v>
      </c>
      <c r="D17" s="2" t="s">
        <v>240</v>
      </c>
      <c r="E17" s="2">
        <v>4</v>
      </c>
      <c r="F17" s="2">
        <v>3</v>
      </c>
      <c r="G17" s="2" t="str">
        <f>G16</f>
        <v>SuitBlock_1</v>
      </c>
      <c r="I17" s="2" t="str">
        <f>VLOOKUP(F17,数值设计!$A$21:$I$23,9,FALSE)</f>
        <v>ATK</v>
      </c>
      <c r="J17" s="2">
        <f>INT(VLOOKUP(F17,数值设计!$B$97:$H$113,4,FALSE)*VLOOKUP(E17,数值设计!$J$118:$L$121,3,FALSE))</f>
        <v>2520</v>
      </c>
      <c r="K17" s="2">
        <f>INT(VLOOKUP(F17,数值设计!$B$97:$H$113,5,FALSE)*数值设计!$L$118*VLOOKUP(E17,数值设计!$J$118:$L$121,3,FALSE))</f>
        <v>126</v>
      </c>
      <c r="L17" s="2" t="str">
        <f t="shared" si="1"/>
        <v>[HURTRATE,UNHURTRATE,REFLECTION,ABSORPTION,ATKRATE]</v>
      </c>
      <c r="M17" s="2" t="str">
        <f>IF(F17=1,"["&amp;数值设计!$F$100*VLOOKUP(E17,数值设计!$J$118:$L$121,3,FALSE)&amp;","&amp;数值设计!$F$103*VLOOKUP(E17,数值设计!$J$118:$L$121,3,FALSE)&amp;","&amp;数值设计!$F$102*VLOOKUP(E17,数值设计!$J$118:$L$121,3,FALSE)&amp;","&amp;数值设计!$F$110*VLOOKUP(E17,数值设计!$J$118:$L$121,3,FALSE)&amp;","&amp;数值设计!$F$113*VLOOKUP(E17,数值设计!$J$118:$L$121,3,FALSE)&amp;"]",IF(F17=2,"["&amp;数值设计!$F$100*VLOOKUP(E17,数值设计!$J$118:$L$121,3,FALSE)&amp;","&amp;数值设计!$F$103*VLOOKUP(E17,数值设计!$J$118:$L$121,3,FALSE)&amp;","&amp;数值设计!$F$102*VLOOKUP(E17,数值设计!$J$118:$L$121,3,FALSE)&amp;","&amp;数值设计!$F$110*VLOOKUP(E17,数值设计!$J$118:$L$121,3,FALSE)&amp;","&amp;数值设计!$F$113*VLOOKUP(E17,数值设计!$J$118:$L$121,3,FALSE)&amp;"]","["&amp;数值设计!$F$100*VLOOKUP(E17,数值设计!$J$118:$L$121,3,FALSE)&amp;","&amp;数值设计!$F$103*VLOOKUP(E17,数值设计!$J$118:$L$121,3,FALSE)&amp;","&amp;数值设计!$F$102*VLOOKUP(E17,数值设计!$J$118:$L$121,3,FALSE)&amp;","&amp;数值设计!$F$110*VLOOKUP(E17,数值设计!$J$118:$L$121,3,FALSE)&amp;","&amp;数值设计!$F$113*VLOOKUP(E17,数值设计!$J$118:$L$121,3,FALSE)&amp;"]"))</f>
        <v>[0.02,0.016,0.016,120,0.04]</v>
      </c>
      <c r="N17" s="2">
        <f t="shared" si="5"/>
        <v>3</v>
      </c>
      <c r="O17" s="2" t="str">
        <f t="shared" si="6"/>
        <v>[1,1,1,1,1]</v>
      </c>
      <c r="P17" s="2" t="str">
        <f t="shared" si="7"/>
        <v>[1,1,1,1,1]</v>
      </c>
      <c r="Q17" s="2" t="s">
        <v>356</v>
      </c>
      <c r="R17" s="2" t="str">
        <f t="shared" si="4"/>
        <v>[20,20,20,20]</v>
      </c>
    </row>
    <row r="18" spans="2:18">
      <c r="B18" s="2" t="s">
        <v>385</v>
      </c>
      <c r="C18" s="2" t="str">
        <f t="shared" si="0"/>
        <v>Gem3021</v>
      </c>
      <c r="D18" s="2" t="s">
        <v>241</v>
      </c>
      <c r="E18" s="2">
        <v>4</v>
      </c>
      <c r="F18" s="2">
        <v>1</v>
      </c>
      <c r="G18" s="2" t="str">
        <f>B143</f>
        <v>SuitDef_1</v>
      </c>
      <c r="I18" s="2" t="str">
        <f>VLOOKUP(F18,数值设计!$A$21:$I$23,9,FALSE)</f>
        <v>DEF</v>
      </c>
      <c r="J18" s="2">
        <f>INT(VLOOKUP(F18,数值设计!$B$97:$H$113,4,FALSE)*VLOOKUP(E18,数值设计!$J$118:$L$121,3,FALSE))</f>
        <v>1259</v>
      </c>
      <c r="K18" s="2">
        <f>INT(VLOOKUP(F18,数值设计!$B$97:$H$113,5,FALSE)*数值设计!$L$118*VLOOKUP(E18,数值设计!$J$118:$L$121,3,FALSE))</f>
        <v>62</v>
      </c>
      <c r="L18" s="2" t="str">
        <f t="shared" si="1"/>
        <v>[CRITRATE,BLOCKRATE,UNCRITRATE,SPEED,HPRATE]</v>
      </c>
      <c r="M18" s="2" t="str">
        <f>IF(F18=1,"["&amp;数值设计!$F$100*VLOOKUP(E18,数值设计!$J$118:$L$121,3,FALSE)&amp;","&amp;数值设计!$F$103*VLOOKUP(E18,数值设计!$J$118:$L$121,3,FALSE)&amp;","&amp;数值设计!$F$102*VLOOKUP(E18,数值设计!$J$118:$L$121,3,FALSE)&amp;","&amp;数值设计!$F$110*VLOOKUP(E18,数值设计!$J$118:$L$121,3,FALSE)&amp;","&amp;数值设计!$F$113*VLOOKUP(E18,数值设计!$J$118:$L$121,3,FALSE)&amp;"]",IF(F18=2,"["&amp;数值设计!$F$100*VLOOKUP(E18,数值设计!$J$118:$L$121,3,FALSE)&amp;","&amp;数值设计!$F$103*VLOOKUP(E18,数值设计!$J$118:$L$121,3,FALSE)&amp;","&amp;数值设计!$F$102*VLOOKUP(E18,数值设计!$J$118:$L$121,3,FALSE)&amp;","&amp;数值设计!$F$110*VLOOKUP(E18,数值设计!$J$118:$L$121,3,FALSE)&amp;","&amp;数值设计!$F$113*VLOOKUP(E18,数值设计!$J$118:$L$121,3,FALSE)&amp;"]","["&amp;数值设计!$F$100*VLOOKUP(E18,数值设计!$J$118:$L$121,3,FALSE)&amp;","&amp;数值设计!$F$103*VLOOKUP(E18,数值设计!$J$118:$L$121,3,FALSE)&amp;","&amp;数值设计!$F$102*VLOOKUP(E18,数值设计!$J$118:$L$121,3,FALSE)&amp;","&amp;数值设计!$F$110*VLOOKUP(E18,数值设计!$J$118:$L$121,3,FALSE)&amp;","&amp;数值设计!$F$113*VLOOKUP(E18,数值设计!$J$118:$L$121,3,FALSE)&amp;"]"))</f>
        <v>[0.02,0.016,0.016,120,0.04]</v>
      </c>
      <c r="N18" s="2">
        <f t="shared" si="5"/>
        <v>3</v>
      </c>
      <c r="O18" s="2" t="str">
        <f t="shared" si="6"/>
        <v>[1,1,1,1,1]</v>
      </c>
      <c r="P18" s="2" t="str">
        <f t="shared" si="7"/>
        <v>[1,1,1,1,1]</v>
      </c>
      <c r="Q18" s="2" t="s">
        <v>356</v>
      </c>
      <c r="R18" s="2" t="str">
        <f t="shared" si="4"/>
        <v>[20,20,20,20]</v>
      </c>
    </row>
    <row r="19" spans="2:18">
      <c r="B19" s="2" t="s">
        <v>386</v>
      </c>
      <c r="C19" s="2" t="str">
        <f t="shared" si="0"/>
        <v>Gem3022</v>
      </c>
      <c r="D19" s="2" t="s">
        <v>242</v>
      </c>
      <c r="E19" s="2">
        <v>4</v>
      </c>
      <c r="F19" s="2">
        <v>2</v>
      </c>
      <c r="G19" s="2" t="str">
        <f>G18</f>
        <v>SuitDef_1</v>
      </c>
      <c r="I19" s="2" t="str">
        <f>VLOOKUP(F19,数值设计!$A$21:$I$23,9,FALSE)</f>
        <v>HP</v>
      </c>
      <c r="J19" s="2">
        <f>INT(VLOOKUP(F19,数值设计!$B$97:$H$113,4,FALSE)*VLOOKUP(E19,数值设计!$J$118:$L$121,3,FALSE))</f>
        <v>15448</v>
      </c>
      <c r="K19" s="2">
        <f>INT(VLOOKUP(F19,数值设计!$B$97:$H$113,5,FALSE)*数值设计!$L$118*VLOOKUP(E19,数值设计!$J$118:$L$121,3,FALSE))</f>
        <v>772</v>
      </c>
      <c r="L19" s="2" t="str">
        <f t="shared" si="1"/>
        <v>[CRITSTRG,BLOCKSTRG,UNBLOCKRATE,DEFRATE]</v>
      </c>
      <c r="M19" s="2" t="str">
        <f>IF(F19=1,"["&amp;数值设计!$F$100*VLOOKUP(E19,数值设计!$J$118:$L$121,3,FALSE)&amp;","&amp;数值设计!$F$103*VLOOKUP(E19,数值设计!$J$118:$L$121,3,FALSE)&amp;","&amp;数值设计!$F$102*VLOOKUP(E19,数值设计!$J$118:$L$121,3,FALSE)&amp;","&amp;数值设计!$F$110*VLOOKUP(E19,数值设计!$J$118:$L$121,3,FALSE)&amp;","&amp;数值设计!$F$113*VLOOKUP(E19,数值设计!$J$118:$L$121,3,FALSE)&amp;"]",IF(F19=2,"["&amp;数值设计!$F$100*VLOOKUP(E19,数值设计!$J$118:$L$121,3,FALSE)&amp;","&amp;数值设计!$F$103*VLOOKUP(E19,数值设计!$J$118:$L$121,3,FALSE)&amp;","&amp;数值设计!$F$102*VLOOKUP(E19,数值设计!$J$118:$L$121,3,FALSE)&amp;","&amp;数值设计!$F$110*VLOOKUP(E19,数值设计!$J$118:$L$121,3,FALSE)&amp;","&amp;数值设计!$F$113*VLOOKUP(E19,数值设计!$J$118:$L$121,3,FALSE)&amp;"]","["&amp;数值设计!$F$100*VLOOKUP(E19,数值设计!$J$118:$L$121,3,FALSE)&amp;","&amp;数值设计!$F$103*VLOOKUP(E19,数值设计!$J$118:$L$121,3,FALSE)&amp;","&amp;数值设计!$F$102*VLOOKUP(E19,数值设计!$J$118:$L$121,3,FALSE)&amp;","&amp;数值设计!$F$110*VLOOKUP(E19,数值设计!$J$118:$L$121,3,FALSE)&amp;","&amp;数值设计!$F$113*VLOOKUP(E19,数值设计!$J$118:$L$121,3,FALSE)&amp;"]"))</f>
        <v>[0.02,0.016,0.016,120,0.04]</v>
      </c>
      <c r="N19" s="2">
        <f t="shared" si="5"/>
        <v>3</v>
      </c>
      <c r="O19" s="2" t="str">
        <f t="shared" si="6"/>
        <v>[1,1,1,1,1]</v>
      </c>
      <c r="P19" s="2" t="str">
        <f t="shared" si="7"/>
        <v>[1,1,1,1,1]</v>
      </c>
      <c r="Q19" s="2" t="s">
        <v>358</v>
      </c>
      <c r="R19" s="2" t="str">
        <f t="shared" si="4"/>
        <v>[20,20,20,20]</v>
      </c>
    </row>
    <row r="20" spans="2:18">
      <c r="B20" s="2" t="s">
        <v>387</v>
      </c>
      <c r="C20" s="2" t="str">
        <f t="shared" si="0"/>
        <v>Gem3023</v>
      </c>
      <c r="D20" s="2" t="s">
        <v>243</v>
      </c>
      <c r="E20" s="2">
        <v>4</v>
      </c>
      <c r="F20" s="2">
        <v>3</v>
      </c>
      <c r="G20" s="2" t="str">
        <f>G19</f>
        <v>SuitDef_1</v>
      </c>
      <c r="I20" s="2" t="str">
        <f>VLOOKUP(F20,数值设计!$A$21:$I$23,9,FALSE)</f>
        <v>ATK</v>
      </c>
      <c r="J20" s="2">
        <f>INT(VLOOKUP(F20,数值设计!$B$97:$H$113,4,FALSE)*VLOOKUP(E20,数值设计!$J$118:$L$121,3,FALSE))</f>
        <v>2520</v>
      </c>
      <c r="K20" s="2">
        <f>INT(VLOOKUP(F20,数值设计!$B$97:$H$113,5,FALSE)*数值设计!$L$118*VLOOKUP(E20,数值设计!$J$118:$L$121,3,FALSE))</f>
        <v>126</v>
      </c>
      <c r="L20" s="2" t="str">
        <f t="shared" si="1"/>
        <v>[HURTRATE,UNHURTRATE,REFLECTION,ABSORPTION,ATKRATE]</v>
      </c>
      <c r="M20" s="2" t="str">
        <f>IF(F20=1,"["&amp;数值设计!$F$100*VLOOKUP(E20,数值设计!$J$118:$L$121,3,FALSE)&amp;","&amp;数值设计!$F$103*VLOOKUP(E20,数值设计!$J$118:$L$121,3,FALSE)&amp;","&amp;数值设计!$F$102*VLOOKUP(E20,数值设计!$J$118:$L$121,3,FALSE)&amp;","&amp;数值设计!$F$110*VLOOKUP(E20,数值设计!$J$118:$L$121,3,FALSE)&amp;","&amp;数值设计!$F$113*VLOOKUP(E20,数值设计!$J$118:$L$121,3,FALSE)&amp;"]",IF(F20=2,"["&amp;数值设计!$F$100*VLOOKUP(E20,数值设计!$J$118:$L$121,3,FALSE)&amp;","&amp;数值设计!$F$103*VLOOKUP(E20,数值设计!$J$118:$L$121,3,FALSE)&amp;","&amp;数值设计!$F$102*VLOOKUP(E20,数值设计!$J$118:$L$121,3,FALSE)&amp;","&amp;数值设计!$F$110*VLOOKUP(E20,数值设计!$J$118:$L$121,3,FALSE)&amp;","&amp;数值设计!$F$113*VLOOKUP(E20,数值设计!$J$118:$L$121,3,FALSE)&amp;"]","["&amp;数值设计!$F$100*VLOOKUP(E20,数值设计!$J$118:$L$121,3,FALSE)&amp;","&amp;数值设计!$F$103*VLOOKUP(E20,数值设计!$J$118:$L$121,3,FALSE)&amp;","&amp;数值设计!$F$102*VLOOKUP(E20,数值设计!$J$118:$L$121,3,FALSE)&amp;","&amp;数值设计!$F$110*VLOOKUP(E20,数值设计!$J$118:$L$121,3,FALSE)&amp;","&amp;数值设计!$F$113*VLOOKUP(E20,数值设计!$J$118:$L$121,3,FALSE)&amp;"]"))</f>
        <v>[0.02,0.016,0.016,120,0.04]</v>
      </c>
      <c r="N20" s="2">
        <f t="shared" si="5"/>
        <v>3</v>
      </c>
      <c r="O20" s="2" t="str">
        <f t="shared" si="6"/>
        <v>[1,1,1,1,1]</v>
      </c>
      <c r="P20" s="2" t="str">
        <f t="shared" si="7"/>
        <v>[1,1,1,1,1]</v>
      </c>
      <c r="Q20" s="2" t="s">
        <v>358</v>
      </c>
      <c r="R20" s="2" t="str">
        <f t="shared" si="4"/>
        <v>[20,20,20,20]</v>
      </c>
    </row>
    <row r="21" spans="2:18">
      <c r="B21" s="2" t="s">
        <v>388</v>
      </c>
      <c r="C21" s="2" t="str">
        <f t="shared" si="0"/>
        <v>Gem3031</v>
      </c>
      <c r="D21" s="2" t="s">
        <v>244</v>
      </c>
      <c r="E21" s="2">
        <v>4</v>
      </c>
      <c r="F21" s="2">
        <v>1</v>
      </c>
      <c r="G21" s="2" t="str">
        <f>B144</f>
        <v>SuitUnblock_1</v>
      </c>
      <c r="I21" s="2" t="str">
        <f>VLOOKUP(F21,数值设计!$A$21:$I$23,9,FALSE)</f>
        <v>DEF</v>
      </c>
      <c r="J21" s="2">
        <f>INT(VLOOKUP(F21,数值设计!$B$97:$H$113,4,FALSE)*VLOOKUP(E21,数值设计!$J$118:$L$121,3,FALSE))</f>
        <v>1259</v>
      </c>
      <c r="K21" s="2">
        <f>INT(VLOOKUP(F21,数值设计!$B$97:$H$113,5,FALSE)*数值设计!$L$118*VLOOKUP(E21,数值设计!$J$118:$L$121,3,FALSE))</f>
        <v>62</v>
      </c>
      <c r="L21" s="2" t="str">
        <f t="shared" si="1"/>
        <v>[CRITRATE,BLOCKRATE,UNCRITRATE,SPEED,HPRATE]</v>
      </c>
      <c r="M21" s="2" t="str">
        <f>IF(F21=1,"["&amp;数值设计!$F$100*VLOOKUP(E21,数值设计!$J$118:$L$121,3,FALSE)&amp;","&amp;数值设计!$F$103*VLOOKUP(E21,数值设计!$J$118:$L$121,3,FALSE)&amp;","&amp;数值设计!$F$102*VLOOKUP(E21,数值设计!$J$118:$L$121,3,FALSE)&amp;","&amp;数值设计!$F$110*VLOOKUP(E21,数值设计!$J$118:$L$121,3,FALSE)&amp;","&amp;数值设计!$F$113*VLOOKUP(E21,数值设计!$J$118:$L$121,3,FALSE)&amp;"]",IF(F21=2,"["&amp;数值设计!$F$100*VLOOKUP(E21,数值设计!$J$118:$L$121,3,FALSE)&amp;","&amp;数值设计!$F$103*VLOOKUP(E21,数值设计!$J$118:$L$121,3,FALSE)&amp;","&amp;数值设计!$F$102*VLOOKUP(E21,数值设计!$J$118:$L$121,3,FALSE)&amp;","&amp;数值设计!$F$110*VLOOKUP(E21,数值设计!$J$118:$L$121,3,FALSE)&amp;","&amp;数值设计!$F$113*VLOOKUP(E21,数值设计!$J$118:$L$121,3,FALSE)&amp;"]","["&amp;数值设计!$F$100*VLOOKUP(E21,数值设计!$J$118:$L$121,3,FALSE)&amp;","&amp;数值设计!$F$103*VLOOKUP(E21,数值设计!$J$118:$L$121,3,FALSE)&amp;","&amp;数值设计!$F$102*VLOOKUP(E21,数值设计!$J$118:$L$121,3,FALSE)&amp;","&amp;数值设计!$F$110*VLOOKUP(E21,数值设计!$J$118:$L$121,3,FALSE)&amp;","&amp;数值设计!$F$113*VLOOKUP(E21,数值设计!$J$118:$L$121,3,FALSE)&amp;"]"))</f>
        <v>[0.02,0.016,0.016,120,0.04]</v>
      </c>
      <c r="N21" s="2">
        <f t="shared" si="5"/>
        <v>3</v>
      </c>
      <c r="O21" s="2" t="str">
        <f t="shared" si="6"/>
        <v>[1,1,1,1,1]</v>
      </c>
      <c r="P21" s="2" t="str">
        <f t="shared" si="7"/>
        <v>[1,1,1,1,1]</v>
      </c>
      <c r="Q21" s="2" t="s">
        <v>358</v>
      </c>
      <c r="R21" s="2" t="str">
        <f t="shared" si="4"/>
        <v>[20,20,20,20]</v>
      </c>
    </row>
    <row r="22" spans="2:18">
      <c r="B22" s="2" t="s">
        <v>389</v>
      </c>
      <c r="C22" s="2" t="str">
        <f t="shared" si="0"/>
        <v>Gem3032</v>
      </c>
      <c r="D22" s="2" t="s">
        <v>245</v>
      </c>
      <c r="E22" s="2">
        <v>4</v>
      </c>
      <c r="F22" s="2">
        <v>2</v>
      </c>
      <c r="G22" s="2" t="str">
        <f>G21</f>
        <v>SuitUnblock_1</v>
      </c>
      <c r="I22" s="2" t="str">
        <f>VLOOKUP(F22,数值设计!$A$21:$I$23,9,FALSE)</f>
        <v>HP</v>
      </c>
      <c r="J22" s="2">
        <f>INT(VLOOKUP(F22,数值设计!$B$97:$H$113,4,FALSE)*VLOOKUP(E22,数值设计!$J$118:$L$121,3,FALSE))</f>
        <v>15448</v>
      </c>
      <c r="K22" s="2">
        <f>INT(VLOOKUP(F22,数值设计!$B$97:$H$113,5,FALSE)*数值设计!$L$118*VLOOKUP(E22,数值设计!$J$118:$L$121,3,FALSE))</f>
        <v>772</v>
      </c>
      <c r="L22" s="2" t="str">
        <f t="shared" si="1"/>
        <v>[CRITSTRG,BLOCKSTRG,UNBLOCKRATE,DEFRATE]</v>
      </c>
      <c r="M22" s="2" t="str">
        <f>IF(F22=1,"["&amp;数值设计!$F$100*VLOOKUP(E22,数值设计!$J$118:$L$121,3,FALSE)&amp;","&amp;数值设计!$F$103*VLOOKUP(E22,数值设计!$J$118:$L$121,3,FALSE)&amp;","&amp;数值设计!$F$102*VLOOKUP(E22,数值设计!$J$118:$L$121,3,FALSE)&amp;","&amp;数值设计!$F$110*VLOOKUP(E22,数值设计!$J$118:$L$121,3,FALSE)&amp;","&amp;数值设计!$F$113*VLOOKUP(E22,数值设计!$J$118:$L$121,3,FALSE)&amp;"]",IF(F22=2,"["&amp;数值设计!$F$100*VLOOKUP(E22,数值设计!$J$118:$L$121,3,FALSE)&amp;","&amp;数值设计!$F$103*VLOOKUP(E22,数值设计!$J$118:$L$121,3,FALSE)&amp;","&amp;数值设计!$F$102*VLOOKUP(E22,数值设计!$J$118:$L$121,3,FALSE)&amp;","&amp;数值设计!$F$110*VLOOKUP(E22,数值设计!$J$118:$L$121,3,FALSE)&amp;","&amp;数值设计!$F$113*VLOOKUP(E22,数值设计!$J$118:$L$121,3,FALSE)&amp;"]","["&amp;数值设计!$F$100*VLOOKUP(E22,数值设计!$J$118:$L$121,3,FALSE)&amp;","&amp;数值设计!$F$103*VLOOKUP(E22,数值设计!$J$118:$L$121,3,FALSE)&amp;","&amp;数值设计!$F$102*VLOOKUP(E22,数值设计!$J$118:$L$121,3,FALSE)&amp;","&amp;数值设计!$F$110*VLOOKUP(E22,数值设计!$J$118:$L$121,3,FALSE)&amp;","&amp;数值设计!$F$113*VLOOKUP(E22,数值设计!$J$118:$L$121,3,FALSE)&amp;"]"))</f>
        <v>[0.02,0.016,0.016,120,0.04]</v>
      </c>
      <c r="N22" s="2">
        <f t="shared" si="5"/>
        <v>3</v>
      </c>
      <c r="O22" s="2" t="str">
        <f t="shared" si="6"/>
        <v>[1,1,1,1,1]</v>
      </c>
      <c r="P22" s="2" t="str">
        <f t="shared" si="7"/>
        <v>[1,1,1,1,1]</v>
      </c>
      <c r="Q22" s="2" t="s">
        <v>358</v>
      </c>
      <c r="R22" s="2" t="str">
        <f t="shared" si="4"/>
        <v>[20,20,20,20]</v>
      </c>
    </row>
    <row r="23" spans="2:18">
      <c r="B23" s="2" t="s">
        <v>390</v>
      </c>
      <c r="C23" s="2" t="str">
        <f t="shared" si="0"/>
        <v>Gem3033</v>
      </c>
      <c r="D23" s="2" t="s">
        <v>246</v>
      </c>
      <c r="E23" s="2">
        <v>4</v>
      </c>
      <c r="F23" s="2">
        <v>3</v>
      </c>
      <c r="G23" s="2" t="str">
        <f>G22</f>
        <v>SuitUnblock_1</v>
      </c>
      <c r="I23" s="2" t="str">
        <f>VLOOKUP(F23,数值设计!$A$21:$I$23,9,FALSE)</f>
        <v>ATK</v>
      </c>
      <c r="J23" s="2">
        <f>INT(VLOOKUP(F23,数值设计!$B$97:$H$113,4,FALSE)*VLOOKUP(E23,数值设计!$J$118:$L$121,3,FALSE))</f>
        <v>2520</v>
      </c>
      <c r="K23" s="2">
        <f>INT(VLOOKUP(F23,数值设计!$B$97:$H$113,5,FALSE)*数值设计!$L$118*VLOOKUP(E23,数值设计!$J$118:$L$121,3,FALSE))</f>
        <v>126</v>
      </c>
      <c r="L23" s="2" t="str">
        <f t="shared" si="1"/>
        <v>[HURTRATE,UNHURTRATE,REFLECTION,ABSORPTION,ATKRATE]</v>
      </c>
      <c r="M23" s="2" t="str">
        <f>IF(F23=1,"["&amp;数值设计!$F$100*VLOOKUP(E23,数值设计!$J$118:$L$121,3,FALSE)&amp;","&amp;数值设计!$F$103*VLOOKUP(E23,数值设计!$J$118:$L$121,3,FALSE)&amp;","&amp;数值设计!$F$102*VLOOKUP(E23,数值设计!$J$118:$L$121,3,FALSE)&amp;","&amp;数值设计!$F$110*VLOOKUP(E23,数值设计!$J$118:$L$121,3,FALSE)&amp;","&amp;数值设计!$F$113*VLOOKUP(E23,数值设计!$J$118:$L$121,3,FALSE)&amp;"]",IF(F23=2,"["&amp;数值设计!$F$100*VLOOKUP(E23,数值设计!$J$118:$L$121,3,FALSE)&amp;","&amp;数值设计!$F$103*VLOOKUP(E23,数值设计!$J$118:$L$121,3,FALSE)&amp;","&amp;数值设计!$F$102*VLOOKUP(E23,数值设计!$J$118:$L$121,3,FALSE)&amp;","&amp;数值设计!$F$110*VLOOKUP(E23,数值设计!$J$118:$L$121,3,FALSE)&amp;","&amp;数值设计!$F$113*VLOOKUP(E23,数值设计!$J$118:$L$121,3,FALSE)&amp;"]","["&amp;数值设计!$F$100*VLOOKUP(E23,数值设计!$J$118:$L$121,3,FALSE)&amp;","&amp;数值设计!$F$103*VLOOKUP(E23,数值设计!$J$118:$L$121,3,FALSE)&amp;","&amp;数值设计!$F$102*VLOOKUP(E23,数值设计!$J$118:$L$121,3,FALSE)&amp;","&amp;数值设计!$F$110*VLOOKUP(E23,数值设计!$J$118:$L$121,3,FALSE)&amp;","&amp;数值设计!$F$113*VLOOKUP(E23,数值设计!$J$118:$L$121,3,FALSE)&amp;"]"))</f>
        <v>[0.02,0.016,0.016,120,0.04]</v>
      </c>
      <c r="N23" s="2">
        <f t="shared" si="5"/>
        <v>3</v>
      </c>
      <c r="O23" s="2" t="str">
        <f t="shared" si="6"/>
        <v>[1,1,1,1,1]</v>
      </c>
      <c r="P23" s="2" t="str">
        <f t="shared" si="7"/>
        <v>[1,1,1,1,1]</v>
      </c>
      <c r="Q23" s="2" t="s">
        <v>358</v>
      </c>
      <c r="R23" s="2" t="str">
        <f t="shared" si="4"/>
        <v>[20,20,20,20]</v>
      </c>
    </row>
    <row r="24" spans="2:18">
      <c r="B24" s="2" t="s">
        <v>391</v>
      </c>
      <c r="C24" s="2" t="str">
        <f t="shared" si="0"/>
        <v>Gem3041</v>
      </c>
      <c r="D24" s="2" t="s">
        <v>247</v>
      </c>
      <c r="E24" s="2">
        <v>4</v>
      </c>
      <c r="F24" s="2">
        <v>1</v>
      </c>
      <c r="G24" s="2" t="str">
        <f>B145</f>
        <v>SuitSpecial_1</v>
      </c>
      <c r="I24" s="2" t="str">
        <f>VLOOKUP(F24,数值设计!$A$21:$I$23,9,FALSE)</f>
        <v>DEF</v>
      </c>
      <c r="J24" s="2">
        <f>INT(VLOOKUP(F24,数值设计!$B$97:$H$113,4,FALSE)*VLOOKUP(E24,数值设计!$J$118:$L$121,3,FALSE))</f>
        <v>1259</v>
      </c>
      <c r="K24" s="2">
        <f>INT(VLOOKUP(F24,数值设计!$B$97:$H$113,5,FALSE)*数值设计!$L$118*VLOOKUP(E24,数值设计!$J$118:$L$121,3,FALSE))</f>
        <v>62</v>
      </c>
      <c r="L24" s="2" t="str">
        <f t="shared" si="1"/>
        <v>[CRITRATE,BLOCKRATE,UNCRITRATE,SPEED,HPRATE]</v>
      </c>
      <c r="M24" s="2" t="str">
        <f>IF(F24=1,"["&amp;数值设计!$F$100*VLOOKUP(E24,数值设计!$J$118:$L$121,3,FALSE)&amp;","&amp;数值设计!$F$103*VLOOKUP(E24,数值设计!$J$118:$L$121,3,FALSE)&amp;","&amp;数值设计!$F$102*VLOOKUP(E24,数值设计!$J$118:$L$121,3,FALSE)&amp;","&amp;数值设计!$F$110*VLOOKUP(E24,数值设计!$J$118:$L$121,3,FALSE)&amp;","&amp;数值设计!$F$113*VLOOKUP(E24,数值设计!$J$118:$L$121,3,FALSE)&amp;"]",IF(F24=2,"["&amp;数值设计!$F$100*VLOOKUP(E24,数值设计!$J$118:$L$121,3,FALSE)&amp;","&amp;数值设计!$F$103*VLOOKUP(E24,数值设计!$J$118:$L$121,3,FALSE)&amp;","&amp;数值设计!$F$102*VLOOKUP(E24,数值设计!$J$118:$L$121,3,FALSE)&amp;","&amp;数值设计!$F$110*VLOOKUP(E24,数值设计!$J$118:$L$121,3,FALSE)&amp;","&amp;数值设计!$F$113*VLOOKUP(E24,数值设计!$J$118:$L$121,3,FALSE)&amp;"]","["&amp;数值设计!$F$100*VLOOKUP(E24,数值设计!$J$118:$L$121,3,FALSE)&amp;","&amp;数值设计!$F$103*VLOOKUP(E24,数值设计!$J$118:$L$121,3,FALSE)&amp;","&amp;数值设计!$F$102*VLOOKUP(E24,数值设计!$J$118:$L$121,3,FALSE)&amp;","&amp;数值设计!$F$110*VLOOKUP(E24,数值设计!$J$118:$L$121,3,FALSE)&amp;","&amp;数值设计!$F$113*VLOOKUP(E24,数值设计!$J$118:$L$121,3,FALSE)&amp;"]"))</f>
        <v>[0.02,0.016,0.016,120,0.04]</v>
      </c>
      <c r="N24" s="2">
        <f t="shared" si="5"/>
        <v>3</v>
      </c>
      <c r="O24" s="2" t="str">
        <f t="shared" si="6"/>
        <v>[1,1,1,1,1]</v>
      </c>
      <c r="P24" s="2" t="str">
        <f t="shared" si="7"/>
        <v>[1,1,1,1,1]</v>
      </c>
      <c r="Q24" s="2" t="s">
        <v>358</v>
      </c>
      <c r="R24" s="2" t="str">
        <f t="shared" si="4"/>
        <v>[20,20,20,20]</v>
      </c>
    </row>
    <row r="25" spans="2:18">
      <c r="B25" s="2" t="s">
        <v>392</v>
      </c>
      <c r="C25" s="2" t="str">
        <f t="shared" si="0"/>
        <v>Gem3042</v>
      </c>
      <c r="D25" s="2" t="s">
        <v>248</v>
      </c>
      <c r="E25" s="2">
        <v>4</v>
      </c>
      <c r="F25" s="2">
        <v>2</v>
      </c>
      <c r="G25" s="2" t="str">
        <f>G24</f>
        <v>SuitSpecial_1</v>
      </c>
      <c r="I25" s="2" t="str">
        <f>VLOOKUP(F25,数值设计!$A$21:$I$23,9,FALSE)</f>
        <v>HP</v>
      </c>
      <c r="J25" s="2">
        <f>INT(VLOOKUP(F25,数值设计!$B$97:$H$113,4,FALSE)*VLOOKUP(E25,数值设计!$J$118:$L$121,3,FALSE))</f>
        <v>15448</v>
      </c>
      <c r="K25" s="2">
        <f>INT(VLOOKUP(F25,数值设计!$B$97:$H$113,5,FALSE)*数值设计!$L$118*VLOOKUP(E25,数值设计!$J$118:$L$121,3,FALSE))</f>
        <v>772</v>
      </c>
      <c r="L25" s="2" t="str">
        <f t="shared" si="1"/>
        <v>[CRITSTRG,BLOCKSTRG,UNBLOCKRATE,DEFRATE]</v>
      </c>
      <c r="M25" s="2" t="str">
        <f>IF(F25=1,"["&amp;数值设计!$F$100*VLOOKUP(E25,数值设计!$J$118:$L$121,3,FALSE)&amp;","&amp;数值设计!$F$103*VLOOKUP(E25,数值设计!$J$118:$L$121,3,FALSE)&amp;","&amp;数值设计!$F$102*VLOOKUP(E25,数值设计!$J$118:$L$121,3,FALSE)&amp;","&amp;数值设计!$F$110*VLOOKUP(E25,数值设计!$J$118:$L$121,3,FALSE)&amp;","&amp;数值设计!$F$113*VLOOKUP(E25,数值设计!$J$118:$L$121,3,FALSE)&amp;"]",IF(F25=2,"["&amp;数值设计!$F$100*VLOOKUP(E25,数值设计!$J$118:$L$121,3,FALSE)&amp;","&amp;数值设计!$F$103*VLOOKUP(E25,数值设计!$J$118:$L$121,3,FALSE)&amp;","&amp;数值设计!$F$102*VLOOKUP(E25,数值设计!$J$118:$L$121,3,FALSE)&amp;","&amp;数值设计!$F$110*VLOOKUP(E25,数值设计!$J$118:$L$121,3,FALSE)&amp;","&amp;数值设计!$F$113*VLOOKUP(E25,数值设计!$J$118:$L$121,3,FALSE)&amp;"]","["&amp;数值设计!$F$100*VLOOKUP(E25,数值设计!$J$118:$L$121,3,FALSE)&amp;","&amp;数值设计!$F$103*VLOOKUP(E25,数值设计!$J$118:$L$121,3,FALSE)&amp;","&amp;数值设计!$F$102*VLOOKUP(E25,数值设计!$J$118:$L$121,3,FALSE)&amp;","&amp;数值设计!$F$110*VLOOKUP(E25,数值设计!$J$118:$L$121,3,FALSE)&amp;","&amp;数值设计!$F$113*VLOOKUP(E25,数值设计!$J$118:$L$121,3,FALSE)&amp;"]"))</f>
        <v>[0.02,0.016,0.016,120,0.04]</v>
      </c>
      <c r="N25" s="2">
        <f t="shared" si="5"/>
        <v>3</v>
      </c>
      <c r="O25" s="2" t="str">
        <f t="shared" si="6"/>
        <v>[1,1,1,1,1]</v>
      </c>
      <c r="P25" s="2" t="str">
        <f t="shared" si="7"/>
        <v>[1,1,1,1,1]</v>
      </c>
      <c r="Q25" s="2" t="s">
        <v>358</v>
      </c>
      <c r="R25" s="2" t="str">
        <f t="shared" si="4"/>
        <v>[20,20,20,20]</v>
      </c>
    </row>
    <row r="26" spans="2:18">
      <c r="B26" s="2" t="s">
        <v>393</v>
      </c>
      <c r="C26" s="2" t="str">
        <f t="shared" si="0"/>
        <v>Gem3043</v>
      </c>
      <c r="D26" s="2" t="s">
        <v>249</v>
      </c>
      <c r="E26" s="2">
        <v>4</v>
      </c>
      <c r="F26" s="2">
        <v>3</v>
      </c>
      <c r="G26" s="2" t="str">
        <f>G25</f>
        <v>SuitSpecial_1</v>
      </c>
      <c r="I26" s="2" t="str">
        <f>VLOOKUP(F26,数值设计!$A$21:$I$23,9,FALSE)</f>
        <v>ATK</v>
      </c>
      <c r="J26" s="2">
        <f>INT(VLOOKUP(F26,数值设计!$B$97:$H$113,4,FALSE)*VLOOKUP(E26,数值设计!$J$118:$L$121,3,FALSE))</f>
        <v>2520</v>
      </c>
      <c r="K26" s="2">
        <f>INT(VLOOKUP(F26,数值设计!$B$97:$H$113,5,FALSE)*数值设计!$L$118*VLOOKUP(E26,数值设计!$J$118:$L$121,3,FALSE))</f>
        <v>126</v>
      </c>
      <c r="L26" s="2" t="str">
        <f t="shared" si="1"/>
        <v>[HURTRATE,UNHURTRATE,REFLECTION,ABSORPTION,ATKRATE]</v>
      </c>
      <c r="M26" s="2" t="str">
        <f>IF(F26=1,"["&amp;数值设计!$F$100*VLOOKUP(E26,数值设计!$J$118:$L$121,3,FALSE)&amp;","&amp;数值设计!$F$103*VLOOKUP(E26,数值设计!$J$118:$L$121,3,FALSE)&amp;","&amp;数值设计!$F$102*VLOOKUP(E26,数值设计!$J$118:$L$121,3,FALSE)&amp;","&amp;数值设计!$F$110*VLOOKUP(E26,数值设计!$J$118:$L$121,3,FALSE)&amp;","&amp;数值设计!$F$113*VLOOKUP(E26,数值设计!$J$118:$L$121,3,FALSE)&amp;"]",IF(F26=2,"["&amp;数值设计!$F$100*VLOOKUP(E26,数值设计!$J$118:$L$121,3,FALSE)&amp;","&amp;数值设计!$F$103*VLOOKUP(E26,数值设计!$J$118:$L$121,3,FALSE)&amp;","&amp;数值设计!$F$102*VLOOKUP(E26,数值设计!$J$118:$L$121,3,FALSE)&amp;","&amp;数值设计!$F$110*VLOOKUP(E26,数值设计!$J$118:$L$121,3,FALSE)&amp;","&amp;数值设计!$F$113*VLOOKUP(E26,数值设计!$J$118:$L$121,3,FALSE)&amp;"]","["&amp;数值设计!$F$100*VLOOKUP(E26,数值设计!$J$118:$L$121,3,FALSE)&amp;","&amp;数值设计!$F$103*VLOOKUP(E26,数值设计!$J$118:$L$121,3,FALSE)&amp;","&amp;数值设计!$F$102*VLOOKUP(E26,数值设计!$J$118:$L$121,3,FALSE)&amp;","&amp;数值设计!$F$110*VLOOKUP(E26,数值设计!$J$118:$L$121,3,FALSE)&amp;","&amp;数值设计!$F$113*VLOOKUP(E26,数值设计!$J$118:$L$121,3,FALSE)&amp;"]"))</f>
        <v>[0.02,0.016,0.016,120,0.04]</v>
      </c>
      <c r="N26" s="2">
        <f t="shared" si="5"/>
        <v>3</v>
      </c>
      <c r="O26" s="2" t="str">
        <f t="shared" si="6"/>
        <v>[1,1,1,1,1]</v>
      </c>
      <c r="P26" s="2" t="str">
        <f t="shared" si="7"/>
        <v>[1,1,1,1,1]</v>
      </c>
      <c r="Q26" s="2" t="s">
        <v>358</v>
      </c>
      <c r="R26" s="2" t="str">
        <f t="shared" si="4"/>
        <v>[20,20,20,20]</v>
      </c>
    </row>
    <row r="27" spans="2:18">
      <c r="B27" s="2" t="s">
        <v>394</v>
      </c>
      <c r="C27" s="2" t="str">
        <f t="shared" si="0"/>
        <v>Gem3051</v>
      </c>
      <c r="D27" s="2" t="s">
        <v>250</v>
      </c>
      <c r="E27" s="2">
        <v>4</v>
      </c>
      <c r="F27" s="2">
        <v>1</v>
      </c>
      <c r="G27" s="2" t="str">
        <f>B146</f>
        <v>SuitAtk_1</v>
      </c>
      <c r="I27" s="2" t="str">
        <f>VLOOKUP(F27,数值设计!$A$21:$I$23,9,FALSE)</f>
        <v>DEF</v>
      </c>
      <c r="J27" s="2">
        <f>INT(VLOOKUP(F27,数值设计!$B$97:$H$113,4,FALSE)*VLOOKUP(E27,数值设计!$J$118:$L$121,3,FALSE))</f>
        <v>1259</v>
      </c>
      <c r="K27" s="2">
        <f>INT(VLOOKUP(F27,数值设计!$B$97:$H$113,5,FALSE)*数值设计!$L$118*VLOOKUP(E27,数值设计!$J$118:$L$121,3,FALSE))</f>
        <v>62</v>
      </c>
      <c r="L27" s="2" t="str">
        <f t="shared" si="1"/>
        <v>[CRITRATE,BLOCKRATE,UNCRITRATE,SPEED,HPRATE]</v>
      </c>
      <c r="M27" s="2" t="str">
        <f>IF(F27=1,"["&amp;数值设计!$F$100*VLOOKUP(E27,数值设计!$J$118:$L$121,3,FALSE)&amp;","&amp;数值设计!$F$103*VLOOKUP(E27,数值设计!$J$118:$L$121,3,FALSE)&amp;","&amp;数值设计!$F$102*VLOOKUP(E27,数值设计!$J$118:$L$121,3,FALSE)&amp;","&amp;数值设计!$F$110*VLOOKUP(E27,数值设计!$J$118:$L$121,3,FALSE)&amp;","&amp;数值设计!$F$113*VLOOKUP(E27,数值设计!$J$118:$L$121,3,FALSE)&amp;"]",IF(F27=2,"["&amp;数值设计!$F$100*VLOOKUP(E27,数值设计!$J$118:$L$121,3,FALSE)&amp;","&amp;数值设计!$F$103*VLOOKUP(E27,数值设计!$J$118:$L$121,3,FALSE)&amp;","&amp;数值设计!$F$102*VLOOKUP(E27,数值设计!$J$118:$L$121,3,FALSE)&amp;","&amp;数值设计!$F$110*VLOOKUP(E27,数值设计!$J$118:$L$121,3,FALSE)&amp;","&amp;数值设计!$F$113*VLOOKUP(E27,数值设计!$J$118:$L$121,3,FALSE)&amp;"]","["&amp;数值设计!$F$100*VLOOKUP(E27,数值设计!$J$118:$L$121,3,FALSE)&amp;","&amp;数值设计!$F$103*VLOOKUP(E27,数值设计!$J$118:$L$121,3,FALSE)&amp;","&amp;数值设计!$F$102*VLOOKUP(E27,数值设计!$J$118:$L$121,3,FALSE)&amp;","&amp;数值设计!$F$110*VLOOKUP(E27,数值设计!$J$118:$L$121,3,FALSE)&amp;","&amp;数值设计!$F$113*VLOOKUP(E27,数值设计!$J$118:$L$121,3,FALSE)&amp;"]"))</f>
        <v>[0.02,0.016,0.016,120,0.04]</v>
      </c>
      <c r="N27" s="2">
        <f t="shared" si="5"/>
        <v>3</v>
      </c>
      <c r="O27" s="2" t="str">
        <f t="shared" si="6"/>
        <v>[1,1,1,1,1]</v>
      </c>
      <c r="P27" s="2" t="str">
        <f t="shared" si="7"/>
        <v>[1,1,1,1,1]</v>
      </c>
      <c r="Q27" s="2" t="s">
        <v>358</v>
      </c>
      <c r="R27" s="2" t="str">
        <f t="shared" si="4"/>
        <v>[20,20,20,20]</v>
      </c>
    </row>
    <row r="28" spans="2:18">
      <c r="B28" s="2" t="s">
        <v>395</v>
      </c>
      <c r="C28" s="2" t="str">
        <f t="shared" si="0"/>
        <v>Gem3052</v>
      </c>
      <c r="D28" s="2" t="s">
        <v>251</v>
      </c>
      <c r="E28" s="2">
        <v>4</v>
      </c>
      <c r="F28" s="2">
        <v>2</v>
      </c>
      <c r="G28" s="2" t="str">
        <f>G27</f>
        <v>SuitAtk_1</v>
      </c>
      <c r="I28" s="2" t="str">
        <f>VLOOKUP(F28,数值设计!$A$21:$I$23,9,FALSE)</f>
        <v>HP</v>
      </c>
      <c r="J28" s="2">
        <f>INT(VLOOKUP(F28,数值设计!$B$97:$H$113,4,FALSE)*VLOOKUP(E28,数值设计!$J$118:$L$121,3,FALSE))</f>
        <v>15448</v>
      </c>
      <c r="K28" s="2">
        <f>INT(VLOOKUP(F28,数值设计!$B$97:$H$113,5,FALSE)*数值设计!$L$118*VLOOKUP(E28,数值设计!$J$118:$L$121,3,FALSE))</f>
        <v>772</v>
      </c>
      <c r="L28" s="2" t="str">
        <f t="shared" si="1"/>
        <v>[CRITSTRG,BLOCKSTRG,UNBLOCKRATE,DEFRATE]</v>
      </c>
      <c r="M28" s="2" t="str">
        <f>IF(F28=1,"["&amp;数值设计!$F$100*VLOOKUP(E28,数值设计!$J$118:$L$121,3,FALSE)&amp;","&amp;数值设计!$F$103*VLOOKUP(E28,数值设计!$J$118:$L$121,3,FALSE)&amp;","&amp;数值设计!$F$102*VLOOKUP(E28,数值设计!$J$118:$L$121,3,FALSE)&amp;","&amp;数值设计!$F$110*VLOOKUP(E28,数值设计!$J$118:$L$121,3,FALSE)&amp;","&amp;数值设计!$F$113*VLOOKUP(E28,数值设计!$J$118:$L$121,3,FALSE)&amp;"]",IF(F28=2,"["&amp;数值设计!$F$100*VLOOKUP(E28,数值设计!$J$118:$L$121,3,FALSE)&amp;","&amp;数值设计!$F$103*VLOOKUP(E28,数值设计!$J$118:$L$121,3,FALSE)&amp;","&amp;数值设计!$F$102*VLOOKUP(E28,数值设计!$J$118:$L$121,3,FALSE)&amp;","&amp;数值设计!$F$110*VLOOKUP(E28,数值设计!$J$118:$L$121,3,FALSE)&amp;","&amp;数值设计!$F$113*VLOOKUP(E28,数值设计!$J$118:$L$121,3,FALSE)&amp;"]","["&amp;数值设计!$F$100*VLOOKUP(E28,数值设计!$J$118:$L$121,3,FALSE)&amp;","&amp;数值设计!$F$103*VLOOKUP(E28,数值设计!$J$118:$L$121,3,FALSE)&amp;","&amp;数值设计!$F$102*VLOOKUP(E28,数值设计!$J$118:$L$121,3,FALSE)&amp;","&amp;数值设计!$F$110*VLOOKUP(E28,数值设计!$J$118:$L$121,3,FALSE)&amp;","&amp;数值设计!$F$113*VLOOKUP(E28,数值设计!$J$118:$L$121,3,FALSE)&amp;"]"))</f>
        <v>[0.02,0.016,0.016,120,0.04]</v>
      </c>
      <c r="N28" s="2">
        <f t="shared" si="5"/>
        <v>3</v>
      </c>
      <c r="O28" s="2" t="str">
        <f t="shared" si="6"/>
        <v>[1,1,1,1,1]</v>
      </c>
      <c r="P28" s="2" t="str">
        <f t="shared" si="7"/>
        <v>[1,1,1,1,1]</v>
      </c>
      <c r="Q28" s="2" t="s">
        <v>358</v>
      </c>
      <c r="R28" s="2" t="str">
        <f t="shared" si="4"/>
        <v>[20,20,20,20]</v>
      </c>
    </row>
    <row r="29" spans="2:18">
      <c r="B29" s="2" t="s">
        <v>396</v>
      </c>
      <c r="C29" s="2" t="str">
        <f t="shared" si="0"/>
        <v>Gem3053</v>
      </c>
      <c r="D29" s="2" t="s">
        <v>252</v>
      </c>
      <c r="E29" s="2">
        <v>4</v>
      </c>
      <c r="F29" s="2">
        <v>3</v>
      </c>
      <c r="G29" s="2" t="str">
        <f>G28</f>
        <v>SuitAtk_1</v>
      </c>
      <c r="I29" s="2" t="str">
        <f>VLOOKUP(F29,数值设计!$A$21:$I$23,9,FALSE)</f>
        <v>ATK</v>
      </c>
      <c r="J29" s="2">
        <f>INT(VLOOKUP(F29,数值设计!$B$97:$H$113,4,FALSE)*VLOOKUP(E29,数值设计!$J$118:$L$121,3,FALSE))</f>
        <v>2520</v>
      </c>
      <c r="K29" s="2">
        <f>INT(VLOOKUP(F29,数值设计!$B$97:$H$113,5,FALSE)*数值设计!$L$118*VLOOKUP(E29,数值设计!$J$118:$L$121,3,FALSE))</f>
        <v>126</v>
      </c>
      <c r="L29" s="2" t="str">
        <f t="shared" si="1"/>
        <v>[HURTRATE,UNHURTRATE,REFLECTION,ABSORPTION,ATKRATE]</v>
      </c>
      <c r="M29" s="2" t="str">
        <f>IF(F29=1,"["&amp;数值设计!$F$100*VLOOKUP(E29,数值设计!$J$118:$L$121,3,FALSE)&amp;","&amp;数值设计!$F$103*VLOOKUP(E29,数值设计!$J$118:$L$121,3,FALSE)&amp;","&amp;数值设计!$F$102*VLOOKUP(E29,数值设计!$J$118:$L$121,3,FALSE)&amp;","&amp;数值设计!$F$110*VLOOKUP(E29,数值设计!$J$118:$L$121,3,FALSE)&amp;","&amp;数值设计!$F$113*VLOOKUP(E29,数值设计!$J$118:$L$121,3,FALSE)&amp;"]",IF(F29=2,"["&amp;数值设计!$F$100*VLOOKUP(E29,数值设计!$J$118:$L$121,3,FALSE)&amp;","&amp;数值设计!$F$103*VLOOKUP(E29,数值设计!$J$118:$L$121,3,FALSE)&amp;","&amp;数值设计!$F$102*VLOOKUP(E29,数值设计!$J$118:$L$121,3,FALSE)&amp;","&amp;数值设计!$F$110*VLOOKUP(E29,数值设计!$J$118:$L$121,3,FALSE)&amp;","&amp;数值设计!$F$113*VLOOKUP(E29,数值设计!$J$118:$L$121,3,FALSE)&amp;"]","["&amp;数值设计!$F$100*VLOOKUP(E29,数值设计!$J$118:$L$121,3,FALSE)&amp;","&amp;数值设计!$F$103*VLOOKUP(E29,数值设计!$J$118:$L$121,3,FALSE)&amp;","&amp;数值设计!$F$102*VLOOKUP(E29,数值设计!$J$118:$L$121,3,FALSE)&amp;","&amp;数值设计!$F$110*VLOOKUP(E29,数值设计!$J$118:$L$121,3,FALSE)&amp;","&amp;数值设计!$F$113*VLOOKUP(E29,数值设计!$J$118:$L$121,3,FALSE)&amp;"]"))</f>
        <v>[0.02,0.016,0.016,120,0.04]</v>
      </c>
      <c r="N29" s="2">
        <f t="shared" si="5"/>
        <v>3</v>
      </c>
      <c r="O29" s="2" t="str">
        <f t="shared" si="6"/>
        <v>[1,1,1,1,1]</v>
      </c>
      <c r="P29" s="2" t="str">
        <f t="shared" si="7"/>
        <v>[1,1,1,1,1]</v>
      </c>
      <c r="Q29" s="2" t="s">
        <v>358</v>
      </c>
      <c r="R29" s="2" t="str">
        <f t="shared" si="4"/>
        <v>[20,20,20,20]</v>
      </c>
    </row>
    <row r="30" spans="2:18">
      <c r="B30" s="2" t="s">
        <v>397</v>
      </c>
      <c r="C30" s="2" t="str">
        <f t="shared" si="0"/>
        <v>Gem4001</v>
      </c>
      <c r="D30" s="2" t="s">
        <v>261</v>
      </c>
      <c r="E30" s="2">
        <v>5</v>
      </c>
      <c r="F30" s="2">
        <v>1</v>
      </c>
      <c r="G30" s="2" t="str">
        <f>B147</f>
        <v>SuitCri_2</v>
      </c>
      <c r="I30" s="2" t="str">
        <f>VLOOKUP(F30,数值设计!$A$21:$I$23,9,FALSE)</f>
        <v>DEF</v>
      </c>
      <c r="J30" s="2">
        <f>INT(VLOOKUP(F30,数值设计!$B$97:$H$113,4,FALSE)*VLOOKUP(E30,数值设计!$J$118:$L$121,3,FALSE))</f>
        <v>1574</v>
      </c>
      <c r="K30" s="2">
        <f>INT(VLOOKUP(F30,数值设计!$B$97:$H$113,5,FALSE)*数值设计!$L$118*VLOOKUP(E30,数值设计!$J$118:$L$121,3,FALSE))</f>
        <v>78</v>
      </c>
      <c r="L30" s="2" t="str">
        <f t="shared" si="1"/>
        <v>[CRITRATE,BLOCKRATE,UNCRITRATE,SPEED,HPRATE]</v>
      </c>
      <c r="M30" s="2" t="str">
        <f>IF(F30=1,"["&amp;数值设计!$F$100*VLOOKUP(E30,数值设计!$J$118:$L$121,3,FALSE)&amp;","&amp;数值设计!$F$103*VLOOKUP(E30,数值设计!$J$118:$L$121,3,FALSE)&amp;","&amp;数值设计!$F$102*VLOOKUP(E30,数值设计!$J$118:$L$121,3,FALSE)&amp;","&amp;数值设计!$F$110*VLOOKUP(E30,数值设计!$J$118:$L$121,3,FALSE)&amp;","&amp;数值设计!$F$113*VLOOKUP(E30,数值设计!$J$118:$L$121,3,FALSE)&amp;"]",IF(F30=2,"["&amp;数值设计!$F$100*VLOOKUP(E30,数值设计!$J$118:$L$121,3,FALSE)&amp;","&amp;数值设计!$F$103*VLOOKUP(E30,数值设计!$J$118:$L$121,3,FALSE)&amp;","&amp;数值设计!$F$102*VLOOKUP(E30,数值设计!$J$118:$L$121,3,FALSE)&amp;","&amp;数值设计!$F$110*VLOOKUP(E30,数值设计!$J$118:$L$121,3,FALSE)&amp;","&amp;数值设计!$F$113*VLOOKUP(E30,数值设计!$J$118:$L$121,3,FALSE)&amp;"]","["&amp;数值设计!$F$100*VLOOKUP(E30,数值设计!$J$118:$L$121,3,FALSE)&amp;","&amp;数值设计!$F$103*VLOOKUP(E30,数值设计!$J$118:$L$121,3,FALSE)&amp;","&amp;数值设计!$F$102*VLOOKUP(E30,数值设计!$J$118:$L$121,3,FALSE)&amp;","&amp;数值设计!$F$110*VLOOKUP(E30,数值设计!$J$118:$L$121,3,FALSE)&amp;","&amp;数值设计!$F$113*VLOOKUP(E30,数值设计!$J$118:$L$121,3,FALSE)&amp;"]"))</f>
        <v>[0.025,0.02,0.02,150,0.05]</v>
      </c>
      <c r="N30" s="2">
        <f>N28</f>
        <v>3</v>
      </c>
      <c r="O30" s="2" t="s">
        <v>354</v>
      </c>
      <c r="P30" s="2" t="s">
        <v>354</v>
      </c>
      <c r="Q30" s="2" t="s">
        <v>358</v>
      </c>
      <c r="R30" s="2" t="s">
        <v>357</v>
      </c>
    </row>
    <row r="31" spans="2:18">
      <c r="B31" s="2" t="s">
        <v>398</v>
      </c>
      <c r="C31" s="2" t="str">
        <f t="shared" si="0"/>
        <v>Gem4002</v>
      </c>
      <c r="D31" s="2" t="s">
        <v>262</v>
      </c>
      <c r="E31" s="2">
        <v>5</v>
      </c>
      <c r="F31" s="2">
        <v>2</v>
      </c>
      <c r="G31" s="2" t="str">
        <f>G30</f>
        <v>SuitCri_2</v>
      </c>
      <c r="I31" s="2" t="str">
        <f>VLOOKUP(F31,数值设计!$A$21:$I$23,9,FALSE)</f>
        <v>HP</v>
      </c>
      <c r="J31" s="2">
        <f>INT(VLOOKUP(F31,数值设计!$B$97:$H$113,4,FALSE)*VLOOKUP(E31,数值设计!$J$118:$L$121,3,FALSE))</f>
        <v>19310</v>
      </c>
      <c r="K31" s="2">
        <f>INT(VLOOKUP(F31,数值设计!$B$97:$H$113,5,FALSE)*数值设计!$L$118*VLOOKUP(E31,数值设计!$J$118:$L$121,3,FALSE))</f>
        <v>965</v>
      </c>
      <c r="L31" s="2" t="str">
        <f t="shared" si="1"/>
        <v>[CRITSTRG,BLOCKSTRG,UNBLOCKRATE,DEFRATE]</v>
      </c>
      <c r="M31" s="2" t="str">
        <f>IF(F31=1,"["&amp;数值设计!$F$100*VLOOKUP(E31,数值设计!$J$118:$L$121,3,FALSE)&amp;","&amp;数值设计!$F$103*VLOOKUP(E31,数值设计!$J$118:$L$121,3,FALSE)&amp;","&amp;数值设计!$F$102*VLOOKUP(E31,数值设计!$J$118:$L$121,3,FALSE)&amp;","&amp;数值设计!$F$110*VLOOKUP(E31,数值设计!$J$118:$L$121,3,FALSE)&amp;","&amp;数值设计!$F$113*VLOOKUP(E31,数值设计!$J$118:$L$121,3,FALSE)&amp;"]",IF(F31=2,"["&amp;数值设计!$F$100*VLOOKUP(E31,数值设计!$J$118:$L$121,3,FALSE)&amp;","&amp;数值设计!$F$103*VLOOKUP(E31,数值设计!$J$118:$L$121,3,FALSE)&amp;","&amp;数值设计!$F$102*VLOOKUP(E31,数值设计!$J$118:$L$121,3,FALSE)&amp;","&amp;数值设计!$F$110*VLOOKUP(E31,数值设计!$J$118:$L$121,3,FALSE)&amp;","&amp;数值设计!$F$113*VLOOKUP(E31,数值设计!$J$118:$L$121,3,FALSE)&amp;"]","["&amp;数值设计!$F$100*VLOOKUP(E31,数值设计!$J$118:$L$121,3,FALSE)&amp;","&amp;数值设计!$F$103*VLOOKUP(E31,数值设计!$J$118:$L$121,3,FALSE)&amp;","&amp;数值设计!$F$102*VLOOKUP(E31,数值设计!$J$118:$L$121,3,FALSE)&amp;","&amp;数值设计!$F$110*VLOOKUP(E31,数值设计!$J$118:$L$121,3,FALSE)&amp;","&amp;数值设计!$F$113*VLOOKUP(E31,数值设计!$J$118:$L$121,3,FALSE)&amp;"]"))</f>
        <v>[0.025,0.02,0.02,150,0.05]</v>
      </c>
      <c r="N31" s="2">
        <f>N29</f>
        <v>3</v>
      </c>
      <c r="O31" s="2" t="str">
        <f t="shared" si="6"/>
        <v>[1,1,1,1,1]</v>
      </c>
      <c r="P31" s="2" t="str">
        <f t="shared" si="7"/>
        <v>[1,1,1,1,1]</v>
      </c>
      <c r="Q31" s="2" t="s">
        <v>358</v>
      </c>
      <c r="R31" s="2" t="str">
        <f>R29</f>
        <v>[20,20,20,20]</v>
      </c>
    </row>
    <row r="32" spans="2:18">
      <c r="B32" s="2" t="s">
        <v>399</v>
      </c>
      <c r="C32" s="2" t="str">
        <f t="shared" si="0"/>
        <v>Gem4003</v>
      </c>
      <c r="D32" s="2" t="s">
        <v>263</v>
      </c>
      <c r="E32" s="2">
        <v>5</v>
      </c>
      <c r="F32" s="2">
        <v>3</v>
      </c>
      <c r="G32" s="2" t="str">
        <f>G31</f>
        <v>SuitCri_2</v>
      </c>
      <c r="I32" s="2" t="str">
        <f>VLOOKUP(F32,数值设计!$A$21:$I$23,9,FALSE)</f>
        <v>ATK</v>
      </c>
      <c r="J32" s="2">
        <f>INT(VLOOKUP(F32,数值设计!$B$97:$H$113,4,FALSE)*VLOOKUP(E32,数值设计!$J$118:$L$121,3,FALSE))</f>
        <v>3150</v>
      </c>
      <c r="K32" s="2">
        <f>INT(VLOOKUP(F32,数值设计!$B$97:$H$113,5,FALSE)*数值设计!$L$118*VLOOKUP(E32,数值设计!$J$118:$L$121,3,FALSE))</f>
        <v>157</v>
      </c>
      <c r="L32" s="2" t="str">
        <f t="shared" si="1"/>
        <v>[HURTRATE,UNHURTRATE,REFLECTION,ABSORPTION,ATKRATE]</v>
      </c>
      <c r="M32" s="2" t="str">
        <f>IF(F32=1,"["&amp;数值设计!$F$100*VLOOKUP(E32,数值设计!$J$118:$L$121,3,FALSE)&amp;","&amp;数值设计!$F$103*VLOOKUP(E32,数值设计!$J$118:$L$121,3,FALSE)&amp;","&amp;数值设计!$F$102*VLOOKUP(E32,数值设计!$J$118:$L$121,3,FALSE)&amp;","&amp;数值设计!$F$110*VLOOKUP(E32,数值设计!$J$118:$L$121,3,FALSE)&amp;","&amp;数值设计!$F$113*VLOOKUP(E32,数值设计!$J$118:$L$121,3,FALSE)&amp;"]",IF(F32=2,"["&amp;数值设计!$F$100*VLOOKUP(E32,数值设计!$J$118:$L$121,3,FALSE)&amp;","&amp;数值设计!$F$103*VLOOKUP(E32,数值设计!$J$118:$L$121,3,FALSE)&amp;","&amp;数值设计!$F$102*VLOOKUP(E32,数值设计!$J$118:$L$121,3,FALSE)&amp;","&amp;数值设计!$F$110*VLOOKUP(E32,数值设计!$J$118:$L$121,3,FALSE)&amp;","&amp;数值设计!$F$113*VLOOKUP(E32,数值设计!$J$118:$L$121,3,FALSE)&amp;"]","["&amp;数值设计!$F$100*VLOOKUP(E32,数值设计!$J$118:$L$121,3,FALSE)&amp;","&amp;数值设计!$F$103*VLOOKUP(E32,数值设计!$J$118:$L$121,3,FALSE)&amp;","&amp;数值设计!$F$102*VLOOKUP(E32,数值设计!$J$118:$L$121,3,FALSE)&amp;","&amp;数值设计!$F$110*VLOOKUP(E32,数值设计!$J$118:$L$121,3,FALSE)&amp;","&amp;数值设计!$F$113*VLOOKUP(E32,数值设计!$J$118:$L$121,3,FALSE)&amp;"]"))</f>
        <v>[0.025,0.02,0.02,150,0.05]</v>
      </c>
      <c r="N32" s="2">
        <f t="shared" ref="N32:N47" si="8">N30</f>
        <v>3</v>
      </c>
      <c r="O32" s="2" t="str">
        <f t="shared" si="6"/>
        <v>[1,1,1,1,1]</v>
      </c>
      <c r="P32" s="2" t="str">
        <f t="shared" si="7"/>
        <v>[1,1,1,1,1]</v>
      </c>
      <c r="Q32" s="2" t="s">
        <v>358</v>
      </c>
      <c r="R32" s="2" t="str">
        <f t="shared" ref="R32:R47" si="9">R30</f>
        <v>[20,20,20,20]</v>
      </c>
    </row>
    <row r="33" spans="2:18">
      <c r="B33" s="2" t="s">
        <v>400</v>
      </c>
      <c r="C33" s="2" t="str">
        <f t="shared" si="0"/>
        <v>Gem4011</v>
      </c>
      <c r="D33" s="2" t="s">
        <v>264</v>
      </c>
      <c r="E33" s="2">
        <v>5</v>
      </c>
      <c r="F33" s="2">
        <v>1</v>
      </c>
      <c r="G33" s="2" t="str">
        <f>B148</f>
        <v>SuitBlock_2</v>
      </c>
      <c r="I33" s="2" t="str">
        <f>VLOOKUP(F33,数值设计!$A$21:$I$23,9,FALSE)</f>
        <v>DEF</v>
      </c>
      <c r="J33" s="2">
        <f>INT(VLOOKUP(F33,数值设计!$B$97:$H$113,4,FALSE)*VLOOKUP(E33,数值设计!$J$118:$L$121,3,FALSE))</f>
        <v>1574</v>
      </c>
      <c r="K33" s="2">
        <f>INT(VLOOKUP(F33,数值设计!$B$97:$H$113,5,FALSE)*数值设计!$L$118*VLOOKUP(E33,数值设计!$J$118:$L$121,3,FALSE))</f>
        <v>78</v>
      </c>
      <c r="L33" s="2" t="str">
        <f t="shared" si="1"/>
        <v>[CRITRATE,BLOCKRATE,UNCRITRATE,SPEED,HPRATE]</v>
      </c>
      <c r="M33" s="2" t="str">
        <f>IF(F33=1,"["&amp;数值设计!$F$100*VLOOKUP(E33,数值设计!$J$118:$L$121,3,FALSE)&amp;","&amp;数值设计!$F$103*VLOOKUP(E33,数值设计!$J$118:$L$121,3,FALSE)&amp;","&amp;数值设计!$F$102*VLOOKUP(E33,数值设计!$J$118:$L$121,3,FALSE)&amp;","&amp;数值设计!$F$110*VLOOKUP(E33,数值设计!$J$118:$L$121,3,FALSE)&amp;","&amp;数值设计!$F$113*VLOOKUP(E33,数值设计!$J$118:$L$121,3,FALSE)&amp;"]",IF(F33=2,"["&amp;数值设计!$F$100*VLOOKUP(E33,数值设计!$J$118:$L$121,3,FALSE)&amp;","&amp;数值设计!$F$103*VLOOKUP(E33,数值设计!$J$118:$L$121,3,FALSE)&amp;","&amp;数值设计!$F$102*VLOOKUP(E33,数值设计!$J$118:$L$121,3,FALSE)&amp;","&amp;数值设计!$F$110*VLOOKUP(E33,数值设计!$J$118:$L$121,3,FALSE)&amp;","&amp;数值设计!$F$113*VLOOKUP(E33,数值设计!$J$118:$L$121,3,FALSE)&amp;"]","["&amp;数值设计!$F$100*VLOOKUP(E33,数值设计!$J$118:$L$121,3,FALSE)&amp;","&amp;数值设计!$F$103*VLOOKUP(E33,数值设计!$J$118:$L$121,3,FALSE)&amp;","&amp;数值设计!$F$102*VLOOKUP(E33,数值设计!$J$118:$L$121,3,FALSE)&amp;","&amp;数值设计!$F$110*VLOOKUP(E33,数值设计!$J$118:$L$121,3,FALSE)&amp;","&amp;数值设计!$F$113*VLOOKUP(E33,数值设计!$J$118:$L$121,3,FALSE)&amp;"]"))</f>
        <v>[0.025,0.02,0.02,150,0.05]</v>
      </c>
      <c r="N33" s="2">
        <f t="shared" si="8"/>
        <v>3</v>
      </c>
      <c r="O33" s="2" t="str">
        <f t="shared" si="6"/>
        <v>[1,1,1,1,1]</v>
      </c>
      <c r="P33" s="2" t="str">
        <f t="shared" si="7"/>
        <v>[1,1,1,1,1]</v>
      </c>
      <c r="Q33" s="2" t="s">
        <v>358</v>
      </c>
      <c r="R33" s="2" t="str">
        <f t="shared" si="9"/>
        <v>[20,20,20,20]</v>
      </c>
    </row>
    <row r="34" spans="2:18">
      <c r="B34" s="2" t="s">
        <v>401</v>
      </c>
      <c r="C34" s="2" t="str">
        <f t="shared" si="0"/>
        <v>Gem4012</v>
      </c>
      <c r="D34" s="2" t="s">
        <v>265</v>
      </c>
      <c r="E34" s="2">
        <v>5</v>
      </c>
      <c r="F34" s="2">
        <v>2</v>
      </c>
      <c r="G34" s="2" t="str">
        <f>G33</f>
        <v>SuitBlock_2</v>
      </c>
      <c r="I34" s="2" t="str">
        <f>VLOOKUP(F34,数值设计!$A$21:$I$23,9,FALSE)</f>
        <v>HP</v>
      </c>
      <c r="J34" s="2">
        <f>INT(VLOOKUP(F34,数值设计!$B$97:$H$113,4,FALSE)*VLOOKUP(E34,数值设计!$J$118:$L$121,3,FALSE))</f>
        <v>19310</v>
      </c>
      <c r="K34" s="2">
        <f>INT(VLOOKUP(F34,数值设计!$B$97:$H$113,5,FALSE)*数值设计!$L$118*VLOOKUP(E34,数值设计!$J$118:$L$121,3,FALSE))</f>
        <v>965</v>
      </c>
      <c r="L34" s="2" t="str">
        <f t="shared" si="1"/>
        <v>[CRITSTRG,BLOCKSTRG,UNBLOCKRATE,DEFRATE]</v>
      </c>
      <c r="M34" s="2" t="str">
        <f>IF(F34=1,"["&amp;数值设计!$F$100*VLOOKUP(E34,数值设计!$J$118:$L$121,3,FALSE)&amp;","&amp;数值设计!$F$103*VLOOKUP(E34,数值设计!$J$118:$L$121,3,FALSE)&amp;","&amp;数值设计!$F$102*VLOOKUP(E34,数值设计!$J$118:$L$121,3,FALSE)&amp;","&amp;数值设计!$F$110*VLOOKUP(E34,数值设计!$J$118:$L$121,3,FALSE)&amp;","&amp;数值设计!$F$113*VLOOKUP(E34,数值设计!$J$118:$L$121,3,FALSE)&amp;"]",IF(F34=2,"["&amp;数值设计!$F$100*VLOOKUP(E34,数值设计!$J$118:$L$121,3,FALSE)&amp;","&amp;数值设计!$F$103*VLOOKUP(E34,数值设计!$J$118:$L$121,3,FALSE)&amp;","&amp;数值设计!$F$102*VLOOKUP(E34,数值设计!$J$118:$L$121,3,FALSE)&amp;","&amp;数值设计!$F$110*VLOOKUP(E34,数值设计!$J$118:$L$121,3,FALSE)&amp;","&amp;数值设计!$F$113*VLOOKUP(E34,数值设计!$J$118:$L$121,3,FALSE)&amp;"]","["&amp;数值设计!$F$100*VLOOKUP(E34,数值设计!$J$118:$L$121,3,FALSE)&amp;","&amp;数值设计!$F$103*VLOOKUP(E34,数值设计!$J$118:$L$121,3,FALSE)&amp;","&amp;数值设计!$F$102*VLOOKUP(E34,数值设计!$J$118:$L$121,3,FALSE)&amp;","&amp;数值设计!$F$110*VLOOKUP(E34,数值设计!$J$118:$L$121,3,FALSE)&amp;","&amp;数值设计!$F$113*VLOOKUP(E34,数值设计!$J$118:$L$121,3,FALSE)&amp;"]"))</f>
        <v>[0.025,0.02,0.02,150,0.05]</v>
      </c>
      <c r="N34" s="2">
        <f t="shared" si="8"/>
        <v>3</v>
      </c>
      <c r="O34" s="2" t="str">
        <f t="shared" si="6"/>
        <v>[1,1,1,1,1]</v>
      </c>
      <c r="P34" s="2" t="str">
        <f t="shared" si="7"/>
        <v>[1,1,1,1,1]</v>
      </c>
      <c r="Q34" s="2" t="s">
        <v>358</v>
      </c>
      <c r="R34" s="2" t="str">
        <f t="shared" si="9"/>
        <v>[20,20,20,20]</v>
      </c>
    </row>
    <row r="35" spans="2:18">
      <c r="B35" s="2" t="s">
        <v>402</v>
      </c>
      <c r="C35" s="2" t="str">
        <f t="shared" si="0"/>
        <v>Gem4013</v>
      </c>
      <c r="D35" s="2" t="s">
        <v>266</v>
      </c>
      <c r="E35" s="2">
        <v>5</v>
      </c>
      <c r="F35" s="2">
        <v>3</v>
      </c>
      <c r="G35" s="2" t="str">
        <f>G34</f>
        <v>SuitBlock_2</v>
      </c>
      <c r="I35" s="2" t="str">
        <f>VLOOKUP(F35,数值设计!$A$21:$I$23,9,FALSE)</f>
        <v>ATK</v>
      </c>
      <c r="J35" s="2">
        <f>INT(VLOOKUP(F35,数值设计!$B$97:$H$113,4,FALSE)*VLOOKUP(E35,数值设计!$J$118:$L$121,3,FALSE))</f>
        <v>3150</v>
      </c>
      <c r="K35" s="2">
        <f>INT(VLOOKUP(F35,数值设计!$B$97:$H$113,5,FALSE)*数值设计!$L$118*VLOOKUP(E35,数值设计!$J$118:$L$121,3,FALSE))</f>
        <v>157</v>
      </c>
      <c r="L35" s="2" t="str">
        <f t="shared" si="1"/>
        <v>[HURTRATE,UNHURTRATE,REFLECTION,ABSORPTION,ATKRATE]</v>
      </c>
      <c r="M35" s="2" t="str">
        <f>IF(F35=1,"["&amp;数值设计!$F$100*VLOOKUP(E35,数值设计!$J$118:$L$121,3,FALSE)&amp;","&amp;数值设计!$F$103*VLOOKUP(E35,数值设计!$J$118:$L$121,3,FALSE)&amp;","&amp;数值设计!$F$102*VLOOKUP(E35,数值设计!$J$118:$L$121,3,FALSE)&amp;","&amp;数值设计!$F$110*VLOOKUP(E35,数值设计!$J$118:$L$121,3,FALSE)&amp;","&amp;数值设计!$F$113*VLOOKUP(E35,数值设计!$J$118:$L$121,3,FALSE)&amp;"]",IF(F35=2,"["&amp;数值设计!$F$100*VLOOKUP(E35,数值设计!$J$118:$L$121,3,FALSE)&amp;","&amp;数值设计!$F$103*VLOOKUP(E35,数值设计!$J$118:$L$121,3,FALSE)&amp;","&amp;数值设计!$F$102*VLOOKUP(E35,数值设计!$J$118:$L$121,3,FALSE)&amp;","&amp;数值设计!$F$110*VLOOKUP(E35,数值设计!$J$118:$L$121,3,FALSE)&amp;","&amp;数值设计!$F$113*VLOOKUP(E35,数值设计!$J$118:$L$121,3,FALSE)&amp;"]","["&amp;数值设计!$F$100*VLOOKUP(E35,数值设计!$J$118:$L$121,3,FALSE)&amp;","&amp;数值设计!$F$103*VLOOKUP(E35,数值设计!$J$118:$L$121,3,FALSE)&amp;","&amp;数值设计!$F$102*VLOOKUP(E35,数值设计!$J$118:$L$121,3,FALSE)&amp;","&amp;数值设计!$F$110*VLOOKUP(E35,数值设计!$J$118:$L$121,3,FALSE)&amp;","&amp;数值设计!$F$113*VLOOKUP(E35,数值设计!$J$118:$L$121,3,FALSE)&amp;"]"))</f>
        <v>[0.025,0.02,0.02,150,0.05]</v>
      </c>
      <c r="N35" s="2">
        <f t="shared" si="8"/>
        <v>3</v>
      </c>
      <c r="O35" s="2" t="str">
        <f t="shared" si="6"/>
        <v>[1,1,1,1,1]</v>
      </c>
      <c r="P35" s="2" t="str">
        <f t="shared" si="7"/>
        <v>[1,1,1,1,1]</v>
      </c>
      <c r="Q35" s="2" t="s">
        <v>358</v>
      </c>
      <c r="R35" s="2" t="str">
        <f t="shared" si="9"/>
        <v>[20,20,20,20]</v>
      </c>
    </row>
    <row r="36" spans="2:18">
      <c r="B36" s="2" t="s">
        <v>403</v>
      </c>
      <c r="C36" s="2" t="str">
        <f t="shared" si="0"/>
        <v>Gem4021</v>
      </c>
      <c r="D36" s="2" t="s">
        <v>267</v>
      </c>
      <c r="E36" s="2">
        <v>5</v>
      </c>
      <c r="F36" s="2">
        <v>1</v>
      </c>
      <c r="G36" s="2" t="str">
        <f>B149</f>
        <v>SuitDef_2</v>
      </c>
      <c r="I36" s="2" t="str">
        <f>VLOOKUP(F36,数值设计!$A$21:$I$23,9,FALSE)</f>
        <v>DEF</v>
      </c>
      <c r="J36" s="2">
        <f>INT(VLOOKUP(F36,数值设计!$B$97:$H$113,4,FALSE)*VLOOKUP(E36,数值设计!$J$118:$L$121,3,FALSE))</f>
        <v>1574</v>
      </c>
      <c r="K36" s="2">
        <f>INT(VLOOKUP(F36,数值设计!$B$97:$H$113,5,FALSE)*数值设计!$L$118*VLOOKUP(E36,数值设计!$J$118:$L$121,3,FALSE))</f>
        <v>78</v>
      </c>
      <c r="L36" s="2" t="str">
        <f t="shared" si="1"/>
        <v>[CRITRATE,BLOCKRATE,UNCRITRATE,SPEED,HPRATE]</v>
      </c>
      <c r="M36" s="2" t="str">
        <f>IF(F36=1,"["&amp;数值设计!$F$100*VLOOKUP(E36,数值设计!$J$118:$L$121,3,FALSE)&amp;","&amp;数值设计!$F$103*VLOOKUP(E36,数值设计!$J$118:$L$121,3,FALSE)&amp;","&amp;数值设计!$F$102*VLOOKUP(E36,数值设计!$J$118:$L$121,3,FALSE)&amp;","&amp;数值设计!$F$110*VLOOKUP(E36,数值设计!$J$118:$L$121,3,FALSE)&amp;","&amp;数值设计!$F$113*VLOOKUP(E36,数值设计!$J$118:$L$121,3,FALSE)&amp;"]",IF(F36=2,"["&amp;数值设计!$F$100*VLOOKUP(E36,数值设计!$J$118:$L$121,3,FALSE)&amp;","&amp;数值设计!$F$103*VLOOKUP(E36,数值设计!$J$118:$L$121,3,FALSE)&amp;","&amp;数值设计!$F$102*VLOOKUP(E36,数值设计!$J$118:$L$121,3,FALSE)&amp;","&amp;数值设计!$F$110*VLOOKUP(E36,数值设计!$J$118:$L$121,3,FALSE)&amp;","&amp;数值设计!$F$113*VLOOKUP(E36,数值设计!$J$118:$L$121,3,FALSE)&amp;"]","["&amp;数值设计!$F$100*VLOOKUP(E36,数值设计!$J$118:$L$121,3,FALSE)&amp;","&amp;数值设计!$F$103*VLOOKUP(E36,数值设计!$J$118:$L$121,3,FALSE)&amp;","&amp;数值设计!$F$102*VLOOKUP(E36,数值设计!$J$118:$L$121,3,FALSE)&amp;","&amp;数值设计!$F$110*VLOOKUP(E36,数值设计!$J$118:$L$121,3,FALSE)&amp;","&amp;数值设计!$F$113*VLOOKUP(E36,数值设计!$J$118:$L$121,3,FALSE)&amp;"]"))</f>
        <v>[0.025,0.02,0.02,150,0.05]</v>
      </c>
      <c r="N36" s="2">
        <f t="shared" si="8"/>
        <v>3</v>
      </c>
      <c r="O36" s="2" t="str">
        <f t="shared" ref="O36:O47" si="10">O35</f>
        <v>[1,1,1,1,1]</v>
      </c>
      <c r="P36" s="2" t="str">
        <f t="shared" ref="P36:P47" si="11">P35</f>
        <v>[1,1,1,1,1]</v>
      </c>
      <c r="Q36" s="2" t="s">
        <v>358</v>
      </c>
      <c r="R36" s="2" t="str">
        <f t="shared" si="9"/>
        <v>[20,20,20,20]</v>
      </c>
    </row>
    <row r="37" spans="2:18">
      <c r="B37" s="2" t="s">
        <v>404</v>
      </c>
      <c r="C37" s="2" t="str">
        <f t="shared" si="0"/>
        <v>Gem4022</v>
      </c>
      <c r="D37" s="2" t="s">
        <v>268</v>
      </c>
      <c r="E37" s="2">
        <v>5</v>
      </c>
      <c r="F37" s="2">
        <v>2</v>
      </c>
      <c r="G37" s="2" t="str">
        <f>G36</f>
        <v>SuitDef_2</v>
      </c>
      <c r="I37" s="2" t="str">
        <f>VLOOKUP(F37,数值设计!$A$21:$I$23,9,FALSE)</f>
        <v>HP</v>
      </c>
      <c r="J37" s="2">
        <f>INT(VLOOKUP(F37,数值设计!$B$97:$H$113,4,FALSE)*VLOOKUP(E37,数值设计!$J$118:$L$121,3,FALSE))</f>
        <v>19310</v>
      </c>
      <c r="K37" s="2">
        <f>INT(VLOOKUP(F37,数值设计!$B$97:$H$113,5,FALSE)*数值设计!$L$118*VLOOKUP(E37,数值设计!$J$118:$L$121,3,FALSE))</f>
        <v>965</v>
      </c>
      <c r="L37" s="2" t="str">
        <f t="shared" si="1"/>
        <v>[CRITSTRG,BLOCKSTRG,UNBLOCKRATE,DEFRATE]</v>
      </c>
      <c r="M37" s="2" t="str">
        <f>IF(F37=1,"["&amp;数值设计!$F$100*VLOOKUP(E37,数值设计!$J$118:$L$121,3,FALSE)&amp;","&amp;数值设计!$F$103*VLOOKUP(E37,数值设计!$J$118:$L$121,3,FALSE)&amp;","&amp;数值设计!$F$102*VLOOKUP(E37,数值设计!$J$118:$L$121,3,FALSE)&amp;","&amp;数值设计!$F$110*VLOOKUP(E37,数值设计!$J$118:$L$121,3,FALSE)&amp;","&amp;数值设计!$F$113*VLOOKUP(E37,数值设计!$J$118:$L$121,3,FALSE)&amp;"]",IF(F37=2,"["&amp;数值设计!$F$100*VLOOKUP(E37,数值设计!$J$118:$L$121,3,FALSE)&amp;","&amp;数值设计!$F$103*VLOOKUP(E37,数值设计!$J$118:$L$121,3,FALSE)&amp;","&amp;数值设计!$F$102*VLOOKUP(E37,数值设计!$J$118:$L$121,3,FALSE)&amp;","&amp;数值设计!$F$110*VLOOKUP(E37,数值设计!$J$118:$L$121,3,FALSE)&amp;","&amp;数值设计!$F$113*VLOOKUP(E37,数值设计!$J$118:$L$121,3,FALSE)&amp;"]","["&amp;数值设计!$F$100*VLOOKUP(E37,数值设计!$J$118:$L$121,3,FALSE)&amp;","&amp;数值设计!$F$103*VLOOKUP(E37,数值设计!$J$118:$L$121,3,FALSE)&amp;","&amp;数值设计!$F$102*VLOOKUP(E37,数值设计!$J$118:$L$121,3,FALSE)&amp;","&amp;数值设计!$F$110*VLOOKUP(E37,数值设计!$J$118:$L$121,3,FALSE)&amp;","&amp;数值设计!$F$113*VLOOKUP(E37,数值设计!$J$118:$L$121,3,FALSE)&amp;"]"))</f>
        <v>[0.025,0.02,0.02,150,0.05]</v>
      </c>
      <c r="N37" s="2">
        <f t="shared" si="8"/>
        <v>3</v>
      </c>
      <c r="O37" s="2" t="str">
        <f t="shared" si="10"/>
        <v>[1,1,1,1,1]</v>
      </c>
      <c r="P37" s="2" t="str">
        <f t="shared" si="11"/>
        <v>[1,1,1,1,1]</v>
      </c>
      <c r="Q37" s="2" t="s">
        <v>358</v>
      </c>
      <c r="R37" s="2" t="str">
        <f t="shared" si="9"/>
        <v>[20,20,20,20]</v>
      </c>
    </row>
    <row r="38" spans="2:18">
      <c r="B38" s="2" t="s">
        <v>405</v>
      </c>
      <c r="C38" s="2" t="str">
        <f t="shared" si="0"/>
        <v>Gem4023</v>
      </c>
      <c r="D38" s="2" t="s">
        <v>269</v>
      </c>
      <c r="E38" s="2">
        <v>5</v>
      </c>
      <c r="F38" s="2">
        <v>3</v>
      </c>
      <c r="G38" s="2" t="str">
        <f>G37</f>
        <v>SuitDef_2</v>
      </c>
      <c r="I38" s="2" t="str">
        <f>VLOOKUP(F38,数值设计!$A$21:$I$23,9,FALSE)</f>
        <v>ATK</v>
      </c>
      <c r="J38" s="2">
        <f>INT(VLOOKUP(F38,数值设计!$B$97:$H$113,4,FALSE)*VLOOKUP(E38,数值设计!$J$118:$L$121,3,FALSE))</f>
        <v>3150</v>
      </c>
      <c r="K38" s="2">
        <f>INT(VLOOKUP(F38,数值设计!$B$97:$H$113,5,FALSE)*数值设计!$L$118*VLOOKUP(E38,数值设计!$J$118:$L$121,3,FALSE))</f>
        <v>157</v>
      </c>
      <c r="L38" s="2" t="str">
        <f t="shared" si="1"/>
        <v>[HURTRATE,UNHURTRATE,REFLECTION,ABSORPTION,ATKRATE]</v>
      </c>
      <c r="M38" s="2" t="str">
        <f>IF(F38=1,"["&amp;数值设计!$F$100*VLOOKUP(E38,数值设计!$J$118:$L$121,3,FALSE)&amp;","&amp;数值设计!$F$103*VLOOKUP(E38,数值设计!$J$118:$L$121,3,FALSE)&amp;","&amp;数值设计!$F$102*VLOOKUP(E38,数值设计!$J$118:$L$121,3,FALSE)&amp;","&amp;数值设计!$F$110*VLOOKUP(E38,数值设计!$J$118:$L$121,3,FALSE)&amp;","&amp;数值设计!$F$113*VLOOKUP(E38,数值设计!$J$118:$L$121,3,FALSE)&amp;"]",IF(F38=2,"["&amp;数值设计!$F$100*VLOOKUP(E38,数值设计!$J$118:$L$121,3,FALSE)&amp;","&amp;数值设计!$F$103*VLOOKUP(E38,数值设计!$J$118:$L$121,3,FALSE)&amp;","&amp;数值设计!$F$102*VLOOKUP(E38,数值设计!$J$118:$L$121,3,FALSE)&amp;","&amp;数值设计!$F$110*VLOOKUP(E38,数值设计!$J$118:$L$121,3,FALSE)&amp;","&amp;数值设计!$F$113*VLOOKUP(E38,数值设计!$J$118:$L$121,3,FALSE)&amp;"]","["&amp;数值设计!$F$100*VLOOKUP(E38,数值设计!$J$118:$L$121,3,FALSE)&amp;","&amp;数值设计!$F$103*VLOOKUP(E38,数值设计!$J$118:$L$121,3,FALSE)&amp;","&amp;数值设计!$F$102*VLOOKUP(E38,数值设计!$J$118:$L$121,3,FALSE)&amp;","&amp;数值设计!$F$110*VLOOKUP(E38,数值设计!$J$118:$L$121,3,FALSE)&amp;","&amp;数值设计!$F$113*VLOOKUP(E38,数值设计!$J$118:$L$121,3,FALSE)&amp;"]"))</f>
        <v>[0.025,0.02,0.02,150,0.05]</v>
      </c>
      <c r="N38" s="2">
        <f t="shared" si="8"/>
        <v>3</v>
      </c>
      <c r="O38" s="2" t="str">
        <f t="shared" si="10"/>
        <v>[1,1,1,1,1]</v>
      </c>
      <c r="P38" s="2" t="str">
        <f t="shared" si="11"/>
        <v>[1,1,1,1,1]</v>
      </c>
      <c r="Q38" s="2" t="s">
        <v>358</v>
      </c>
      <c r="R38" s="2" t="str">
        <f t="shared" si="9"/>
        <v>[20,20,20,20]</v>
      </c>
    </row>
    <row r="39" spans="2:18">
      <c r="B39" s="2" t="s">
        <v>406</v>
      </c>
      <c r="C39" s="2" t="str">
        <f t="shared" si="0"/>
        <v>Gem4031</v>
      </c>
      <c r="D39" s="2" t="s">
        <v>270</v>
      </c>
      <c r="E39" s="2">
        <v>5</v>
      </c>
      <c r="F39" s="2">
        <v>1</v>
      </c>
      <c r="G39" s="2" t="str">
        <f>B150</f>
        <v>SuitUnblock_2</v>
      </c>
      <c r="I39" s="2" t="str">
        <f>VLOOKUP(F39,数值设计!$A$21:$I$23,9,FALSE)</f>
        <v>DEF</v>
      </c>
      <c r="J39" s="2">
        <f>INT(VLOOKUP(F39,数值设计!$B$97:$H$113,4,FALSE)*VLOOKUP(E39,数值设计!$J$118:$L$121,3,FALSE))</f>
        <v>1574</v>
      </c>
      <c r="K39" s="2">
        <f>INT(VLOOKUP(F39,数值设计!$B$97:$H$113,5,FALSE)*数值设计!$L$118*VLOOKUP(E39,数值设计!$J$118:$L$121,3,FALSE))</f>
        <v>78</v>
      </c>
      <c r="L39" s="2" t="str">
        <f t="shared" si="1"/>
        <v>[CRITRATE,BLOCKRATE,UNCRITRATE,SPEED,HPRATE]</v>
      </c>
      <c r="M39" s="2" t="str">
        <f>IF(F39=1,"["&amp;数值设计!$F$100*VLOOKUP(E39,数值设计!$J$118:$L$121,3,FALSE)&amp;","&amp;数值设计!$F$103*VLOOKUP(E39,数值设计!$J$118:$L$121,3,FALSE)&amp;","&amp;数值设计!$F$102*VLOOKUP(E39,数值设计!$J$118:$L$121,3,FALSE)&amp;","&amp;数值设计!$F$110*VLOOKUP(E39,数值设计!$J$118:$L$121,3,FALSE)&amp;","&amp;数值设计!$F$113*VLOOKUP(E39,数值设计!$J$118:$L$121,3,FALSE)&amp;"]",IF(F39=2,"["&amp;数值设计!$F$100*VLOOKUP(E39,数值设计!$J$118:$L$121,3,FALSE)&amp;","&amp;数值设计!$F$103*VLOOKUP(E39,数值设计!$J$118:$L$121,3,FALSE)&amp;","&amp;数值设计!$F$102*VLOOKUP(E39,数值设计!$J$118:$L$121,3,FALSE)&amp;","&amp;数值设计!$F$110*VLOOKUP(E39,数值设计!$J$118:$L$121,3,FALSE)&amp;","&amp;数值设计!$F$113*VLOOKUP(E39,数值设计!$J$118:$L$121,3,FALSE)&amp;"]","["&amp;数值设计!$F$100*VLOOKUP(E39,数值设计!$J$118:$L$121,3,FALSE)&amp;","&amp;数值设计!$F$103*VLOOKUP(E39,数值设计!$J$118:$L$121,3,FALSE)&amp;","&amp;数值设计!$F$102*VLOOKUP(E39,数值设计!$J$118:$L$121,3,FALSE)&amp;","&amp;数值设计!$F$110*VLOOKUP(E39,数值设计!$J$118:$L$121,3,FALSE)&amp;","&amp;数值设计!$F$113*VLOOKUP(E39,数值设计!$J$118:$L$121,3,FALSE)&amp;"]"))</f>
        <v>[0.025,0.02,0.02,150,0.05]</v>
      </c>
      <c r="N39" s="2">
        <f t="shared" si="8"/>
        <v>3</v>
      </c>
      <c r="O39" s="2" t="str">
        <f t="shared" si="10"/>
        <v>[1,1,1,1,1]</v>
      </c>
      <c r="P39" s="2" t="str">
        <f t="shared" si="11"/>
        <v>[1,1,1,1,1]</v>
      </c>
      <c r="Q39" s="2" t="s">
        <v>358</v>
      </c>
      <c r="R39" s="2" t="str">
        <f t="shared" si="9"/>
        <v>[20,20,20,20]</v>
      </c>
    </row>
    <row r="40" spans="2:18">
      <c r="B40" s="2" t="s">
        <v>407</v>
      </c>
      <c r="C40" s="2" t="str">
        <f t="shared" si="0"/>
        <v>Gem4032</v>
      </c>
      <c r="D40" s="2" t="s">
        <v>271</v>
      </c>
      <c r="E40" s="2">
        <v>5</v>
      </c>
      <c r="F40" s="2">
        <v>2</v>
      </c>
      <c r="G40" s="2" t="str">
        <f>G39</f>
        <v>SuitUnblock_2</v>
      </c>
      <c r="I40" s="2" t="str">
        <f>VLOOKUP(F40,数值设计!$A$21:$I$23,9,FALSE)</f>
        <v>HP</v>
      </c>
      <c r="J40" s="2">
        <f>INT(VLOOKUP(F40,数值设计!$B$97:$H$113,4,FALSE)*VLOOKUP(E40,数值设计!$J$118:$L$121,3,FALSE))</f>
        <v>19310</v>
      </c>
      <c r="K40" s="2">
        <f>INT(VLOOKUP(F40,数值设计!$B$97:$H$113,5,FALSE)*数值设计!$L$118*VLOOKUP(E40,数值设计!$J$118:$L$121,3,FALSE))</f>
        <v>965</v>
      </c>
      <c r="L40" s="2" t="str">
        <f t="shared" si="1"/>
        <v>[CRITSTRG,BLOCKSTRG,UNBLOCKRATE,DEFRATE]</v>
      </c>
      <c r="M40" s="2" t="str">
        <f>IF(F40=1,"["&amp;数值设计!$F$100*VLOOKUP(E40,数值设计!$J$118:$L$121,3,FALSE)&amp;","&amp;数值设计!$F$103*VLOOKUP(E40,数值设计!$J$118:$L$121,3,FALSE)&amp;","&amp;数值设计!$F$102*VLOOKUP(E40,数值设计!$J$118:$L$121,3,FALSE)&amp;","&amp;数值设计!$F$110*VLOOKUP(E40,数值设计!$J$118:$L$121,3,FALSE)&amp;","&amp;数值设计!$F$113*VLOOKUP(E40,数值设计!$J$118:$L$121,3,FALSE)&amp;"]",IF(F40=2,"["&amp;数值设计!$F$100*VLOOKUP(E40,数值设计!$J$118:$L$121,3,FALSE)&amp;","&amp;数值设计!$F$103*VLOOKUP(E40,数值设计!$J$118:$L$121,3,FALSE)&amp;","&amp;数值设计!$F$102*VLOOKUP(E40,数值设计!$J$118:$L$121,3,FALSE)&amp;","&amp;数值设计!$F$110*VLOOKUP(E40,数值设计!$J$118:$L$121,3,FALSE)&amp;","&amp;数值设计!$F$113*VLOOKUP(E40,数值设计!$J$118:$L$121,3,FALSE)&amp;"]","["&amp;数值设计!$F$100*VLOOKUP(E40,数值设计!$J$118:$L$121,3,FALSE)&amp;","&amp;数值设计!$F$103*VLOOKUP(E40,数值设计!$J$118:$L$121,3,FALSE)&amp;","&amp;数值设计!$F$102*VLOOKUP(E40,数值设计!$J$118:$L$121,3,FALSE)&amp;","&amp;数值设计!$F$110*VLOOKUP(E40,数值设计!$J$118:$L$121,3,FALSE)&amp;","&amp;数值设计!$F$113*VLOOKUP(E40,数值设计!$J$118:$L$121,3,FALSE)&amp;"]"))</f>
        <v>[0.025,0.02,0.02,150,0.05]</v>
      </c>
      <c r="N40" s="2">
        <f t="shared" si="8"/>
        <v>3</v>
      </c>
      <c r="O40" s="2" t="str">
        <f t="shared" si="10"/>
        <v>[1,1,1,1,1]</v>
      </c>
      <c r="P40" s="2" t="str">
        <f t="shared" si="11"/>
        <v>[1,1,1,1,1]</v>
      </c>
      <c r="Q40" s="2" t="s">
        <v>358</v>
      </c>
      <c r="R40" s="2" t="str">
        <f t="shared" si="9"/>
        <v>[20,20,20,20]</v>
      </c>
    </row>
    <row r="41" spans="2:18">
      <c r="B41" s="2" t="s">
        <v>408</v>
      </c>
      <c r="C41" s="2" t="str">
        <f t="shared" si="0"/>
        <v>Gem4033</v>
      </c>
      <c r="D41" s="2" t="s">
        <v>272</v>
      </c>
      <c r="E41" s="2">
        <v>5</v>
      </c>
      <c r="F41" s="2">
        <v>3</v>
      </c>
      <c r="G41" s="2" t="str">
        <f>G40</f>
        <v>SuitUnblock_2</v>
      </c>
      <c r="I41" s="2" t="str">
        <f>VLOOKUP(F41,数值设计!$A$21:$I$23,9,FALSE)</f>
        <v>ATK</v>
      </c>
      <c r="J41" s="2">
        <f>INT(VLOOKUP(F41,数值设计!$B$97:$H$113,4,FALSE)*VLOOKUP(E41,数值设计!$J$118:$L$121,3,FALSE))</f>
        <v>3150</v>
      </c>
      <c r="K41" s="2">
        <f>INT(VLOOKUP(F41,数值设计!$B$97:$H$113,5,FALSE)*数值设计!$L$118*VLOOKUP(E41,数值设计!$J$118:$L$121,3,FALSE))</f>
        <v>157</v>
      </c>
      <c r="L41" s="2" t="str">
        <f t="shared" si="1"/>
        <v>[HURTRATE,UNHURTRATE,REFLECTION,ABSORPTION,ATKRATE]</v>
      </c>
      <c r="M41" s="2" t="str">
        <f>IF(F41=1,"["&amp;数值设计!$F$100*VLOOKUP(E41,数值设计!$J$118:$L$121,3,FALSE)&amp;","&amp;数值设计!$F$103*VLOOKUP(E41,数值设计!$J$118:$L$121,3,FALSE)&amp;","&amp;数值设计!$F$102*VLOOKUP(E41,数值设计!$J$118:$L$121,3,FALSE)&amp;","&amp;数值设计!$F$110*VLOOKUP(E41,数值设计!$J$118:$L$121,3,FALSE)&amp;","&amp;数值设计!$F$113*VLOOKUP(E41,数值设计!$J$118:$L$121,3,FALSE)&amp;"]",IF(F41=2,"["&amp;数值设计!$F$100*VLOOKUP(E41,数值设计!$J$118:$L$121,3,FALSE)&amp;","&amp;数值设计!$F$103*VLOOKUP(E41,数值设计!$J$118:$L$121,3,FALSE)&amp;","&amp;数值设计!$F$102*VLOOKUP(E41,数值设计!$J$118:$L$121,3,FALSE)&amp;","&amp;数值设计!$F$110*VLOOKUP(E41,数值设计!$J$118:$L$121,3,FALSE)&amp;","&amp;数值设计!$F$113*VLOOKUP(E41,数值设计!$J$118:$L$121,3,FALSE)&amp;"]","["&amp;数值设计!$F$100*VLOOKUP(E41,数值设计!$J$118:$L$121,3,FALSE)&amp;","&amp;数值设计!$F$103*VLOOKUP(E41,数值设计!$J$118:$L$121,3,FALSE)&amp;","&amp;数值设计!$F$102*VLOOKUP(E41,数值设计!$J$118:$L$121,3,FALSE)&amp;","&amp;数值设计!$F$110*VLOOKUP(E41,数值设计!$J$118:$L$121,3,FALSE)&amp;","&amp;数值设计!$F$113*VLOOKUP(E41,数值设计!$J$118:$L$121,3,FALSE)&amp;"]"))</f>
        <v>[0.025,0.02,0.02,150,0.05]</v>
      </c>
      <c r="N41" s="2">
        <f t="shared" si="8"/>
        <v>3</v>
      </c>
      <c r="O41" s="2" t="str">
        <f t="shared" si="10"/>
        <v>[1,1,1,1,1]</v>
      </c>
      <c r="P41" s="2" t="str">
        <f t="shared" si="11"/>
        <v>[1,1,1,1,1]</v>
      </c>
      <c r="Q41" s="2" t="s">
        <v>358</v>
      </c>
      <c r="R41" s="2" t="str">
        <f t="shared" si="9"/>
        <v>[20,20,20,20]</v>
      </c>
    </row>
    <row r="42" spans="2:18">
      <c r="B42" s="2" t="s">
        <v>409</v>
      </c>
      <c r="C42" s="2" t="str">
        <f t="shared" si="0"/>
        <v>Gem4041</v>
      </c>
      <c r="D42" s="2" t="s">
        <v>273</v>
      </c>
      <c r="E42" s="2">
        <v>5</v>
      </c>
      <c r="F42" s="2">
        <v>1</v>
      </c>
      <c r="G42" s="2" t="str">
        <f>B151</f>
        <v>SuitSpecial_2</v>
      </c>
      <c r="I42" s="2" t="str">
        <f>VLOOKUP(F42,数值设计!$A$21:$I$23,9,FALSE)</f>
        <v>DEF</v>
      </c>
      <c r="J42" s="2">
        <f>INT(VLOOKUP(F42,数值设计!$B$97:$H$113,4,FALSE)*VLOOKUP(E42,数值设计!$J$118:$L$121,3,FALSE))</f>
        <v>1574</v>
      </c>
      <c r="K42" s="2">
        <f>INT(VLOOKUP(F42,数值设计!$B$97:$H$113,5,FALSE)*数值设计!$L$118*VLOOKUP(E42,数值设计!$J$118:$L$121,3,FALSE))</f>
        <v>78</v>
      </c>
      <c r="L42" s="2" t="str">
        <f t="shared" si="1"/>
        <v>[CRITRATE,BLOCKRATE,UNCRITRATE,SPEED,HPRATE]</v>
      </c>
      <c r="M42" s="2" t="str">
        <f>IF(F42=1,"["&amp;数值设计!$F$100*VLOOKUP(E42,数值设计!$J$118:$L$121,3,FALSE)&amp;","&amp;数值设计!$F$103*VLOOKUP(E42,数值设计!$J$118:$L$121,3,FALSE)&amp;","&amp;数值设计!$F$102*VLOOKUP(E42,数值设计!$J$118:$L$121,3,FALSE)&amp;","&amp;数值设计!$F$110*VLOOKUP(E42,数值设计!$J$118:$L$121,3,FALSE)&amp;","&amp;数值设计!$F$113*VLOOKUP(E42,数值设计!$J$118:$L$121,3,FALSE)&amp;"]",IF(F42=2,"["&amp;数值设计!$F$100*VLOOKUP(E42,数值设计!$J$118:$L$121,3,FALSE)&amp;","&amp;数值设计!$F$103*VLOOKUP(E42,数值设计!$J$118:$L$121,3,FALSE)&amp;","&amp;数值设计!$F$102*VLOOKUP(E42,数值设计!$J$118:$L$121,3,FALSE)&amp;","&amp;数值设计!$F$110*VLOOKUP(E42,数值设计!$J$118:$L$121,3,FALSE)&amp;","&amp;数值设计!$F$113*VLOOKUP(E42,数值设计!$J$118:$L$121,3,FALSE)&amp;"]","["&amp;数值设计!$F$100*VLOOKUP(E42,数值设计!$J$118:$L$121,3,FALSE)&amp;","&amp;数值设计!$F$103*VLOOKUP(E42,数值设计!$J$118:$L$121,3,FALSE)&amp;","&amp;数值设计!$F$102*VLOOKUP(E42,数值设计!$J$118:$L$121,3,FALSE)&amp;","&amp;数值设计!$F$110*VLOOKUP(E42,数值设计!$J$118:$L$121,3,FALSE)&amp;","&amp;数值设计!$F$113*VLOOKUP(E42,数值设计!$J$118:$L$121,3,FALSE)&amp;"]"))</f>
        <v>[0.025,0.02,0.02,150,0.05]</v>
      </c>
      <c r="N42" s="2">
        <f t="shared" si="8"/>
        <v>3</v>
      </c>
      <c r="O42" s="2" t="str">
        <f t="shared" si="10"/>
        <v>[1,1,1,1,1]</v>
      </c>
      <c r="P42" s="2" t="str">
        <f t="shared" si="11"/>
        <v>[1,1,1,1,1]</v>
      </c>
      <c r="Q42" s="2" t="s">
        <v>358</v>
      </c>
      <c r="R42" s="2" t="str">
        <f t="shared" si="9"/>
        <v>[20,20,20,20]</v>
      </c>
    </row>
    <row r="43" spans="2:18">
      <c r="B43" s="2" t="s">
        <v>410</v>
      </c>
      <c r="C43" s="2" t="str">
        <f t="shared" si="0"/>
        <v>Gem4042</v>
      </c>
      <c r="D43" s="2" t="s">
        <v>274</v>
      </c>
      <c r="E43" s="2">
        <v>5</v>
      </c>
      <c r="F43" s="2">
        <v>2</v>
      </c>
      <c r="G43" s="2" t="str">
        <f>G42</f>
        <v>SuitSpecial_2</v>
      </c>
      <c r="I43" s="2" t="str">
        <f>VLOOKUP(F43,数值设计!$A$21:$I$23,9,FALSE)</f>
        <v>HP</v>
      </c>
      <c r="J43" s="2">
        <f>INT(VLOOKUP(F43,数值设计!$B$97:$H$113,4,FALSE)*VLOOKUP(E43,数值设计!$J$118:$L$121,3,FALSE))</f>
        <v>19310</v>
      </c>
      <c r="K43" s="2">
        <f>INT(VLOOKUP(F43,数值设计!$B$97:$H$113,5,FALSE)*数值设计!$L$118*VLOOKUP(E43,数值设计!$J$118:$L$121,3,FALSE))</f>
        <v>965</v>
      </c>
      <c r="L43" s="2" t="str">
        <f t="shared" si="1"/>
        <v>[CRITSTRG,BLOCKSTRG,UNBLOCKRATE,DEFRATE]</v>
      </c>
      <c r="M43" s="2" t="str">
        <f>IF(F43=1,"["&amp;数值设计!$F$100*VLOOKUP(E43,数值设计!$J$118:$L$121,3,FALSE)&amp;","&amp;数值设计!$F$103*VLOOKUP(E43,数值设计!$J$118:$L$121,3,FALSE)&amp;","&amp;数值设计!$F$102*VLOOKUP(E43,数值设计!$J$118:$L$121,3,FALSE)&amp;","&amp;数值设计!$F$110*VLOOKUP(E43,数值设计!$J$118:$L$121,3,FALSE)&amp;","&amp;数值设计!$F$113*VLOOKUP(E43,数值设计!$J$118:$L$121,3,FALSE)&amp;"]",IF(F43=2,"["&amp;数值设计!$F$100*VLOOKUP(E43,数值设计!$J$118:$L$121,3,FALSE)&amp;","&amp;数值设计!$F$103*VLOOKUP(E43,数值设计!$J$118:$L$121,3,FALSE)&amp;","&amp;数值设计!$F$102*VLOOKUP(E43,数值设计!$J$118:$L$121,3,FALSE)&amp;","&amp;数值设计!$F$110*VLOOKUP(E43,数值设计!$J$118:$L$121,3,FALSE)&amp;","&amp;数值设计!$F$113*VLOOKUP(E43,数值设计!$J$118:$L$121,3,FALSE)&amp;"]","["&amp;数值设计!$F$100*VLOOKUP(E43,数值设计!$J$118:$L$121,3,FALSE)&amp;","&amp;数值设计!$F$103*VLOOKUP(E43,数值设计!$J$118:$L$121,3,FALSE)&amp;","&amp;数值设计!$F$102*VLOOKUP(E43,数值设计!$J$118:$L$121,3,FALSE)&amp;","&amp;数值设计!$F$110*VLOOKUP(E43,数值设计!$J$118:$L$121,3,FALSE)&amp;","&amp;数值设计!$F$113*VLOOKUP(E43,数值设计!$J$118:$L$121,3,FALSE)&amp;"]"))</f>
        <v>[0.025,0.02,0.02,150,0.05]</v>
      </c>
      <c r="N43" s="2">
        <f t="shared" si="8"/>
        <v>3</v>
      </c>
      <c r="O43" s="2" t="str">
        <f t="shared" si="10"/>
        <v>[1,1,1,1,1]</v>
      </c>
      <c r="P43" s="2" t="str">
        <f t="shared" si="11"/>
        <v>[1,1,1,1,1]</v>
      </c>
      <c r="Q43" s="2" t="s">
        <v>358</v>
      </c>
      <c r="R43" s="2" t="str">
        <f t="shared" si="9"/>
        <v>[20,20,20,20]</v>
      </c>
    </row>
    <row r="44" spans="2:18">
      <c r="B44" s="2" t="s">
        <v>411</v>
      </c>
      <c r="C44" s="2" t="str">
        <f t="shared" si="0"/>
        <v>Gem4043</v>
      </c>
      <c r="D44" s="2" t="s">
        <v>275</v>
      </c>
      <c r="E44" s="2">
        <v>5</v>
      </c>
      <c r="F44" s="2">
        <v>3</v>
      </c>
      <c r="G44" s="2" t="str">
        <f>G43</f>
        <v>SuitSpecial_2</v>
      </c>
      <c r="I44" s="2" t="str">
        <f>VLOOKUP(F44,数值设计!$A$21:$I$23,9,FALSE)</f>
        <v>ATK</v>
      </c>
      <c r="J44" s="2">
        <f>INT(VLOOKUP(F44,数值设计!$B$97:$H$113,4,FALSE)*VLOOKUP(E44,数值设计!$J$118:$L$121,3,FALSE))</f>
        <v>3150</v>
      </c>
      <c r="K44" s="2">
        <f>INT(VLOOKUP(F44,数值设计!$B$97:$H$113,5,FALSE)*数值设计!$L$118*VLOOKUP(E44,数值设计!$J$118:$L$121,3,FALSE))</f>
        <v>157</v>
      </c>
      <c r="L44" s="2" t="str">
        <f t="shared" si="1"/>
        <v>[HURTRATE,UNHURTRATE,REFLECTION,ABSORPTION,ATKRATE]</v>
      </c>
      <c r="M44" s="2" t="str">
        <f>IF(F44=1,"["&amp;数值设计!$F$100*VLOOKUP(E44,数值设计!$J$118:$L$121,3,FALSE)&amp;","&amp;数值设计!$F$103*VLOOKUP(E44,数值设计!$J$118:$L$121,3,FALSE)&amp;","&amp;数值设计!$F$102*VLOOKUP(E44,数值设计!$J$118:$L$121,3,FALSE)&amp;","&amp;数值设计!$F$110*VLOOKUP(E44,数值设计!$J$118:$L$121,3,FALSE)&amp;","&amp;数值设计!$F$113*VLOOKUP(E44,数值设计!$J$118:$L$121,3,FALSE)&amp;"]",IF(F44=2,"["&amp;数值设计!$F$100*VLOOKUP(E44,数值设计!$J$118:$L$121,3,FALSE)&amp;","&amp;数值设计!$F$103*VLOOKUP(E44,数值设计!$J$118:$L$121,3,FALSE)&amp;","&amp;数值设计!$F$102*VLOOKUP(E44,数值设计!$J$118:$L$121,3,FALSE)&amp;","&amp;数值设计!$F$110*VLOOKUP(E44,数值设计!$J$118:$L$121,3,FALSE)&amp;","&amp;数值设计!$F$113*VLOOKUP(E44,数值设计!$J$118:$L$121,3,FALSE)&amp;"]","["&amp;数值设计!$F$100*VLOOKUP(E44,数值设计!$J$118:$L$121,3,FALSE)&amp;","&amp;数值设计!$F$103*VLOOKUP(E44,数值设计!$J$118:$L$121,3,FALSE)&amp;","&amp;数值设计!$F$102*VLOOKUP(E44,数值设计!$J$118:$L$121,3,FALSE)&amp;","&amp;数值设计!$F$110*VLOOKUP(E44,数值设计!$J$118:$L$121,3,FALSE)&amp;","&amp;数值设计!$F$113*VLOOKUP(E44,数值设计!$J$118:$L$121,3,FALSE)&amp;"]"))</f>
        <v>[0.025,0.02,0.02,150,0.05]</v>
      </c>
      <c r="N44" s="2">
        <f t="shared" si="8"/>
        <v>3</v>
      </c>
      <c r="O44" s="2" t="str">
        <f t="shared" si="10"/>
        <v>[1,1,1,1,1]</v>
      </c>
      <c r="P44" s="2" t="str">
        <f t="shared" si="11"/>
        <v>[1,1,1,1,1]</v>
      </c>
      <c r="Q44" s="2" t="s">
        <v>358</v>
      </c>
      <c r="R44" s="2" t="str">
        <f t="shared" si="9"/>
        <v>[20,20,20,20]</v>
      </c>
    </row>
    <row r="45" spans="2:18">
      <c r="B45" s="2" t="s">
        <v>412</v>
      </c>
      <c r="C45" s="2" t="str">
        <f t="shared" si="0"/>
        <v>Gem4051</v>
      </c>
      <c r="D45" s="2" t="s">
        <v>276</v>
      </c>
      <c r="E45" s="2">
        <v>5</v>
      </c>
      <c r="F45" s="2">
        <v>1</v>
      </c>
      <c r="G45" s="2" t="str">
        <f>B152</f>
        <v>SuitAtk_2</v>
      </c>
      <c r="I45" s="2" t="str">
        <f>VLOOKUP(F45,数值设计!$A$21:$I$23,9,FALSE)</f>
        <v>DEF</v>
      </c>
      <c r="J45" s="2">
        <f>INT(VLOOKUP(F45,数值设计!$B$97:$H$113,4,FALSE)*VLOOKUP(E45,数值设计!$J$118:$L$121,3,FALSE))</f>
        <v>1574</v>
      </c>
      <c r="K45" s="2">
        <f>INT(VLOOKUP(F45,数值设计!$B$97:$H$113,5,FALSE)*数值设计!$L$118*VLOOKUP(E45,数值设计!$J$118:$L$121,3,FALSE))</f>
        <v>78</v>
      </c>
      <c r="L45" s="2" t="str">
        <f t="shared" si="1"/>
        <v>[CRITRATE,BLOCKRATE,UNCRITRATE,SPEED,HPRATE]</v>
      </c>
      <c r="M45" s="2" t="str">
        <f>IF(F45=1,"["&amp;数值设计!$F$100*VLOOKUP(E45,数值设计!$J$118:$L$121,3,FALSE)&amp;","&amp;数值设计!$F$103*VLOOKUP(E45,数值设计!$J$118:$L$121,3,FALSE)&amp;","&amp;数值设计!$F$102*VLOOKUP(E45,数值设计!$J$118:$L$121,3,FALSE)&amp;","&amp;数值设计!$F$110*VLOOKUP(E45,数值设计!$J$118:$L$121,3,FALSE)&amp;","&amp;数值设计!$F$113*VLOOKUP(E45,数值设计!$J$118:$L$121,3,FALSE)&amp;"]",IF(F45=2,"["&amp;数值设计!$F$100*VLOOKUP(E45,数值设计!$J$118:$L$121,3,FALSE)&amp;","&amp;数值设计!$F$103*VLOOKUP(E45,数值设计!$J$118:$L$121,3,FALSE)&amp;","&amp;数值设计!$F$102*VLOOKUP(E45,数值设计!$J$118:$L$121,3,FALSE)&amp;","&amp;数值设计!$F$110*VLOOKUP(E45,数值设计!$J$118:$L$121,3,FALSE)&amp;","&amp;数值设计!$F$113*VLOOKUP(E45,数值设计!$J$118:$L$121,3,FALSE)&amp;"]","["&amp;数值设计!$F$100*VLOOKUP(E45,数值设计!$J$118:$L$121,3,FALSE)&amp;","&amp;数值设计!$F$103*VLOOKUP(E45,数值设计!$J$118:$L$121,3,FALSE)&amp;","&amp;数值设计!$F$102*VLOOKUP(E45,数值设计!$J$118:$L$121,3,FALSE)&amp;","&amp;数值设计!$F$110*VLOOKUP(E45,数值设计!$J$118:$L$121,3,FALSE)&amp;","&amp;数值设计!$F$113*VLOOKUP(E45,数值设计!$J$118:$L$121,3,FALSE)&amp;"]"))</f>
        <v>[0.025,0.02,0.02,150,0.05]</v>
      </c>
      <c r="N45" s="2">
        <f t="shared" si="8"/>
        <v>3</v>
      </c>
      <c r="O45" s="2" t="str">
        <f t="shared" si="10"/>
        <v>[1,1,1,1,1]</v>
      </c>
      <c r="P45" s="2" t="str">
        <f t="shared" si="11"/>
        <v>[1,1,1,1,1]</v>
      </c>
      <c r="Q45" s="2" t="s">
        <v>358</v>
      </c>
      <c r="R45" s="2" t="str">
        <f t="shared" si="9"/>
        <v>[20,20,20,20]</v>
      </c>
    </row>
    <row r="46" spans="2:18">
      <c r="B46" s="2" t="s">
        <v>413</v>
      </c>
      <c r="C46" s="2" t="str">
        <f t="shared" si="0"/>
        <v>Gem4052</v>
      </c>
      <c r="D46" s="2" t="s">
        <v>277</v>
      </c>
      <c r="E46" s="2">
        <v>5</v>
      </c>
      <c r="F46" s="2">
        <v>2</v>
      </c>
      <c r="G46" s="2" t="str">
        <f>G45</f>
        <v>SuitAtk_2</v>
      </c>
      <c r="I46" s="2" t="str">
        <f>VLOOKUP(F46,数值设计!$A$21:$I$23,9,FALSE)</f>
        <v>HP</v>
      </c>
      <c r="J46" s="2">
        <f>INT(VLOOKUP(F46,数值设计!$B$97:$H$113,4,FALSE)*VLOOKUP(E46,数值设计!$J$118:$L$121,3,FALSE))</f>
        <v>19310</v>
      </c>
      <c r="K46" s="2">
        <f>INT(VLOOKUP(F46,数值设计!$B$97:$H$113,5,FALSE)*数值设计!$L$118*VLOOKUP(E46,数值设计!$J$118:$L$121,3,FALSE))</f>
        <v>965</v>
      </c>
      <c r="L46" s="2" t="str">
        <f t="shared" si="1"/>
        <v>[CRITSTRG,BLOCKSTRG,UNBLOCKRATE,DEFRATE]</v>
      </c>
      <c r="M46" s="2" t="str">
        <f>IF(F46=1,"["&amp;数值设计!$F$100*VLOOKUP(E46,数值设计!$J$118:$L$121,3,FALSE)&amp;","&amp;数值设计!$F$103*VLOOKUP(E46,数值设计!$J$118:$L$121,3,FALSE)&amp;","&amp;数值设计!$F$102*VLOOKUP(E46,数值设计!$J$118:$L$121,3,FALSE)&amp;","&amp;数值设计!$F$110*VLOOKUP(E46,数值设计!$J$118:$L$121,3,FALSE)&amp;","&amp;数值设计!$F$113*VLOOKUP(E46,数值设计!$J$118:$L$121,3,FALSE)&amp;"]",IF(F46=2,"["&amp;数值设计!$F$100*VLOOKUP(E46,数值设计!$J$118:$L$121,3,FALSE)&amp;","&amp;数值设计!$F$103*VLOOKUP(E46,数值设计!$J$118:$L$121,3,FALSE)&amp;","&amp;数值设计!$F$102*VLOOKUP(E46,数值设计!$J$118:$L$121,3,FALSE)&amp;","&amp;数值设计!$F$110*VLOOKUP(E46,数值设计!$J$118:$L$121,3,FALSE)&amp;","&amp;数值设计!$F$113*VLOOKUP(E46,数值设计!$J$118:$L$121,3,FALSE)&amp;"]","["&amp;数值设计!$F$100*VLOOKUP(E46,数值设计!$J$118:$L$121,3,FALSE)&amp;","&amp;数值设计!$F$103*VLOOKUP(E46,数值设计!$J$118:$L$121,3,FALSE)&amp;","&amp;数值设计!$F$102*VLOOKUP(E46,数值设计!$J$118:$L$121,3,FALSE)&amp;","&amp;数值设计!$F$110*VLOOKUP(E46,数值设计!$J$118:$L$121,3,FALSE)&amp;","&amp;数值设计!$F$113*VLOOKUP(E46,数值设计!$J$118:$L$121,3,FALSE)&amp;"]"))</f>
        <v>[0.025,0.02,0.02,150,0.05]</v>
      </c>
      <c r="N46" s="2">
        <f t="shared" si="8"/>
        <v>3</v>
      </c>
      <c r="O46" s="2" t="str">
        <f t="shared" si="10"/>
        <v>[1,1,1,1,1]</v>
      </c>
      <c r="P46" s="2" t="str">
        <f t="shared" si="11"/>
        <v>[1,1,1,1,1]</v>
      </c>
      <c r="Q46" s="2" t="s">
        <v>358</v>
      </c>
      <c r="R46" s="2" t="str">
        <f t="shared" si="9"/>
        <v>[20,20,20,20]</v>
      </c>
    </row>
    <row r="47" spans="2:18">
      <c r="B47" s="2" t="s">
        <v>414</v>
      </c>
      <c r="C47" s="2" t="str">
        <f t="shared" si="0"/>
        <v>Gem4053</v>
      </c>
      <c r="D47" s="2" t="s">
        <v>278</v>
      </c>
      <c r="E47" s="2">
        <v>5</v>
      </c>
      <c r="F47" s="2">
        <v>3</v>
      </c>
      <c r="G47" s="2" t="str">
        <f>G46</f>
        <v>SuitAtk_2</v>
      </c>
      <c r="I47" s="2" t="str">
        <f>VLOOKUP(F47,数值设计!$A$21:$I$23,9,FALSE)</f>
        <v>ATK</v>
      </c>
      <c r="J47" s="2">
        <f>INT(VLOOKUP(F47,数值设计!$B$97:$H$113,4,FALSE)*VLOOKUP(E47,数值设计!$J$118:$L$121,3,FALSE))</f>
        <v>3150</v>
      </c>
      <c r="K47" s="2">
        <f>INT(VLOOKUP(F47,数值设计!$B$97:$H$113,5,FALSE)*数值设计!$L$118*VLOOKUP(E47,数值设计!$J$118:$L$121,3,FALSE))</f>
        <v>157</v>
      </c>
      <c r="L47" s="2" t="str">
        <f t="shared" si="1"/>
        <v>[HURTRATE,UNHURTRATE,REFLECTION,ABSORPTION,ATKRATE]</v>
      </c>
      <c r="M47" s="2" t="str">
        <f>IF(F47=1,"["&amp;数值设计!$F$100*VLOOKUP(E47,数值设计!$J$118:$L$121,3,FALSE)&amp;","&amp;数值设计!$F$103*VLOOKUP(E47,数值设计!$J$118:$L$121,3,FALSE)&amp;","&amp;数值设计!$F$102*VLOOKUP(E47,数值设计!$J$118:$L$121,3,FALSE)&amp;","&amp;数值设计!$F$110*VLOOKUP(E47,数值设计!$J$118:$L$121,3,FALSE)&amp;","&amp;数值设计!$F$113*VLOOKUP(E47,数值设计!$J$118:$L$121,3,FALSE)&amp;"]",IF(F47=2,"["&amp;数值设计!$F$100*VLOOKUP(E47,数值设计!$J$118:$L$121,3,FALSE)&amp;","&amp;数值设计!$F$103*VLOOKUP(E47,数值设计!$J$118:$L$121,3,FALSE)&amp;","&amp;数值设计!$F$102*VLOOKUP(E47,数值设计!$J$118:$L$121,3,FALSE)&amp;","&amp;数值设计!$F$110*VLOOKUP(E47,数值设计!$J$118:$L$121,3,FALSE)&amp;","&amp;数值设计!$F$113*VLOOKUP(E47,数值设计!$J$118:$L$121,3,FALSE)&amp;"]","["&amp;数值设计!$F$100*VLOOKUP(E47,数值设计!$J$118:$L$121,3,FALSE)&amp;","&amp;数值设计!$F$103*VLOOKUP(E47,数值设计!$J$118:$L$121,3,FALSE)&amp;","&amp;数值设计!$F$102*VLOOKUP(E47,数值设计!$J$118:$L$121,3,FALSE)&amp;","&amp;数值设计!$F$110*VLOOKUP(E47,数值设计!$J$118:$L$121,3,FALSE)&amp;","&amp;数值设计!$F$113*VLOOKUP(E47,数值设计!$J$118:$L$121,3,FALSE)&amp;"]"))</f>
        <v>[0.025,0.02,0.02,150,0.05]</v>
      </c>
      <c r="N47" s="2">
        <f t="shared" si="8"/>
        <v>3</v>
      </c>
      <c r="O47" s="2" t="str">
        <f t="shared" si="10"/>
        <v>[1,1,1,1,1]</v>
      </c>
      <c r="P47" s="2" t="str">
        <f t="shared" si="11"/>
        <v>[1,1,1,1,1]</v>
      </c>
      <c r="Q47" s="2" t="s">
        <v>358</v>
      </c>
      <c r="R47" s="2" t="str">
        <f t="shared" si="9"/>
        <v>[20,20,20,20]</v>
      </c>
    </row>
    <row r="50" spans="1:8">
      <c r="A50" s="2" t="s">
        <v>184</v>
      </c>
    </row>
    <row r="51" spans="1:8">
      <c r="B51" s="19" t="s">
        <v>156</v>
      </c>
      <c r="C51" s="19" t="s">
        <v>169</v>
      </c>
      <c r="D51" s="19" t="s">
        <v>172</v>
      </c>
    </row>
    <row r="52" spans="1:8">
      <c r="B52" s="20" t="s">
        <v>157</v>
      </c>
      <c r="C52" s="20" t="s">
        <v>157</v>
      </c>
      <c r="D52" s="20" t="s">
        <v>157</v>
      </c>
    </row>
    <row r="53" spans="1:8">
      <c r="B53" s="21" t="s">
        <v>158</v>
      </c>
      <c r="C53" s="21" t="s">
        <v>165</v>
      </c>
      <c r="D53" s="21" t="s">
        <v>165</v>
      </c>
    </row>
    <row r="54" spans="1:8">
      <c r="B54" s="20" t="s">
        <v>159</v>
      </c>
      <c r="C54" s="20" t="s">
        <v>167</v>
      </c>
      <c r="D54" s="20" t="s">
        <v>174</v>
      </c>
    </row>
    <row r="55" spans="1:8">
      <c r="B55" s="2">
        <v>1</v>
      </c>
      <c r="C55" s="2">
        <v>1</v>
      </c>
      <c r="D55" s="2">
        <v>2</v>
      </c>
    </row>
    <row r="56" spans="1:8">
      <c r="B56" s="2">
        <v>2</v>
      </c>
      <c r="C56" s="2">
        <v>2</v>
      </c>
      <c r="D56" s="2">
        <v>3</v>
      </c>
    </row>
    <row r="57" spans="1:8">
      <c r="B57" s="2">
        <v>3</v>
      </c>
      <c r="C57" s="2">
        <v>3</v>
      </c>
      <c r="D57" s="2">
        <v>4</v>
      </c>
    </row>
    <row r="60" spans="1:8">
      <c r="A60" s="2" t="s">
        <v>183</v>
      </c>
    </row>
    <row r="61" spans="1:8">
      <c r="B61" s="19" t="s">
        <v>279</v>
      </c>
      <c r="C61" s="19" t="s">
        <v>280</v>
      </c>
      <c r="D61" s="19" t="s">
        <v>281</v>
      </c>
      <c r="E61" s="19" t="s">
        <v>168</v>
      </c>
      <c r="F61" s="19" t="s">
        <v>282</v>
      </c>
      <c r="G61" s="19" t="s">
        <v>283</v>
      </c>
      <c r="H61" s="30"/>
    </row>
    <row r="62" spans="1:8">
      <c r="B62" s="23" t="s">
        <v>284</v>
      </c>
      <c r="C62" s="23" t="s">
        <v>284</v>
      </c>
      <c r="D62" s="23" t="s">
        <v>284</v>
      </c>
      <c r="E62" s="20" t="s">
        <v>157</v>
      </c>
      <c r="F62" s="23" t="s">
        <v>284</v>
      </c>
      <c r="G62" s="23" t="s">
        <v>284</v>
      </c>
      <c r="H62" s="23"/>
    </row>
    <row r="63" spans="1:8">
      <c r="B63" s="21" t="s">
        <v>285</v>
      </c>
      <c r="C63" s="21" t="s">
        <v>285</v>
      </c>
      <c r="D63" s="24" t="s">
        <v>198</v>
      </c>
      <c r="E63" s="21" t="s">
        <v>165</v>
      </c>
      <c r="F63" s="24" t="s">
        <v>198</v>
      </c>
      <c r="G63" s="24" t="s">
        <v>198</v>
      </c>
      <c r="H63" s="24"/>
    </row>
    <row r="64" spans="1:8">
      <c r="B64" s="20" t="s">
        <v>159</v>
      </c>
      <c r="C64" s="23" t="s">
        <v>286</v>
      </c>
      <c r="D64" s="23" t="s">
        <v>287</v>
      </c>
      <c r="E64" s="20" t="s">
        <v>166</v>
      </c>
      <c r="F64" s="23" t="s">
        <v>186</v>
      </c>
      <c r="G64" s="23" t="s">
        <v>288</v>
      </c>
      <c r="H64" s="23"/>
    </row>
    <row r="65" spans="2:7">
      <c r="B65" s="2" t="s">
        <v>289</v>
      </c>
      <c r="C65" s="2" t="str">
        <f>B66</f>
        <v>Gem1_2</v>
      </c>
      <c r="D65" s="2">
        <v>1</v>
      </c>
      <c r="E65" s="2">
        <v>2</v>
      </c>
      <c r="F65" s="2">
        <f>CEILING(VLOOKUP(E65,数值设计!$M$62:$O$65,3,FALSE)*VLOOKUP(D65,数值设计!$Q$62:$S$75,2,FALSE),50)</f>
        <v>1400</v>
      </c>
      <c r="G65" s="2">
        <f>F65</f>
        <v>1400</v>
      </c>
    </row>
    <row r="66" spans="2:7">
      <c r="B66" s="2" t="s">
        <v>290</v>
      </c>
      <c r="C66" s="2" t="str">
        <f t="shared" ref="C66:C78" si="12">B67</f>
        <v>Gem1_3</v>
      </c>
      <c r="D66" s="2">
        <v>2</v>
      </c>
      <c r="E66" s="2">
        <v>2</v>
      </c>
      <c r="F66" s="2">
        <f>CEILING(VLOOKUP(E66,数值设计!$M$62:$O$65,3,FALSE)*VLOOKUP(D66,数值设计!$Q$62:$S$75,2,FALSE),50)</f>
        <v>2100</v>
      </c>
      <c r="G66" s="2">
        <f t="shared" ref="G66:G79" si="13">F66+G65</f>
        <v>3500</v>
      </c>
    </row>
    <row r="67" spans="2:7">
      <c r="B67" s="2" t="s">
        <v>291</v>
      </c>
      <c r="C67" s="2" t="str">
        <f t="shared" si="12"/>
        <v>Gem1_4</v>
      </c>
      <c r="D67" s="2">
        <v>3</v>
      </c>
      <c r="E67" s="2">
        <v>2</v>
      </c>
      <c r="F67" s="2">
        <f>CEILING(VLOOKUP(E67,数值设计!$M$62:$O$65,3,FALSE)*VLOOKUP(D67,数值设计!$Q$62:$S$75,2,FALSE),50)</f>
        <v>2750</v>
      </c>
      <c r="G67" s="2">
        <f t="shared" si="13"/>
        <v>6250</v>
      </c>
    </row>
    <row r="68" spans="2:7">
      <c r="B68" s="2" t="s">
        <v>292</v>
      </c>
      <c r="C68" s="2" t="str">
        <f t="shared" si="12"/>
        <v>Gem1_5</v>
      </c>
      <c r="D68" s="2">
        <v>4</v>
      </c>
      <c r="E68" s="2">
        <v>2</v>
      </c>
      <c r="F68" s="2">
        <f>CEILING(VLOOKUP(E68,数值设计!$M$62:$O$65,3,FALSE)*VLOOKUP(D68,数值设计!$Q$62:$S$75,2,FALSE),50)</f>
        <v>3450</v>
      </c>
      <c r="G68" s="2">
        <f t="shared" si="13"/>
        <v>9700</v>
      </c>
    </row>
    <row r="69" spans="2:7">
      <c r="B69" s="2" t="s">
        <v>293</v>
      </c>
      <c r="C69" s="2" t="str">
        <f t="shared" si="12"/>
        <v>Gem1_6</v>
      </c>
      <c r="D69" s="2">
        <v>5</v>
      </c>
      <c r="E69" s="2">
        <v>2</v>
      </c>
      <c r="F69" s="2">
        <f>CEILING(VLOOKUP(E69,数值设计!$M$62:$O$65,3,FALSE)*VLOOKUP(D69,数值设计!$Q$62:$S$75,2,FALSE),50)</f>
        <v>4150</v>
      </c>
      <c r="G69" s="2">
        <f t="shared" si="13"/>
        <v>13850</v>
      </c>
    </row>
    <row r="70" spans="2:7">
      <c r="B70" s="2" t="s">
        <v>294</v>
      </c>
      <c r="C70" s="2" t="str">
        <f t="shared" si="12"/>
        <v>Gem1_7</v>
      </c>
      <c r="D70" s="2">
        <v>6</v>
      </c>
      <c r="E70" s="2">
        <v>2</v>
      </c>
      <c r="F70" s="2">
        <f>CEILING(VLOOKUP(E70,数值设计!$M$62:$O$65,3,FALSE)*VLOOKUP(D70,数值设计!$Q$62:$S$75,2,FALSE),50)</f>
        <v>4850</v>
      </c>
      <c r="G70" s="2">
        <f t="shared" si="13"/>
        <v>18700</v>
      </c>
    </row>
    <row r="71" spans="2:7">
      <c r="B71" s="2" t="s">
        <v>295</v>
      </c>
      <c r="C71" s="2" t="str">
        <f t="shared" si="12"/>
        <v>Gem1_8</v>
      </c>
      <c r="D71" s="2">
        <v>7</v>
      </c>
      <c r="E71" s="2">
        <v>2</v>
      </c>
      <c r="F71" s="2">
        <f>CEILING(VLOOKUP(E71,数值设计!$M$62:$O$65,3,FALSE)*VLOOKUP(D71,数值设计!$Q$62:$S$75,2,FALSE),50)</f>
        <v>5500</v>
      </c>
      <c r="G71" s="2">
        <f t="shared" si="13"/>
        <v>24200</v>
      </c>
    </row>
    <row r="72" spans="2:7">
      <c r="B72" s="2" t="s">
        <v>296</v>
      </c>
      <c r="C72" s="2" t="str">
        <f t="shared" si="12"/>
        <v>Gem1_9</v>
      </c>
      <c r="D72" s="2">
        <v>8</v>
      </c>
      <c r="E72" s="2">
        <v>2</v>
      </c>
      <c r="F72" s="2">
        <f>CEILING(VLOOKUP(E72,数值设计!$M$62:$O$65,3,FALSE)*VLOOKUP(D72,数值设计!$Q$62:$S$75,2,FALSE),50)</f>
        <v>6200</v>
      </c>
      <c r="G72" s="2">
        <f t="shared" si="13"/>
        <v>30400</v>
      </c>
    </row>
    <row r="73" spans="2:7">
      <c r="B73" s="2" t="s">
        <v>297</v>
      </c>
      <c r="C73" s="2" t="str">
        <f t="shared" si="12"/>
        <v>Gem1_10</v>
      </c>
      <c r="D73" s="2">
        <v>9</v>
      </c>
      <c r="E73" s="2">
        <v>2</v>
      </c>
      <c r="F73" s="2">
        <f>CEILING(VLOOKUP(E73,数值设计!$M$62:$O$65,3,FALSE)*VLOOKUP(D73,数值设计!$Q$62:$S$75,2,FALSE),50)</f>
        <v>6900</v>
      </c>
      <c r="G73" s="2">
        <f t="shared" si="13"/>
        <v>37300</v>
      </c>
    </row>
    <row r="74" spans="2:7">
      <c r="B74" s="2" t="s">
        <v>298</v>
      </c>
      <c r="C74" s="2" t="str">
        <f t="shared" si="12"/>
        <v>Gem1_11</v>
      </c>
      <c r="D74" s="2">
        <v>10</v>
      </c>
      <c r="E74" s="2">
        <v>2</v>
      </c>
      <c r="F74" s="2">
        <f>CEILING(VLOOKUP(E74,数值设计!$M$62:$O$65,3,FALSE)*VLOOKUP(D74,数值设计!$Q$62:$S$75,2,FALSE),50)</f>
        <v>7600</v>
      </c>
      <c r="G74" s="2">
        <f t="shared" si="13"/>
        <v>44900</v>
      </c>
    </row>
    <row r="75" spans="2:7">
      <c r="B75" s="2" t="s">
        <v>299</v>
      </c>
      <c r="C75" s="2" t="str">
        <f t="shared" si="12"/>
        <v>Gem1_12</v>
      </c>
      <c r="D75" s="2">
        <v>11</v>
      </c>
      <c r="E75" s="2">
        <v>2</v>
      </c>
      <c r="F75" s="2">
        <f>CEILING(VLOOKUP(E75,数值设计!$M$62:$O$65,3,FALSE)*VLOOKUP(D75,数值设计!$Q$62:$S$75,2,FALSE),50)</f>
        <v>8250</v>
      </c>
      <c r="G75" s="2">
        <f t="shared" si="13"/>
        <v>53150</v>
      </c>
    </row>
    <row r="76" spans="2:7">
      <c r="B76" s="2" t="s">
        <v>300</v>
      </c>
      <c r="C76" s="2" t="str">
        <f t="shared" si="12"/>
        <v>Gem1_13</v>
      </c>
      <c r="D76" s="2">
        <v>12</v>
      </c>
      <c r="E76" s="2">
        <v>2</v>
      </c>
      <c r="F76" s="2">
        <f>CEILING(VLOOKUP(E76,数值设计!$M$62:$O$65,3,FALSE)*VLOOKUP(D76,数值设计!$Q$62:$S$75,2,FALSE),50)</f>
        <v>8950</v>
      </c>
      <c r="G76" s="2">
        <f t="shared" si="13"/>
        <v>62100</v>
      </c>
    </row>
    <row r="77" spans="2:7">
      <c r="B77" s="2" t="s">
        <v>301</v>
      </c>
      <c r="C77" s="2" t="str">
        <f t="shared" si="12"/>
        <v>Gem1_14</v>
      </c>
      <c r="D77" s="2">
        <v>13</v>
      </c>
      <c r="E77" s="2">
        <v>2</v>
      </c>
      <c r="F77" s="2">
        <f>CEILING(VLOOKUP(E77,数值设计!$M$62:$O$65,3,FALSE)*VLOOKUP(D77,数值设计!$Q$62:$S$75,2,FALSE),50)</f>
        <v>9650</v>
      </c>
      <c r="G77" s="2">
        <f t="shared" si="13"/>
        <v>71750</v>
      </c>
    </row>
    <row r="78" spans="2:7">
      <c r="B78" s="2" t="s">
        <v>302</v>
      </c>
      <c r="C78" s="2" t="str">
        <f t="shared" si="12"/>
        <v>Gem1_15</v>
      </c>
      <c r="D78" s="2">
        <v>14</v>
      </c>
      <c r="E78" s="2">
        <v>2</v>
      </c>
      <c r="F78" s="2">
        <f>CEILING(VLOOKUP(E78,数值设计!$M$62:$O$65,3,FALSE)*VLOOKUP(D78,数值设计!$Q$62:$S$75,2,FALSE),50)</f>
        <v>10350</v>
      </c>
      <c r="G78" s="2">
        <f t="shared" si="13"/>
        <v>82100</v>
      </c>
    </row>
    <row r="79" spans="2:7">
      <c r="B79" s="2" t="s">
        <v>303</v>
      </c>
      <c r="D79" s="2">
        <v>15</v>
      </c>
      <c r="E79" s="2">
        <v>2</v>
      </c>
      <c r="F79" s="2">
        <f>F78+(F78-F77)</f>
        <v>11050</v>
      </c>
      <c r="G79" s="2">
        <f t="shared" si="13"/>
        <v>93150</v>
      </c>
    </row>
    <row r="80" spans="2:7">
      <c r="B80" s="2" t="s">
        <v>304</v>
      </c>
      <c r="C80" s="2" t="str">
        <f>B81</f>
        <v>Gem2_2</v>
      </c>
      <c r="D80" s="2">
        <v>1</v>
      </c>
      <c r="E80" s="2">
        <f>E65+1</f>
        <v>3</v>
      </c>
      <c r="F80" s="2">
        <f>CEILING(VLOOKUP(E80,数值设计!$M$62:$O$65,3,FALSE)*VLOOKUP(D80,数值设计!$Q$62:$S$75,2,FALSE),50)</f>
        <v>1750</v>
      </c>
      <c r="G80" s="2">
        <f>F80</f>
        <v>1750</v>
      </c>
    </row>
    <row r="81" spans="2:7">
      <c r="B81" s="2" t="s">
        <v>305</v>
      </c>
      <c r="C81" s="2" t="str">
        <f t="shared" ref="C81:C124" si="14">B82</f>
        <v>Gem2_3</v>
      </c>
      <c r="D81" s="2">
        <v>2</v>
      </c>
      <c r="E81" s="2">
        <f t="shared" ref="E81:E124" si="15">E66+1</f>
        <v>3</v>
      </c>
      <c r="F81" s="2">
        <f>CEILING(VLOOKUP(E81,数值设计!$M$62:$O$65,3,FALSE)*VLOOKUP(D81,数值设计!$Q$62:$S$75,2,FALSE),50)</f>
        <v>2650</v>
      </c>
      <c r="G81" s="2">
        <f t="shared" ref="G81:G94" si="16">F81+G80</f>
        <v>4400</v>
      </c>
    </row>
    <row r="82" spans="2:7">
      <c r="B82" s="2" t="s">
        <v>306</v>
      </c>
      <c r="C82" s="2" t="str">
        <f t="shared" si="14"/>
        <v>Gem2_4</v>
      </c>
      <c r="D82" s="2">
        <v>3</v>
      </c>
      <c r="E82" s="2">
        <f t="shared" si="15"/>
        <v>3</v>
      </c>
      <c r="F82" s="2">
        <f>CEILING(VLOOKUP(E82,数值设计!$M$62:$O$65,3,FALSE)*VLOOKUP(D82,数值设计!$Q$62:$S$75,2,FALSE),50)</f>
        <v>3500</v>
      </c>
      <c r="G82" s="2">
        <f t="shared" si="16"/>
        <v>7900</v>
      </c>
    </row>
    <row r="83" spans="2:7">
      <c r="B83" s="2" t="s">
        <v>307</v>
      </c>
      <c r="C83" s="2" t="str">
        <f t="shared" si="14"/>
        <v>Gem2_5</v>
      </c>
      <c r="D83" s="2">
        <v>4</v>
      </c>
      <c r="E83" s="2">
        <f t="shared" si="15"/>
        <v>3</v>
      </c>
      <c r="F83" s="2">
        <f>CEILING(VLOOKUP(E83,数值设计!$M$62:$O$65,3,FALSE)*VLOOKUP(D83,数值设计!$Q$62:$S$75,2,FALSE),50)</f>
        <v>4400</v>
      </c>
      <c r="G83" s="2">
        <f t="shared" si="16"/>
        <v>12300</v>
      </c>
    </row>
    <row r="84" spans="2:7">
      <c r="B84" s="2" t="s">
        <v>308</v>
      </c>
      <c r="C84" s="2" t="str">
        <f t="shared" si="14"/>
        <v>Gem2_6</v>
      </c>
      <c r="D84" s="2">
        <v>5</v>
      </c>
      <c r="E84" s="2">
        <f t="shared" si="15"/>
        <v>3</v>
      </c>
      <c r="F84" s="2">
        <f>CEILING(VLOOKUP(E84,数值设计!$M$62:$O$65,3,FALSE)*VLOOKUP(D84,数值设计!$Q$62:$S$75,2,FALSE),50)</f>
        <v>5250</v>
      </c>
      <c r="G84" s="2">
        <f t="shared" si="16"/>
        <v>17550</v>
      </c>
    </row>
    <row r="85" spans="2:7">
      <c r="B85" s="2" t="s">
        <v>309</v>
      </c>
      <c r="C85" s="2" t="str">
        <f t="shared" si="14"/>
        <v>Gem2_7</v>
      </c>
      <c r="D85" s="2">
        <v>6</v>
      </c>
      <c r="E85" s="2">
        <f t="shared" si="15"/>
        <v>3</v>
      </c>
      <c r="F85" s="2">
        <f>CEILING(VLOOKUP(E85,数值设计!$M$62:$O$65,3,FALSE)*VLOOKUP(D85,数值设计!$Q$62:$S$75,2,FALSE),50)</f>
        <v>6150</v>
      </c>
      <c r="G85" s="2">
        <f t="shared" si="16"/>
        <v>23700</v>
      </c>
    </row>
    <row r="86" spans="2:7">
      <c r="B86" s="2" t="s">
        <v>310</v>
      </c>
      <c r="C86" s="2" t="str">
        <f t="shared" si="14"/>
        <v>Gem2_8</v>
      </c>
      <c r="D86" s="2">
        <v>7</v>
      </c>
      <c r="E86" s="2">
        <f t="shared" si="15"/>
        <v>3</v>
      </c>
      <c r="F86" s="2">
        <f>CEILING(VLOOKUP(E86,数值设计!$M$62:$O$65,3,FALSE)*VLOOKUP(D86,数值设计!$Q$62:$S$75,2,FALSE),50)</f>
        <v>7000</v>
      </c>
      <c r="G86" s="2">
        <f t="shared" si="16"/>
        <v>30700</v>
      </c>
    </row>
    <row r="87" spans="2:7">
      <c r="B87" s="2" t="s">
        <v>311</v>
      </c>
      <c r="C87" s="2" t="str">
        <f t="shared" si="14"/>
        <v>Gem2_9</v>
      </c>
      <c r="D87" s="2">
        <v>8</v>
      </c>
      <c r="E87" s="2">
        <f t="shared" si="15"/>
        <v>3</v>
      </c>
      <c r="F87" s="2">
        <f>CEILING(VLOOKUP(E87,数值设计!$M$62:$O$65,3,FALSE)*VLOOKUP(D87,数值设计!$Q$62:$S$75,2,FALSE),50)</f>
        <v>7900</v>
      </c>
      <c r="G87" s="2">
        <f t="shared" si="16"/>
        <v>38600</v>
      </c>
    </row>
    <row r="88" spans="2:7">
      <c r="B88" s="2" t="s">
        <v>312</v>
      </c>
      <c r="C88" s="2" t="str">
        <f t="shared" si="14"/>
        <v>Gem2_10</v>
      </c>
      <c r="D88" s="2">
        <v>9</v>
      </c>
      <c r="E88" s="2">
        <f t="shared" si="15"/>
        <v>3</v>
      </c>
      <c r="F88" s="2">
        <f>CEILING(VLOOKUP(E88,数值设计!$M$62:$O$65,3,FALSE)*VLOOKUP(D88,数值设计!$Q$62:$S$75,2,FALSE),50)</f>
        <v>8750</v>
      </c>
      <c r="G88" s="2">
        <f t="shared" si="16"/>
        <v>47350</v>
      </c>
    </row>
    <row r="89" spans="2:7">
      <c r="B89" s="2" t="s">
        <v>313</v>
      </c>
      <c r="C89" s="2" t="str">
        <f t="shared" si="14"/>
        <v>Gem2_11</v>
      </c>
      <c r="D89" s="2">
        <v>10</v>
      </c>
      <c r="E89" s="2">
        <f t="shared" si="15"/>
        <v>3</v>
      </c>
      <c r="F89" s="2">
        <f>CEILING(VLOOKUP(E89,数值设计!$M$62:$O$65,3,FALSE)*VLOOKUP(D89,数值设计!$Q$62:$S$75,2,FALSE),50)</f>
        <v>9650</v>
      </c>
      <c r="G89" s="2">
        <f t="shared" si="16"/>
        <v>57000</v>
      </c>
    </row>
    <row r="90" spans="2:7">
      <c r="B90" s="2" t="s">
        <v>314</v>
      </c>
      <c r="C90" s="2" t="str">
        <f t="shared" si="14"/>
        <v>Gem2_12</v>
      </c>
      <c r="D90" s="2">
        <v>11</v>
      </c>
      <c r="E90" s="2">
        <f t="shared" si="15"/>
        <v>3</v>
      </c>
      <c r="F90" s="2">
        <f>CEILING(VLOOKUP(E90,数值设计!$M$62:$O$65,3,FALSE)*VLOOKUP(D90,数值设计!$Q$62:$S$75,2,FALSE),50)</f>
        <v>10500</v>
      </c>
      <c r="G90" s="2">
        <f t="shared" si="16"/>
        <v>67500</v>
      </c>
    </row>
    <row r="91" spans="2:7">
      <c r="B91" s="2" t="s">
        <v>315</v>
      </c>
      <c r="C91" s="2" t="str">
        <f t="shared" si="14"/>
        <v>Gem2_13</v>
      </c>
      <c r="D91" s="2">
        <v>12</v>
      </c>
      <c r="E91" s="2">
        <f t="shared" si="15"/>
        <v>3</v>
      </c>
      <c r="F91" s="2">
        <f>CEILING(VLOOKUP(E91,数值设计!$M$62:$O$65,3,FALSE)*VLOOKUP(D91,数值设计!$Q$62:$S$75,2,FALSE),50)</f>
        <v>11400</v>
      </c>
      <c r="G91" s="2">
        <f t="shared" si="16"/>
        <v>78900</v>
      </c>
    </row>
    <row r="92" spans="2:7">
      <c r="B92" s="2" t="s">
        <v>316</v>
      </c>
      <c r="C92" s="2" t="str">
        <f t="shared" si="14"/>
        <v>Gem2_14</v>
      </c>
      <c r="D92" s="2">
        <v>13</v>
      </c>
      <c r="E92" s="2">
        <f t="shared" si="15"/>
        <v>3</v>
      </c>
      <c r="F92" s="2">
        <f>CEILING(VLOOKUP(E92,数值设计!$M$62:$O$65,3,FALSE)*VLOOKUP(D92,数值设计!$Q$62:$S$75,2,FALSE),50)</f>
        <v>12250</v>
      </c>
      <c r="G92" s="2">
        <f t="shared" si="16"/>
        <v>91150</v>
      </c>
    </row>
    <row r="93" spans="2:7">
      <c r="B93" s="2" t="s">
        <v>317</v>
      </c>
      <c r="C93" s="2" t="str">
        <f t="shared" si="14"/>
        <v>Gem2_15</v>
      </c>
      <c r="D93" s="2">
        <v>14</v>
      </c>
      <c r="E93" s="2">
        <f t="shared" si="15"/>
        <v>3</v>
      </c>
      <c r="F93" s="2">
        <f>CEILING(VLOOKUP(E93,数值设计!$M$62:$O$65,3,FALSE)*VLOOKUP(D93,数值设计!$Q$62:$S$75,2,FALSE),50)</f>
        <v>13150</v>
      </c>
      <c r="G93" s="2">
        <f t="shared" si="16"/>
        <v>104300</v>
      </c>
    </row>
    <row r="94" spans="2:7">
      <c r="B94" s="2" t="s">
        <v>318</v>
      </c>
      <c r="D94" s="2">
        <v>15</v>
      </c>
      <c r="E94" s="2">
        <f t="shared" si="15"/>
        <v>3</v>
      </c>
      <c r="F94" s="2">
        <f>F93+(F93-F92)</f>
        <v>14050</v>
      </c>
      <c r="G94" s="2">
        <f t="shared" si="16"/>
        <v>118350</v>
      </c>
    </row>
    <row r="95" spans="2:7">
      <c r="B95" s="2" t="s">
        <v>319</v>
      </c>
      <c r="C95" s="2" t="str">
        <f t="shared" si="14"/>
        <v>Gem3_2</v>
      </c>
      <c r="D95" s="2">
        <v>1</v>
      </c>
      <c r="E95" s="2">
        <f t="shared" si="15"/>
        <v>4</v>
      </c>
      <c r="F95" s="2">
        <f>CEILING(VLOOKUP(E95,数值设计!$M$62:$O$65,3,FALSE)*VLOOKUP(D95,数值设计!$Q$62:$S$75,2,FALSE),50)</f>
        <v>2150</v>
      </c>
      <c r="G95" s="2">
        <f>F95</f>
        <v>2150</v>
      </c>
    </row>
    <row r="96" spans="2:7">
      <c r="B96" s="2" t="s">
        <v>320</v>
      </c>
      <c r="C96" s="2" t="str">
        <f t="shared" si="14"/>
        <v>Gem3_3</v>
      </c>
      <c r="D96" s="2">
        <v>2</v>
      </c>
      <c r="E96" s="2">
        <f t="shared" si="15"/>
        <v>4</v>
      </c>
      <c r="F96" s="2">
        <f>CEILING(VLOOKUP(E96,数值设计!$M$62:$O$65,3,FALSE)*VLOOKUP(D96,数值设计!$Q$62:$S$75,2,FALSE),50)</f>
        <v>3200</v>
      </c>
      <c r="G96" s="2">
        <f t="shared" ref="G96:G109" si="17">F96+G95</f>
        <v>5350</v>
      </c>
    </row>
    <row r="97" spans="2:7">
      <c r="B97" s="2" t="s">
        <v>321</v>
      </c>
      <c r="C97" s="2" t="str">
        <f t="shared" si="14"/>
        <v>Gem3_4</v>
      </c>
      <c r="D97" s="2">
        <v>3</v>
      </c>
      <c r="E97" s="2">
        <f t="shared" si="15"/>
        <v>4</v>
      </c>
      <c r="F97" s="2">
        <f>CEILING(VLOOKUP(E97,数值设计!$M$62:$O$65,3,FALSE)*VLOOKUP(D97,数值设计!$Q$62:$S$75,2,FALSE),50)</f>
        <v>4250</v>
      </c>
      <c r="G97" s="2">
        <f t="shared" si="17"/>
        <v>9600</v>
      </c>
    </row>
    <row r="98" spans="2:7">
      <c r="B98" s="2" t="s">
        <v>322</v>
      </c>
      <c r="C98" s="2" t="str">
        <f t="shared" si="14"/>
        <v>Gem3_5</v>
      </c>
      <c r="D98" s="2">
        <v>4</v>
      </c>
      <c r="E98" s="2">
        <f t="shared" si="15"/>
        <v>4</v>
      </c>
      <c r="F98" s="2">
        <f>CEILING(VLOOKUP(E98,数值设计!$M$62:$O$65,3,FALSE)*VLOOKUP(D98,数值设计!$Q$62:$S$75,2,FALSE),50)</f>
        <v>5350</v>
      </c>
      <c r="G98" s="2">
        <f t="shared" si="17"/>
        <v>14950</v>
      </c>
    </row>
    <row r="99" spans="2:7">
      <c r="B99" s="2" t="s">
        <v>323</v>
      </c>
      <c r="C99" s="2" t="str">
        <f t="shared" si="14"/>
        <v>Gem3_6</v>
      </c>
      <c r="D99" s="2">
        <v>5</v>
      </c>
      <c r="E99" s="2">
        <f t="shared" si="15"/>
        <v>4</v>
      </c>
      <c r="F99" s="2">
        <f>CEILING(VLOOKUP(E99,数值设计!$M$62:$O$65,3,FALSE)*VLOOKUP(D99,数值设计!$Q$62:$S$75,2,FALSE),50)</f>
        <v>6400</v>
      </c>
      <c r="G99" s="2">
        <f t="shared" si="17"/>
        <v>21350</v>
      </c>
    </row>
    <row r="100" spans="2:7">
      <c r="B100" s="2" t="s">
        <v>324</v>
      </c>
      <c r="C100" s="2" t="str">
        <f t="shared" si="14"/>
        <v>Gem3_7</v>
      </c>
      <c r="D100" s="2">
        <v>6</v>
      </c>
      <c r="E100" s="2">
        <f t="shared" si="15"/>
        <v>4</v>
      </c>
      <c r="F100" s="2">
        <f>CEILING(VLOOKUP(E100,数值设计!$M$62:$O$65,3,FALSE)*VLOOKUP(D100,数值设计!$Q$62:$S$75,2,FALSE),50)</f>
        <v>7450</v>
      </c>
      <c r="G100" s="2">
        <f t="shared" si="17"/>
        <v>28800</v>
      </c>
    </row>
    <row r="101" spans="2:7">
      <c r="B101" s="2" t="s">
        <v>325</v>
      </c>
      <c r="C101" s="2" t="str">
        <f t="shared" si="14"/>
        <v>Gem3_8</v>
      </c>
      <c r="D101" s="2">
        <v>7</v>
      </c>
      <c r="E101" s="2">
        <f t="shared" si="15"/>
        <v>4</v>
      </c>
      <c r="F101" s="2">
        <f>CEILING(VLOOKUP(E101,数值设计!$M$62:$O$65,3,FALSE)*VLOOKUP(D101,数值设计!$Q$62:$S$75,2,FALSE),50)</f>
        <v>8500</v>
      </c>
      <c r="G101" s="2">
        <f t="shared" si="17"/>
        <v>37300</v>
      </c>
    </row>
    <row r="102" spans="2:7">
      <c r="B102" s="2" t="s">
        <v>326</v>
      </c>
      <c r="C102" s="2" t="str">
        <f t="shared" si="14"/>
        <v>Gem3_9</v>
      </c>
      <c r="D102" s="2">
        <v>8</v>
      </c>
      <c r="E102" s="2">
        <f t="shared" si="15"/>
        <v>4</v>
      </c>
      <c r="F102" s="2">
        <f>CEILING(VLOOKUP(E102,数值设计!$M$62:$O$65,3,FALSE)*VLOOKUP(D102,数值设计!$Q$62:$S$75,2,FALSE),50)</f>
        <v>9600</v>
      </c>
      <c r="G102" s="2">
        <f t="shared" si="17"/>
        <v>46900</v>
      </c>
    </row>
    <row r="103" spans="2:7">
      <c r="B103" s="2" t="s">
        <v>327</v>
      </c>
      <c r="C103" s="2" t="str">
        <f t="shared" si="14"/>
        <v>Gem3_10</v>
      </c>
      <c r="D103" s="2">
        <v>9</v>
      </c>
      <c r="E103" s="2">
        <f t="shared" si="15"/>
        <v>4</v>
      </c>
      <c r="F103" s="2">
        <f>CEILING(VLOOKUP(E103,数值设计!$M$62:$O$65,3,FALSE)*VLOOKUP(D103,数值设计!$Q$62:$S$75,2,FALSE),50)</f>
        <v>10650</v>
      </c>
      <c r="G103" s="2">
        <f t="shared" si="17"/>
        <v>57550</v>
      </c>
    </row>
    <row r="104" spans="2:7">
      <c r="B104" s="2" t="s">
        <v>328</v>
      </c>
      <c r="C104" s="2" t="str">
        <f t="shared" si="14"/>
        <v>Gem3_11</v>
      </c>
      <c r="D104" s="2">
        <v>10</v>
      </c>
      <c r="E104" s="2">
        <f t="shared" si="15"/>
        <v>4</v>
      </c>
      <c r="F104" s="2">
        <f>CEILING(VLOOKUP(E104,数值设计!$M$62:$O$65,3,FALSE)*VLOOKUP(D104,数值设计!$Q$62:$S$75,2,FALSE),50)</f>
        <v>11700</v>
      </c>
      <c r="G104" s="2">
        <f t="shared" si="17"/>
        <v>69250</v>
      </c>
    </row>
    <row r="105" spans="2:7">
      <c r="B105" s="2" t="s">
        <v>329</v>
      </c>
      <c r="C105" s="2" t="str">
        <f t="shared" si="14"/>
        <v>Gem3_12</v>
      </c>
      <c r="D105" s="2">
        <v>11</v>
      </c>
      <c r="E105" s="2">
        <f t="shared" si="15"/>
        <v>4</v>
      </c>
      <c r="F105" s="2">
        <f>CEILING(VLOOKUP(E105,数值设计!$M$62:$O$65,3,FALSE)*VLOOKUP(D105,数值设计!$Q$62:$S$75,2,FALSE),50)</f>
        <v>12750</v>
      </c>
      <c r="G105" s="2">
        <f t="shared" si="17"/>
        <v>82000</v>
      </c>
    </row>
    <row r="106" spans="2:7">
      <c r="B106" s="2" t="s">
        <v>330</v>
      </c>
      <c r="C106" s="2" t="str">
        <f t="shared" si="14"/>
        <v>Gem3_13</v>
      </c>
      <c r="D106" s="2">
        <v>12</v>
      </c>
      <c r="E106" s="2">
        <f t="shared" si="15"/>
        <v>4</v>
      </c>
      <c r="F106" s="2">
        <f>CEILING(VLOOKUP(E106,数值设计!$M$62:$O$65,3,FALSE)*VLOOKUP(D106,数值设计!$Q$62:$S$75,2,FALSE),50)</f>
        <v>13850</v>
      </c>
      <c r="G106" s="2">
        <f t="shared" si="17"/>
        <v>95850</v>
      </c>
    </row>
    <row r="107" spans="2:7">
      <c r="B107" s="2" t="s">
        <v>331</v>
      </c>
      <c r="C107" s="2" t="str">
        <f t="shared" si="14"/>
        <v>Gem3_14</v>
      </c>
      <c r="D107" s="2">
        <v>13</v>
      </c>
      <c r="E107" s="2">
        <f t="shared" si="15"/>
        <v>4</v>
      </c>
      <c r="F107" s="2">
        <f>CEILING(VLOOKUP(E107,数值设计!$M$62:$O$65,3,FALSE)*VLOOKUP(D107,数值设计!$Q$62:$S$75,2,FALSE),50)</f>
        <v>14900</v>
      </c>
      <c r="G107" s="2">
        <f t="shared" si="17"/>
        <v>110750</v>
      </c>
    </row>
    <row r="108" spans="2:7">
      <c r="B108" s="2" t="s">
        <v>332</v>
      </c>
      <c r="C108" s="2" t="str">
        <f t="shared" si="14"/>
        <v>Gem3_15</v>
      </c>
      <c r="D108" s="2">
        <v>14</v>
      </c>
      <c r="E108" s="2">
        <f t="shared" si="15"/>
        <v>4</v>
      </c>
      <c r="F108" s="2">
        <f>CEILING(VLOOKUP(E108,数值设计!$M$62:$O$65,3,FALSE)*VLOOKUP(D108,数值设计!$Q$62:$S$75,2,FALSE),50)</f>
        <v>15950</v>
      </c>
      <c r="G108" s="2">
        <f t="shared" si="17"/>
        <v>126700</v>
      </c>
    </row>
    <row r="109" spans="2:7">
      <c r="B109" s="2" t="s">
        <v>333</v>
      </c>
      <c r="D109" s="2">
        <v>15</v>
      </c>
      <c r="E109" s="2">
        <f t="shared" si="15"/>
        <v>4</v>
      </c>
      <c r="F109" s="2">
        <f>F108+(F108-F107)</f>
        <v>17000</v>
      </c>
      <c r="G109" s="2">
        <f t="shared" si="17"/>
        <v>143700</v>
      </c>
    </row>
    <row r="110" spans="2:7">
      <c r="B110" s="2" t="s">
        <v>334</v>
      </c>
      <c r="C110" s="2" t="str">
        <f t="shared" si="14"/>
        <v>Gem4_2</v>
      </c>
      <c r="D110" s="2">
        <v>1</v>
      </c>
      <c r="E110" s="2">
        <f t="shared" si="15"/>
        <v>5</v>
      </c>
      <c r="F110" s="2">
        <f>CEILING(VLOOKUP(E110,数值设计!$M$62:$O$65,3,FALSE)*VLOOKUP(D110,数值设计!$Q$62:$S$75,2,FALSE),50)</f>
        <v>2500</v>
      </c>
      <c r="G110" s="2">
        <f>F110</f>
        <v>2500</v>
      </c>
    </row>
    <row r="111" spans="2:7">
      <c r="B111" s="2" t="s">
        <v>335</v>
      </c>
      <c r="C111" s="2" t="str">
        <f t="shared" si="14"/>
        <v>Gem4_3</v>
      </c>
      <c r="D111" s="2">
        <v>2</v>
      </c>
      <c r="E111" s="2">
        <f t="shared" si="15"/>
        <v>5</v>
      </c>
      <c r="F111" s="2">
        <f>CEILING(VLOOKUP(E111,数值设计!$M$62:$O$65,3,FALSE)*VLOOKUP(D111,数值设计!$Q$62:$S$75,2,FALSE),50)</f>
        <v>3750</v>
      </c>
      <c r="G111" s="2">
        <f t="shared" ref="G111:G124" si="18">F111+G110</f>
        <v>6250</v>
      </c>
    </row>
    <row r="112" spans="2:7">
      <c r="B112" s="2" t="s">
        <v>336</v>
      </c>
      <c r="C112" s="2" t="str">
        <f t="shared" si="14"/>
        <v>Gem4_4</v>
      </c>
      <c r="D112" s="2">
        <v>3</v>
      </c>
      <c r="E112" s="2">
        <f t="shared" si="15"/>
        <v>5</v>
      </c>
      <c r="F112" s="2">
        <f>CEILING(VLOOKUP(E112,数值设计!$M$62:$O$65,3,FALSE)*VLOOKUP(D112,数值设计!$Q$62:$S$75,2,FALSE),50)</f>
        <v>5000</v>
      </c>
      <c r="G112" s="2">
        <f t="shared" si="18"/>
        <v>11250</v>
      </c>
    </row>
    <row r="113" spans="1:7">
      <c r="B113" s="2" t="s">
        <v>337</v>
      </c>
      <c r="C113" s="2" t="str">
        <f t="shared" si="14"/>
        <v>Gem4_5</v>
      </c>
      <c r="D113" s="2">
        <v>4</v>
      </c>
      <c r="E113" s="2">
        <f t="shared" si="15"/>
        <v>5</v>
      </c>
      <c r="F113" s="2">
        <f>CEILING(VLOOKUP(E113,数值设计!$M$62:$O$65,3,FALSE)*VLOOKUP(D113,数值设计!$Q$62:$S$75,2,FALSE),50)</f>
        <v>6250</v>
      </c>
      <c r="G113" s="2">
        <f t="shared" si="18"/>
        <v>17500</v>
      </c>
    </row>
    <row r="114" spans="1:7">
      <c r="B114" s="2" t="s">
        <v>338</v>
      </c>
      <c r="C114" s="2" t="str">
        <f t="shared" si="14"/>
        <v>Gem4_6</v>
      </c>
      <c r="D114" s="2">
        <v>5</v>
      </c>
      <c r="E114" s="2">
        <f t="shared" si="15"/>
        <v>5</v>
      </c>
      <c r="F114" s="2">
        <f>CEILING(VLOOKUP(E114,数值设计!$M$62:$O$65,3,FALSE)*VLOOKUP(D114,数值设计!$Q$62:$S$75,2,FALSE),50)</f>
        <v>7500</v>
      </c>
      <c r="G114" s="2">
        <f t="shared" si="18"/>
        <v>25000</v>
      </c>
    </row>
    <row r="115" spans="1:7">
      <c r="B115" s="2" t="s">
        <v>339</v>
      </c>
      <c r="C115" s="2" t="str">
        <f t="shared" si="14"/>
        <v>Gem4_7</v>
      </c>
      <c r="D115" s="2">
        <v>6</v>
      </c>
      <c r="E115" s="2">
        <f t="shared" si="15"/>
        <v>5</v>
      </c>
      <c r="F115" s="2">
        <f>CEILING(VLOOKUP(E115,数值设计!$M$62:$O$65,3,FALSE)*VLOOKUP(D115,数值设计!$Q$62:$S$75,2,FALSE),50)</f>
        <v>8750</v>
      </c>
      <c r="G115" s="2">
        <f t="shared" si="18"/>
        <v>33750</v>
      </c>
    </row>
    <row r="116" spans="1:7">
      <c r="B116" s="2" t="s">
        <v>340</v>
      </c>
      <c r="C116" s="2" t="str">
        <f t="shared" si="14"/>
        <v>Gem4_8</v>
      </c>
      <c r="D116" s="2">
        <v>7</v>
      </c>
      <c r="E116" s="2">
        <f t="shared" si="15"/>
        <v>5</v>
      </c>
      <c r="F116" s="2">
        <f>CEILING(VLOOKUP(E116,数值设计!$M$62:$O$65,3,FALSE)*VLOOKUP(D116,数值设计!$Q$62:$S$75,2,FALSE),50)</f>
        <v>10000</v>
      </c>
      <c r="G116" s="2">
        <f t="shared" si="18"/>
        <v>43750</v>
      </c>
    </row>
    <row r="117" spans="1:7">
      <c r="B117" s="2" t="s">
        <v>341</v>
      </c>
      <c r="C117" s="2" t="str">
        <f t="shared" si="14"/>
        <v>Gem4_9</v>
      </c>
      <c r="D117" s="2">
        <v>8</v>
      </c>
      <c r="E117" s="2">
        <f t="shared" si="15"/>
        <v>5</v>
      </c>
      <c r="F117" s="2">
        <f>CEILING(VLOOKUP(E117,数值设计!$M$62:$O$65,3,FALSE)*VLOOKUP(D117,数值设计!$Q$62:$S$75,2,FALSE),50)</f>
        <v>11250</v>
      </c>
      <c r="G117" s="2">
        <f t="shared" si="18"/>
        <v>55000</v>
      </c>
    </row>
    <row r="118" spans="1:7">
      <c r="B118" s="2" t="s">
        <v>342</v>
      </c>
      <c r="C118" s="2" t="str">
        <f t="shared" si="14"/>
        <v>Gem4_10</v>
      </c>
      <c r="D118" s="2">
        <v>9</v>
      </c>
      <c r="E118" s="2">
        <f t="shared" si="15"/>
        <v>5</v>
      </c>
      <c r="F118" s="2">
        <f>CEILING(VLOOKUP(E118,数值设计!$M$62:$O$65,3,FALSE)*VLOOKUP(D118,数值设计!$Q$62:$S$75,2,FALSE),50)</f>
        <v>12500</v>
      </c>
      <c r="G118" s="2">
        <f t="shared" si="18"/>
        <v>67500</v>
      </c>
    </row>
    <row r="119" spans="1:7">
      <c r="B119" s="2" t="s">
        <v>343</v>
      </c>
      <c r="C119" s="2" t="str">
        <f t="shared" si="14"/>
        <v>Gem4_11</v>
      </c>
      <c r="D119" s="2">
        <v>10</v>
      </c>
      <c r="E119" s="2">
        <f t="shared" si="15"/>
        <v>5</v>
      </c>
      <c r="F119" s="2">
        <f>CEILING(VLOOKUP(E119,数值设计!$M$62:$O$65,3,FALSE)*VLOOKUP(D119,数值设计!$Q$62:$S$75,2,FALSE),50)</f>
        <v>13750</v>
      </c>
      <c r="G119" s="2">
        <f t="shared" si="18"/>
        <v>81250</v>
      </c>
    </row>
    <row r="120" spans="1:7">
      <c r="B120" s="2" t="s">
        <v>344</v>
      </c>
      <c r="C120" s="2" t="str">
        <f t="shared" si="14"/>
        <v>Gem4_12</v>
      </c>
      <c r="D120" s="2">
        <v>11</v>
      </c>
      <c r="E120" s="2">
        <f t="shared" si="15"/>
        <v>5</v>
      </c>
      <c r="F120" s="2">
        <f>CEILING(VLOOKUP(E120,数值设计!$M$62:$O$65,3,FALSE)*VLOOKUP(D120,数值设计!$Q$62:$S$75,2,FALSE),50)</f>
        <v>15000</v>
      </c>
      <c r="G120" s="2">
        <f t="shared" si="18"/>
        <v>96250</v>
      </c>
    </row>
    <row r="121" spans="1:7">
      <c r="B121" s="2" t="s">
        <v>345</v>
      </c>
      <c r="C121" s="2" t="str">
        <f t="shared" si="14"/>
        <v>Gem4_13</v>
      </c>
      <c r="D121" s="2">
        <v>12</v>
      </c>
      <c r="E121" s="2">
        <f t="shared" si="15"/>
        <v>5</v>
      </c>
      <c r="F121" s="2">
        <f>CEILING(VLOOKUP(E121,数值设计!$M$62:$O$65,3,FALSE)*VLOOKUP(D121,数值设计!$Q$62:$S$75,2,FALSE),50)</f>
        <v>16250</v>
      </c>
      <c r="G121" s="2">
        <f t="shared" si="18"/>
        <v>112500</v>
      </c>
    </row>
    <row r="122" spans="1:7">
      <c r="B122" s="2" t="s">
        <v>346</v>
      </c>
      <c r="C122" s="2" t="str">
        <f t="shared" si="14"/>
        <v>Gem4_14</v>
      </c>
      <c r="D122" s="2">
        <v>13</v>
      </c>
      <c r="E122" s="2">
        <f t="shared" si="15"/>
        <v>5</v>
      </c>
      <c r="F122" s="2">
        <f>CEILING(VLOOKUP(E122,数值设计!$M$62:$O$65,3,FALSE)*VLOOKUP(D122,数值设计!$Q$62:$S$75,2,FALSE),50)</f>
        <v>17500</v>
      </c>
      <c r="G122" s="2">
        <f t="shared" si="18"/>
        <v>130000</v>
      </c>
    </row>
    <row r="123" spans="1:7">
      <c r="B123" s="2" t="s">
        <v>347</v>
      </c>
      <c r="C123" s="2" t="str">
        <f t="shared" si="14"/>
        <v>Gem4_15</v>
      </c>
      <c r="D123" s="2">
        <v>14</v>
      </c>
      <c r="E123" s="2">
        <f t="shared" si="15"/>
        <v>5</v>
      </c>
      <c r="F123" s="2">
        <f>CEILING(VLOOKUP(E123,数值设计!$M$62:$O$65,3,FALSE)*VLOOKUP(D123,数值设计!$Q$62:$S$75,2,FALSE),50)</f>
        <v>18750</v>
      </c>
      <c r="G123" s="2">
        <f t="shared" si="18"/>
        <v>148750</v>
      </c>
    </row>
    <row r="124" spans="1:7">
      <c r="B124" s="2" t="s">
        <v>348</v>
      </c>
      <c r="C124" s="2">
        <f t="shared" si="14"/>
        <v>0</v>
      </c>
      <c r="D124" s="2">
        <v>15</v>
      </c>
      <c r="E124" s="2">
        <f t="shared" si="15"/>
        <v>5</v>
      </c>
      <c r="F124" s="2">
        <f>F123+(F123-F122)</f>
        <v>20000</v>
      </c>
      <c r="G124" s="2">
        <f t="shared" si="18"/>
        <v>168750</v>
      </c>
    </row>
    <row r="126" spans="1:7">
      <c r="A126" s="2" t="s">
        <v>187</v>
      </c>
    </row>
    <row r="127" spans="1:7">
      <c r="B127" s="19" t="s">
        <v>156</v>
      </c>
      <c r="C127" s="19" t="s">
        <v>188</v>
      </c>
      <c r="D127" s="19" t="s">
        <v>189</v>
      </c>
      <c r="E127" s="19" t="s">
        <v>190</v>
      </c>
    </row>
    <row r="128" spans="1:7">
      <c r="B128" s="23" t="s">
        <v>157</v>
      </c>
      <c r="C128" s="23" t="s">
        <v>157</v>
      </c>
      <c r="D128" s="23" t="s">
        <v>157</v>
      </c>
      <c r="E128" s="23" t="s">
        <v>162</v>
      </c>
    </row>
    <row r="129" spans="1:12">
      <c r="B129" s="24" t="s">
        <v>158</v>
      </c>
      <c r="C129" s="24" t="s">
        <v>191</v>
      </c>
      <c r="D129" s="24" t="s">
        <v>350</v>
      </c>
      <c r="E129" s="24" t="s">
        <v>162</v>
      </c>
    </row>
    <row r="130" spans="1:12">
      <c r="B130" s="23" t="s">
        <v>159</v>
      </c>
      <c r="C130" s="23" t="s">
        <v>192</v>
      </c>
      <c r="D130" s="23" t="s">
        <v>193</v>
      </c>
      <c r="E130" s="23" t="s">
        <v>194</v>
      </c>
    </row>
    <row r="131" spans="1:12">
      <c r="B131" s="24" t="s">
        <v>195</v>
      </c>
      <c r="C131" s="24"/>
      <c r="D131" s="24"/>
      <c r="E131" s="24"/>
    </row>
    <row r="132" spans="1:12">
      <c r="B132" s="2" t="s">
        <v>197</v>
      </c>
      <c r="C132" s="2" t="s">
        <v>351</v>
      </c>
      <c r="D132" s="2" t="s">
        <v>260</v>
      </c>
      <c r="E132" s="2" t="s">
        <v>199</v>
      </c>
    </row>
    <row r="133" spans="1:12">
      <c r="B133" s="2" t="s">
        <v>349</v>
      </c>
      <c r="C133" s="2" t="s">
        <v>352</v>
      </c>
      <c r="D133" s="2" t="s">
        <v>260</v>
      </c>
      <c r="E133" s="2" t="s">
        <v>353</v>
      </c>
    </row>
    <row r="135" spans="1:12">
      <c r="A135" s="2" t="s">
        <v>204</v>
      </c>
    </row>
    <row r="136" spans="1:12">
      <c r="B136" s="19" t="s">
        <v>156</v>
      </c>
      <c r="C136" s="22" t="s">
        <v>160</v>
      </c>
      <c r="D136" s="19" t="s">
        <v>163</v>
      </c>
      <c r="E136" s="19" t="s">
        <v>207</v>
      </c>
      <c r="F136" s="19" t="s">
        <v>359</v>
      </c>
      <c r="G136" s="19" t="s">
        <v>360</v>
      </c>
      <c r="H136" s="19"/>
      <c r="I136" s="19" t="s">
        <v>130</v>
      </c>
      <c r="J136" s="19" t="s">
        <v>361</v>
      </c>
      <c r="K136" s="19" t="s">
        <v>362</v>
      </c>
      <c r="L136" s="19" t="s">
        <v>363</v>
      </c>
    </row>
    <row r="137" spans="1:12">
      <c r="B137" s="23" t="s">
        <v>157</v>
      </c>
      <c r="C137" s="20" t="s">
        <v>157</v>
      </c>
      <c r="D137" s="20" t="s">
        <v>162</v>
      </c>
      <c r="E137" s="20" t="s">
        <v>157</v>
      </c>
      <c r="F137" s="20" t="s">
        <v>157</v>
      </c>
      <c r="G137" s="20" t="s">
        <v>364</v>
      </c>
      <c r="H137" s="20"/>
      <c r="I137" s="20" t="s">
        <v>157</v>
      </c>
      <c r="J137" s="20" t="s">
        <v>157</v>
      </c>
      <c r="K137" s="20" t="s">
        <v>364</v>
      </c>
      <c r="L137" s="20" t="s">
        <v>157</v>
      </c>
    </row>
    <row r="138" spans="1:12">
      <c r="B138" s="24" t="s">
        <v>158</v>
      </c>
      <c r="C138" s="21" t="s">
        <v>158</v>
      </c>
      <c r="D138" s="21" t="s">
        <v>162</v>
      </c>
      <c r="E138" s="21" t="s">
        <v>260</v>
      </c>
      <c r="F138" s="21" t="s">
        <v>260</v>
      </c>
      <c r="G138" s="21" t="s">
        <v>260</v>
      </c>
      <c r="H138" s="21"/>
      <c r="I138" s="21" t="s">
        <v>260</v>
      </c>
      <c r="J138" s="21" t="s">
        <v>365</v>
      </c>
      <c r="K138" s="21" t="s">
        <v>260</v>
      </c>
      <c r="L138" s="21" t="s">
        <v>260</v>
      </c>
    </row>
    <row r="139" spans="1:12">
      <c r="B139" s="23" t="s">
        <v>159</v>
      </c>
      <c r="C139" s="20" t="s">
        <v>161</v>
      </c>
      <c r="D139" s="20" t="s">
        <v>164</v>
      </c>
      <c r="E139" s="20" t="s">
        <v>210</v>
      </c>
      <c r="F139" s="20" t="s">
        <v>366</v>
      </c>
      <c r="G139" s="20" t="s">
        <v>367</v>
      </c>
      <c r="H139" s="20"/>
      <c r="I139" s="20" t="s">
        <v>211</v>
      </c>
      <c r="J139" s="20" t="s">
        <v>368</v>
      </c>
      <c r="K139" s="20" t="s">
        <v>369</v>
      </c>
      <c r="L139" s="20" t="s">
        <v>370</v>
      </c>
    </row>
    <row r="140" spans="1:12">
      <c r="B140" s="24" t="s">
        <v>195</v>
      </c>
      <c r="C140" s="24" t="s">
        <v>371</v>
      </c>
      <c r="D140" s="24"/>
      <c r="E140" s="24"/>
      <c r="F140" s="24"/>
      <c r="G140" s="24"/>
      <c r="H140" s="24"/>
      <c r="I140" s="24"/>
      <c r="J140" s="24"/>
      <c r="K140" s="24"/>
      <c r="L140" s="24"/>
    </row>
    <row r="141" spans="1:12">
      <c r="B141" s="2" t="s">
        <v>449</v>
      </c>
      <c r="C141" s="2" t="str">
        <f>B141</f>
        <v>SuitCri_1</v>
      </c>
      <c r="D141" s="2" t="str">
        <f>"低阶"&amp;数值设计!C125</f>
        <v>低阶暴击套装</v>
      </c>
      <c r="E141" s="2" t="str">
        <f>"["&amp;B12&amp;","&amp;B13&amp;","&amp;B14&amp;"]"</f>
        <v>[Gem3001,Gem3002,Gem3003]</v>
      </c>
      <c r="F141" s="28" t="s">
        <v>372</v>
      </c>
      <c r="G141" s="29" t="str">
        <f>"["&amp;数值设计!E126&amp;","&amp;数值设计!E127&amp;"]"</f>
        <v>[CRITRATE,CRITSTRG]</v>
      </c>
      <c r="H141" s="29"/>
      <c r="I141" s="29" t="str">
        <f>"["&amp;数值设计!G100*数值设计!L120&amp;","&amp;数值设计!G101*数值设计!L120&amp;"]"</f>
        <v>[0.0296,0.0296]</v>
      </c>
      <c r="J141" s="2">
        <v>3</v>
      </c>
      <c r="K141" s="2" t="str">
        <f>"["&amp;数值设计!E128&amp;"]"</f>
        <v>[CRITRATE]</v>
      </c>
      <c r="L141" s="2" t="str">
        <f>"["&amp;数值设计!H100*数值设计!$L$120&amp;"]"</f>
        <v>[0.0296]</v>
      </c>
    </row>
    <row r="142" spans="1:12">
      <c r="B142" s="2" t="s">
        <v>450</v>
      </c>
      <c r="C142" s="2" t="str">
        <f t="shared" ref="C142:C152" si="19">B142</f>
        <v>SuitBlock_1</v>
      </c>
      <c r="D142" s="2" t="str">
        <f>"低阶"&amp;数值设计!C130</f>
        <v>低阶格挡套装</v>
      </c>
      <c r="E142" s="2" t="str">
        <f>"["&amp;B15&amp;","&amp;B16&amp;","&amp;B17&amp;"]"</f>
        <v>[Gem3011,Gem3012,Gem3013]</v>
      </c>
      <c r="F142" s="28" t="s">
        <v>372</v>
      </c>
      <c r="G142" s="29" t="str">
        <f>"["&amp;数值设计!E131&amp;","&amp;数值设计!E132&amp;"]"</f>
        <v>[BLOCKRATE,BLOCKSTRG]</v>
      </c>
      <c r="H142" s="29"/>
      <c r="I142" s="29" t="str">
        <f>"["&amp;数值设计!G103*数值设计!L120&amp;","&amp;数值设计!G104*数值设计!L120&amp;"]"</f>
        <v>[0.024,0.024]</v>
      </c>
      <c r="J142" s="2">
        <v>3</v>
      </c>
      <c r="K142" s="2" t="str">
        <f>"["&amp;数值设计!E133&amp;"]"</f>
        <v>[BLOCKRATE]</v>
      </c>
      <c r="L142" s="2" t="str">
        <f>"["&amp;数值设计!H103*数值设计!$L$120&amp;"]"</f>
        <v>[0.024]</v>
      </c>
    </row>
    <row r="143" spans="1:12">
      <c r="B143" s="2" t="s">
        <v>451</v>
      </c>
      <c r="C143" s="2" t="str">
        <f t="shared" si="19"/>
        <v>SuitDef_1</v>
      </c>
      <c r="D143" s="2" t="str">
        <f>"低阶"&amp;数值设计!C135</f>
        <v>低阶抵抗套装</v>
      </c>
      <c r="E143" s="2" t="str">
        <f>"["&amp;B18&amp;","&amp;B19&amp;","&amp;B20&amp;"]"</f>
        <v>[Gem3021,Gem3022,Gem3023]</v>
      </c>
      <c r="F143" s="28" t="s">
        <v>372</v>
      </c>
      <c r="G143" s="29" t="str">
        <f>"["&amp;数值设计!E136&amp;","&amp;数值设计!E137&amp;"]"</f>
        <v>[UNCRITRATE,UNHURTRATE]</v>
      </c>
      <c r="H143" s="29"/>
      <c r="I143" s="29" t="str">
        <f>"["&amp;数值设计!G102*数值设计!L120&amp;","&amp;数值设计!G107*数值设计!L120&amp;"]"</f>
        <v>[0.024,0.024]</v>
      </c>
      <c r="J143" s="2">
        <v>3</v>
      </c>
      <c r="K143" s="2" t="str">
        <f>"["&amp;数值设计!E138&amp;"]"</f>
        <v>[UNCRITRATE]</v>
      </c>
      <c r="L143" s="2" t="str">
        <f>"["&amp;数值设计!H102*数值设计!$L$120&amp;"]"</f>
        <v>[0.024]</v>
      </c>
    </row>
    <row r="144" spans="1:12">
      <c r="B144" s="2" t="s">
        <v>452</v>
      </c>
      <c r="C144" s="2" t="str">
        <f t="shared" si="19"/>
        <v>SuitUnblock_1</v>
      </c>
      <c r="D144" s="2" t="str">
        <f>"低阶"&amp;数值设计!C140</f>
        <v>低阶穿透套装</v>
      </c>
      <c r="E144" s="2" t="str">
        <f>"["&amp;B21&amp;","&amp;B22&amp;","&amp;B23&amp;"]"</f>
        <v>[Gem3031,Gem3032,Gem3033]</v>
      </c>
      <c r="F144" s="28" t="s">
        <v>372</v>
      </c>
      <c r="G144" s="29" t="str">
        <f>"["&amp;数值设计!E141&amp;","&amp;数值设计!E142&amp;"]"</f>
        <v>[UNBLOCKRATE,HURTRATE]</v>
      </c>
      <c r="H144" s="29"/>
      <c r="I144" s="29" t="str">
        <f>"["&amp;数值设计!G105*数值设计!L120&amp;","&amp;数值设计!G106*数值设计!L120&amp;"]"</f>
        <v>[0.024,0.024]</v>
      </c>
      <c r="J144" s="2">
        <v>3</v>
      </c>
      <c r="K144" s="2" t="str">
        <f>"["&amp;数值设计!E143&amp;"]"</f>
        <v>[UNBLOCKRATE]</v>
      </c>
      <c r="L144" s="2" t="str">
        <f>"["&amp;数值设计!H105*数值设计!$L$120&amp;"]"</f>
        <v>[0.024]</v>
      </c>
    </row>
    <row r="145" spans="2:12">
      <c r="B145" s="2" t="s">
        <v>453</v>
      </c>
      <c r="C145" s="2" t="str">
        <f t="shared" si="19"/>
        <v>SuitSpecial_1</v>
      </c>
      <c r="D145" s="2" t="str">
        <f>"低阶"&amp;数值设计!C145</f>
        <v>低阶特殊套装</v>
      </c>
      <c r="E145" s="2" t="str">
        <f>"["&amp;B24&amp;","&amp;B25&amp;","&amp;B26&amp;"]"</f>
        <v>[Gem3041,Gem3042,Gem3043]</v>
      </c>
      <c r="F145" s="28" t="s">
        <v>372</v>
      </c>
      <c r="G145" s="29" t="str">
        <f>"["&amp;数值设计!E146&amp;","&amp;数值设计!E147&amp;"]"</f>
        <v>[REFLECTION,ABSORPTION]</v>
      </c>
      <c r="H145" s="29"/>
      <c r="I145" s="29" t="str">
        <f>"["&amp;数值设计!G108*数值设计!L120&amp;","&amp;数值设计!G109*数值设计!L120&amp;"]"</f>
        <v>[0.024,0.024]</v>
      </c>
      <c r="J145" s="2">
        <v>3</v>
      </c>
      <c r="K145" s="2" t="str">
        <f>"["&amp;数值设计!E148&amp;"]"</f>
        <v>[REFLECTION]</v>
      </c>
      <c r="L145" s="2" t="str">
        <f>"["&amp;数值设计!H108*数值设计!$L$120&amp;"]"</f>
        <v>[0.024]</v>
      </c>
    </row>
    <row r="146" spans="2:12">
      <c r="B146" s="2" t="s">
        <v>454</v>
      </c>
      <c r="C146" s="2" t="str">
        <f t="shared" si="19"/>
        <v>SuitAtk_1</v>
      </c>
      <c r="D146" s="2" t="str">
        <f>"低阶"&amp;数值设计!C150</f>
        <v>低阶输出套装</v>
      </c>
      <c r="E146" s="2" t="str">
        <f>"["&amp;B27&amp;","&amp;B28&amp;","&amp;B29&amp;"]"</f>
        <v>[Gem3051,Gem3052,Gem3053]</v>
      </c>
      <c r="F146" s="28" t="s">
        <v>372</v>
      </c>
      <c r="G146" s="29" t="str">
        <f>"["&amp;数值设计!E151&amp;","&amp;数值设计!E152&amp;"]"</f>
        <v>[DEFRATE,HPRATE]</v>
      </c>
      <c r="H146" s="29"/>
      <c r="I146" s="29" t="str">
        <f>"["&amp;数值设计!G112*数值设计!L120&amp;","&amp;数值设计!G113*数值设计!L120&amp;"]"</f>
        <v>[0.06,0.06]</v>
      </c>
      <c r="J146" s="2">
        <v>3</v>
      </c>
      <c r="K146" s="2" t="str">
        <f>"["&amp;数值设计!E153&amp;"]"</f>
        <v>[ATKRATE]</v>
      </c>
      <c r="L146" s="2" t="str">
        <f>"["&amp;数值设计!H111*数值设计!$L$120&amp;"]"</f>
        <v>[0.06]</v>
      </c>
    </row>
    <row r="147" spans="2:12">
      <c r="B147" s="2" t="s">
        <v>455</v>
      </c>
      <c r="C147" s="2" t="str">
        <f t="shared" si="19"/>
        <v>SuitCri_2</v>
      </c>
      <c r="D147" s="2" t="str">
        <f>"高阶"&amp;数值设计!C125</f>
        <v>高阶暴击套装</v>
      </c>
      <c r="E147" s="2" t="str">
        <f>"["&amp;B30&amp;","&amp;B31&amp;","&amp;B32&amp;"]"</f>
        <v>[Gem4001,Gem4002,Gem4003]</v>
      </c>
      <c r="F147" s="28" t="s">
        <v>461</v>
      </c>
      <c r="G147" s="2" t="str">
        <f>G141</f>
        <v>[CRITRATE,CRITSTRG]</v>
      </c>
      <c r="I147" s="2" t="str">
        <f>"["&amp;数值设计!G100*数值设计!L120&amp;","&amp;数值设计!G101*数值设计!L121&amp;"]"</f>
        <v>[0.0296,0.037]</v>
      </c>
      <c r="J147" s="2">
        <v>3</v>
      </c>
      <c r="K147" s="2" t="str">
        <f>K141</f>
        <v>[CRITRATE]</v>
      </c>
      <c r="L147" s="2" t="str">
        <f>"["&amp;数值设计!H100*数值设计!$L$121&amp;"]"</f>
        <v>[0.037]</v>
      </c>
    </row>
    <row r="148" spans="2:12">
      <c r="B148" s="2" t="s">
        <v>456</v>
      </c>
      <c r="C148" s="2" t="str">
        <f t="shared" si="19"/>
        <v>SuitBlock_2</v>
      </c>
      <c r="D148" s="2" t="str">
        <f>"高阶"&amp;数值设计!C130</f>
        <v>高阶格挡套装</v>
      </c>
      <c r="E148" s="2" t="str">
        <f>"["&amp;B33&amp;","&amp;B34&amp;","&amp;B35&amp;"]"</f>
        <v>[Gem4011,Gem4012,Gem4013]</v>
      </c>
      <c r="F148" s="28" t="s">
        <v>461</v>
      </c>
      <c r="G148" s="2" t="str">
        <f t="shared" ref="G148:G152" si="20">G142</f>
        <v>[BLOCKRATE,BLOCKSTRG]</v>
      </c>
      <c r="I148" s="2" t="str">
        <f>"["&amp;数值设计!G103*数值设计!L120&amp;","&amp;数值设计!G104*数值设计!L121&amp;"]"</f>
        <v>[0.024,0.03]</v>
      </c>
      <c r="J148" s="2">
        <v>3</v>
      </c>
      <c r="K148" s="2" t="str">
        <f t="shared" ref="K148:K152" si="21">K142</f>
        <v>[BLOCKRATE]</v>
      </c>
      <c r="L148" s="2" t="str">
        <f>"["&amp;数值设计!H103*数值设计!$L$121&amp;"]"</f>
        <v>[0.03]</v>
      </c>
    </row>
    <row r="149" spans="2:12">
      <c r="B149" s="2" t="s">
        <v>457</v>
      </c>
      <c r="C149" s="2" t="str">
        <f t="shared" si="19"/>
        <v>SuitDef_2</v>
      </c>
      <c r="D149" s="2" t="str">
        <f>"高阶"&amp;数值设计!C135</f>
        <v>高阶抵抗套装</v>
      </c>
      <c r="E149" s="2" t="str">
        <f>"["&amp;B36&amp;","&amp;B37&amp;","&amp;B38&amp;"]"</f>
        <v>[Gem4021,Gem4022,Gem4023]</v>
      </c>
      <c r="F149" s="28" t="s">
        <v>461</v>
      </c>
      <c r="G149" s="2" t="str">
        <f t="shared" si="20"/>
        <v>[UNCRITRATE,UNHURTRATE]</v>
      </c>
      <c r="I149" s="2" t="str">
        <f>"["&amp;数值设计!G102*数值设计!L120&amp;","&amp;数值设计!G107*数值设计!L121&amp;"]"</f>
        <v>[0.024,0.03]</v>
      </c>
      <c r="J149" s="2">
        <v>3</v>
      </c>
      <c r="K149" s="2" t="str">
        <f t="shared" si="21"/>
        <v>[UNCRITRATE]</v>
      </c>
      <c r="L149" s="2" t="str">
        <f>"["&amp;数值设计!H102*数值设计!$L$121&amp;"]"</f>
        <v>[0.03]</v>
      </c>
    </row>
    <row r="150" spans="2:12">
      <c r="B150" s="2" t="s">
        <v>458</v>
      </c>
      <c r="C150" s="2" t="str">
        <f t="shared" si="19"/>
        <v>SuitUnblock_2</v>
      </c>
      <c r="D150" s="2" t="str">
        <f>"高阶"&amp;数值设计!C140</f>
        <v>高阶穿透套装</v>
      </c>
      <c r="E150" s="2" t="str">
        <f>"["&amp;B39&amp;","&amp;B40&amp;","&amp;B41&amp;"]"</f>
        <v>[Gem4031,Gem4032,Gem4033]</v>
      </c>
      <c r="F150" s="28" t="s">
        <v>461</v>
      </c>
      <c r="G150" s="2" t="str">
        <f t="shared" si="20"/>
        <v>[UNBLOCKRATE,HURTRATE]</v>
      </c>
      <c r="I150" s="2" t="str">
        <f>"["&amp;数值设计!G105*数值设计!L120&amp;","&amp;数值设计!G106*数值设计!L121&amp;"]"</f>
        <v>[0.024,0.03]</v>
      </c>
      <c r="J150" s="2">
        <v>3</v>
      </c>
      <c r="K150" s="2" t="str">
        <f t="shared" si="21"/>
        <v>[UNBLOCKRATE]</v>
      </c>
      <c r="L150" s="2" t="str">
        <f>"["&amp;数值设计!H105*数值设计!$L$121&amp;"]"</f>
        <v>[0.03]</v>
      </c>
    </row>
    <row r="151" spans="2:12">
      <c r="B151" s="2" t="s">
        <v>459</v>
      </c>
      <c r="C151" s="2" t="str">
        <f t="shared" si="19"/>
        <v>SuitSpecial_2</v>
      </c>
      <c r="D151" s="2" t="str">
        <f>"高阶"&amp;数值设计!C145</f>
        <v>高阶特殊套装</v>
      </c>
      <c r="E151" s="2" t="str">
        <f>"["&amp;B42&amp;","&amp;B43&amp;","&amp;B44&amp;"]"</f>
        <v>[Gem4041,Gem4042,Gem4043]</v>
      </c>
      <c r="F151" s="28" t="s">
        <v>461</v>
      </c>
      <c r="G151" s="2" t="str">
        <f t="shared" si="20"/>
        <v>[REFLECTION,ABSORPTION]</v>
      </c>
      <c r="I151" s="2" t="str">
        <f>"["&amp;数值设计!G108*数值设计!L120&amp;","&amp;数值设计!G109*数值设计!L121&amp;"]"</f>
        <v>[0.024,0.03]</v>
      </c>
      <c r="J151" s="2">
        <v>3</v>
      </c>
      <c r="K151" s="2" t="str">
        <f t="shared" si="21"/>
        <v>[REFLECTION]</v>
      </c>
      <c r="L151" s="2" t="str">
        <f>"["&amp;数值设计!H108*数值设计!$L$121&amp;"]"</f>
        <v>[0.03]</v>
      </c>
    </row>
    <row r="152" spans="2:12">
      <c r="B152" s="2" t="s">
        <v>460</v>
      </c>
      <c r="C152" s="2" t="str">
        <f t="shared" si="19"/>
        <v>SuitAtk_2</v>
      </c>
      <c r="D152" s="2" t="str">
        <f>"高阶"&amp;数值设计!C150</f>
        <v>高阶输出套装</v>
      </c>
      <c r="E152" s="2" t="str">
        <f>"["&amp;B45&amp;","&amp;B46&amp;","&amp;B47&amp;"]"</f>
        <v>[Gem4051,Gem4052,Gem4053]</v>
      </c>
      <c r="F152" s="28" t="s">
        <v>461</v>
      </c>
      <c r="G152" s="2" t="str">
        <f t="shared" si="20"/>
        <v>[DEFRATE,HPRATE]</v>
      </c>
      <c r="I152" s="2" t="str">
        <f>"["&amp;数值设计!G112*数值设计!L120&amp;","&amp;数值设计!G113*数值设计!L121&amp;"]"</f>
        <v>[0.06,0.075]</v>
      </c>
      <c r="J152" s="2">
        <v>3</v>
      </c>
      <c r="K152" s="2" t="str">
        <f t="shared" si="21"/>
        <v>[ATKRATE]</v>
      </c>
      <c r="L152" s="2" t="str">
        <f>"["&amp;数值设计!H111*数值设计!$L$121&amp;"]"</f>
        <v>[0.075]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数值设计</vt:lpstr>
      <vt:lpstr>配置表头</vt:lpstr>
      <vt:lpstr>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dpstorm</dc:creator>
  <cp:lastModifiedBy>bianhaiqiang</cp:lastModifiedBy>
  <dcterms:created xsi:type="dcterms:W3CDTF">2015-06-05T18:19:34Z</dcterms:created>
  <dcterms:modified xsi:type="dcterms:W3CDTF">2021-11-17T03:42:51Z</dcterms:modified>
</cp:coreProperties>
</file>