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映像系统\数值\"/>
    </mc:Choice>
  </mc:AlternateContent>
  <xr:revisionPtr revIDLastSave="0" documentId="13_ncr:1_{62E47DB9-63FB-479E-BD80-E5D3DF02A060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数值设计" sheetId="1" r:id="rId1"/>
    <sheet name="配置表头" sheetId="2" r:id="rId2"/>
    <sheet name="配置表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6" i="3"/>
  <c r="M8" i="3"/>
  <c r="M7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L194" i="3"/>
  <c r="L193" i="3"/>
  <c r="L192" i="3"/>
  <c r="L191" i="3"/>
  <c r="L190" i="3"/>
  <c r="L189" i="3"/>
  <c r="L188" i="3"/>
  <c r="L187" i="3"/>
  <c r="L186" i="3"/>
  <c r="L185" i="3"/>
  <c r="L184" i="3"/>
  <c r="L172" i="3"/>
  <c r="L183" i="3"/>
  <c r="I194" i="3"/>
  <c r="I187" i="3"/>
  <c r="I193" i="3"/>
  <c r="I192" i="3"/>
  <c r="I191" i="3"/>
  <c r="I190" i="3"/>
  <c r="I189" i="3"/>
  <c r="E194" i="3"/>
  <c r="E193" i="3"/>
  <c r="E192" i="3"/>
  <c r="E191" i="3"/>
  <c r="E190" i="3"/>
  <c r="E189" i="3"/>
  <c r="D194" i="3"/>
  <c r="D192" i="3"/>
  <c r="D193" i="3"/>
  <c r="D191" i="3"/>
  <c r="D190" i="3"/>
  <c r="D189" i="3"/>
  <c r="C194" i="3"/>
  <c r="C193" i="3"/>
  <c r="C192" i="3"/>
  <c r="C191" i="3"/>
  <c r="C190" i="3"/>
  <c r="C189" i="3"/>
  <c r="I188" i="3"/>
  <c r="I186" i="3"/>
  <c r="I185" i="3"/>
  <c r="I184" i="3"/>
  <c r="I183" i="3"/>
  <c r="E188" i="3"/>
  <c r="E187" i="3"/>
  <c r="E186" i="3"/>
  <c r="E185" i="3"/>
  <c r="E184" i="3"/>
  <c r="E183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C188" i="3"/>
  <c r="C187" i="3"/>
  <c r="C186" i="3"/>
  <c r="C185" i="3"/>
  <c r="C184" i="3"/>
  <c r="C183" i="3"/>
  <c r="N41" i="3"/>
  <c r="L41" i="3"/>
  <c r="K41" i="3"/>
  <c r="J41" i="3"/>
  <c r="I41" i="3"/>
  <c r="C41" i="3"/>
  <c r="N40" i="3"/>
  <c r="L40" i="3"/>
  <c r="K40" i="3"/>
  <c r="J40" i="3"/>
  <c r="I40" i="3"/>
  <c r="C40" i="3"/>
  <c r="N39" i="3"/>
  <c r="L39" i="3"/>
  <c r="K39" i="3"/>
  <c r="J39" i="3"/>
  <c r="I39" i="3"/>
  <c r="C39" i="3"/>
  <c r="N38" i="3"/>
  <c r="L38" i="3"/>
  <c r="K38" i="3"/>
  <c r="J38" i="3"/>
  <c r="I38" i="3"/>
  <c r="C38" i="3"/>
  <c r="N37" i="3"/>
  <c r="L37" i="3"/>
  <c r="K37" i="3"/>
  <c r="J37" i="3"/>
  <c r="I37" i="3"/>
  <c r="C37" i="3"/>
  <c r="N36" i="3"/>
  <c r="L36" i="3"/>
  <c r="K36" i="3"/>
  <c r="J36" i="3"/>
  <c r="I36" i="3"/>
  <c r="C36" i="3"/>
  <c r="N35" i="3"/>
  <c r="L35" i="3"/>
  <c r="K35" i="3"/>
  <c r="J35" i="3"/>
  <c r="I35" i="3"/>
  <c r="C35" i="3"/>
  <c r="N34" i="3"/>
  <c r="L34" i="3"/>
  <c r="K34" i="3"/>
  <c r="J34" i="3"/>
  <c r="I34" i="3"/>
  <c r="C34" i="3"/>
  <c r="N33" i="3"/>
  <c r="L33" i="3"/>
  <c r="K33" i="3"/>
  <c r="J33" i="3"/>
  <c r="I33" i="3"/>
  <c r="C33" i="3"/>
  <c r="N32" i="3"/>
  <c r="L32" i="3"/>
  <c r="K32" i="3"/>
  <c r="J32" i="3"/>
  <c r="I32" i="3"/>
  <c r="C32" i="3"/>
  <c r="N31" i="3"/>
  <c r="L31" i="3"/>
  <c r="K31" i="3"/>
  <c r="J31" i="3"/>
  <c r="I31" i="3"/>
  <c r="C31" i="3"/>
  <c r="N30" i="3"/>
  <c r="L30" i="3"/>
  <c r="K30" i="3"/>
  <c r="J30" i="3"/>
  <c r="I30" i="3"/>
  <c r="C30" i="3"/>
  <c r="N29" i="3"/>
  <c r="L29" i="3"/>
  <c r="K29" i="3"/>
  <c r="J29" i="3"/>
  <c r="I29" i="3"/>
  <c r="C29" i="3"/>
  <c r="N28" i="3"/>
  <c r="L28" i="3"/>
  <c r="K28" i="3"/>
  <c r="J28" i="3"/>
  <c r="I28" i="3"/>
  <c r="C28" i="3"/>
  <c r="N27" i="3"/>
  <c r="L27" i="3"/>
  <c r="K27" i="3"/>
  <c r="J27" i="3"/>
  <c r="I27" i="3"/>
  <c r="C27" i="3"/>
  <c r="C20" i="3"/>
  <c r="I20" i="3"/>
  <c r="J20" i="3"/>
  <c r="K20" i="3"/>
  <c r="L20" i="3"/>
  <c r="C21" i="3"/>
  <c r="I21" i="3"/>
  <c r="J21" i="3"/>
  <c r="K21" i="3"/>
  <c r="L21" i="3"/>
  <c r="C22" i="3"/>
  <c r="I22" i="3"/>
  <c r="J22" i="3"/>
  <c r="K22" i="3"/>
  <c r="L22" i="3"/>
  <c r="C23" i="3"/>
  <c r="I23" i="3"/>
  <c r="J23" i="3"/>
  <c r="K23" i="3"/>
  <c r="L23" i="3"/>
  <c r="C9" i="3"/>
  <c r="I9" i="3"/>
  <c r="J9" i="3"/>
  <c r="K9" i="3"/>
  <c r="L9" i="3"/>
  <c r="C10" i="3"/>
  <c r="I10" i="3"/>
  <c r="J10" i="3"/>
  <c r="K10" i="3"/>
  <c r="L10" i="3"/>
  <c r="C11" i="3"/>
  <c r="I11" i="3"/>
  <c r="J11" i="3"/>
  <c r="K11" i="3"/>
  <c r="L11" i="3"/>
  <c r="C12" i="3"/>
  <c r="I12" i="3"/>
  <c r="J12" i="3"/>
  <c r="K12" i="3"/>
  <c r="L12" i="3"/>
  <c r="C13" i="3"/>
  <c r="I13" i="3"/>
  <c r="J13" i="3"/>
  <c r="K13" i="3"/>
  <c r="L13" i="3"/>
  <c r="C14" i="3"/>
  <c r="I14" i="3"/>
  <c r="J14" i="3"/>
  <c r="K14" i="3"/>
  <c r="L14" i="3"/>
  <c r="C15" i="3"/>
  <c r="I15" i="3"/>
  <c r="J15" i="3"/>
  <c r="K15" i="3"/>
  <c r="L15" i="3"/>
  <c r="C16" i="3"/>
  <c r="I16" i="3"/>
  <c r="J16" i="3"/>
  <c r="K16" i="3"/>
  <c r="L16" i="3"/>
  <c r="C17" i="3"/>
  <c r="I17" i="3"/>
  <c r="J17" i="3"/>
  <c r="K17" i="3"/>
  <c r="L17" i="3"/>
  <c r="C18" i="3"/>
  <c r="I18" i="3"/>
  <c r="J18" i="3"/>
  <c r="K18" i="3"/>
  <c r="L18" i="3"/>
  <c r="C19" i="3"/>
  <c r="I19" i="3"/>
  <c r="J19" i="3"/>
  <c r="K19" i="3"/>
  <c r="L19" i="3"/>
  <c r="C7" i="3"/>
  <c r="I7" i="3"/>
  <c r="J7" i="3"/>
  <c r="K7" i="3"/>
  <c r="L7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41" i="3" s="1"/>
  <c r="P7" i="3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37" i="3" s="1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41" i="3" s="1"/>
  <c r="C8" i="3"/>
  <c r="I8" i="3"/>
  <c r="J8" i="3"/>
  <c r="K8" i="3"/>
  <c r="L8" i="3"/>
  <c r="L24" i="3"/>
  <c r="L25" i="3"/>
  <c r="L26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6" i="3"/>
  <c r="G75" i="3"/>
  <c r="G76" i="3" s="1"/>
  <c r="G77" i="3" s="1"/>
  <c r="G72" i="3"/>
  <c r="G73" i="3" s="1"/>
  <c r="G74" i="3" s="1"/>
  <c r="G69" i="3"/>
  <c r="G70" i="3" s="1"/>
  <c r="G71" i="3" s="1"/>
  <c r="G66" i="3"/>
  <c r="G67" i="3" s="1"/>
  <c r="G68" i="3" s="1"/>
  <c r="G63" i="3"/>
  <c r="G64" i="3" s="1"/>
  <c r="G65" i="3" s="1"/>
  <c r="G60" i="3"/>
  <c r="G61" i="3" s="1"/>
  <c r="G62" i="3" s="1"/>
  <c r="G45" i="3"/>
  <c r="G46" i="3" s="1"/>
  <c r="G47" i="3" s="1"/>
  <c r="G42" i="3"/>
  <c r="G43" i="3" s="1"/>
  <c r="G44" i="3" s="1"/>
  <c r="G57" i="3"/>
  <c r="G58" i="3" s="1"/>
  <c r="G59" i="3" s="1"/>
  <c r="G54" i="3"/>
  <c r="G55" i="3" s="1"/>
  <c r="G56" i="3" s="1"/>
  <c r="G51" i="3"/>
  <c r="G52" i="3" s="1"/>
  <c r="G53" i="3" s="1"/>
  <c r="G48" i="3"/>
  <c r="G49" i="3" s="1"/>
  <c r="G50" i="3" s="1"/>
  <c r="L182" i="3"/>
  <c r="L181" i="3"/>
  <c r="L180" i="3"/>
  <c r="L179" i="3"/>
  <c r="L178" i="3"/>
  <c r="L177" i="3"/>
  <c r="I182" i="3"/>
  <c r="I181" i="3"/>
  <c r="I180" i="3"/>
  <c r="I179" i="3"/>
  <c r="I178" i="3"/>
  <c r="I177" i="3"/>
  <c r="E182" i="3"/>
  <c r="E181" i="3"/>
  <c r="E180" i="3"/>
  <c r="E179" i="3"/>
  <c r="E178" i="3"/>
  <c r="E171" i="3"/>
  <c r="C177" i="3"/>
  <c r="C178" i="3"/>
  <c r="C179" i="3"/>
  <c r="C180" i="3"/>
  <c r="C181" i="3"/>
  <c r="C182" i="3"/>
  <c r="L176" i="3"/>
  <c r="L175" i="3"/>
  <c r="L174" i="3"/>
  <c r="L173" i="3"/>
  <c r="L171" i="3"/>
  <c r="I176" i="3"/>
  <c r="I175" i="3"/>
  <c r="I174" i="3"/>
  <c r="I173" i="3"/>
  <c r="I172" i="3"/>
  <c r="I171" i="3"/>
  <c r="E153" i="1"/>
  <c r="K176" i="3" s="1"/>
  <c r="K182" i="3" s="1"/>
  <c r="K188" i="3" s="1"/>
  <c r="K194" i="3" s="1"/>
  <c r="E152" i="1"/>
  <c r="E151" i="1"/>
  <c r="O31" i="3" l="1"/>
  <c r="R32" i="3"/>
  <c r="O33" i="3"/>
  <c r="R37" i="3"/>
  <c r="P20" i="3"/>
  <c r="P28" i="3"/>
  <c r="P30" i="3"/>
  <c r="P35" i="3"/>
  <c r="O38" i="3"/>
  <c r="R28" i="3"/>
  <c r="O29" i="3"/>
  <c r="P31" i="3"/>
  <c r="P33" i="3"/>
  <c r="O34" i="3"/>
  <c r="R35" i="3"/>
  <c r="O36" i="3"/>
  <c r="R40" i="3"/>
  <c r="O27" i="3"/>
  <c r="P29" i="3"/>
  <c r="R31" i="3"/>
  <c r="O32" i="3"/>
  <c r="P34" i="3"/>
  <c r="P36" i="3"/>
  <c r="O37" i="3"/>
  <c r="R38" i="3"/>
  <c r="O39" i="3"/>
  <c r="P27" i="3"/>
  <c r="O28" i="3"/>
  <c r="R29" i="3"/>
  <c r="O30" i="3"/>
  <c r="P32" i="3"/>
  <c r="R34" i="3"/>
  <c r="O35" i="3"/>
  <c r="O40" i="3"/>
  <c r="G176" i="3"/>
  <c r="G182" i="3" s="1"/>
  <c r="G188" i="3" s="1"/>
  <c r="G194" i="3" s="1"/>
  <c r="E148" i="1"/>
  <c r="K175" i="3" s="1"/>
  <c r="K181" i="3" s="1"/>
  <c r="K187" i="3" s="1"/>
  <c r="K193" i="3" s="1"/>
  <c r="E147" i="1"/>
  <c r="G175" i="3" s="1"/>
  <c r="G181" i="3" s="1"/>
  <c r="G187" i="3" s="1"/>
  <c r="G193" i="3" s="1"/>
  <c r="E146" i="1"/>
  <c r="E143" i="1"/>
  <c r="K174" i="3" s="1"/>
  <c r="K180" i="3" s="1"/>
  <c r="K186" i="3" s="1"/>
  <c r="K192" i="3" s="1"/>
  <c r="E142" i="1"/>
  <c r="E141" i="1"/>
  <c r="E138" i="1"/>
  <c r="K173" i="3" s="1"/>
  <c r="K179" i="3" s="1"/>
  <c r="K185" i="3" s="1"/>
  <c r="K191" i="3" s="1"/>
  <c r="E137" i="1"/>
  <c r="E136" i="1"/>
  <c r="G173" i="3" s="1"/>
  <c r="G179" i="3" s="1"/>
  <c r="G185" i="3" s="1"/>
  <c r="G191" i="3" s="1"/>
  <c r="E133" i="1"/>
  <c r="K172" i="3" s="1"/>
  <c r="K178" i="3" s="1"/>
  <c r="K184" i="3" s="1"/>
  <c r="K190" i="3" s="1"/>
  <c r="E132" i="1"/>
  <c r="E131" i="1"/>
  <c r="G172" i="3" s="1"/>
  <c r="G178" i="3" s="1"/>
  <c r="G184" i="3" s="1"/>
  <c r="G190" i="3" s="1"/>
  <c r="E127" i="1"/>
  <c r="E128" i="1"/>
  <c r="K171" i="3" s="1"/>
  <c r="K177" i="3" s="1"/>
  <c r="K183" i="3" s="1"/>
  <c r="K189" i="3" s="1"/>
  <c r="E126" i="1"/>
  <c r="C172" i="3"/>
  <c r="C173" i="3"/>
  <c r="C174" i="3"/>
  <c r="C175" i="3"/>
  <c r="C176" i="3"/>
  <c r="C171" i="3"/>
  <c r="G171" i="3" l="1"/>
  <c r="G177" i="3" s="1"/>
  <c r="G183" i="3" s="1"/>
  <c r="G189" i="3" s="1"/>
  <c r="P21" i="3"/>
  <c r="P38" i="3"/>
  <c r="G174" i="3"/>
  <c r="G180" i="3" s="1"/>
  <c r="G186" i="3" s="1"/>
  <c r="G192" i="3" s="1"/>
  <c r="P22" i="3" l="1"/>
  <c r="P39" i="3"/>
  <c r="E177" i="3"/>
  <c r="E176" i="3"/>
  <c r="E175" i="3"/>
  <c r="E174" i="3"/>
  <c r="E173" i="3"/>
  <c r="E172" i="3"/>
  <c r="R62" i="3"/>
  <c r="R64" i="3" s="1"/>
  <c r="R66" i="3" s="1"/>
  <c r="R68" i="3" s="1"/>
  <c r="R70" i="3" s="1"/>
  <c r="R72" i="3" s="1"/>
  <c r="R74" i="3" s="1"/>
  <c r="R76" i="3" s="1"/>
  <c r="P23" i="3" l="1"/>
  <c r="P41" i="3" s="1"/>
  <c r="P40" i="3"/>
  <c r="E110" i="3"/>
  <c r="E125" i="3" s="1"/>
  <c r="E140" i="3" s="1"/>
  <c r="E111" i="3"/>
  <c r="E126" i="3" s="1"/>
  <c r="E141" i="3" s="1"/>
  <c r="E112" i="3"/>
  <c r="E127" i="3" s="1"/>
  <c r="E142" i="3" s="1"/>
  <c r="E113" i="3"/>
  <c r="E128" i="3" s="1"/>
  <c r="E143" i="3" s="1"/>
  <c r="E114" i="3"/>
  <c r="E129" i="3" s="1"/>
  <c r="E144" i="3" s="1"/>
  <c r="E115" i="3"/>
  <c r="E130" i="3" s="1"/>
  <c r="E145" i="3" s="1"/>
  <c r="E116" i="3"/>
  <c r="E131" i="3" s="1"/>
  <c r="E146" i="3" s="1"/>
  <c r="E117" i="3"/>
  <c r="E132" i="3" s="1"/>
  <c r="E147" i="3" s="1"/>
  <c r="E118" i="3"/>
  <c r="E133" i="3" s="1"/>
  <c r="E148" i="3" s="1"/>
  <c r="E119" i="3"/>
  <c r="E134" i="3" s="1"/>
  <c r="E149" i="3" s="1"/>
  <c r="E120" i="3"/>
  <c r="E135" i="3" s="1"/>
  <c r="E150" i="3" s="1"/>
  <c r="E121" i="3"/>
  <c r="E136" i="3" s="1"/>
  <c r="E151" i="3" s="1"/>
  <c r="E122" i="3"/>
  <c r="E137" i="3" s="1"/>
  <c r="E152" i="3" s="1"/>
  <c r="E123" i="3"/>
  <c r="E138" i="3" s="1"/>
  <c r="E153" i="3" s="1"/>
  <c r="E124" i="3"/>
  <c r="E139" i="3" s="1"/>
  <c r="E154" i="3" s="1"/>
  <c r="F116" i="3" l="1"/>
  <c r="F118" i="3"/>
  <c r="F121" i="3"/>
  <c r="F126" i="3"/>
  <c r="F128" i="3"/>
  <c r="F131" i="3"/>
  <c r="F134" i="3"/>
  <c r="F136" i="3"/>
  <c r="F142" i="3"/>
  <c r="F143" i="3"/>
  <c r="F150" i="3"/>
  <c r="F151" i="3"/>
  <c r="F113" i="3"/>
  <c r="F114" i="3"/>
  <c r="F141" i="3"/>
  <c r="F115" i="3"/>
  <c r="F146" i="3"/>
  <c r="F148" i="3"/>
  <c r="F149" i="3"/>
  <c r="F122" i="3"/>
  <c r="F123" i="3"/>
  <c r="F140" i="3"/>
  <c r="G140" i="3" s="1"/>
  <c r="F144" i="3"/>
  <c r="F130" i="3"/>
  <c r="F110" i="3"/>
  <c r="G110" i="3" s="1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10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95" i="3"/>
  <c r="G95" i="3" s="1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95" i="3"/>
  <c r="R45" i="3"/>
  <c r="R48" i="3" s="1"/>
  <c r="R51" i="3" s="1"/>
  <c r="R54" i="3" s="1"/>
  <c r="R57" i="3" s="1"/>
  <c r="P43" i="3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O43" i="3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P24" i="3"/>
  <c r="P26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5" i="3"/>
  <c r="J76" i="3"/>
  <c r="J77" i="3"/>
  <c r="C75" i="3"/>
  <c r="C76" i="3"/>
  <c r="C77" i="3"/>
  <c r="F109" i="3" l="1"/>
  <c r="F124" i="3"/>
  <c r="G141" i="3"/>
  <c r="G142" i="3" s="1"/>
  <c r="G143" i="3" s="1"/>
  <c r="G144" i="3" s="1"/>
  <c r="F147" i="3"/>
  <c r="F132" i="3"/>
  <c r="F145" i="3"/>
  <c r="F112" i="3"/>
  <c r="F133" i="3"/>
  <c r="F125" i="3"/>
  <c r="G125" i="3" s="1"/>
  <c r="G126" i="3" s="1"/>
  <c r="F117" i="3"/>
  <c r="F111" i="3"/>
  <c r="G111" i="3" s="1"/>
  <c r="F129" i="3"/>
  <c r="F120" i="3"/>
  <c r="F135" i="3"/>
  <c r="F127" i="3"/>
  <c r="F119" i="3"/>
  <c r="G96" i="3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P25" i="3"/>
  <c r="G112" i="3" l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45" i="3"/>
  <c r="G146" i="3" s="1"/>
  <c r="G147" i="3" s="1"/>
  <c r="G148" i="3" s="1"/>
  <c r="G149" i="3" s="1"/>
  <c r="G150" i="3" s="1"/>
  <c r="G151" i="3" s="1"/>
  <c r="F152" i="3"/>
  <c r="F137" i="3"/>
  <c r="F138" i="3"/>
  <c r="F153" i="3"/>
  <c r="G127" i="3"/>
  <c r="G128" i="3" s="1"/>
  <c r="G129" i="3" s="1"/>
  <c r="G130" i="3" s="1"/>
  <c r="G131" i="3" s="1"/>
  <c r="G132" i="3" s="1"/>
  <c r="G133" i="3" s="1"/>
  <c r="G134" i="3" s="1"/>
  <c r="G135" i="3" s="1"/>
  <c r="G136" i="3" s="1"/>
  <c r="F139" i="3" l="1"/>
  <c r="G137" i="3"/>
  <c r="G138" i="3" s="1"/>
  <c r="F154" i="3"/>
  <c r="G152" i="3"/>
  <c r="G153" i="3" s="1"/>
  <c r="G139" i="3" l="1"/>
  <c r="G154" i="3"/>
  <c r="K24" i="3"/>
  <c r="K25" i="3"/>
  <c r="K26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" i="3"/>
  <c r="I24" i="3"/>
  <c r="I25" i="3"/>
  <c r="I26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" i="3"/>
  <c r="J24" i="3"/>
  <c r="J25" i="3"/>
  <c r="J26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6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49" i="3"/>
  <c r="C50" i="3"/>
  <c r="C51" i="3"/>
  <c r="C52" i="3"/>
  <c r="C53" i="3"/>
  <c r="C54" i="3"/>
  <c r="C55" i="3"/>
  <c r="C56" i="3"/>
  <c r="C57" i="3"/>
  <c r="C58" i="3"/>
  <c r="C59" i="3"/>
  <c r="C42" i="3"/>
  <c r="C43" i="3"/>
  <c r="C44" i="3"/>
  <c r="C45" i="3"/>
  <c r="C46" i="3"/>
  <c r="C47" i="3"/>
  <c r="C48" i="3"/>
  <c r="O24" i="3"/>
  <c r="N25" i="3"/>
  <c r="N43" i="3" s="1"/>
  <c r="N46" i="3" s="1"/>
  <c r="N49" i="3" s="1"/>
  <c r="N52" i="3" s="1"/>
  <c r="N55" i="3" s="1"/>
  <c r="N58" i="3" s="1"/>
  <c r="N60" i="3" s="1"/>
  <c r="N62" i="3" s="1"/>
  <c r="N64" i="3" s="1"/>
  <c r="N66" i="3" s="1"/>
  <c r="N68" i="3" s="1"/>
  <c r="N70" i="3" s="1"/>
  <c r="N72" i="3" s="1"/>
  <c r="N74" i="3" s="1"/>
  <c r="N76" i="3" s="1"/>
  <c r="N26" i="3"/>
  <c r="N44" i="3" s="1"/>
  <c r="N47" i="3" s="1"/>
  <c r="N50" i="3" s="1"/>
  <c r="N53" i="3" s="1"/>
  <c r="N56" i="3" s="1"/>
  <c r="N59" i="3" s="1"/>
  <c r="N61" i="3" s="1"/>
  <c r="N63" i="3" s="1"/>
  <c r="N65" i="3" s="1"/>
  <c r="N67" i="3" s="1"/>
  <c r="N69" i="3" s="1"/>
  <c r="N71" i="3" s="1"/>
  <c r="N73" i="3" s="1"/>
  <c r="N75" i="3" s="1"/>
  <c r="N77" i="3" s="1"/>
  <c r="N24" i="3"/>
  <c r="N42" i="3" s="1"/>
  <c r="N45" i="3" s="1"/>
  <c r="N48" i="3" s="1"/>
  <c r="N51" i="3" s="1"/>
  <c r="N54" i="3" s="1"/>
  <c r="N57" i="3" s="1"/>
  <c r="R25" i="3"/>
  <c r="R43" i="3" s="1"/>
  <c r="R46" i="3" s="1"/>
  <c r="R49" i="3" s="1"/>
  <c r="R52" i="3" s="1"/>
  <c r="R55" i="3" s="1"/>
  <c r="R58" i="3" s="1"/>
  <c r="O26" i="3"/>
  <c r="C24" i="3"/>
  <c r="C25" i="3"/>
  <c r="C26" i="3"/>
  <c r="R26" i="3" l="1"/>
  <c r="R44" i="3" s="1"/>
  <c r="R47" i="3" s="1"/>
  <c r="R50" i="3" s="1"/>
  <c r="R53" i="3" s="1"/>
  <c r="R56" i="3" s="1"/>
  <c r="R59" i="3" s="1"/>
  <c r="R61" i="3" s="1"/>
  <c r="R63" i="3" s="1"/>
  <c r="R65" i="3" s="1"/>
  <c r="R67" i="3" s="1"/>
  <c r="R69" i="3" s="1"/>
  <c r="R71" i="3" s="1"/>
  <c r="R73" i="3" s="1"/>
  <c r="R75" i="3" s="1"/>
  <c r="R77" i="3" s="1"/>
  <c r="O25" i="3"/>
  <c r="C6" i="3"/>
  <c r="L100" i="1" l="1"/>
  <c r="H101" i="1" s="1"/>
  <c r="H105" i="1"/>
  <c r="H108" i="1"/>
  <c r="H113" i="1"/>
  <c r="H99" i="1"/>
  <c r="C64" i="1"/>
  <c r="D38" i="1"/>
  <c r="C38" i="1"/>
  <c r="F51" i="1"/>
  <c r="F52" i="1" s="1"/>
  <c r="F53" i="1" s="1"/>
  <c r="F54" i="1" s="1"/>
  <c r="I54" i="1"/>
  <c r="I46" i="1"/>
  <c r="J53" i="1"/>
  <c r="J45" i="1"/>
  <c r="C51" i="1"/>
  <c r="C52" i="1" s="1"/>
  <c r="D51" i="1"/>
  <c r="D52" i="1" s="1"/>
  <c r="D53" i="1" s="1"/>
  <c r="D54" i="1" s="1"/>
  <c r="K5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0" i="1"/>
  <c r="D118" i="1" s="1"/>
  <c r="E98" i="1"/>
  <c r="E99" i="1"/>
  <c r="E97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00" i="1"/>
  <c r="G98" i="1"/>
  <c r="G99" i="1"/>
  <c r="G97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00" i="1"/>
  <c r="C92" i="1"/>
  <c r="F98" i="1"/>
  <c r="F99" i="1"/>
  <c r="F97" i="1"/>
  <c r="K38" i="1" l="1"/>
  <c r="E120" i="1"/>
  <c r="H98" i="1"/>
  <c r="H107" i="1"/>
  <c r="H100" i="1"/>
  <c r="H106" i="1"/>
  <c r="H112" i="1"/>
  <c r="H104" i="1"/>
  <c r="H111" i="1"/>
  <c r="H103" i="1"/>
  <c r="H110" i="1"/>
  <c r="H102" i="1"/>
  <c r="H97" i="1"/>
  <c r="H109" i="1"/>
  <c r="F119" i="1"/>
  <c r="F121" i="1"/>
  <c r="F120" i="1"/>
  <c r="F118" i="1"/>
  <c r="E119" i="1"/>
  <c r="K51" i="1"/>
  <c r="K52" i="1"/>
  <c r="C53" i="1"/>
  <c r="E118" i="1"/>
  <c r="D121" i="1"/>
  <c r="D120" i="1"/>
  <c r="D119" i="1"/>
  <c r="E121" i="1"/>
  <c r="C54" i="1" l="1"/>
  <c r="K53" i="1"/>
  <c r="I77" i="1"/>
  <c r="J76" i="1"/>
  <c r="J77" i="1" s="1"/>
  <c r="E74" i="1"/>
  <c r="E75" i="1" s="1"/>
  <c r="E76" i="1" s="1"/>
  <c r="E77" i="1" s="1"/>
  <c r="F74" i="1"/>
  <c r="F75" i="1" s="1"/>
  <c r="F76" i="1" s="1"/>
  <c r="F77" i="1" s="1"/>
  <c r="R62" i="1"/>
  <c r="K54" i="1" l="1"/>
  <c r="R63" i="1"/>
  <c r="S63" i="1" s="1"/>
  <c r="S62" i="1"/>
  <c r="D74" i="1"/>
  <c r="D75" i="1" s="1"/>
  <c r="D76" i="1" s="1"/>
  <c r="D77" i="1" s="1"/>
  <c r="C74" i="1"/>
  <c r="K42" i="1"/>
  <c r="D43" i="1"/>
  <c r="D44" i="1" s="1"/>
  <c r="D45" i="1" s="1"/>
  <c r="D46" i="1" s="1"/>
  <c r="C43" i="1"/>
  <c r="K43" i="1" l="1"/>
  <c r="R68" i="1"/>
  <c r="S68" i="1" s="1"/>
  <c r="R64" i="1"/>
  <c r="S64" i="1" s="1"/>
  <c r="C65" i="1"/>
  <c r="C66" i="1" s="1"/>
  <c r="R70" i="1"/>
  <c r="S70" i="1" s="1"/>
  <c r="R69" i="1"/>
  <c r="S69" i="1" s="1"/>
  <c r="R71" i="1"/>
  <c r="S71" i="1" s="1"/>
  <c r="R72" i="1"/>
  <c r="S72" i="1" s="1"/>
  <c r="R65" i="1"/>
  <c r="S65" i="1" s="1"/>
  <c r="R73" i="1"/>
  <c r="S73" i="1" s="1"/>
  <c r="R66" i="1"/>
  <c r="S66" i="1" s="1"/>
  <c r="R74" i="1"/>
  <c r="S74" i="1" s="1"/>
  <c r="R67" i="1"/>
  <c r="S67" i="1" s="1"/>
  <c r="R75" i="1"/>
  <c r="S75" i="1" s="1"/>
  <c r="C75" i="1"/>
  <c r="C44" i="1"/>
  <c r="C68" i="1" l="1"/>
  <c r="C67" i="1"/>
  <c r="C76" i="1"/>
  <c r="K44" i="1"/>
  <c r="C45" i="1"/>
  <c r="D81" i="1" l="1"/>
  <c r="D84" i="1"/>
  <c r="D82" i="1"/>
  <c r="D85" i="1"/>
  <c r="D83" i="1"/>
  <c r="E83" i="1"/>
  <c r="E85" i="1"/>
  <c r="E84" i="1"/>
  <c r="E81" i="1"/>
  <c r="E82" i="1"/>
  <c r="K75" i="1"/>
  <c r="L73" i="1"/>
  <c r="L74" i="1"/>
  <c r="L75" i="1"/>
  <c r="K73" i="1"/>
  <c r="K74" i="1"/>
  <c r="L76" i="1"/>
  <c r="K76" i="1"/>
  <c r="C77" i="1"/>
  <c r="C46" i="1"/>
  <c r="K46" i="1" s="1"/>
  <c r="K45" i="1"/>
  <c r="L77" i="1" l="1"/>
  <c r="K77" i="1"/>
  <c r="C33" i="1" l="1"/>
  <c r="M38" i="1" s="1"/>
  <c r="M50" i="1" l="1"/>
  <c r="M51" i="1"/>
  <c r="M52" i="1"/>
  <c r="M53" i="1"/>
  <c r="M54" i="1"/>
  <c r="M45" i="1"/>
  <c r="M46" i="1"/>
  <c r="M43" i="1"/>
  <c r="M44" i="1"/>
  <c r="M42" i="1"/>
  <c r="C31" i="1"/>
  <c r="C32" i="1" s="1"/>
  <c r="L38" i="1" s="1"/>
  <c r="L50" i="1" l="1"/>
  <c r="L51" i="1"/>
  <c r="L52" i="1"/>
  <c r="L53" i="1"/>
  <c r="L54" i="1"/>
  <c r="L46" i="1"/>
  <c r="L42" i="1"/>
  <c r="L43" i="1"/>
  <c r="L44" i="1"/>
  <c r="L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bianhaiqiang</author>
  </authors>
  <commentList>
    <comment ref="B33" authorId="0" shapeId="0" xr:uid="{594FF273-D874-4C28-AC35-082E2D6FED23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按照玩家会追半队（5人），每御魂追3条附加属性强化</t>
        </r>
      </text>
    </comment>
    <comment ref="B68" authorId="0" shapeId="0" xr:uid="{AF050511-1511-4877-A0A5-B9F7D7178B0F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按照玩家满养成追6个角色预估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bianhaiqiang</author>
  </authors>
  <commentList>
    <comment ref="E2" authorId="0" shapeId="0" xr:uid="{A027DC45-4DA2-4F8F-9C92-AF58276C82CE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F2" authorId="0" shapeId="0" xr:uid="{71948ACC-6CE3-4B67-BB89-EC9E8CDAB789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C12" authorId="0" shapeId="0" xr:uid="{EED939E4-7A78-44E3-BB0F-C70DE4375F5A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C22" authorId="0" shapeId="0" xr:uid="{1F6CC9CE-FBAF-4DC5-9362-6247D00CEE31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D22" authorId="0" shapeId="0" xr:uid="{5FF3A339-B2BC-4F08-98F6-A3A791A218F6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F41" authorId="0" shapeId="0" xr:uid="{E80CCA6A-2EEE-4961-BFBF-BD0DDE9ADAB2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件数，属性类型，属性值；
满级配置为all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bianhaiqiang</author>
    <author>作者</author>
  </authors>
  <commentList>
    <comment ref="E2" authorId="0" shapeId="0" xr:uid="{528779C4-B2FF-49C5-AFF8-9FEDD4C7CA3A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F2" authorId="0" shapeId="0" xr:uid="{404BDA80-33EF-49E9-90F4-667D61A55CA1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O2" authorId="0" shapeId="0" xr:uid="{F2727F62-880A-4FE8-B959-352C951DBB8A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时魄生成时，随机附加属性权重</t>
        </r>
      </text>
    </comment>
    <comment ref="P2" authorId="0" shapeId="0" xr:uid="{BCC8D59D-B059-4FCC-A3AA-E2FD39BD69A1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时魄升级时，随机附加属性权重</t>
        </r>
      </text>
    </comment>
    <comment ref="C81" authorId="0" shapeId="0" xr:uid="{8AEE7856-59BB-4C56-8C4D-C816CF56AC5B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1、位置1
2、位置2
3、位置3
</t>
        </r>
      </text>
    </comment>
    <comment ref="E91" authorId="0" shapeId="0" xr:uid="{86BD93E0-3C33-4B3B-9C5B-EEB8AC0C5565}">
      <text>
        <r>
          <rPr>
            <b/>
            <sz val="9"/>
            <color indexed="81"/>
            <rFont val="宋体"/>
            <family val="3"/>
            <charset val="134"/>
          </rPr>
          <t>bianhaiqiang: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I166" authorId="1" shapeId="0" xr:uid="{E914684C-C518-4743-975A-001F27661FB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属性类型，属性值；
满级配置为all
</t>
        </r>
      </text>
    </comment>
    <comment ref="J166" authorId="1" shapeId="0" xr:uid="{F409D374-AB11-4A63-BB9F-652DAAEC9A6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满级属性套装效果
的件数激活条件要求</t>
        </r>
      </text>
    </comment>
    <comment ref="L166" authorId="1" shapeId="0" xr:uid="{F5345B9E-967D-4576-A363-E437212D00E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属性类型，属性值；
满级配置为all
</t>
        </r>
      </text>
    </comment>
  </commentList>
</comments>
</file>

<file path=xl/sharedStrings.xml><?xml version="1.0" encoding="utf-8"?>
<sst xmlns="http://schemas.openxmlformats.org/spreadsheetml/2006/main" count="983" uniqueCount="525">
  <si>
    <t>主属性</t>
    <phoneticPr fontId="1" type="noConversion"/>
  </si>
  <si>
    <t>位置1</t>
    <phoneticPr fontId="1" type="noConversion"/>
  </si>
  <si>
    <t>攻击</t>
    <phoneticPr fontId="1" type="noConversion"/>
  </si>
  <si>
    <t>生命</t>
    <phoneticPr fontId="1" type="noConversion"/>
  </si>
  <si>
    <t>防御</t>
    <phoneticPr fontId="1" type="noConversion"/>
  </si>
  <si>
    <t>基础</t>
    <phoneticPr fontId="1" type="noConversion"/>
  </si>
  <si>
    <t>升级</t>
    <phoneticPr fontId="1" type="noConversion"/>
  </si>
  <si>
    <t>套装</t>
    <phoneticPr fontId="1" type="noConversion"/>
  </si>
  <si>
    <t>暴击</t>
    <phoneticPr fontId="1" type="noConversion"/>
  </si>
  <si>
    <t>暴击伤害</t>
    <phoneticPr fontId="1" type="noConversion"/>
  </si>
  <si>
    <t>抗暴</t>
    <phoneticPr fontId="1" type="noConversion"/>
  </si>
  <si>
    <t>格挡</t>
    <phoneticPr fontId="1" type="noConversion"/>
  </si>
  <si>
    <t>格挡强度</t>
    <phoneticPr fontId="1" type="noConversion"/>
  </si>
  <si>
    <t>抗格挡</t>
    <phoneticPr fontId="1" type="noConversion"/>
  </si>
  <si>
    <t>伤害率</t>
    <phoneticPr fontId="1" type="noConversion"/>
  </si>
  <si>
    <t>免伤率</t>
    <phoneticPr fontId="1" type="noConversion"/>
  </si>
  <si>
    <t>先手值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</si>
  <si>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</si>
  <si>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</si>
  <si>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</si>
  <si>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一、</t>
    <phoneticPr fontId="1" type="noConversion"/>
  </si>
  <si>
    <t>目的</t>
    <phoneticPr fontId="1" type="noConversion"/>
  </si>
  <si>
    <t>二、</t>
    <phoneticPr fontId="1" type="noConversion"/>
  </si>
  <si>
    <t>思路</t>
    <phoneticPr fontId="1" type="noConversion"/>
  </si>
  <si>
    <t>2、增加新类型活动的新投放内容</t>
    <phoneticPr fontId="1" type="noConversion"/>
  </si>
  <si>
    <t>1、主角过于强势，角色作用偏单一，增加角色在场上的存在感</t>
    <phoneticPr fontId="1" type="noConversion"/>
  </si>
  <si>
    <t>2、让玩家用自由搭配的方式，选择性的增强目标角色的职业强度</t>
    <phoneticPr fontId="1" type="noConversion"/>
  </si>
  <si>
    <t>3、尽可能的增加该养成的生命周期，增加随机的效果</t>
    <phoneticPr fontId="1" type="noConversion"/>
  </si>
  <si>
    <t>1、解决目前玩家养成空缺</t>
    <phoneticPr fontId="1" type="noConversion"/>
  </si>
  <si>
    <t>3、至少提供半年以上的投放选择</t>
    <phoneticPr fontId="1" type="noConversion"/>
  </si>
  <si>
    <t>4、增加随机性的同时，通过分散随机效果，不至于让高品质坯子极难获得</t>
    <phoneticPr fontId="1" type="noConversion"/>
  </si>
  <si>
    <t>三、</t>
    <phoneticPr fontId="1" type="noConversion"/>
  </si>
  <si>
    <t>四、</t>
    <phoneticPr fontId="1" type="noConversion"/>
  </si>
  <si>
    <t>攻击百分比</t>
    <phoneticPr fontId="1" type="noConversion"/>
  </si>
  <si>
    <t>防御百分比</t>
    <phoneticPr fontId="1" type="noConversion"/>
  </si>
  <si>
    <t>生命百分比</t>
    <phoneticPr fontId="1" type="noConversion"/>
  </si>
  <si>
    <t>御魂产出</t>
    <phoneticPr fontId="1" type="noConversion"/>
  </si>
  <si>
    <t>部位及随机规则</t>
    <phoneticPr fontId="1" type="noConversion"/>
  </si>
  <si>
    <t>1、每个英魂有数个部位，每个部位可装备不同的御魂</t>
    <phoneticPr fontId="1" type="noConversion"/>
  </si>
  <si>
    <t>2、每个御魂有2类属性，基础属性与附加属性</t>
    <phoneticPr fontId="1" type="noConversion"/>
  </si>
  <si>
    <t>3、基础属性每个位置固定，为配置，随等级逐级提高</t>
    <phoneticPr fontId="1" type="noConversion"/>
  </si>
  <si>
    <t>4、附加属性为从配置的属性库中随机条目数（最大3条），以及随机类型</t>
    <phoneticPr fontId="1" type="noConversion"/>
  </si>
  <si>
    <t>例如：获得1件御魂后，基础属性固定，附加属性数量在1~3条之间随机，属性类型在配置好的类型库中随机</t>
    <phoneticPr fontId="1" type="noConversion"/>
  </si>
  <si>
    <t>附加属性条数</t>
    <phoneticPr fontId="1" type="noConversion"/>
  </si>
  <si>
    <t>附加属性等级</t>
    <phoneticPr fontId="1" type="noConversion"/>
  </si>
  <si>
    <t>每人御魂上限</t>
    <phoneticPr fontId="1" type="noConversion"/>
  </si>
  <si>
    <t>御魂总数</t>
    <phoneticPr fontId="1" type="noConversion"/>
  </si>
  <si>
    <t>御魂极限需求</t>
    <phoneticPr fontId="1" type="noConversion"/>
  </si>
  <si>
    <t>实际预估需求</t>
    <phoneticPr fontId="1" type="noConversion"/>
  </si>
  <si>
    <t>小R</t>
    <phoneticPr fontId="1" type="noConversion"/>
  </si>
  <si>
    <t>中R</t>
    <phoneticPr fontId="1" type="noConversion"/>
  </si>
  <si>
    <t>大R</t>
    <phoneticPr fontId="1" type="noConversion"/>
  </si>
  <si>
    <t>超R</t>
    <phoneticPr fontId="1" type="noConversion"/>
  </si>
  <si>
    <t>活动副本</t>
    <phoneticPr fontId="1" type="noConversion"/>
  </si>
  <si>
    <t>通行证</t>
    <phoneticPr fontId="1" type="noConversion"/>
  </si>
  <si>
    <t>活动礼包</t>
    <phoneticPr fontId="1" type="noConversion"/>
  </si>
  <si>
    <t>月礼包</t>
    <phoneticPr fontId="1" type="noConversion"/>
  </si>
  <si>
    <t>免费</t>
    <phoneticPr fontId="1" type="noConversion"/>
  </si>
  <si>
    <t>日礼包</t>
    <phoneticPr fontId="1" type="noConversion"/>
  </si>
  <si>
    <t>周礼包</t>
    <phoneticPr fontId="1" type="noConversion"/>
  </si>
  <si>
    <t>极限时间</t>
    <phoneticPr fontId="1" type="noConversion"/>
  </si>
  <si>
    <t>实际时间</t>
    <phoneticPr fontId="1" type="noConversion"/>
  </si>
  <si>
    <t>全橙色时间</t>
    <phoneticPr fontId="1" type="noConversion"/>
  </si>
  <si>
    <t>月</t>
    <phoneticPr fontId="1" type="noConversion"/>
  </si>
  <si>
    <t>五、</t>
    <phoneticPr fontId="1" type="noConversion"/>
  </si>
  <si>
    <t>御魂升级</t>
    <phoneticPr fontId="1" type="noConversion"/>
  </si>
  <si>
    <t>御魂最大经验</t>
    <phoneticPr fontId="1" type="noConversion"/>
  </si>
  <si>
    <t>初级基础</t>
    <phoneticPr fontId="1" type="noConversion"/>
  </si>
  <si>
    <t>每级增加</t>
    <phoneticPr fontId="1" type="noConversion"/>
  </si>
  <si>
    <t>最大等级</t>
    <phoneticPr fontId="1" type="noConversion"/>
  </si>
  <si>
    <t>最大经验</t>
    <phoneticPr fontId="1" type="noConversion"/>
  </si>
  <si>
    <t>经验道具需求数</t>
    <phoneticPr fontId="1" type="noConversion"/>
  </si>
  <si>
    <t>经验道具需求总</t>
    <phoneticPr fontId="1" type="noConversion"/>
  </si>
  <si>
    <t>极限深度</t>
    <phoneticPr fontId="1" type="noConversion"/>
  </si>
  <si>
    <t>实际深度</t>
    <phoneticPr fontId="1" type="noConversion"/>
  </si>
  <si>
    <t>等级</t>
    <phoneticPr fontId="1" type="noConversion"/>
  </si>
  <si>
    <t>经验</t>
    <phoneticPr fontId="1" type="noConversion"/>
  </si>
  <si>
    <t>六、</t>
    <phoneticPr fontId="1" type="noConversion"/>
  </si>
  <si>
    <t>属性投放</t>
    <phoneticPr fontId="1" type="noConversion"/>
  </si>
  <si>
    <t>玩法预留</t>
    <phoneticPr fontId="1" type="noConversion"/>
  </si>
  <si>
    <t>活动预留</t>
    <phoneticPr fontId="1" type="noConversion"/>
  </si>
  <si>
    <t>总属性：</t>
    <phoneticPr fontId="1" type="noConversion"/>
  </si>
  <si>
    <t>分配比例：</t>
    <phoneticPr fontId="1" type="noConversion"/>
  </si>
  <si>
    <t>比例</t>
    <phoneticPr fontId="1" type="noConversion"/>
  </si>
  <si>
    <t>品质比例：</t>
    <phoneticPr fontId="1" type="noConversion"/>
  </si>
  <si>
    <t>绿</t>
    <phoneticPr fontId="1" type="noConversion"/>
  </si>
  <si>
    <t>经验消耗：</t>
    <phoneticPr fontId="1" type="noConversion"/>
  </si>
  <si>
    <t>金币消耗：</t>
    <phoneticPr fontId="1" type="noConversion"/>
  </si>
  <si>
    <t>经验金币比</t>
    <phoneticPr fontId="1" type="noConversion"/>
  </si>
  <si>
    <t>金币</t>
    <phoneticPr fontId="1" type="noConversion"/>
  </si>
  <si>
    <t>总投放</t>
    <phoneticPr fontId="1" type="noConversion"/>
  </si>
  <si>
    <t>副属性升级次数</t>
    <phoneticPr fontId="1" type="noConversion"/>
  </si>
  <si>
    <t>品质效果：</t>
    <phoneticPr fontId="1" type="noConversion"/>
  </si>
  <si>
    <t>升级/级</t>
    <phoneticPr fontId="1" type="noConversion"/>
  </si>
  <si>
    <t>附加属性1</t>
    <phoneticPr fontId="1" type="noConversion"/>
  </si>
  <si>
    <t>附加属性5</t>
  </si>
  <si>
    <t>防御值</t>
    <phoneticPr fontId="1" type="noConversion"/>
  </si>
  <si>
    <t>生命值</t>
    <phoneticPr fontId="1" type="noConversion"/>
  </si>
  <si>
    <t>攻击值</t>
    <phoneticPr fontId="1" type="noConversion"/>
  </si>
  <si>
    <t>防御百分比</t>
  </si>
  <si>
    <t>暴击伤害</t>
    <phoneticPr fontId="1" type="noConversion"/>
  </si>
  <si>
    <t>抗暴击</t>
    <phoneticPr fontId="1" type="noConversion"/>
  </si>
  <si>
    <t>先手值</t>
    <phoneticPr fontId="1" type="noConversion"/>
  </si>
  <si>
    <t>攻击百分比</t>
  </si>
  <si>
    <t>抗格挡</t>
    <phoneticPr fontId="1" type="noConversion"/>
  </si>
  <si>
    <t>格挡伤害</t>
    <phoneticPr fontId="1" type="noConversion"/>
  </si>
  <si>
    <t>附加属性2</t>
    <phoneticPr fontId="1" type="noConversion"/>
  </si>
  <si>
    <t>附加属性3</t>
    <phoneticPr fontId="1" type="noConversion"/>
  </si>
  <si>
    <t>附加属性4</t>
    <phoneticPr fontId="1" type="noConversion"/>
  </si>
  <si>
    <t>位置2</t>
    <phoneticPr fontId="1" type="noConversion"/>
  </si>
  <si>
    <t>位置3</t>
    <phoneticPr fontId="1" type="noConversion"/>
  </si>
  <si>
    <t>伤害率</t>
    <phoneticPr fontId="1" type="noConversion"/>
  </si>
  <si>
    <t>免伤率</t>
    <phoneticPr fontId="1" type="noConversion"/>
  </si>
  <si>
    <t>反伤率</t>
    <phoneticPr fontId="1" type="noConversion"/>
  </si>
  <si>
    <t>吸血率</t>
    <phoneticPr fontId="1" type="noConversion"/>
  </si>
  <si>
    <t>暴击率</t>
    <phoneticPr fontId="1" type="noConversion"/>
  </si>
  <si>
    <t>格挡率</t>
    <phoneticPr fontId="1" type="noConversion"/>
  </si>
  <si>
    <t>投放途径：</t>
    <phoneticPr fontId="1" type="noConversion"/>
  </si>
  <si>
    <t>全紫色时间</t>
    <phoneticPr fontId="1" type="noConversion"/>
  </si>
  <si>
    <t>紫色御魂投放：</t>
    <phoneticPr fontId="1" type="noConversion"/>
  </si>
  <si>
    <t>橙色御魂投放：</t>
    <phoneticPr fontId="1" type="noConversion"/>
  </si>
  <si>
    <t>绿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</si>
  <si>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</si>
  <si>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</si>
  <si>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</si>
  <si>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比例</t>
    <phoneticPr fontId="1" type="noConversion"/>
  </si>
  <si>
    <t>总御魂投放：</t>
    <phoneticPr fontId="1" type="noConversion"/>
  </si>
  <si>
    <t>结余/月</t>
    <phoneticPr fontId="1" type="noConversion"/>
  </si>
  <si>
    <t>月</t>
    <phoneticPr fontId="1" type="noConversion"/>
  </si>
  <si>
    <t>七、</t>
    <phoneticPr fontId="1" type="noConversion"/>
  </si>
  <si>
    <t>套装效果</t>
    <phoneticPr fontId="1" type="noConversion"/>
  </si>
  <si>
    <t>满级套装</t>
    <phoneticPr fontId="1" type="noConversion"/>
  </si>
  <si>
    <t>1、</t>
    <phoneticPr fontId="1" type="noConversion"/>
  </si>
  <si>
    <t>暴击套装</t>
    <phoneticPr fontId="1" type="noConversion"/>
  </si>
  <si>
    <t>2件：</t>
    <phoneticPr fontId="1" type="noConversion"/>
  </si>
  <si>
    <t>3件：</t>
  </si>
  <si>
    <t>满级：</t>
    <phoneticPr fontId="1" type="noConversion"/>
  </si>
  <si>
    <t>暴击率</t>
    <phoneticPr fontId="1" type="noConversion"/>
  </si>
  <si>
    <t>暴击伤害</t>
    <phoneticPr fontId="1" type="noConversion"/>
  </si>
  <si>
    <t>2、</t>
    <phoneticPr fontId="1" type="noConversion"/>
  </si>
  <si>
    <t>格挡套装</t>
    <phoneticPr fontId="1" type="noConversion"/>
  </si>
  <si>
    <t>格挡率</t>
    <phoneticPr fontId="1" type="noConversion"/>
  </si>
  <si>
    <t>3、</t>
    <phoneticPr fontId="1" type="noConversion"/>
  </si>
  <si>
    <t>抵抗套装</t>
    <phoneticPr fontId="1" type="noConversion"/>
  </si>
  <si>
    <t>抗暴率</t>
    <phoneticPr fontId="1" type="noConversion"/>
  </si>
  <si>
    <t>免伤率</t>
    <phoneticPr fontId="1" type="noConversion"/>
  </si>
  <si>
    <t>4、</t>
    <phoneticPr fontId="1" type="noConversion"/>
  </si>
  <si>
    <t>穿透套装</t>
    <phoneticPr fontId="1" type="noConversion"/>
  </si>
  <si>
    <t>伤害率</t>
    <phoneticPr fontId="1" type="noConversion"/>
  </si>
  <si>
    <t>5、</t>
    <phoneticPr fontId="1" type="noConversion"/>
  </si>
  <si>
    <t>特殊套装</t>
    <phoneticPr fontId="1" type="noConversion"/>
  </si>
  <si>
    <t>反伤率</t>
    <phoneticPr fontId="1" type="noConversion"/>
  </si>
  <si>
    <t>吸血率</t>
    <phoneticPr fontId="1" type="noConversion"/>
  </si>
  <si>
    <t>6、</t>
    <phoneticPr fontId="1" type="noConversion"/>
  </si>
  <si>
    <t>输出套装</t>
    <phoneticPr fontId="1" type="noConversion"/>
  </si>
  <si>
    <t>Gem</t>
    <phoneticPr fontId="1" type="noConversion"/>
  </si>
  <si>
    <t>标识</t>
  </si>
  <si>
    <t>CS</t>
  </si>
  <si>
    <t>string</t>
  </si>
  <si>
    <t>Id</t>
  </si>
  <si>
    <t>名称</t>
  </si>
  <si>
    <t>Name</t>
  </si>
  <si>
    <t>$</t>
  </si>
  <si>
    <t>$名称</t>
    <phoneticPr fontId="1" type="noConversion"/>
  </si>
  <si>
    <t>$Name</t>
    <phoneticPr fontId="1" type="noConversion"/>
  </si>
  <si>
    <t>int</t>
  </si>
  <si>
    <t>Rareity</t>
  </si>
  <si>
    <t>Type</t>
  </si>
  <si>
    <t>资质</t>
    <phoneticPr fontId="1" type="noConversion"/>
  </si>
  <si>
    <t>部位</t>
    <phoneticPr fontId="1" type="noConversion"/>
  </si>
  <si>
    <t>基础属性</t>
    <phoneticPr fontId="1" type="noConversion"/>
  </si>
  <si>
    <t>升级属性</t>
    <phoneticPr fontId="1" type="noConversion"/>
  </si>
  <si>
    <t>开启品质</t>
    <phoneticPr fontId="1" type="noConversion"/>
  </si>
  <si>
    <t>Levelup</t>
    <phoneticPr fontId="1" type="noConversion"/>
  </si>
  <si>
    <t>Unlock</t>
    <phoneticPr fontId="1" type="noConversion"/>
  </si>
  <si>
    <t>附加条数</t>
    <phoneticPr fontId="1" type="noConversion"/>
  </si>
  <si>
    <t>附加属性</t>
    <phoneticPr fontId="1" type="noConversion"/>
  </si>
  <si>
    <t>Addattr</t>
    <phoneticPr fontId="1" type="noConversion"/>
  </si>
  <si>
    <t>Attrnum</t>
    <phoneticPr fontId="1" type="noConversion"/>
  </si>
  <si>
    <t>Attr</t>
    <phoneticPr fontId="1" type="noConversion"/>
  </si>
  <si>
    <t>Attrprobability</t>
    <phoneticPr fontId="1" type="noConversion"/>
  </si>
  <si>
    <t>数目概率</t>
    <phoneticPr fontId="1" type="noConversion"/>
  </si>
  <si>
    <t>Numprobability</t>
    <phoneticPr fontId="1" type="noConversion"/>
  </si>
  <si>
    <t>Gemexp</t>
    <phoneticPr fontId="1" type="noConversion"/>
  </si>
  <si>
    <t>Hole</t>
    <phoneticPr fontId="1" type="noConversion"/>
  </si>
  <si>
    <t>Level</t>
    <phoneticPr fontId="1" type="noConversion"/>
  </si>
  <si>
    <t>Exp</t>
    <phoneticPr fontId="1" type="noConversion"/>
  </si>
  <si>
    <t>ConfigValue</t>
  </si>
  <si>
    <t>内容</t>
  </si>
  <si>
    <t>值类型</t>
  </si>
  <si>
    <t>备注</t>
  </si>
  <si>
    <t>auto</t>
  </si>
  <si>
    <t>content</t>
  </si>
  <si>
    <t>clz</t>
  </si>
  <si>
    <t>$描述</t>
  </si>
  <si>
    <t>PRIMARY</t>
  </si>
  <si>
    <t>dict</t>
  </si>
  <si>
    <t>GemAddattr</t>
    <phoneticPr fontId="1" type="noConversion"/>
  </si>
  <si>
    <t>int</t>
    <phoneticPr fontId="1" type="noConversion"/>
  </si>
  <si>
    <t>附加属性升级条件（阶段）</t>
    <phoneticPr fontId="1" type="noConversion"/>
  </si>
  <si>
    <t>3,6,9,12,15</t>
    <phoneticPr fontId="1" type="noConversion"/>
  </si>
  <si>
    <t>升级权重</t>
    <phoneticPr fontId="1" type="noConversion"/>
  </si>
  <si>
    <t>属性权重</t>
    <phoneticPr fontId="1" type="noConversion"/>
  </si>
  <si>
    <t>Attrprobabilitylev</t>
    <phoneticPr fontId="1" type="noConversion"/>
  </si>
  <si>
    <t>suit</t>
    <phoneticPr fontId="1" type="noConversion"/>
  </si>
  <si>
    <t>suit1</t>
    <phoneticPr fontId="1" type="noConversion"/>
  </si>
  <si>
    <t>暴击套装</t>
    <phoneticPr fontId="1" type="noConversion"/>
  </si>
  <si>
    <t>包含组件</t>
    <phoneticPr fontId="1" type="noConversion"/>
  </si>
  <si>
    <t>Gem101,Gem102,Gem103</t>
    <phoneticPr fontId="1" type="noConversion"/>
  </si>
  <si>
    <t>套装效果</t>
    <phoneticPr fontId="1" type="noConversion"/>
  </si>
  <si>
    <t>Part</t>
    <phoneticPr fontId="1" type="noConversion"/>
  </si>
  <si>
    <t>Partattr</t>
    <phoneticPr fontId="1" type="noConversion"/>
  </si>
  <si>
    <t>2,critAdd,200;3,critAdd,400;all,critAdd,600</t>
    <phoneticPr fontId="1" type="noConversion"/>
  </si>
  <si>
    <t>Gem101</t>
  </si>
  <si>
    <t>宝石</t>
    <phoneticPr fontId="1" type="noConversion"/>
  </si>
  <si>
    <t>atk,100</t>
    <phoneticPr fontId="1" type="noConversion"/>
  </si>
  <si>
    <t>def,hpmax,</t>
    <phoneticPr fontId="1" type="noConversion"/>
  </si>
  <si>
    <t>0,20;1,20;2,20;3,20</t>
    <phoneticPr fontId="1" type="noConversion"/>
  </si>
  <si>
    <t>def,30;hpmax,20</t>
    <phoneticPr fontId="1" type="noConversion"/>
  </si>
  <si>
    <t>1、橙色，紫色品质有套装属性效果</t>
    <phoneticPr fontId="1" type="noConversion"/>
  </si>
  <si>
    <t>2、套装效果分为2件、3件，3件满级效果3类</t>
    <phoneticPr fontId="1" type="noConversion"/>
  </si>
  <si>
    <t>附加属性升级效果</t>
    <phoneticPr fontId="1" type="noConversion"/>
  </si>
  <si>
    <t>Addattrlev</t>
    <phoneticPr fontId="1" type="noConversion"/>
  </si>
  <si>
    <t>def,100,,hpmax,100</t>
    <phoneticPr fontId="1" type="noConversion"/>
  </si>
  <si>
    <t>Gem102</t>
    <phoneticPr fontId="1" type="noConversion"/>
  </si>
  <si>
    <t>经验宝石</t>
    <phoneticPr fontId="1" type="noConversion"/>
  </si>
  <si>
    <t>经验比例</t>
    <phoneticPr fontId="1" type="noConversion"/>
  </si>
  <si>
    <t>Expratio</t>
    <phoneticPr fontId="1" type="noConversion"/>
  </si>
  <si>
    <t>绿宝石1</t>
    <phoneticPr fontId="1" type="noConversion"/>
  </si>
  <si>
    <t>绿宝石2</t>
  </si>
  <si>
    <t>绿宝石3</t>
  </si>
  <si>
    <t>蓝宝石1</t>
    <phoneticPr fontId="1" type="noConversion"/>
  </si>
  <si>
    <t>蓝宝石2</t>
  </si>
  <si>
    <t>蓝宝石3</t>
  </si>
  <si>
    <t>暴击</t>
  </si>
  <si>
    <t>紫宝石1</t>
    <phoneticPr fontId="1" type="noConversion"/>
  </si>
  <si>
    <t>紫宝石2</t>
  </si>
  <si>
    <t>紫宝石3</t>
  </si>
  <si>
    <t>紫宝石4</t>
  </si>
  <si>
    <t>紫宝石5</t>
  </si>
  <si>
    <t>紫宝石6</t>
  </si>
  <si>
    <t>紫宝石7</t>
  </si>
  <si>
    <t>紫宝石8</t>
  </si>
  <si>
    <t>紫宝石9</t>
  </si>
  <si>
    <t>紫宝石10</t>
  </si>
  <si>
    <t>紫宝石11</t>
  </si>
  <si>
    <t>紫宝石12</t>
  </si>
  <si>
    <t>紫宝石13</t>
  </si>
  <si>
    <t>紫宝石14</t>
  </si>
  <si>
    <t>紫宝石15</t>
  </si>
  <si>
    <t>紫宝石16</t>
  </si>
  <si>
    <t>紫宝石17</t>
  </si>
  <si>
    <t>紫宝石18</t>
  </si>
  <si>
    <t>DEF</t>
    <phoneticPr fontId="1" type="noConversion"/>
  </si>
  <si>
    <t>HP</t>
    <phoneticPr fontId="1" type="noConversion"/>
  </si>
  <si>
    <t>ATK</t>
    <phoneticPr fontId="1" type="noConversion"/>
  </si>
  <si>
    <t>基础属性类型</t>
    <phoneticPr fontId="1" type="noConversion"/>
  </si>
  <si>
    <t>基础属性值</t>
    <phoneticPr fontId="1" type="noConversion"/>
  </si>
  <si>
    <t>int</t>
    <phoneticPr fontId="1" type="noConversion"/>
  </si>
  <si>
    <t>基础升级效果</t>
    <phoneticPr fontId="1" type="noConversion"/>
  </si>
  <si>
    <t>array</t>
  </si>
  <si>
    <t>橙宝石1</t>
    <phoneticPr fontId="1" type="noConversion"/>
  </si>
  <si>
    <t>橙宝石2</t>
  </si>
  <si>
    <t>橙宝石3</t>
  </si>
  <si>
    <t>橙宝石4</t>
  </si>
  <si>
    <t>橙宝石5</t>
  </si>
  <si>
    <t>橙宝石6</t>
  </si>
  <si>
    <t>橙宝石7</t>
  </si>
  <si>
    <t>橙宝石8</t>
  </si>
  <si>
    <t>橙宝石9</t>
  </si>
  <si>
    <t>橙宝石10</t>
  </si>
  <si>
    <t>橙宝石11</t>
  </si>
  <si>
    <t>橙宝石12</t>
  </si>
  <si>
    <t>橙宝石13</t>
  </si>
  <si>
    <t>橙宝石14</t>
  </si>
  <si>
    <t>橙宝石15</t>
  </si>
  <si>
    <t>橙宝石16</t>
  </si>
  <si>
    <t>橙宝石17</t>
  </si>
  <si>
    <t>橙宝石18</t>
  </si>
  <si>
    <t>等级ID</t>
    <phoneticPr fontId="1" type="noConversion"/>
  </si>
  <si>
    <t>下级Id</t>
    <phoneticPr fontId="1" type="noConversion"/>
  </si>
  <si>
    <t>显示等级</t>
    <phoneticPr fontId="1" type="noConversion"/>
  </si>
  <si>
    <t>升下级所需经验</t>
    <phoneticPr fontId="1" type="noConversion"/>
  </si>
  <si>
    <t>累计经验</t>
    <phoneticPr fontId="1" type="noConversion"/>
  </si>
  <si>
    <t>CS</t>
    <phoneticPr fontId="1" type="noConversion"/>
  </si>
  <si>
    <t>string</t>
    <phoneticPr fontId="9" type="noConversion"/>
  </si>
  <si>
    <t>NextId</t>
    <phoneticPr fontId="1" type="noConversion"/>
  </si>
  <si>
    <t>ShowLevel</t>
    <phoneticPr fontId="1" type="noConversion"/>
  </si>
  <si>
    <t>TotalExp</t>
    <phoneticPr fontId="1" type="noConversion"/>
  </si>
  <si>
    <t>Gem1_1</t>
    <phoneticPr fontId="1" type="noConversion"/>
  </si>
  <si>
    <t>Gem1_2</t>
  </si>
  <si>
    <t>Gem1_3</t>
  </si>
  <si>
    <t>Gem1_4</t>
  </si>
  <si>
    <t>Gem1_5</t>
  </si>
  <si>
    <t>Gem1_6</t>
  </si>
  <si>
    <t>Gem1_7</t>
  </si>
  <si>
    <t>Gem1_8</t>
  </si>
  <si>
    <t>Gem1_9</t>
  </si>
  <si>
    <t>Gem1_10</t>
  </si>
  <si>
    <t>Gem1_11</t>
  </si>
  <si>
    <t>Gem1_12</t>
  </si>
  <si>
    <t>Gem1_13</t>
  </si>
  <si>
    <t>Gem1_14</t>
  </si>
  <si>
    <t>Gem1_15</t>
  </si>
  <si>
    <t>Gem2_1</t>
    <phoneticPr fontId="1" type="noConversion"/>
  </si>
  <si>
    <t>Gem2_2</t>
  </si>
  <si>
    <t>Gem2_3</t>
  </si>
  <si>
    <t>Gem2_4</t>
  </si>
  <si>
    <t>Gem2_5</t>
  </si>
  <si>
    <t>Gem2_6</t>
  </si>
  <si>
    <t>Gem2_7</t>
  </si>
  <si>
    <t>Gem2_8</t>
  </si>
  <si>
    <t>Gem2_9</t>
  </si>
  <si>
    <t>Gem2_10</t>
  </si>
  <si>
    <t>Gem2_11</t>
  </si>
  <si>
    <t>Gem2_12</t>
  </si>
  <si>
    <t>Gem2_13</t>
  </si>
  <si>
    <t>Gem2_14</t>
  </si>
  <si>
    <t>Gem2_15</t>
  </si>
  <si>
    <t>Gem3_1</t>
    <phoneticPr fontId="1" type="noConversion"/>
  </si>
  <si>
    <t>Gem3_2</t>
  </si>
  <si>
    <t>Gem3_3</t>
  </si>
  <si>
    <t>Gem3_4</t>
  </si>
  <si>
    <t>Gem3_5</t>
  </si>
  <si>
    <t>Gem3_6</t>
  </si>
  <si>
    <t>Gem3_7</t>
  </si>
  <si>
    <t>Gem3_8</t>
  </si>
  <si>
    <t>Gem3_9</t>
  </si>
  <si>
    <t>Gem3_10</t>
  </si>
  <si>
    <t>Gem3_11</t>
  </si>
  <si>
    <t>Gem3_12</t>
  </si>
  <si>
    <t>Gem3_13</t>
  </si>
  <si>
    <t>Gem3_14</t>
  </si>
  <si>
    <t>Gem3_15</t>
  </si>
  <si>
    <t>Gem4_1</t>
    <phoneticPr fontId="1" type="noConversion"/>
  </si>
  <si>
    <t>Gem4_2</t>
  </si>
  <si>
    <t>Gem4_3</t>
  </si>
  <si>
    <t>Gem4_4</t>
  </si>
  <si>
    <t>Gem4_5</t>
  </si>
  <si>
    <t>Gem4_6</t>
  </si>
  <si>
    <t>Gem4_7</t>
  </si>
  <si>
    <t>Gem4_8</t>
  </si>
  <si>
    <t>Gem4_9</t>
  </si>
  <si>
    <t>Gem4_10</t>
  </si>
  <si>
    <t>Gem4_11</t>
  </si>
  <si>
    <t>Gem4_12</t>
  </si>
  <si>
    <t>Gem4_13</t>
  </si>
  <si>
    <t>Gem4_14</t>
  </si>
  <si>
    <t>Gem4_15</t>
  </si>
  <si>
    <t>GemLev</t>
    <phoneticPr fontId="1" type="noConversion"/>
  </si>
  <si>
    <t>string</t>
    <phoneticPr fontId="1" type="noConversion"/>
  </si>
  <si>
    <t>[3,6,9,12,15]</t>
    <phoneticPr fontId="1" type="noConversion"/>
  </si>
  <si>
    <t>[1,1,1,1]</t>
    <phoneticPr fontId="1" type="noConversion"/>
  </si>
  <si>
    <t>每个品质御魂的初始等级ID</t>
    <phoneticPr fontId="1" type="noConversion"/>
  </si>
  <si>
    <t>[1,1,1,1,1]</t>
    <phoneticPr fontId="1" type="noConversion"/>
  </si>
  <si>
    <t>附加属性数目</t>
    <phoneticPr fontId="10" type="noConversion"/>
  </si>
  <si>
    <t>[0,1,2,3]</t>
    <phoneticPr fontId="10" type="noConversion"/>
  </si>
  <si>
    <t>[20,20,20,20]</t>
  </si>
  <si>
    <t>[0,1,2,3]</t>
  </si>
  <si>
    <t>套装条件</t>
    <phoneticPr fontId="10" type="noConversion"/>
  </si>
  <si>
    <t>套装属性</t>
    <phoneticPr fontId="10" type="noConversion"/>
  </si>
  <si>
    <t>满级套装件数条件</t>
    <phoneticPr fontId="10" type="noConversion"/>
  </si>
  <si>
    <t>满级属性</t>
    <phoneticPr fontId="10" type="noConversion"/>
  </si>
  <si>
    <t>满级效果</t>
    <phoneticPr fontId="1" type="noConversion"/>
  </si>
  <si>
    <t>CS</t>
    <phoneticPr fontId="10" type="noConversion"/>
  </si>
  <si>
    <t>int</t>
    <phoneticPr fontId="10" type="noConversion"/>
  </si>
  <si>
    <t>Partcondition</t>
    <phoneticPr fontId="10" type="noConversion"/>
  </si>
  <si>
    <t>Suitattr</t>
    <phoneticPr fontId="10" type="noConversion"/>
  </si>
  <si>
    <t>Suitlevpart</t>
    <phoneticPr fontId="10" type="noConversion"/>
  </si>
  <si>
    <t>Suitlevattr</t>
    <phoneticPr fontId="10" type="noConversion"/>
  </si>
  <si>
    <t>Partlevattr</t>
    <phoneticPr fontId="1" type="noConversion"/>
  </si>
  <si>
    <t>FOREIGN:Translate.Id</t>
  </si>
  <si>
    <t>[2,3]</t>
    <phoneticPr fontId="10" type="noConversion"/>
  </si>
  <si>
    <t>Gem1001</t>
    <phoneticPr fontId="1" type="noConversion"/>
  </si>
  <si>
    <t>Gem1002</t>
  </si>
  <si>
    <t>Gem1003</t>
  </si>
  <si>
    <t>Gem2001</t>
    <phoneticPr fontId="1" type="noConversion"/>
  </si>
  <si>
    <t>Gem2002</t>
  </si>
  <si>
    <t>Gem2003</t>
  </si>
  <si>
    <t>Gem3001</t>
    <phoneticPr fontId="1" type="noConversion"/>
  </si>
  <si>
    <t>Gem3002</t>
    <phoneticPr fontId="1" type="noConversion"/>
  </si>
  <si>
    <t>Gem3003</t>
  </si>
  <si>
    <t>Gem3011</t>
    <phoneticPr fontId="1" type="noConversion"/>
  </si>
  <si>
    <t>Gem3012</t>
  </si>
  <si>
    <t>Gem3013</t>
  </si>
  <si>
    <t>Gem3021</t>
    <phoneticPr fontId="1" type="noConversion"/>
  </si>
  <si>
    <t>Gem3022</t>
  </si>
  <si>
    <t>Gem3023</t>
  </si>
  <si>
    <t>Gem3031</t>
    <phoneticPr fontId="1" type="noConversion"/>
  </si>
  <si>
    <t>Gem3032</t>
  </si>
  <si>
    <t>Gem3033</t>
  </si>
  <si>
    <t>Gem3041</t>
    <phoneticPr fontId="1" type="noConversion"/>
  </si>
  <si>
    <t>Gem3042</t>
  </si>
  <si>
    <t>Gem3043</t>
  </si>
  <si>
    <t>Gem3051</t>
    <phoneticPr fontId="1" type="noConversion"/>
  </si>
  <si>
    <t>Gem3052</t>
  </si>
  <si>
    <t>Gem3053</t>
  </si>
  <si>
    <t>Gem4001</t>
    <phoneticPr fontId="1" type="noConversion"/>
  </si>
  <si>
    <t>Gem4002</t>
  </si>
  <si>
    <t>Gem4003</t>
  </si>
  <si>
    <t>Gem4011</t>
    <phoneticPr fontId="1" type="noConversion"/>
  </si>
  <si>
    <t>Gem4012</t>
  </si>
  <si>
    <t>Gem4013</t>
  </si>
  <si>
    <t>Gem4021</t>
    <phoneticPr fontId="1" type="noConversion"/>
  </si>
  <si>
    <t>Gem4022</t>
  </si>
  <si>
    <t>Gem4023</t>
  </si>
  <si>
    <t>Gem4031</t>
    <phoneticPr fontId="1" type="noConversion"/>
  </si>
  <si>
    <t>Gem4032</t>
  </si>
  <si>
    <t>Gem4033</t>
  </si>
  <si>
    <t>Gem4041</t>
    <phoneticPr fontId="1" type="noConversion"/>
  </si>
  <si>
    <t>Gem4042</t>
  </si>
  <si>
    <t>Gem4043</t>
  </si>
  <si>
    <t>Gem4051</t>
    <phoneticPr fontId="1" type="noConversion"/>
  </si>
  <si>
    <t>Gem4052</t>
  </si>
  <si>
    <t>Gem4053</t>
  </si>
  <si>
    <t>CRITRATE</t>
    <phoneticPr fontId="1" type="noConversion"/>
  </si>
  <si>
    <t>CRITSTRG</t>
    <phoneticPr fontId="1" type="noConversion"/>
  </si>
  <si>
    <t>攻击</t>
    <phoneticPr fontId="1" type="noConversion"/>
  </si>
  <si>
    <t>防御</t>
    <phoneticPr fontId="1" type="noConversion"/>
  </si>
  <si>
    <t>生命</t>
    <phoneticPr fontId="1" type="noConversion"/>
  </si>
  <si>
    <t>攻击百分比</t>
    <phoneticPr fontId="1" type="noConversion"/>
  </si>
  <si>
    <t>防御百分比</t>
    <phoneticPr fontId="1" type="noConversion"/>
  </si>
  <si>
    <t>生命百分比</t>
    <phoneticPr fontId="1" type="noConversion"/>
  </si>
  <si>
    <t>暴击率</t>
    <phoneticPr fontId="1" type="noConversion"/>
  </si>
  <si>
    <t>抗暴率</t>
    <phoneticPr fontId="1" type="noConversion"/>
  </si>
  <si>
    <t>格挡率</t>
    <phoneticPr fontId="1" type="noConversion"/>
  </si>
  <si>
    <t>破击率</t>
    <phoneticPr fontId="1" type="noConversion"/>
  </si>
  <si>
    <t>格挡强度</t>
    <phoneticPr fontId="1" type="noConversion"/>
  </si>
  <si>
    <t>伤害率</t>
    <phoneticPr fontId="1" type="noConversion"/>
  </si>
  <si>
    <t>免伤率</t>
    <phoneticPr fontId="1" type="noConversion"/>
  </si>
  <si>
    <t>吸血率</t>
    <phoneticPr fontId="1" type="noConversion"/>
  </si>
  <si>
    <t>反伤率</t>
    <phoneticPr fontId="1" type="noConversion"/>
  </si>
  <si>
    <t>先手值</t>
    <phoneticPr fontId="1" type="noConversion"/>
  </si>
  <si>
    <t>SPEED</t>
  </si>
  <si>
    <t>ATK</t>
    <phoneticPr fontId="1" type="noConversion"/>
  </si>
  <si>
    <t>DEF</t>
    <phoneticPr fontId="1" type="noConversion"/>
  </si>
  <si>
    <t>HP</t>
    <phoneticPr fontId="1" type="noConversion"/>
  </si>
  <si>
    <t>UNCRITRATE</t>
    <phoneticPr fontId="1" type="noConversion"/>
  </si>
  <si>
    <t>暴击伤害</t>
    <phoneticPr fontId="1" type="noConversion"/>
  </si>
  <si>
    <t>BLOCKRATE</t>
    <phoneticPr fontId="1" type="noConversion"/>
  </si>
  <si>
    <t>UNBLOCKRATE</t>
    <phoneticPr fontId="1" type="noConversion"/>
  </si>
  <si>
    <t>BLOCKSTRG</t>
    <phoneticPr fontId="1" type="noConversion"/>
  </si>
  <si>
    <t>HURTRATE</t>
    <phoneticPr fontId="1" type="noConversion"/>
  </si>
  <si>
    <t>UNHURTRATE</t>
    <phoneticPr fontId="1" type="noConversion"/>
  </si>
  <si>
    <t>ABSORPTION</t>
    <phoneticPr fontId="1" type="noConversion"/>
  </si>
  <si>
    <t>REFLECTION</t>
    <phoneticPr fontId="1" type="noConversion"/>
  </si>
  <si>
    <t>SuitCri_1</t>
    <phoneticPr fontId="1" type="noConversion"/>
  </si>
  <si>
    <t>SuitBlock_1</t>
    <phoneticPr fontId="1" type="noConversion"/>
  </si>
  <si>
    <t>SuitCri_2</t>
    <phoneticPr fontId="1" type="noConversion"/>
  </si>
  <si>
    <t>SuitDef_2</t>
    <phoneticPr fontId="1" type="noConversion"/>
  </si>
  <si>
    <t>SuitUnblock_2</t>
    <phoneticPr fontId="1" type="noConversion"/>
  </si>
  <si>
    <t>SuitSpecial_2</t>
    <phoneticPr fontId="1" type="noConversion"/>
  </si>
  <si>
    <t>SuitAtk_2</t>
    <phoneticPr fontId="1" type="noConversion"/>
  </si>
  <si>
    <t>[2,3]</t>
  </si>
  <si>
    <t>最大附加条数</t>
    <phoneticPr fontId="1" type="noConversion"/>
  </si>
  <si>
    <t>CS</t>
    <phoneticPr fontId="1" type="noConversion"/>
  </si>
  <si>
    <t>归属套装</t>
    <phoneticPr fontId="1" type="noConversion"/>
  </si>
  <si>
    <t>基础经验</t>
    <phoneticPr fontId="1" type="noConversion"/>
  </si>
  <si>
    <t>int</t>
    <phoneticPr fontId="1" type="noConversion"/>
  </si>
  <si>
    <t>Suitid</t>
    <phoneticPr fontId="1" type="noConversion"/>
  </si>
  <si>
    <t>Baseexp</t>
    <phoneticPr fontId="1" type="noConversion"/>
  </si>
  <si>
    <t>这个不是每个槽位都装上御魂的时间吗？</t>
    <phoneticPr fontId="1" type="noConversion"/>
  </si>
  <si>
    <t>是指单个经验道具的最大经验吗</t>
    <phoneticPr fontId="1" type="noConversion"/>
  </si>
  <si>
    <t>怎么确定的</t>
    <phoneticPr fontId="1" type="noConversion"/>
  </si>
  <si>
    <t>怎么确定</t>
    <phoneticPr fontId="1" type="noConversion"/>
  </si>
  <si>
    <t>怎么确定；要考虑增加金币投放吗</t>
    <phoneticPr fontId="1" type="noConversion"/>
  </si>
  <si>
    <t>后面带数字，没明白</t>
    <phoneticPr fontId="1" type="noConversion"/>
  </si>
  <si>
    <t>开启品质是指角色星级吗</t>
    <phoneticPr fontId="1" type="noConversion"/>
  </si>
  <si>
    <t>每人御魂上限*一队10人/每月御魂总投放</t>
    <phoneticPr fontId="1" type="noConversion"/>
  </si>
  <si>
    <t>升级到最高等级所需经验/单个经验道具=单个御魂升满级所需道具数</t>
    <phoneticPr fontId="1" type="noConversion"/>
  </si>
  <si>
    <t>单个所需*3*10</t>
    <phoneticPr fontId="1" type="noConversion"/>
  </si>
  <si>
    <t>为什么用ceiling函数</t>
    <phoneticPr fontId="1" type="noConversion"/>
  </si>
  <si>
    <t>为什么不能内容那列标array而是标auto，然后另起一列array</t>
    <phoneticPr fontId="1" type="noConversion"/>
  </si>
  <si>
    <t>Gem1011</t>
    <phoneticPr fontId="1" type="noConversion"/>
  </si>
  <si>
    <t>Gem1012</t>
    <phoneticPr fontId="1" type="noConversion"/>
  </si>
  <si>
    <t>Gem1013</t>
    <phoneticPr fontId="1" type="noConversion"/>
  </si>
  <si>
    <t>绿宝石2</t>
    <phoneticPr fontId="1" type="noConversion"/>
  </si>
  <si>
    <t>Gem1021</t>
    <phoneticPr fontId="1" type="noConversion"/>
  </si>
  <si>
    <t>Gem1022</t>
    <phoneticPr fontId="1" type="noConversion"/>
  </si>
  <si>
    <t>Gem1023</t>
    <phoneticPr fontId="1" type="noConversion"/>
  </si>
  <si>
    <t>Gem1031</t>
    <phoneticPr fontId="1" type="noConversion"/>
  </si>
  <si>
    <t>Gem1032</t>
    <phoneticPr fontId="1" type="noConversion"/>
  </si>
  <si>
    <t>Gem1033</t>
    <phoneticPr fontId="1" type="noConversion"/>
  </si>
  <si>
    <t>Gem1041</t>
    <phoneticPr fontId="1" type="noConversion"/>
  </si>
  <si>
    <t>Gem1042</t>
    <phoneticPr fontId="1" type="noConversion"/>
  </si>
  <si>
    <t>Gem1043</t>
    <phoneticPr fontId="1" type="noConversion"/>
  </si>
  <si>
    <t>Gem1051</t>
    <phoneticPr fontId="1" type="noConversion"/>
  </si>
  <si>
    <t>Gem1052</t>
    <phoneticPr fontId="1" type="noConversion"/>
  </si>
  <si>
    <t>Gem1053</t>
    <phoneticPr fontId="1" type="noConversion"/>
  </si>
  <si>
    <t>蓝宝石1</t>
  </si>
  <si>
    <t>Gem2011</t>
    <phoneticPr fontId="1" type="noConversion"/>
  </si>
  <si>
    <t>Gem2012</t>
    <phoneticPr fontId="1" type="noConversion"/>
  </si>
  <si>
    <t>Gem2013</t>
    <phoneticPr fontId="1" type="noConversion"/>
  </si>
  <si>
    <t>Gem2021</t>
    <phoneticPr fontId="1" type="noConversion"/>
  </si>
  <si>
    <t>Gem2022</t>
    <phoneticPr fontId="1" type="noConversion"/>
  </si>
  <si>
    <t>Gem2023</t>
    <phoneticPr fontId="1" type="noConversion"/>
  </si>
  <si>
    <t>Gem2031</t>
    <phoneticPr fontId="1" type="noConversion"/>
  </si>
  <si>
    <t>Gem2032</t>
    <phoneticPr fontId="1" type="noConversion"/>
  </si>
  <si>
    <t>Gem2033</t>
    <phoneticPr fontId="1" type="noConversion"/>
  </si>
  <si>
    <t>Gem2041</t>
    <phoneticPr fontId="1" type="noConversion"/>
  </si>
  <si>
    <t>Gem2042</t>
    <phoneticPr fontId="1" type="noConversion"/>
  </si>
  <si>
    <t>Gem2043</t>
    <phoneticPr fontId="1" type="noConversion"/>
  </si>
  <si>
    <t>Gem2051</t>
    <phoneticPr fontId="1" type="noConversion"/>
  </si>
  <si>
    <t>Gem2052</t>
    <phoneticPr fontId="1" type="noConversion"/>
  </si>
  <si>
    <t>Gem2053</t>
    <phoneticPr fontId="1" type="noConversion"/>
  </si>
  <si>
    <t>SuitBlock_2</t>
  </si>
  <si>
    <t>SuitCri_3</t>
    <phoneticPr fontId="1" type="noConversion"/>
  </si>
  <si>
    <t>SuitBlock_3</t>
    <phoneticPr fontId="1" type="noConversion"/>
  </si>
  <si>
    <t>SuitDef_3</t>
    <phoneticPr fontId="1" type="noConversion"/>
  </si>
  <si>
    <t>SuitUnblock_3</t>
    <phoneticPr fontId="1" type="noConversion"/>
  </si>
  <si>
    <t>SuitSpecial_3</t>
    <phoneticPr fontId="1" type="noConversion"/>
  </si>
  <si>
    <t>SuitAtk_3</t>
    <phoneticPr fontId="1" type="noConversion"/>
  </si>
  <si>
    <t>SuitCri_4</t>
    <phoneticPr fontId="1" type="noConversion"/>
  </si>
  <si>
    <t>SuitBlock_4</t>
    <phoneticPr fontId="1" type="noConversion"/>
  </si>
  <si>
    <t>SuitDef_4</t>
    <phoneticPr fontId="1" type="noConversion"/>
  </si>
  <si>
    <t>SuitUnblock_4</t>
    <phoneticPr fontId="1" type="noConversion"/>
  </si>
  <si>
    <t>SuitSpecial_4</t>
    <phoneticPr fontId="1" type="noConversion"/>
  </si>
  <si>
    <t>SuitAtk_4</t>
    <phoneticPr fontId="1" type="noConversion"/>
  </si>
  <si>
    <t>SuitDef_1</t>
    <phoneticPr fontId="1" type="noConversion"/>
  </si>
  <si>
    <t>SuitUnblock_1</t>
    <phoneticPr fontId="1" type="noConversion"/>
  </si>
  <si>
    <t>SuitSpecial_1</t>
    <phoneticPr fontId="1" type="noConversion"/>
  </si>
  <si>
    <t>SuitAtk_1</t>
    <phoneticPr fontId="1" type="noConversion"/>
  </si>
  <si>
    <t>ATK_RATE</t>
    <phoneticPr fontId="1" type="noConversion"/>
  </si>
  <si>
    <t>DEF_RATE</t>
    <phoneticPr fontId="1" type="noConversion"/>
  </si>
  <si>
    <t>HP_RATE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</si>
</sst>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9" fontId="2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10" fontId="2" fillId="0" borderId="1" xfId="0" applyNumberFormat="1" applyFont="1" applyBorder="1"/>
    <xf numFmtId="0" fontId="2" fillId="0" borderId="1" xfId="0" applyNumberFormat="1" applyFont="1" applyBorder="1"/>
    <xf numFmtId="0" fontId="2" fillId="0" borderId="1" xfId="0" applyFont="1" applyFill="1" applyBorder="1"/>
    <xf numFmtId="0" fontId="2" fillId="4" borderId="0" xfId="0" applyFont="1" applyFill="1"/>
    <xf numFmtId="0" fontId="4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right"/>
    </xf>
    <xf numFmtId="49" fontId="7" fillId="5" borderId="2" xfId="0" applyNumberFormat="1" applyFont="1" applyFill="1" applyBorder="1" applyAlignment="1">
      <alignment horizontal="left" vertical="center"/>
    </xf>
    <xf numFmtId="49" fontId="7" fillId="5" borderId="0" xfId="0" applyNumberFormat="1" applyFont="1" applyFill="1" applyAlignment="1">
      <alignment horizontal="left" vertical="center"/>
    </xf>
    <xf numFmtId="49" fontId="7" fillId="6" borderId="0" xfId="0" applyNumberFormat="1" applyFont="1" applyFill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left" vertical="center"/>
    </xf>
    <xf numFmtId="49" fontId="7" fillId="5" borderId="0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4" fillId="9" borderId="1" xfId="0" applyFont="1" applyFill="1" applyBorder="1"/>
    <xf numFmtId="0" fontId="12" fillId="0" borderId="0" xfId="0" applyFont="1"/>
    <xf numFmtId="0" fontId="2" fillId="9" borderId="1" xfId="0" applyFont="1" applyFill="1" applyBorder="1" applyAlignment="1">
      <alignment horizontal="center" vertical="center"/>
    </xf>
    <xf numFmtId="0" fontId="0" fillId="9" borderId="0" xfId="0" applyFill="1"/>
    <xf numFmtId="0" fontId="13" fillId="0" borderId="0" xfId="0" applyFont="1"/>
    <xf numFmtId="49" fontId="7" fillId="9" borderId="2" xfId="0" applyNumberFormat="1" applyFont="1" applyFill="1" applyBorder="1" applyAlignment="1">
      <alignment horizontal="left" vertical="center"/>
    </xf>
    <xf numFmtId="0" fontId="2" fillId="9" borderId="0" xfId="0" applyFont="1" applyFill="1"/>
    <xf numFmtId="49" fontId="12" fillId="3" borderId="0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3"/>
  <sheetViews>
    <sheetView topLeftCell="A79" workbookViewId="0">
      <selection activeCell="F111" sqref="F111"/>
    </sheetView>
  </sheetViews>
  <sheetFormatPr defaultRowHeight="13.5" x14ac:dyDescent="0.15"/>
  <cols>
    <col min="1" max="1" width="9" style="5"/>
    <col min="2" max="2" width="14" style="2" customWidth="1"/>
    <col min="3" max="3" width="9.5" style="2" bestFit="1" customWidth="1"/>
    <col min="4" max="4" width="9" style="2"/>
    <col min="5" max="7" width="10.5" style="2" bestFit="1" customWidth="1"/>
    <col min="8" max="16384" width="9" style="2"/>
  </cols>
  <sheetData>
    <row r="1" spans="1:2" s="1" customFormat="1" x14ac:dyDescent="0.15">
      <c r="A1" s="4" t="s">
        <v>20</v>
      </c>
      <c r="B1" s="3" t="s">
        <v>21</v>
      </c>
    </row>
    <row r="2" spans="1:2" x14ac:dyDescent="0.15">
      <c r="B2" s="2" t="s">
        <v>28</v>
      </c>
    </row>
    <row r="3" spans="1:2" x14ac:dyDescent="0.15">
      <c r="B3" s="2" t="s">
        <v>24</v>
      </c>
    </row>
    <row r="4" spans="1:2" x14ac:dyDescent="0.15">
      <c r="B4" s="2" t="s">
        <v>29</v>
      </c>
    </row>
    <row r="6" spans="1:2" s="1" customFormat="1" x14ac:dyDescent="0.15">
      <c r="A6" s="4" t="s">
        <v>22</v>
      </c>
      <c r="B6" s="3" t="s">
        <v>23</v>
      </c>
    </row>
    <row r="8" spans="1:2" x14ac:dyDescent="0.15">
      <c r="B8" s="2" t="s">
        <v>25</v>
      </c>
    </row>
    <row r="9" spans="1:2" x14ac:dyDescent="0.15">
      <c r="B9" s="2" t="s">
        <v>26</v>
      </c>
    </row>
    <row r="10" spans="1:2" x14ac:dyDescent="0.15">
      <c r="B10" s="2" t="s">
        <v>27</v>
      </c>
    </row>
    <row r="11" spans="1:2" x14ac:dyDescent="0.15">
      <c r="B11" s="2" t="s">
        <v>30</v>
      </c>
    </row>
    <row r="13" spans="1:2" s="1" customFormat="1" x14ac:dyDescent="0.15">
      <c r="A13" s="4" t="s">
        <v>31</v>
      </c>
      <c r="B13" s="3" t="s">
        <v>37</v>
      </c>
    </row>
    <row r="14" spans="1:2" x14ac:dyDescent="0.15">
      <c r="B14" s="2" t="s">
        <v>38</v>
      </c>
    </row>
    <row r="15" spans="1:2" x14ac:dyDescent="0.15">
      <c r="B15" s="2" t="s">
        <v>39</v>
      </c>
    </row>
    <row r="16" spans="1:2" x14ac:dyDescent="0.15">
      <c r="B16" s="2" t="s">
        <v>40</v>
      </c>
    </row>
    <row r="17" spans="1:9" x14ac:dyDescent="0.15">
      <c r="B17" s="2" t="s">
        <v>41</v>
      </c>
    </row>
    <row r="18" spans="1:9" x14ac:dyDescent="0.15">
      <c r="B18" s="2" t="s">
        <v>42</v>
      </c>
    </row>
    <row r="20" spans="1:9" x14ac:dyDescent="0.15">
      <c r="B20" s="25"/>
      <c r="C20" s="25" t="s">
        <v>0</v>
      </c>
      <c r="D20" s="25" t="s">
        <v>94</v>
      </c>
      <c r="E20" s="25" t="s">
        <v>106</v>
      </c>
      <c r="F20" s="25" t="s">
        <v>107</v>
      </c>
      <c r="G20" s="25" t="s">
        <v>108</v>
      </c>
      <c r="H20" s="25" t="s">
        <v>95</v>
      </c>
    </row>
    <row r="21" spans="1:9" x14ac:dyDescent="0.15">
      <c r="A21" s="5">
        <v>1</v>
      </c>
      <c r="B21" s="26" t="s">
        <v>1</v>
      </c>
      <c r="C21" s="26" t="s">
        <v>96</v>
      </c>
      <c r="D21" s="26" t="s">
        <v>115</v>
      </c>
      <c r="E21" s="26" t="s">
        <v>116</v>
      </c>
      <c r="F21" s="26" t="s">
        <v>101</v>
      </c>
      <c r="G21" s="26" t="s">
        <v>102</v>
      </c>
      <c r="H21" s="26" t="s">
        <v>35</v>
      </c>
      <c r="I21" s="2" t="s">
        <v>253</v>
      </c>
    </row>
    <row r="22" spans="1:9" x14ac:dyDescent="0.15">
      <c r="A22" s="5">
        <v>2</v>
      </c>
      <c r="B22" s="26" t="s">
        <v>109</v>
      </c>
      <c r="C22" s="26" t="s">
        <v>97</v>
      </c>
      <c r="D22" s="26" t="s">
        <v>100</v>
      </c>
      <c r="E22" s="26" t="s">
        <v>105</v>
      </c>
      <c r="F22" s="26" t="s">
        <v>104</v>
      </c>
      <c r="G22" s="26" t="s">
        <v>99</v>
      </c>
      <c r="H22" s="26"/>
      <c r="I22" s="2" t="s">
        <v>254</v>
      </c>
    </row>
    <row r="23" spans="1:9" x14ac:dyDescent="0.15">
      <c r="A23" s="5">
        <v>3</v>
      </c>
      <c r="B23" s="26" t="s">
        <v>110</v>
      </c>
      <c r="C23" s="26" t="s">
        <v>98</v>
      </c>
      <c r="D23" s="26" t="s">
        <v>111</v>
      </c>
      <c r="E23" s="26" t="s">
        <v>112</v>
      </c>
      <c r="F23" s="26" t="s">
        <v>113</v>
      </c>
      <c r="G23" s="26" t="s">
        <v>114</v>
      </c>
      <c r="H23" s="26" t="s">
        <v>103</v>
      </c>
      <c r="I23" s="2" t="s">
        <v>255</v>
      </c>
    </row>
    <row r="26" spans="1:9" s="1" customFormat="1" x14ac:dyDescent="0.15">
      <c r="A26" s="4" t="s">
        <v>32</v>
      </c>
      <c r="B26" s="3" t="s">
        <v>36</v>
      </c>
    </row>
    <row r="28" spans="1:9" x14ac:dyDescent="0.15">
      <c r="B28" s="9" t="s">
        <v>43</v>
      </c>
      <c r="C28" s="14">
        <v>3</v>
      </c>
      <c r="E28" s="11"/>
      <c r="F28" s="11" t="s">
        <v>125</v>
      </c>
    </row>
    <row r="29" spans="1:9" x14ac:dyDescent="0.15">
      <c r="B29" s="9" t="s">
        <v>44</v>
      </c>
      <c r="C29" s="14">
        <v>5</v>
      </c>
      <c r="E29" s="8" t="s">
        <v>121</v>
      </c>
      <c r="F29" s="8">
        <v>0.4</v>
      </c>
    </row>
    <row r="30" spans="1:9" x14ac:dyDescent="0.15">
      <c r="B30" s="9" t="s">
        <v>45</v>
      </c>
      <c r="C30" s="14">
        <v>3</v>
      </c>
      <c r="E30" s="8" t="s">
        <v>122</v>
      </c>
      <c r="F30" s="8">
        <v>0.3</v>
      </c>
    </row>
    <row r="31" spans="1:9" x14ac:dyDescent="0.15">
      <c r="B31" s="9" t="s">
        <v>46</v>
      </c>
      <c r="C31" s="14">
        <f>C30*10</f>
        <v>30</v>
      </c>
      <c r="E31" s="8" t="s">
        <v>123</v>
      </c>
      <c r="F31" s="8">
        <v>0.2</v>
      </c>
    </row>
    <row r="32" spans="1:9" x14ac:dyDescent="0.15">
      <c r="B32" s="9" t="s">
        <v>47</v>
      </c>
      <c r="C32" s="14">
        <f>C31*C28^5</f>
        <v>7290</v>
      </c>
      <c r="E32" s="8" t="s">
        <v>124</v>
      </c>
      <c r="F32" s="8">
        <v>0.1</v>
      </c>
    </row>
    <row r="33" spans="2:15" x14ac:dyDescent="0.15">
      <c r="B33" s="9" t="s">
        <v>48</v>
      </c>
      <c r="C33" s="14">
        <f>C30*5*C28^3</f>
        <v>405</v>
      </c>
      <c r="K33" s="2" t="s">
        <v>468</v>
      </c>
    </row>
    <row r="34" spans="2:15" x14ac:dyDescent="0.15">
      <c r="B34" s="16"/>
      <c r="C34" s="17"/>
    </row>
    <row r="35" spans="2:15" x14ac:dyDescent="0.15">
      <c r="B35" s="16"/>
      <c r="C35" s="17"/>
    </row>
    <row r="36" spans="2:15" x14ac:dyDescent="0.15">
      <c r="B36" s="2" t="s">
        <v>126</v>
      </c>
      <c r="K36" s="6" t="s">
        <v>63</v>
      </c>
      <c r="L36" s="6" t="s">
        <v>63</v>
      </c>
      <c r="M36" s="6" t="s">
        <v>63</v>
      </c>
    </row>
    <row r="37" spans="2:15" x14ac:dyDescent="0.15">
      <c r="B37" s="25"/>
      <c r="C37" s="25" t="s">
        <v>53</v>
      </c>
      <c r="D37" s="25" t="s">
        <v>54</v>
      </c>
      <c r="E37" s="25" t="s">
        <v>79</v>
      </c>
      <c r="F37" s="25" t="s">
        <v>80</v>
      </c>
      <c r="G37" s="25" t="s">
        <v>58</v>
      </c>
      <c r="H37" s="25" t="s">
        <v>59</v>
      </c>
      <c r="I37" s="25" t="s">
        <v>56</v>
      </c>
      <c r="J37" s="25" t="s">
        <v>55</v>
      </c>
      <c r="K37" s="31" t="s">
        <v>118</v>
      </c>
      <c r="L37" s="25" t="s">
        <v>73</v>
      </c>
      <c r="M37" s="25" t="s">
        <v>74</v>
      </c>
      <c r="O37" s="34" t="s">
        <v>461</v>
      </c>
    </row>
    <row r="38" spans="2:15" x14ac:dyDescent="0.15">
      <c r="B38" s="26" t="s">
        <v>57</v>
      </c>
      <c r="C38" s="26">
        <f>C42/$F$31</f>
        <v>30</v>
      </c>
      <c r="D38" s="26">
        <f>D42/$F$31</f>
        <v>15</v>
      </c>
      <c r="E38" s="26"/>
      <c r="F38" s="26"/>
      <c r="G38" s="26"/>
      <c r="H38" s="26"/>
      <c r="I38" s="26"/>
      <c r="J38" s="26"/>
      <c r="K38" s="26">
        <f>ROUND($C$30*10/SUM(C38:J38),2)</f>
        <v>0.67</v>
      </c>
      <c r="L38" s="26">
        <f>ROUND($C$32/SUM(C38:J38),2)</f>
        <v>162</v>
      </c>
      <c r="M38" s="26">
        <f>ROUND($C$33/SUM(C38:J38),2)</f>
        <v>9</v>
      </c>
    </row>
    <row r="39" spans="2:15" x14ac:dyDescent="0.15">
      <c r="B39" s="16"/>
      <c r="C39" s="17"/>
    </row>
    <row r="40" spans="2:15" x14ac:dyDescent="0.15">
      <c r="B40" s="2" t="s">
        <v>119</v>
      </c>
      <c r="K40" s="6" t="s">
        <v>63</v>
      </c>
      <c r="L40" s="6" t="s">
        <v>63</v>
      </c>
      <c r="M40" s="6" t="s">
        <v>63</v>
      </c>
    </row>
    <row r="41" spans="2:15" x14ac:dyDescent="0.15">
      <c r="B41" s="25"/>
      <c r="C41" s="25" t="s">
        <v>53</v>
      </c>
      <c r="D41" s="25" t="s">
        <v>54</v>
      </c>
      <c r="E41" s="25" t="s">
        <v>79</v>
      </c>
      <c r="F41" s="25" t="s">
        <v>80</v>
      </c>
      <c r="G41" s="25" t="s">
        <v>58</v>
      </c>
      <c r="H41" s="25" t="s">
        <v>59</v>
      </c>
      <c r="I41" s="25" t="s">
        <v>56</v>
      </c>
      <c r="J41" s="25" t="s">
        <v>55</v>
      </c>
      <c r="K41" s="25" t="s">
        <v>118</v>
      </c>
      <c r="L41" s="25" t="s">
        <v>73</v>
      </c>
      <c r="M41" s="25" t="s">
        <v>74</v>
      </c>
    </row>
    <row r="42" spans="2:15" x14ac:dyDescent="0.15">
      <c r="B42" s="26" t="s">
        <v>57</v>
      </c>
      <c r="C42" s="35">
        <v>6</v>
      </c>
      <c r="D42" s="26">
        <v>3</v>
      </c>
      <c r="E42" s="26"/>
      <c r="F42" s="26">
        <v>3</v>
      </c>
      <c r="G42" s="26"/>
      <c r="H42" s="26"/>
      <c r="I42" s="26"/>
      <c r="J42" s="26"/>
      <c r="K42" s="26">
        <f>ROUND($C$30*10/SUM(C42:J42),2)</f>
        <v>2.5</v>
      </c>
      <c r="L42" s="26">
        <f>ROUND($C$32/SUM(C42:J42),2)</f>
        <v>607.5</v>
      </c>
      <c r="M42" s="26">
        <f>ROUND($C$33/SUM(C42:J42),2)</f>
        <v>33.75</v>
      </c>
      <c r="O42" s="34" t="s">
        <v>464</v>
      </c>
    </row>
    <row r="43" spans="2:15" x14ac:dyDescent="0.15">
      <c r="B43" s="26" t="s">
        <v>49</v>
      </c>
      <c r="C43" s="26">
        <f t="shared" ref="C43:D46" si="0">C42</f>
        <v>6</v>
      </c>
      <c r="D43" s="26">
        <f t="shared" si="0"/>
        <v>3</v>
      </c>
      <c r="E43" s="26"/>
      <c r="F43" s="26">
        <v>3</v>
      </c>
      <c r="G43" s="26"/>
      <c r="H43" s="26"/>
      <c r="I43" s="26"/>
      <c r="J43" s="26"/>
      <c r="K43" s="26">
        <f>ROUND($C$30*10/SUM(C43:J43),2)</f>
        <v>2.5</v>
      </c>
      <c r="L43" s="26">
        <f>ROUND($C$32/SUM(C43:J43),2)</f>
        <v>607.5</v>
      </c>
      <c r="M43" s="26">
        <f>ROUND($C$33/SUM(C43:J43),2)</f>
        <v>33.75</v>
      </c>
    </row>
    <row r="44" spans="2:15" x14ac:dyDescent="0.15">
      <c r="B44" s="26" t="s">
        <v>50</v>
      </c>
      <c r="C44" s="27">
        <f t="shared" si="0"/>
        <v>6</v>
      </c>
      <c r="D44" s="26">
        <f t="shared" si="0"/>
        <v>3</v>
      </c>
      <c r="E44" s="26"/>
      <c r="F44" s="26">
        <v>3</v>
      </c>
      <c r="G44" s="26"/>
      <c r="H44" s="26"/>
      <c r="I44" s="26"/>
      <c r="J44" s="26">
        <v>6</v>
      </c>
      <c r="K44" s="26">
        <f>ROUND($C$30*10/SUM(C44:J44),2)</f>
        <v>1.67</v>
      </c>
      <c r="L44" s="26">
        <f>ROUND($C$32/SUM(C44:J44),2)</f>
        <v>405</v>
      </c>
      <c r="M44" s="26">
        <f>ROUND($C$33/SUM(C44:J44),2)</f>
        <v>22.5</v>
      </c>
    </row>
    <row r="45" spans="2:15" x14ac:dyDescent="0.15">
      <c r="B45" s="26" t="s">
        <v>51</v>
      </c>
      <c r="C45" s="27">
        <f t="shared" si="0"/>
        <v>6</v>
      </c>
      <c r="D45" s="26">
        <f t="shared" si="0"/>
        <v>3</v>
      </c>
      <c r="E45" s="26"/>
      <c r="F45" s="26">
        <v>3</v>
      </c>
      <c r="G45" s="26"/>
      <c r="H45" s="26"/>
      <c r="I45" s="26">
        <v>4</v>
      </c>
      <c r="J45" s="26">
        <f>J44</f>
        <v>6</v>
      </c>
      <c r="K45" s="26">
        <f>ROUND($C$30*10/SUM(C45:J45),2)</f>
        <v>1.36</v>
      </c>
      <c r="L45" s="26">
        <f>ROUND($C$32/SUM(C45:J45),2)</f>
        <v>331.36</v>
      </c>
      <c r="M45" s="26">
        <f>ROUND($C$33/SUM(C45:J45),2)</f>
        <v>18.41</v>
      </c>
    </row>
    <row r="46" spans="2:15" x14ac:dyDescent="0.15">
      <c r="B46" s="27" t="s">
        <v>52</v>
      </c>
      <c r="C46" s="27">
        <f t="shared" si="0"/>
        <v>6</v>
      </c>
      <c r="D46" s="26">
        <f t="shared" si="0"/>
        <v>3</v>
      </c>
      <c r="E46" s="26"/>
      <c r="F46" s="26">
        <v>3</v>
      </c>
      <c r="G46" s="26"/>
      <c r="H46" s="26">
        <v>4</v>
      </c>
      <c r="I46" s="26">
        <f>I45</f>
        <v>4</v>
      </c>
      <c r="J46" s="26">
        <v>6</v>
      </c>
      <c r="K46" s="26">
        <f>ROUND($C$30*10/SUM(C46:J46),2)</f>
        <v>1.1499999999999999</v>
      </c>
      <c r="L46" s="26">
        <f>ROUND($C$32/SUM(C46:J46),2)</f>
        <v>280.38</v>
      </c>
      <c r="M46" s="26">
        <f>ROUND($C$33/SUM(C46:J46),2)</f>
        <v>15.58</v>
      </c>
    </row>
    <row r="48" spans="2:15" x14ac:dyDescent="0.15">
      <c r="B48" s="2" t="s">
        <v>120</v>
      </c>
      <c r="K48" s="6" t="s">
        <v>63</v>
      </c>
      <c r="L48" s="6" t="s">
        <v>63</v>
      </c>
      <c r="M48" s="6" t="s">
        <v>63</v>
      </c>
    </row>
    <row r="49" spans="1:19" x14ac:dyDescent="0.15">
      <c r="B49" s="25"/>
      <c r="C49" s="25" t="s">
        <v>53</v>
      </c>
      <c r="D49" s="25" t="s">
        <v>54</v>
      </c>
      <c r="E49" s="25" t="s">
        <v>79</v>
      </c>
      <c r="F49" s="25" t="s">
        <v>80</v>
      </c>
      <c r="G49" s="25" t="s">
        <v>58</v>
      </c>
      <c r="H49" s="25" t="s">
        <v>59</v>
      </c>
      <c r="I49" s="25" t="s">
        <v>56</v>
      </c>
      <c r="J49" s="25" t="s">
        <v>55</v>
      </c>
      <c r="K49" s="25" t="s">
        <v>62</v>
      </c>
      <c r="L49" s="25" t="s">
        <v>73</v>
      </c>
      <c r="M49" s="25" t="s">
        <v>74</v>
      </c>
    </row>
    <row r="50" spans="1:19" x14ac:dyDescent="0.15">
      <c r="B50" s="26" t="s">
        <v>57</v>
      </c>
      <c r="C50" s="26">
        <v>3</v>
      </c>
      <c r="D50" s="26">
        <v>1</v>
      </c>
      <c r="E50" s="26"/>
      <c r="F50" s="26">
        <v>1</v>
      </c>
      <c r="G50" s="26"/>
      <c r="H50" s="26"/>
      <c r="I50" s="26"/>
      <c r="J50" s="26"/>
      <c r="K50" s="26">
        <f>ROUND($C$30*10/SUM(C50:J50),2)</f>
        <v>6</v>
      </c>
      <c r="L50" s="26">
        <f>ROUND($C$32/SUM(C50:J50),2)</f>
        <v>1458</v>
      </c>
      <c r="M50" s="26">
        <f>ROUND($C$33/SUM(C50:J50),2)</f>
        <v>81</v>
      </c>
    </row>
    <row r="51" spans="1:19" x14ac:dyDescent="0.15">
      <c r="B51" s="26" t="s">
        <v>49</v>
      </c>
      <c r="C51" s="26">
        <f t="shared" ref="C51:D54" si="1">C50</f>
        <v>3</v>
      </c>
      <c r="D51" s="26">
        <f t="shared" si="1"/>
        <v>1</v>
      </c>
      <c r="E51" s="26"/>
      <c r="F51" s="26">
        <f>F50</f>
        <v>1</v>
      </c>
      <c r="G51" s="26"/>
      <c r="H51" s="26"/>
      <c r="I51" s="26"/>
      <c r="J51" s="26"/>
      <c r="K51" s="26">
        <f>ROUND($C$30*10/SUM(C51:J51),2)</f>
        <v>6</v>
      </c>
      <c r="L51" s="26">
        <f>ROUND($C$32/SUM(C51:J51),2)</f>
        <v>1458</v>
      </c>
      <c r="M51" s="26">
        <f>ROUND($C$33/SUM(C51:J51),2)</f>
        <v>81</v>
      </c>
    </row>
    <row r="52" spans="1:19" x14ac:dyDescent="0.15">
      <c r="B52" s="26" t="s">
        <v>50</v>
      </c>
      <c r="C52" s="27">
        <f t="shared" si="1"/>
        <v>3</v>
      </c>
      <c r="D52" s="26">
        <f t="shared" si="1"/>
        <v>1</v>
      </c>
      <c r="E52" s="26"/>
      <c r="F52" s="26">
        <f>F51</f>
        <v>1</v>
      </c>
      <c r="G52" s="26"/>
      <c r="H52" s="26"/>
      <c r="I52" s="26"/>
      <c r="J52" s="26">
        <v>3</v>
      </c>
      <c r="K52" s="26">
        <f>ROUND($C$30*10/SUM(C52:J52),2)</f>
        <v>3.75</v>
      </c>
      <c r="L52" s="26">
        <f>ROUND($C$32/SUM(C52:J52),2)</f>
        <v>911.25</v>
      </c>
      <c r="M52" s="26">
        <f>ROUND($C$33/SUM(C52:J52),2)</f>
        <v>50.63</v>
      </c>
    </row>
    <row r="53" spans="1:19" x14ac:dyDescent="0.15">
      <c r="B53" s="26" t="s">
        <v>51</v>
      </c>
      <c r="C53" s="27">
        <f t="shared" si="1"/>
        <v>3</v>
      </c>
      <c r="D53" s="26">
        <f t="shared" si="1"/>
        <v>1</v>
      </c>
      <c r="E53" s="26"/>
      <c r="F53" s="26">
        <f>F52</f>
        <v>1</v>
      </c>
      <c r="G53" s="26"/>
      <c r="H53" s="26"/>
      <c r="I53" s="26">
        <v>3</v>
      </c>
      <c r="J53" s="26">
        <f>J52</f>
        <v>3</v>
      </c>
      <c r="K53" s="26">
        <f>ROUND($C$30*10/SUM(C53:J53),2)</f>
        <v>2.73</v>
      </c>
      <c r="L53" s="26">
        <f>ROUND($C$32/SUM(C53:J53),2)</f>
        <v>662.73</v>
      </c>
      <c r="M53" s="26">
        <f>ROUND($C$33/SUM(C53:J53),2)</f>
        <v>36.82</v>
      </c>
    </row>
    <row r="54" spans="1:19" x14ac:dyDescent="0.15">
      <c r="B54" s="27" t="s">
        <v>52</v>
      </c>
      <c r="C54" s="27">
        <f t="shared" si="1"/>
        <v>3</v>
      </c>
      <c r="D54" s="26">
        <f t="shared" si="1"/>
        <v>1</v>
      </c>
      <c r="E54" s="26"/>
      <c r="F54" s="26">
        <f>F53</f>
        <v>1</v>
      </c>
      <c r="G54" s="26"/>
      <c r="H54" s="26">
        <v>3</v>
      </c>
      <c r="I54" s="26">
        <f>I53</f>
        <v>3</v>
      </c>
      <c r="J54" s="26">
        <v>3</v>
      </c>
      <c r="K54" s="26">
        <f>ROUND($C$30*10/SUM(C54:J54),2)</f>
        <v>2.14</v>
      </c>
      <c r="L54" s="26">
        <f>ROUND($C$32/SUM(C54:J54),2)</f>
        <v>520.71</v>
      </c>
      <c r="M54" s="26">
        <f>ROUND($C$33/SUM(C54:J54),2)</f>
        <v>28.93</v>
      </c>
    </row>
    <row r="58" spans="1:19" s="1" customFormat="1" x14ac:dyDescent="0.15">
      <c r="A58" s="4" t="s">
        <v>64</v>
      </c>
      <c r="B58" s="3" t="s">
        <v>65</v>
      </c>
    </row>
    <row r="59" spans="1:19" x14ac:dyDescent="0.15">
      <c r="B59" s="5"/>
    </row>
    <row r="60" spans="1:19" x14ac:dyDescent="0.15">
      <c r="B60" s="5" t="s">
        <v>86</v>
      </c>
      <c r="M60" s="5" t="s">
        <v>84</v>
      </c>
    </row>
    <row r="61" spans="1:19" x14ac:dyDescent="0.15">
      <c r="B61" s="33" t="s">
        <v>66</v>
      </c>
      <c r="C61" s="14">
        <v>2500</v>
      </c>
      <c r="E61" s="34" t="s">
        <v>462</v>
      </c>
      <c r="N61" s="11"/>
      <c r="O61" s="11" t="s">
        <v>83</v>
      </c>
      <c r="Q61" s="25" t="s">
        <v>75</v>
      </c>
      <c r="R61" s="25" t="s">
        <v>76</v>
      </c>
      <c r="S61" s="25" t="s">
        <v>89</v>
      </c>
    </row>
    <row r="62" spans="1:19" x14ac:dyDescent="0.15">
      <c r="B62" s="9" t="s">
        <v>67</v>
      </c>
      <c r="C62" s="14">
        <v>2500</v>
      </c>
      <c r="M62" s="2">
        <v>2</v>
      </c>
      <c r="N62" s="8" t="s">
        <v>85</v>
      </c>
      <c r="O62" s="13">
        <v>0.55000000000000004</v>
      </c>
      <c r="Q62" s="26">
        <v>1</v>
      </c>
      <c r="R62" s="26">
        <f>C62</f>
        <v>2500</v>
      </c>
      <c r="S62" s="26">
        <f>R62*$C$69</f>
        <v>37500</v>
      </c>
    </row>
    <row r="63" spans="1:19" x14ac:dyDescent="0.15">
      <c r="B63" s="9" t="s">
        <v>69</v>
      </c>
      <c r="C63" s="14">
        <v>15</v>
      </c>
      <c r="M63" s="2">
        <v>3</v>
      </c>
      <c r="N63" s="8" t="s">
        <v>17</v>
      </c>
      <c r="O63" s="13">
        <v>0.7</v>
      </c>
      <c r="Q63" s="26">
        <v>2</v>
      </c>
      <c r="R63" s="26">
        <f>R62*1.5</f>
        <v>3750</v>
      </c>
      <c r="S63" s="26">
        <f t="shared" ref="S63:S75" si="2">R63*$C$69</f>
        <v>56250</v>
      </c>
    </row>
    <row r="64" spans="1:19" x14ac:dyDescent="0.15">
      <c r="B64" s="9" t="s">
        <v>68</v>
      </c>
      <c r="C64" s="14">
        <f>C62/2</f>
        <v>1250</v>
      </c>
      <c r="M64" s="2">
        <v>4</v>
      </c>
      <c r="N64" s="8" t="s">
        <v>18</v>
      </c>
      <c r="O64" s="13">
        <v>0.85</v>
      </c>
      <c r="Q64" s="26">
        <v>3</v>
      </c>
      <c r="R64" s="26">
        <f t="shared" ref="R64:R75" si="3">$C$64*Q63+$R$62</f>
        <v>5000</v>
      </c>
      <c r="S64" s="26">
        <f t="shared" si="2"/>
        <v>75000</v>
      </c>
    </row>
    <row r="65" spans="2:19" x14ac:dyDescent="0.15">
      <c r="B65" s="9" t="s">
        <v>70</v>
      </c>
      <c r="C65" s="14">
        <f>C62*(C63-1)+(((1+C63-2)*(C63-2))/2*C64)</f>
        <v>148750</v>
      </c>
      <c r="M65" s="2">
        <v>5</v>
      </c>
      <c r="N65" s="8" t="s">
        <v>19</v>
      </c>
      <c r="O65" s="13">
        <v>1</v>
      </c>
      <c r="Q65" s="26">
        <v>4</v>
      </c>
      <c r="R65" s="26">
        <f t="shared" si="3"/>
        <v>6250</v>
      </c>
      <c r="S65" s="26">
        <f t="shared" si="2"/>
        <v>93750</v>
      </c>
    </row>
    <row r="66" spans="2:19" x14ac:dyDescent="0.15">
      <c r="B66" s="9" t="s">
        <v>71</v>
      </c>
      <c r="C66" s="14">
        <f>C65/C61</f>
        <v>59.5</v>
      </c>
      <c r="E66" s="2" t="s">
        <v>469</v>
      </c>
      <c r="Q66" s="26">
        <v>5</v>
      </c>
      <c r="R66" s="26">
        <f t="shared" si="3"/>
        <v>7500</v>
      </c>
      <c r="S66" s="26">
        <f t="shared" si="2"/>
        <v>112500</v>
      </c>
    </row>
    <row r="67" spans="2:19" x14ac:dyDescent="0.15">
      <c r="B67" s="9" t="s">
        <v>72</v>
      </c>
      <c r="C67" s="14">
        <f>C66*30</f>
        <v>1785</v>
      </c>
      <c r="E67" s="2" t="s">
        <v>470</v>
      </c>
      <c r="Q67" s="26">
        <v>6</v>
      </c>
      <c r="R67" s="26">
        <f t="shared" si="3"/>
        <v>8750</v>
      </c>
      <c r="S67" s="26">
        <f t="shared" si="2"/>
        <v>131250</v>
      </c>
    </row>
    <row r="68" spans="2:19" x14ac:dyDescent="0.15">
      <c r="B68" s="9" t="s">
        <v>48</v>
      </c>
      <c r="C68" s="14">
        <f>C66*18</f>
        <v>1071</v>
      </c>
      <c r="Q68" s="26">
        <v>7</v>
      </c>
      <c r="R68" s="26">
        <f t="shared" si="3"/>
        <v>10000</v>
      </c>
      <c r="S68" s="26">
        <f t="shared" si="2"/>
        <v>150000</v>
      </c>
    </row>
    <row r="69" spans="2:19" x14ac:dyDescent="0.15">
      <c r="B69" s="9" t="s">
        <v>88</v>
      </c>
      <c r="C69" s="32">
        <v>15</v>
      </c>
      <c r="E69" s="34" t="s">
        <v>465</v>
      </c>
      <c r="Q69" s="26">
        <v>8</v>
      </c>
      <c r="R69" s="26">
        <f t="shared" si="3"/>
        <v>11250</v>
      </c>
      <c r="S69" s="26">
        <f t="shared" si="2"/>
        <v>168750</v>
      </c>
    </row>
    <row r="70" spans="2:19" x14ac:dyDescent="0.15">
      <c r="Q70" s="26">
        <v>9</v>
      </c>
      <c r="R70" s="26">
        <f t="shared" si="3"/>
        <v>12500</v>
      </c>
      <c r="S70" s="26">
        <f t="shared" si="2"/>
        <v>187500</v>
      </c>
    </row>
    <row r="71" spans="2:19" x14ac:dyDescent="0.15">
      <c r="B71" s="5" t="s">
        <v>117</v>
      </c>
      <c r="I71" s="7"/>
      <c r="J71" s="7"/>
      <c r="K71" s="7" t="s">
        <v>63</v>
      </c>
      <c r="L71" s="7" t="s">
        <v>63</v>
      </c>
      <c r="Q71" s="26">
        <v>10</v>
      </c>
      <c r="R71" s="26">
        <f t="shared" si="3"/>
        <v>13750</v>
      </c>
      <c r="S71" s="26">
        <f t="shared" si="2"/>
        <v>206250</v>
      </c>
    </row>
    <row r="72" spans="2:19" x14ac:dyDescent="0.15">
      <c r="B72" s="25"/>
      <c r="C72" s="25" t="s">
        <v>53</v>
      </c>
      <c r="D72" s="25" t="s">
        <v>54</v>
      </c>
      <c r="E72" s="25" t="s">
        <v>79</v>
      </c>
      <c r="F72" s="25" t="s">
        <v>80</v>
      </c>
      <c r="G72" s="25" t="s">
        <v>58</v>
      </c>
      <c r="H72" s="25" t="s">
        <v>59</v>
      </c>
      <c r="I72" s="25" t="s">
        <v>56</v>
      </c>
      <c r="J72" s="25" t="s">
        <v>55</v>
      </c>
      <c r="K72" s="25" t="s">
        <v>60</v>
      </c>
      <c r="L72" s="25" t="s">
        <v>61</v>
      </c>
      <c r="Q72" s="26">
        <v>11</v>
      </c>
      <c r="R72" s="26">
        <f t="shared" si="3"/>
        <v>15000</v>
      </c>
      <c r="S72" s="26">
        <f t="shared" si="2"/>
        <v>225000</v>
      </c>
    </row>
    <row r="73" spans="2:19" x14ac:dyDescent="0.15">
      <c r="B73" s="26" t="s">
        <v>57</v>
      </c>
      <c r="C73" s="26">
        <v>30</v>
      </c>
      <c r="D73" s="26">
        <v>10</v>
      </c>
      <c r="E73" s="26">
        <v>15</v>
      </c>
      <c r="F73" s="26">
        <v>10</v>
      </c>
      <c r="G73" s="26"/>
      <c r="H73" s="26"/>
      <c r="I73" s="26"/>
      <c r="J73" s="26"/>
      <c r="K73" s="26">
        <f>ROUND($C$67/SUM(C73:J73),2)</f>
        <v>27.46</v>
      </c>
      <c r="L73" s="26">
        <f>ROUND($C$68/SUM(C73:J73),2)</f>
        <v>16.48</v>
      </c>
      <c r="Q73" s="26">
        <v>12</v>
      </c>
      <c r="R73" s="26">
        <f t="shared" si="3"/>
        <v>16250</v>
      </c>
      <c r="S73" s="26">
        <f t="shared" si="2"/>
        <v>243750</v>
      </c>
    </row>
    <row r="74" spans="2:19" x14ac:dyDescent="0.15">
      <c r="B74" s="26" t="s">
        <v>49</v>
      </c>
      <c r="C74" s="26">
        <f t="shared" ref="C74:D77" si="4">C73</f>
        <v>30</v>
      </c>
      <c r="D74" s="26">
        <f t="shared" si="4"/>
        <v>10</v>
      </c>
      <c r="E74" s="26">
        <f t="shared" ref="E74:F77" si="5">E73</f>
        <v>15</v>
      </c>
      <c r="F74" s="26">
        <f t="shared" si="5"/>
        <v>10</v>
      </c>
      <c r="G74" s="26"/>
      <c r="H74" s="26"/>
      <c r="I74" s="26"/>
      <c r="J74" s="26"/>
      <c r="K74" s="26">
        <f>ROUND($C$67/SUM(C74:J74),2)</f>
        <v>27.46</v>
      </c>
      <c r="L74" s="26">
        <f>ROUND($C$68/SUM(C74:J74),2)</f>
        <v>16.48</v>
      </c>
      <c r="Q74" s="26">
        <v>13</v>
      </c>
      <c r="R74" s="26">
        <f t="shared" si="3"/>
        <v>17500</v>
      </c>
      <c r="S74" s="26">
        <f t="shared" si="2"/>
        <v>262500</v>
      </c>
    </row>
    <row r="75" spans="2:19" x14ac:dyDescent="0.15">
      <c r="B75" s="26" t="s">
        <v>50</v>
      </c>
      <c r="C75" s="27">
        <f t="shared" si="4"/>
        <v>30</v>
      </c>
      <c r="D75" s="26">
        <f t="shared" si="4"/>
        <v>10</v>
      </c>
      <c r="E75" s="26">
        <f t="shared" si="5"/>
        <v>15</v>
      </c>
      <c r="F75" s="26">
        <f t="shared" si="5"/>
        <v>10</v>
      </c>
      <c r="G75" s="26"/>
      <c r="H75" s="26"/>
      <c r="I75" s="26"/>
      <c r="J75" s="26">
        <v>30</v>
      </c>
      <c r="K75" s="26">
        <f>ROUND($C$67/SUM(C75:J75),2)</f>
        <v>18.79</v>
      </c>
      <c r="L75" s="26">
        <f>ROUND($C$68/SUM(C75:J75),2)</f>
        <v>11.27</v>
      </c>
      <c r="Q75" s="26">
        <v>14</v>
      </c>
      <c r="R75" s="26">
        <f t="shared" si="3"/>
        <v>18750</v>
      </c>
      <c r="S75" s="26">
        <f t="shared" si="2"/>
        <v>281250</v>
      </c>
    </row>
    <row r="76" spans="2:19" x14ac:dyDescent="0.15">
      <c r="B76" s="26" t="s">
        <v>51</v>
      </c>
      <c r="C76" s="27">
        <f t="shared" si="4"/>
        <v>30</v>
      </c>
      <c r="D76" s="26">
        <f t="shared" si="4"/>
        <v>10</v>
      </c>
      <c r="E76" s="26">
        <f t="shared" si="5"/>
        <v>15</v>
      </c>
      <c r="F76" s="26">
        <f t="shared" si="5"/>
        <v>10</v>
      </c>
      <c r="G76" s="26"/>
      <c r="H76" s="26"/>
      <c r="I76" s="26">
        <v>30</v>
      </c>
      <c r="J76" s="26">
        <f>J75</f>
        <v>30</v>
      </c>
      <c r="K76" s="26">
        <f>ROUND($C$67/SUM(C76:J76),2)</f>
        <v>14.28</v>
      </c>
      <c r="L76" s="26">
        <f>ROUND($C$68/SUM(C76:J76),2)</f>
        <v>8.57</v>
      </c>
    </row>
    <row r="77" spans="2:19" x14ac:dyDescent="0.15">
      <c r="B77" s="27" t="s">
        <v>52</v>
      </c>
      <c r="C77" s="27">
        <f t="shared" si="4"/>
        <v>30</v>
      </c>
      <c r="D77" s="26">
        <f t="shared" si="4"/>
        <v>10</v>
      </c>
      <c r="E77" s="26">
        <f t="shared" si="5"/>
        <v>15</v>
      </c>
      <c r="F77" s="26">
        <f t="shared" si="5"/>
        <v>10</v>
      </c>
      <c r="G77" s="26">
        <v>30</v>
      </c>
      <c r="H77" s="26">
        <v>30</v>
      </c>
      <c r="I77" s="26">
        <f>I76</f>
        <v>30</v>
      </c>
      <c r="J77" s="26">
        <f>J76</f>
        <v>30</v>
      </c>
      <c r="K77" s="26">
        <f>ROUND($C$67/SUM(C77:J77),2)</f>
        <v>9.65</v>
      </c>
      <c r="L77" s="26">
        <f>ROUND($C$68/SUM(C77:J77),2)</f>
        <v>5.79</v>
      </c>
    </row>
    <row r="79" spans="2:19" x14ac:dyDescent="0.15">
      <c r="B79" s="2" t="s">
        <v>87</v>
      </c>
      <c r="D79" s="7" t="s">
        <v>128</v>
      </c>
      <c r="E79" s="7" t="s">
        <v>128</v>
      </c>
    </row>
    <row r="80" spans="2:19" x14ac:dyDescent="0.15">
      <c r="B80" s="25"/>
      <c r="C80" s="25" t="s">
        <v>127</v>
      </c>
      <c r="D80" s="25" t="s">
        <v>60</v>
      </c>
      <c r="E80" s="25" t="s">
        <v>61</v>
      </c>
    </row>
    <row r="81" spans="1:12" x14ac:dyDescent="0.15">
      <c r="B81" s="26" t="s">
        <v>57</v>
      </c>
      <c r="C81" s="26">
        <v>30000000</v>
      </c>
      <c r="D81" s="26">
        <f>ROUNDDOWN(($C$67*$C$61*$C$69)/C81,2)</f>
        <v>2.23</v>
      </c>
      <c r="E81" s="26">
        <f>ROUNDDOWN(($C$68*$C$61*$C$69)/C81,2)</f>
        <v>1.33</v>
      </c>
    </row>
    <row r="82" spans="1:12" x14ac:dyDescent="0.15">
      <c r="B82" s="26" t="s">
        <v>49</v>
      </c>
      <c r="C82" s="26">
        <v>37800000</v>
      </c>
      <c r="D82" s="26">
        <f>ROUNDDOWN(($C$67*$C$61*$C$69)/C82,2)</f>
        <v>1.77</v>
      </c>
      <c r="E82" s="26">
        <f>ROUNDDOWN(($C$68*$C$61*$C$69)/C82,2)</f>
        <v>1.06</v>
      </c>
    </row>
    <row r="83" spans="1:12" x14ac:dyDescent="0.15">
      <c r="B83" s="26" t="s">
        <v>50</v>
      </c>
      <c r="C83" s="27">
        <v>43800000</v>
      </c>
      <c r="D83" s="26">
        <f>ROUNDDOWN(($C$67*$C$61*$C$69)/C83,2)</f>
        <v>1.52</v>
      </c>
      <c r="E83" s="26">
        <f>ROUNDDOWN(($C$68*$C$61*$C$69)/C83,2)</f>
        <v>0.91</v>
      </c>
    </row>
    <row r="84" spans="1:12" x14ac:dyDescent="0.15">
      <c r="B84" s="26" t="s">
        <v>51</v>
      </c>
      <c r="C84" s="27">
        <v>44100000</v>
      </c>
      <c r="D84" s="26">
        <f>ROUNDDOWN(($C$67*$C$61*$C$69)/C84,2)</f>
        <v>1.51</v>
      </c>
      <c r="E84" s="26">
        <f>ROUNDDOWN(($C$68*$C$61*$C$69)/C84,2)</f>
        <v>0.91</v>
      </c>
    </row>
    <row r="85" spans="1:12" x14ac:dyDescent="0.15">
      <c r="B85" s="27" t="s">
        <v>52</v>
      </c>
      <c r="C85" s="27">
        <v>67800000</v>
      </c>
      <c r="D85" s="26">
        <f>ROUNDDOWN(($C$67*$C$61*$C$69)/C85,2)</f>
        <v>0.98</v>
      </c>
      <c r="E85" s="26">
        <f>ROUNDDOWN(($C$68*$C$61*$C$69)/C85,2)</f>
        <v>0.59</v>
      </c>
    </row>
    <row r="87" spans="1:12" s="1" customFormat="1" x14ac:dyDescent="0.15">
      <c r="A87" s="4" t="s">
        <v>77</v>
      </c>
      <c r="B87" s="3" t="s">
        <v>78</v>
      </c>
    </row>
    <row r="88" spans="1:12" x14ac:dyDescent="0.15">
      <c r="B88" s="2" t="s">
        <v>219</v>
      </c>
    </row>
    <row r="89" spans="1:12" x14ac:dyDescent="0.15">
      <c r="B89" s="2" t="s">
        <v>220</v>
      </c>
    </row>
    <row r="92" spans="1:12" x14ac:dyDescent="0.15">
      <c r="B92" s="9" t="s">
        <v>69</v>
      </c>
      <c r="C92" s="8">
        <f>C63</f>
        <v>15</v>
      </c>
    </row>
    <row r="93" spans="1:12" x14ac:dyDescent="0.15">
      <c r="B93" s="9" t="s">
        <v>91</v>
      </c>
      <c r="C93" s="8">
        <v>5</v>
      </c>
    </row>
    <row r="95" spans="1:12" x14ac:dyDescent="0.15">
      <c r="B95" s="5" t="s">
        <v>81</v>
      </c>
      <c r="J95" s="5" t="s">
        <v>82</v>
      </c>
    </row>
    <row r="96" spans="1:12" x14ac:dyDescent="0.15">
      <c r="C96" s="11"/>
      <c r="D96" s="11" t="s">
        <v>90</v>
      </c>
      <c r="E96" s="11" t="s">
        <v>5</v>
      </c>
      <c r="F96" s="11" t="s">
        <v>93</v>
      </c>
      <c r="G96" s="11" t="s">
        <v>7</v>
      </c>
      <c r="H96" s="11" t="s">
        <v>131</v>
      </c>
      <c r="K96" s="11"/>
      <c r="L96" s="11" t="s">
        <v>83</v>
      </c>
    </row>
    <row r="97" spans="2:12" x14ac:dyDescent="0.15">
      <c r="B97" s="2">
        <v>3</v>
      </c>
      <c r="C97" s="8" t="s">
        <v>2</v>
      </c>
      <c r="D97" s="32">
        <v>15750</v>
      </c>
      <c r="E97" s="8">
        <f>INT($D97*$L$97)</f>
        <v>3150</v>
      </c>
      <c r="F97" s="8">
        <f>INT($D97*$L$98/$C$63)</f>
        <v>525</v>
      </c>
      <c r="G97" s="8">
        <f>INT($D97*$L$99)</f>
        <v>2362</v>
      </c>
      <c r="H97" s="8">
        <f>INT($D97*$L$100)</f>
        <v>2362</v>
      </c>
      <c r="I97" s="34" t="s">
        <v>463</v>
      </c>
      <c r="K97" s="8" t="s">
        <v>5</v>
      </c>
      <c r="L97" s="8">
        <v>0.2</v>
      </c>
    </row>
    <row r="98" spans="2:12" x14ac:dyDescent="0.15">
      <c r="B98" s="2">
        <v>1</v>
      </c>
      <c r="C98" s="8" t="s">
        <v>4</v>
      </c>
      <c r="D98" s="32">
        <v>7870</v>
      </c>
      <c r="E98" s="8">
        <f>INT($D98*$L$97)</f>
        <v>1574</v>
      </c>
      <c r="F98" s="8">
        <f>INT($D98*$L$98/$C$63)</f>
        <v>262</v>
      </c>
      <c r="G98" s="8">
        <f>INT($D98*$L$99)</f>
        <v>1180</v>
      </c>
      <c r="H98" s="8">
        <f>INT($D98*$L$100)</f>
        <v>1180</v>
      </c>
      <c r="K98" s="8" t="s">
        <v>6</v>
      </c>
      <c r="L98" s="8">
        <v>0.5</v>
      </c>
    </row>
    <row r="99" spans="2:12" x14ac:dyDescent="0.15">
      <c r="B99" s="2">
        <v>2</v>
      </c>
      <c r="C99" s="8" t="s">
        <v>3</v>
      </c>
      <c r="D99" s="32">
        <v>96550</v>
      </c>
      <c r="E99" s="8">
        <f>INT($D99*$L$97)</f>
        <v>19310</v>
      </c>
      <c r="F99" s="8">
        <f>INT($D99*$L$98/$C$63)</f>
        <v>3218</v>
      </c>
      <c r="G99" s="8">
        <f>INT($D99*$L$99)</f>
        <v>14482</v>
      </c>
      <c r="H99" s="8">
        <f>INT($D99*$L$100)</f>
        <v>14482</v>
      </c>
      <c r="K99" s="8" t="s">
        <v>7</v>
      </c>
      <c r="L99" s="8">
        <v>0.15</v>
      </c>
    </row>
    <row r="100" spans="2:12" x14ac:dyDescent="0.15">
      <c r="C100" s="8" t="s">
        <v>8</v>
      </c>
      <c r="D100" s="10">
        <v>0.25</v>
      </c>
      <c r="E100" s="12">
        <f t="shared" ref="E100:E113" si="6">ROUNDDOWN($D100*$L$97,3)</f>
        <v>0.05</v>
      </c>
      <c r="F100" s="12">
        <f t="shared" ref="F100:F113" si="7">ROUNDDOWN(($D100*$L$98/$C$93),3)</f>
        <v>2.5000000000000001E-2</v>
      </c>
      <c r="G100" s="12">
        <f t="shared" ref="G100:G113" si="8">ROUNDDOWN(($D100*$L$99),3)</f>
        <v>3.6999999999999998E-2</v>
      </c>
      <c r="H100" s="12">
        <f>ROUNDDOWN(($D100*$L$100),3)</f>
        <v>3.6999999999999998E-2</v>
      </c>
      <c r="K100" s="8" t="s">
        <v>131</v>
      </c>
      <c r="L100" s="8">
        <f>L99</f>
        <v>0.15</v>
      </c>
    </row>
    <row r="101" spans="2:12" x14ac:dyDescent="0.15">
      <c r="C101" s="8" t="s">
        <v>9</v>
      </c>
      <c r="D101" s="10">
        <v>0.25</v>
      </c>
      <c r="E101" s="12">
        <f t="shared" si="6"/>
        <v>0.05</v>
      </c>
      <c r="F101" s="12">
        <f t="shared" si="7"/>
        <v>2.5000000000000001E-2</v>
      </c>
      <c r="G101" s="12">
        <f t="shared" si="8"/>
        <v>3.6999999999999998E-2</v>
      </c>
      <c r="H101" s="12">
        <f t="shared" ref="H101:H113" si="9">ROUNDDOWN(($D101*$L$100),3)</f>
        <v>3.6999999999999998E-2</v>
      </c>
    </row>
    <row r="102" spans="2:12" x14ac:dyDescent="0.15">
      <c r="C102" s="8" t="s">
        <v>10</v>
      </c>
      <c r="D102" s="10">
        <v>0.2</v>
      </c>
      <c r="E102" s="12">
        <f t="shared" si="6"/>
        <v>0.04</v>
      </c>
      <c r="F102" s="12">
        <f t="shared" si="7"/>
        <v>0.02</v>
      </c>
      <c r="G102" s="12">
        <f t="shared" si="8"/>
        <v>0.03</v>
      </c>
      <c r="H102" s="12">
        <f t="shared" si="9"/>
        <v>0.03</v>
      </c>
    </row>
    <row r="103" spans="2:12" x14ac:dyDescent="0.15">
      <c r="C103" s="8" t="s">
        <v>11</v>
      </c>
      <c r="D103" s="10">
        <v>0.2</v>
      </c>
      <c r="E103" s="12">
        <f t="shared" si="6"/>
        <v>0.04</v>
      </c>
      <c r="F103" s="12">
        <f t="shared" si="7"/>
        <v>0.02</v>
      </c>
      <c r="G103" s="12">
        <f t="shared" si="8"/>
        <v>0.03</v>
      </c>
      <c r="H103" s="12">
        <f t="shared" si="9"/>
        <v>0.03</v>
      </c>
    </row>
    <row r="104" spans="2:12" x14ac:dyDescent="0.15">
      <c r="C104" s="8" t="s">
        <v>12</v>
      </c>
      <c r="D104" s="10">
        <v>0.2</v>
      </c>
      <c r="E104" s="12">
        <f t="shared" si="6"/>
        <v>0.04</v>
      </c>
      <c r="F104" s="12">
        <f t="shared" si="7"/>
        <v>0.02</v>
      </c>
      <c r="G104" s="12">
        <f t="shared" si="8"/>
        <v>0.03</v>
      </c>
      <c r="H104" s="12">
        <f t="shared" si="9"/>
        <v>0.03</v>
      </c>
    </row>
    <row r="105" spans="2:12" x14ac:dyDescent="0.15">
      <c r="C105" s="8" t="s">
        <v>13</v>
      </c>
      <c r="D105" s="10">
        <v>0.2</v>
      </c>
      <c r="E105" s="12">
        <f t="shared" si="6"/>
        <v>0.04</v>
      </c>
      <c r="F105" s="12">
        <f t="shared" si="7"/>
        <v>0.02</v>
      </c>
      <c r="G105" s="12">
        <f t="shared" si="8"/>
        <v>0.03</v>
      </c>
      <c r="H105" s="12">
        <f t="shared" si="9"/>
        <v>0.03</v>
      </c>
    </row>
    <row r="106" spans="2:12" x14ac:dyDescent="0.15">
      <c r="C106" s="8" t="s">
        <v>14</v>
      </c>
      <c r="D106" s="10">
        <v>0.2</v>
      </c>
      <c r="E106" s="12">
        <f t="shared" si="6"/>
        <v>0.04</v>
      </c>
      <c r="F106" s="12">
        <f t="shared" si="7"/>
        <v>0.02</v>
      </c>
      <c r="G106" s="12">
        <f t="shared" si="8"/>
        <v>0.03</v>
      </c>
      <c r="H106" s="12">
        <f t="shared" si="9"/>
        <v>0.03</v>
      </c>
    </row>
    <row r="107" spans="2:12" x14ac:dyDescent="0.15">
      <c r="C107" s="8" t="s">
        <v>15</v>
      </c>
      <c r="D107" s="10">
        <v>0.2</v>
      </c>
      <c r="E107" s="12">
        <f t="shared" si="6"/>
        <v>0.04</v>
      </c>
      <c r="F107" s="12">
        <f t="shared" si="7"/>
        <v>0.02</v>
      </c>
      <c r="G107" s="12">
        <f t="shared" si="8"/>
        <v>0.03</v>
      </c>
      <c r="H107" s="12">
        <f t="shared" si="9"/>
        <v>0.03</v>
      </c>
    </row>
    <row r="108" spans="2:12" x14ac:dyDescent="0.15">
      <c r="C108" s="8" t="s">
        <v>113</v>
      </c>
      <c r="D108" s="10">
        <v>0.2</v>
      </c>
      <c r="E108" s="12">
        <f t="shared" si="6"/>
        <v>0.04</v>
      </c>
      <c r="F108" s="12">
        <f t="shared" si="7"/>
        <v>0.02</v>
      </c>
      <c r="G108" s="12">
        <f t="shared" si="8"/>
        <v>0.03</v>
      </c>
      <c r="H108" s="12">
        <f t="shared" si="9"/>
        <v>0.03</v>
      </c>
    </row>
    <row r="109" spans="2:12" x14ac:dyDescent="0.15">
      <c r="C109" s="8" t="s">
        <v>114</v>
      </c>
      <c r="D109" s="10">
        <v>0.2</v>
      </c>
      <c r="E109" s="12">
        <f t="shared" si="6"/>
        <v>0.04</v>
      </c>
      <c r="F109" s="12">
        <f t="shared" si="7"/>
        <v>0.02</v>
      </c>
      <c r="G109" s="12">
        <f t="shared" si="8"/>
        <v>0.03</v>
      </c>
      <c r="H109" s="12">
        <f t="shared" si="9"/>
        <v>0.03</v>
      </c>
    </row>
    <row r="110" spans="2:12" x14ac:dyDescent="0.15">
      <c r="C110" s="8" t="s">
        <v>16</v>
      </c>
      <c r="D110" s="8">
        <v>1500</v>
      </c>
      <c r="E110" s="13">
        <f t="shared" si="6"/>
        <v>300</v>
      </c>
      <c r="F110" s="13">
        <f t="shared" si="7"/>
        <v>150</v>
      </c>
      <c r="G110" s="13">
        <f t="shared" si="8"/>
        <v>225</v>
      </c>
      <c r="H110" s="13">
        <f t="shared" si="9"/>
        <v>225</v>
      </c>
    </row>
    <row r="111" spans="2:12" x14ac:dyDescent="0.15">
      <c r="C111" s="8" t="s">
        <v>33</v>
      </c>
      <c r="D111" s="10">
        <v>0.5</v>
      </c>
      <c r="E111" s="12">
        <f t="shared" si="6"/>
        <v>0.1</v>
      </c>
      <c r="F111" s="12">
        <f t="shared" si="7"/>
        <v>0.05</v>
      </c>
      <c r="G111" s="12">
        <f t="shared" si="8"/>
        <v>7.4999999999999997E-2</v>
      </c>
      <c r="H111" s="12">
        <f t="shared" si="9"/>
        <v>7.4999999999999997E-2</v>
      </c>
    </row>
    <row r="112" spans="2:12" x14ac:dyDescent="0.15">
      <c r="C112" s="8" t="s">
        <v>34</v>
      </c>
      <c r="D112" s="10">
        <v>0.5</v>
      </c>
      <c r="E112" s="12">
        <f t="shared" si="6"/>
        <v>0.1</v>
      </c>
      <c r="F112" s="12">
        <f t="shared" si="7"/>
        <v>0.05</v>
      </c>
      <c r="G112" s="12">
        <f t="shared" si="8"/>
        <v>7.4999999999999997E-2</v>
      </c>
      <c r="H112" s="12">
        <f t="shared" si="9"/>
        <v>7.4999999999999997E-2</v>
      </c>
    </row>
    <row r="113" spans="1:12" x14ac:dyDescent="0.15">
      <c r="C113" s="8" t="s">
        <v>35</v>
      </c>
      <c r="D113" s="10">
        <v>0.5</v>
      </c>
      <c r="E113" s="12">
        <f t="shared" si="6"/>
        <v>0.1</v>
      </c>
      <c r="F113" s="12">
        <f t="shared" si="7"/>
        <v>0.05</v>
      </c>
      <c r="G113" s="12">
        <f t="shared" si="8"/>
        <v>7.4999999999999997E-2</v>
      </c>
      <c r="H113" s="12">
        <f t="shared" si="9"/>
        <v>7.4999999999999997E-2</v>
      </c>
    </row>
    <row r="116" spans="1:12" x14ac:dyDescent="0.15">
      <c r="B116" s="5" t="s">
        <v>92</v>
      </c>
      <c r="J116" s="5" t="s">
        <v>84</v>
      </c>
    </row>
    <row r="117" spans="1:12" x14ac:dyDescent="0.15">
      <c r="B117" s="15" t="s">
        <v>234</v>
      </c>
      <c r="C117" s="11"/>
      <c r="D117" s="11" t="s">
        <v>5</v>
      </c>
      <c r="E117" s="11" t="s">
        <v>6</v>
      </c>
      <c r="F117" s="11" t="s">
        <v>7</v>
      </c>
      <c r="K117" s="11"/>
      <c r="L117" s="11" t="s">
        <v>83</v>
      </c>
    </row>
    <row r="118" spans="1:12" x14ac:dyDescent="0.15">
      <c r="C118" s="8" t="s">
        <v>85</v>
      </c>
      <c r="D118" s="12">
        <f>ROUNDDOWN(VLOOKUP($B$117,$C$97:$G$114,3,FALSE)*VLOOKUP(C118,$K$118:$L$121,2,FALSE),3)</f>
        <v>1.4999999999999999E-2</v>
      </c>
      <c r="E118" s="12">
        <f>ROUNDDOWN(VLOOKUP($B$117,$C$97:$G$114,4,FALSE)*VLOOKUP(C118,$K$118:$L$121,2,FALSE),3)</f>
        <v>7.0000000000000001E-3</v>
      </c>
      <c r="F118" s="12">
        <f>ROUNDDOWN(VLOOKUP($B$117,$C$97:$G$114,5,FALSE)*VLOOKUP(C118,$K$118:$L$121,2,FALSE),3)</f>
        <v>1.0999999999999999E-2</v>
      </c>
      <c r="J118" s="2">
        <v>2</v>
      </c>
      <c r="K118" s="8" t="s">
        <v>85</v>
      </c>
      <c r="L118" s="13">
        <v>0.3</v>
      </c>
    </row>
    <row r="119" spans="1:12" x14ac:dyDescent="0.15">
      <c r="C119" s="8" t="s">
        <v>17</v>
      </c>
      <c r="D119" s="12">
        <f>ROUNDDOWN(VLOOKUP($B$117,$C$97:$G$114,3,FALSE)*VLOOKUP(C119,$K$118:$L$121,2,FALSE),3)</f>
        <v>2.7E-2</v>
      </c>
      <c r="E119" s="12">
        <f>ROUNDDOWN(VLOOKUP($B$117,$C$97:$G$114,4,FALSE)*VLOOKUP(C119,$K$118:$L$121,2,FALSE),3)</f>
        <v>1.2999999999999999E-2</v>
      </c>
      <c r="F119" s="12">
        <f>ROUNDDOWN(VLOOKUP($B$117,$C$97:$G$114,5,FALSE)*VLOOKUP(C119,$K$118:$L$121,2,FALSE),3)</f>
        <v>0.02</v>
      </c>
      <c r="J119" s="2">
        <v>3</v>
      </c>
      <c r="K119" s="8" t="s">
        <v>17</v>
      </c>
      <c r="L119" s="13">
        <v>0.55000000000000004</v>
      </c>
    </row>
    <row r="120" spans="1:12" x14ac:dyDescent="0.15">
      <c r="C120" s="8" t="s">
        <v>18</v>
      </c>
      <c r="D120" s="12">
        <f>ROUNDDOWN(VLOOKUP($B$117,$C$97:$G$114,3,FALSE)*VLOOKUP(C120,$K$118:$L$121,2,FALSE),3)</f>
        <v>0.04</v>
      </c>
      <c r="E120" s="12">
        <f>ROUNDDOWN(VLOOKUP($B$117,$C$97:$G$114,4,FALSE)*VLOOKUP(C120,$K$118:$L$121,2,FALSE),3)</f>
        <v>0.02</v>
      </c>
      <c r="F120" s="12">
        <f>ROUNDDOWN(VLOOKUP($B$117,$C$97:$G$114,5,FALSE)*VLOOKUP(C120,$K$118:$L$121,2,FALSE),3)</f>
        <v>2.9000000000000001E-2</v>
      </c>
      <c r="J120" s="2">
        <v>4</v>
      </c>
      <c r="K120" s="8" t="s">
        <v>18</v>
      </c>
      <c r="L120" s="13">
        <v>0.8</v>
      </c>
    </row>
    <row r="121" spans="1:12" x14ac:dyDescent="0.15">
      <c r="C121" s="8" t="s">
        <v>19</v>
      </c>
      <c r="D121" s="12">
        <f>ROUNDDOWN(VLOOKUP($B$117,$C$97:$G$114,3,FALSE)*VLOOKUP(C121,$K$118:$L$121,2,FALSE),3)</f>
        <v>0.05</v>
      </c>
      <c r="E121" s="12">
        <f>ROUNDDOWN(VLOOKUP($B$117,$C$97:$G$114,4,FALSE)*VLOOKUP(C121,$K$118:$L$121,2,FALSE),3)</f>
        <v>2.5000000000000001E-2</v>
      </c>
      <c r="F121" s="12">
        <f>ROUNDDOWN(VLOOKUP($B$117,$C$97:$G$114,5,FALSE)*VLOOKUP(C121,$K$118:$L$121,2,FALSE),3)</f>
        <v>3.6999999999999998E-2</v>
      </c>
      <c r="J121" s="2">
        <v>5</v>
      </c>
      <c r="K121" s="8" t="s">
        <v>19</v>
      </c>
      <c r="L121" s="13">
        <v>1</v>
      </c>
    </row>
    <row r="123" spans="1:12" s="1" customFormat="1" x14ac:dyDescent="0.15">
      <c r="A123" s="4" t="s">
        <v>129</v>
      </c>
      <c r="B123" s="3" t="s">
        <v>130</v>
      </c>
    </row>
    <row r="125" spans="1:12" x14ac:dyDescent="0.15">
      <c r="B125" s="18" t="s">
        <v>132</v>
      </c>
      <c r="C125" s="2" t="s">
        <v>133</v>
      </c>
    </row>
    <row r="126" spans="1:12" x14ac:dyDescent="0.15">
      <c r="B126" s="18"/>
      <c r="C126" s="2" t="s">
        <v>134</v>
      </c>
      <c r="D126" s="2" t="s">
        <v>137</v>
      </c>
      <c r="E126" s="2" t="str">
        <f>VLOOKUP(D126,$H$127:$J$143,2,FALSE)</f>
        <v>CRITRATE</v>
      </c>
    </row>
    <row r="127" spans="1:12" x14ac:dyDescent="0.15">
      <c r="B127" s="18"/>
      <c r="C127" s="2" t="s">
        <v>135</v>
      </c>
      <c r="D127" s="2" t="s">
        <v>138</v>
      </c>
      <c r="E127" s="2" t="str">
        <f t="shared" ref="E127:E128" si="10">VLOOKUP(D127,$H$127:$J$143,2,FALSE)</f>
        <v>CRITSTRG</v>
      </c>
      <c r="H127" s="2" t="s">
        <v>417</v>
      </c>
      <c r="I127" s="2" t="s">
        <v>434</v>
      </c>
    </row>
    <row r="128" spans="1:12" x14ac:dyDescent="0.15">
      <c r="B128" s="18"/>
      <c r="C128" s="2" t="s">
        <v>136</v>
      </c>
      <c r="D128" s="2" t="s">
        <v>137</v>
      </c>
      <c r="E128" s="2" t="str">
        <f t="shared" si="10"/>
        <v>CRITRATE</v>
      </c>
      <c r="H128" s="2" t="s">
        <v>418</v>
      </c>
      <c r="I128" s="2" t="s">
        <v>435</v>
      </c>
    </row>
    <row r="129" spans="2:9" x14ac:dyDescent="0.15">
      <c r="B129" s="18"/>
      <c r="H129" s="2" t="s">
        <v>419</v>
      </c>
      <c r="I129" s="2" t="s">
        <v>436</v>
      </c>
    </row>
    <row r="130" spans="2:9" x14ac:dyDescent="0.15">
      <c r="B130" s="18" t="s">
        <v>139</v>
      </c>
      <c r="C130" s="2" t="s">
        <v>140</v>
      </c>
      <c r="H130" s="2" t="s">
        <v>420</v>
      </c>
      <c r="I130" s="2" t="s">
        <v>522</v>
      </c>
    </row>
    <row r="131" spans="2:9" x14ac:dyDescent="0.15">
      <c r="B131" s="18"/>
      <c r="C131" s="2" t="s">
        <v>134</v>
      </c>
      <c r="D131" s="2" t="s">
        <v>141</v>
      </c>
      <c r="E131" s="2" t="str">
        <f>VLOOKUP(D131,$H$127:$J$143,2,FALSE)</f>
        <v>BLOCKRATE</v>
      </c>
      <c r="H131" s="2" t="s">
        <v>421</v>
      </c>
      <c r="I131" s="2" t="s">
        <v>523</v>
      </c>
    </row>
    <row r="132" spans="2:9" x14ac:dyDescent="0.15">
      <c r="B132" s="18"/>
      <c r="C132" s="2" t="s">
        <v>135</v>
      </c>
      <c r="D132" s="2" t="s">
        <v>427</v>
      </c>
      <c r="E132" s="2" t="str">
        <f t="shared" ref="E132:E133" si="11">VLOOKUP(D132,$H$127:$J$143,2,FALSE)</f>
        <v>BLOCKSTRG</v>
      </c>
      <c r="H132" s="2" t="s">
        <v>422</v>
      </c>
      <c r="I132" s="2" t="s">
        <v>524</v>
      </c>
    </row>
    <row r="133" spans="2:9" x14ac:dyDescent="0.15">
      <c r="B133" s="18"/>
      <c r="C133" s="2" t="s">
        <v>136</v>
      </c>
      <c r="D133" s="2" t="s">
        <v>141</v>
      </c>
      <c r="E133" s="2" t="str">
        <f t="shared" si="11"/>
        <v>BLOCKRATE</v>
      </c>
      <c r="H133" s="2" t="s">
        <v>423</v>
      </c>
      <c r="I133" s="2" t="s">
        <v>415</v>
      </c>
    </row>
    <row r="134" spans="2:9" x14ac:dyDescent="0.15">
      <c r="B134" s="18"/>
      <c r="H134" s="2" t="s">
        <v>424</v>
      </c>
      <c r="I134" s="2" t="s">
        <v>437</v>
      </c>
    </row>
    <row r="135" spans="2:9" x14ac:dyDescent="0.15">
      <c r="B135" s="18" t="s">
        <v>142</v>
      </c>
      <c r="C135" s="2" t="s">
        <v>143</v>
      </c>
      <c r="H135" s="2" t="s">
        <v>438</v>
      </c>
      <c r="I135" s="2" t="s">
        <v>416</v>
      </c>
    </row>
    <row r="136" spans="2:9" x14ac:dyDescent="0.15">
      <c r="B136" s="18"/>
      <c r="C136" s="2" t="s">
        <v>134</v>
      </c>
      <c r="D136" s="2" t="s">
        <v>144</v>
      </c>
      <c r="E136" s="2" t="str">
        <f>VLOOKUP(D136,$H$127:$J$143,2,FALSE)</f>
        <v>UNCRITRATE</v>
      </c>
      <c r="H136" s="2" t="s">
        <v>425</v>
      </c>
      <c r="I136" s="2" t="s">
        <v>439</v>
      </c>
    </row>
    <row r="137" spans="2:9" x14ac:dyDescent="0.15">
      <c r="B137" s="18"/>
      <c r="C137" s="2" t="s">
        <v>135</v>
      </c>
      <c r="D137" s="2" t="s">
        <v>145</v>
      </c>
      <c r="E137" s="2" t="str">
        <f t="shared" ref="E137:E138" si="12">VLOOKUP(D137,$H$127:$J$143,2,FALSE)</f>
        <v>UNHURTRATE</v>
      </c>
      <c r="H137" s="2" t="s">
        <v>426</v>
      </c>
      <c r="I137" s="2" t="s">
        <v>440</v>
      </c>
    </row>
    <row r="138" spans="2:9" x14ac:dyDescent="0.15">
      <c r="B138" s="18"/>
      <c r="C138" s="2" t="s">
        <v>136</v>
      </c>
      <c r="D138" s="2" t="s">
        <v>144</v>
      </c>
      <c r="E138" s="2" t="str">
        <f t="shared" si="12"/>
        <v>UNCRITRATE</v>
      </c>
      <c r="H138" s="2" t="s">
        <v>427</v>
      </c>
      <c r="I138" s="2" t="s">
        <v>441</v>
      </c>
    </row>
    <row r="139" spans="2:9" x14ac:dyDescent="0.15">
      <c r="B139" s="18"/>
      <c r="H139" s="2" t="s">
        <v>428</v>
      </c>
      <c r="I139" s="2" t="s">
        <v>442</v>
      </c>
    </row>
    <row r="140" spans="2:9" x14ac:dyDescent="0.15">
      <c r="B140" s="18" t="s">
        <v>146</v>
      </c>
      <c r="C140" s="2" t="s">
        <v>147</v>
      </c>
      <c r="H140" s="2" t="s">
        <v>429</v>
      </c>
      <c r="I140" s="2" t="s">
        <v>443</v>
      </c>
    </row>
    <row r="141" spans="2:9" x14ac:dyDescent="0.15">
      <c r="B141" s="18"/>
      <c r="C141" s="2" t="s">
        <v>134</v>
      </c>
      <c r="D141" s="2" t="s">
        <v>426</v>
      </c>
      <c r="E141" s="2" t="str">
        <f>VLOOKUP(D141,$H$127:$J$143,2,FALSE)</f>
        <v>UNBLOCKRATE</v>
      </c>
      <c r="H141" s="2" t="s">
        <v>430</v>
      </c>
      <c r="I141" s="2" t="s">
        <v>444</v>
      </c>
    </row>
    <row r="142" spans="2:9" x14ac:dyDescent="0.15">
      <c r="B142" s="18"/>
      <c r="C142" s="2" t="s">
        <v>135</v>
      </c>
      <c r="D142" s="2" t="s">
        <v>148</v>
      </c>
      <c r="E142" s="2" t="str">
        <f t="shared" ref="E142:E143" si="13">VLOOKUP(D142,$H$127:$J$143,2,FALSE)</f>
        <v>HURTRATE</v>
      </c>
      <c r="H142" s="2" t="s">
        <v>431</v>
      </c>
      <c r="I142" s="2" t="s">
        <v>445</v>
      </c>
    </row>
    <row r="143" spans="2:9" x14ac:dyDescent="0.15">
      <c r="B143" s="18"/>
      <c r="C143" s="2" t="s">
        <v>136</v>
      </c>
      <c r="D143" s="2" t="s">
        <v>426</v>
      </c>
      <c r="E143" s="2" t="str">
        <f t="shared" si="13"/>
        <v>UNBLOCKRATE</v>
      </c>
      <c r="H143" s="2" t="s">
        <v>432</v>
      </c>
      <c r="I143" s="2" t="s">
        <v>433</v>
      </c>
    </row>
    <row r="144" spans="2:9" x14ac:dyDescent="0.15">
      <c r="B144" s="18"/>
    </row>
    <row r="145" spans="2:5" x14ac:dyDescent="0.15">
      <c r="B145" s="18" t="s">
        <v>149</v>
      </c>
      <c r="C145" s="2" t="s">
        <v>150</v>
      </c>
    </row>
    <row r="146" spans="2:5" x14ac:dyDescent="0.15">
      <c r="B146" s="18"/>
      <c r="C146" s="2" t="s">
        <v>134</v>
      </c>
      <c r="D146" s="2" t="s">
        <v>151</v>
      </c>
      <c r="E146" s="2" t="str">
        <f>VLOOKUP(D146,$H$127:$J$143,2,FALSE)</f>
        <v>REFLECTION</v>
      </c>
    </row>
    <row r="147" spans="2:5" x14ac:dyDescent="0.15">
      <c r="B147" s="18"/>
      <c r="C147" s="2" t="s">
        <v>135</v>
      </c>
      <c r="D147" s="2" t="s">
        <v>152</v>
      </c>
      <c r="E147" s="2" t="str">
        <f t="shared" ref="E147:E148" si="14">VLOOKUP(D147,$H$127:$J$143,2,FALSE)</f>
        <v>ABSORPTION</v>
      </c>
    </row>
    <row r="148" spans="2:5" x14ac:dyDescent="0.15">
      <c r="B148" s="18"/>
      <c r="C148" s="2" t="s">
        <v>136</v>
      </c>
      <c r="D148" s="2" t="s">
        <v>151</v>
      </c>
      <c r="E148" s="2" t="str">
        <f t="shared" si="14"/>
        <v>REFLECTION</v>
      </c>
    </row>
    <row r="149" spans="2:5" x14ac:dyDescent="0.15">
      <c r="B149" s="18"/>
    </row>
    <row r="150" spans="2:5" x14ac:dyDescent="0.15">
      <c r="B150" s="18" t="s">
        <v>153</v>
      </c>
      <c r="C150" s="2" t="s">
        <v>154</v>
      </c>
    </row>
    <row r="151" spans="2:5" x14ac:dyDescent="0.15">
      <c r="C151" s="2" t="s">
        <v>134</v>
      </c>
      <c r="D151" s="2" t="s">
        <v>34</v>
      </c>
      <c r="E151" s="2" t="str">
        <f>VLOOKUP(D151,$H$127:$J$143,2,FALSE)</f>
        <v>DEF_RATE</v>
      </c>
    </row>
    <row r="152" spans="2:5" x14ac:dyDescent="0.15">
      <c r="C152" s="2" t="s">
        <v>135</v>
      </c>
      <c r="D152" s="2" t="s">
        <v>35</v>
      </c>
      <c r="E152" s="2" t="str">
        <f t="shared" ref="E152:E153" si="15">VLOOKUP(D152,$H$127:$J$143,2,FALSE)</f>
        <v>HP_RATE</v>
      </c>
    </row>
    <row r="153" spans="2:5" x14ac:dyDescent="0.15">
      <c r="C153" s="2" t="s">
        <v>136</v>
      </c>
      <c r="D153" s="2" t="s">
        <v>33</v>
      </c>
      <c r="E153" s="2" t="str">
        <f t="shared" si="15"/>
        <v>ATK_RATE</v>
      </c>
    </row>
  </sheetData>
  <phoneticPr fontId="1" type="noConversion"/>
  <dataValidations count="1">
    <dataValidation type="list" allowBlank="1" showInputMessage="1" showErrorMessage="1" sqref="B117" xr:uid="{BD834035-F9EE-4318-AD77-4D167A32535C}">
      <formula1>"暴击,暴击伤害,抗暴,格挡,格挡强度,抗格挡,伤害率,免伤率,反伤率,吸血率"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057B-AE77-4629-84E3-8760CAFF03AC}">
  <dimension ref="A1:O46"/>
  <sheetViews>
    <sheetView workbookViewId="0">
      <selection activeCell="E46" sqref="E46"/>
    </sheetView>
  </sheetViews>
  <sheetFormatPr defaultRowHeight="14.25" x14ac:dyDescent="0.2"/>
  <sheetData>
    <row r="1" spans="1:15" x14ac:dyDescent="0.2">
      <c r="A1" t="s">
        <v>155</v>
      </c>
    </row>
    <row r="2" spans="1:15" x14ac:dyDescent="0.2">
      <c r="B2" s="19" t="s">
        <v>156</v>
      </c>
      <c r="C2" s="22" t="s">
        <v>160</v>
      </c>
      <c r="D2" s="19" t="s">
        <v>163</v>
      </c>
      <c r="E2" s="19" t="s">
        <v>168</v>
      </c>
      <c r="F2" s="19" t="s">
        <v>169</v>
      </c>
      <c r="G2" s="19" t="s">
        <v>170</v>
      </c>
      <c r="H2" s="19" t="s">
        <v>171</v>
      </c>
      <c r="I2" s="19" t="s">
        <v>176</v>
      </c>
      <c r="J2" s="19" t="s">
        <v>221</v>
      </c>
      <c r="K2" s="19" t="s">
        <v>175</v>
      </c>
      <c r="L2" s="38" t="s">
        <v>202</v>
      </c>
      <c r="M2" s="38" t="s">
        <v>201</v>
      </c>
      <c r="N2" s="38" t="s">
        <v>181</v>
      </c>
      <c r="O2" s="38" t="s">
        <v>226</v>
      </c>
    </row>
    <row r="3" spans="1:15" x14ac:dyDescent="0.2">
      <c r="B3" s="20" t="s">
        <v>157</v>
      </c>
      <c r="C3" s="20" t="s">
        <v>157</v>
      </c>
      <c r="D3" s="20" t="s">
        <v>162</v>
      </c>
      <c r="E3" s="20" t="s">
        <v>157</v>
      </c>
      <c r="F3" s="20" t="s">
        <v>157</v>
      </c>
      <c r="G3" s="20" t="s">
        <v>157</v>
      </c>
      <c r="H3" s="20" t="s">
        <v>157</v>
      </c>
      <c r="I3" s="20" t="s">
        <v>157</v>
      </c>
      <c r="J3" s="20" t="s">
        <v>157</v>
      </c>
      <c r="K3" s="20" t="s">
        <v>157</v>
      </c>
      <c r="L3" s="20" t="s">
        <v>157</v>
      </c>
      <c r="M3" s="20" t="s">
        <v>157</v>
      </c>
      <c r="N3" s="20" t="s">
        <v>157</v>
      </c>
      <c r="O3" s="20" t="s">
        <v>157</v>
      </c>
    </row>
    <row r="4" spans="1:15" x14ac:dyDescent="0.2">
      <c r="B4" s="21" t="s">
        <v>158</v>
      </c>
      <c r="C4" s="21" t="s">
        <v>158</v>
      </c>
      <c r="D4" s="21" t="s">
        <v>162</v>
      </c>
      <c r="E4" s="21" t="s">
        <v>165</v>
      </c>
      <c r="F4" s="21" t="s">
        <v>165</v>
      </c>
      <c r="G4" s="21" t="s">
        <v>158</v>
      </c>
      <c r="H4" s="21" t="s">
        <v>158</v>
      </c>
      <c r="I4" s="21" t="s">
        <v>158</v>
      </c>
      <c r="J4" s="21" t="s">
        <v>158</v>
      </c>
      <c r="K4" s="21" t="s">
        <v>165</v>
      </c>
      <c r="L4" s="21" t="s">
        <v>198</v>
      </c>
      <c r="M4" s="21" t="s">
        <v>198</v>
      </c>
      <c r="N4" s="21" t="s">
        <v>198</v>
      </c>
      <c r="O4" s="21" t="s">
        <v>165</v>
      </c>
    </row>
    <row r="5" spans="1:15" x14ac:dyDescent="0.2">
      <c r="B5" s="20" t="s">
        <v>159</v>
      </c>
      <c r="C5" s="20" t="s">
        <v>161</v>
      </c>
      <c r="D5" s="20" t="s">
        <v>164</v>
      </c>
      <c r="E5" s="20" t="s">
        <v>166</v>
      </c>
      <c r="F5" s="20" t="s">
        <v>167</v>
      </c>
      <c r="G5" s="20" t="s">
        <v>179</v>
      </c>
      <c r="H5" s="20" t="s">
        <v>173</v>
      </c>
      <c r="I5" s="20" t="s">
        <v>177</v>
      </c>
      <c r="J5" s="20" t="s">
        <v>222</v>
      </c>
      <c r="K5" s="20" t="s">
        <v>178</v>
      </c>
      <c r="L5" s="20" t="s">
        <v>180</v>
      </c>
      <c r="M5" s="20" t="s">
        <v>203</v>
      </c>
      <c r="N5" s="20" t="s">
        <v>182</v>
      </c>
      <c r="O5" s="20" t="s">
        <v>227</v>
      </c>
    </row>
    <row r="6" spans="1:15" x14ac:dyDescent="0.2">
      <c r="B6" t="s">
        <v>213</v>
      </c>
      <c r="C6" t="s">
        <v>213</v>
      </c>
      <c r="D6" t="s">
        <v>214</v>
      </c>
      <c r="E6">
        <v>3</v>
      </c>
      <c r="F6">
        <v>1</v>
      </c>
      <c r="G6" s="36" t="s">
        <v>215</v>
      </c>
      <c r="H6" t="s">
        <v>215</v>
      </c>
      <c r="I6" t="s">
        <v>216</v>
      </c>
      <c r="J6" t="s">
        <v>223</v>
      </c>
      <c r="K6">
        <v>3</v>
      </c>
      <c r="L6" t="s">
        <v>218</v>
      </c>
      <c r="M6" t="s">
        <v>218</v>
      </c>
      <c r="N6" t="s">
        <v>217</v>
      </c>
      <c r="O6">
        <v>1</v>
      </c>
    </row>
    <row r="7" spans="1:15" x14ac:dyDescent="0.2">
      <c r="B7" t="s">
        <v>224</v>
      </c>
      <c r="C7" t="s">
        <v>224</v>
      </c>
      <c r="D7" t="s">
        <v>225</v>
      </c>
      <c r="E7">
        <v>4</v>
      </c>
      <c r="F7">
        <v>1</v>
      </c>
      <c r="G7" t="s">
        <v>215</v>
      </c>
      <c r="H7" t="s">
        <v>215</v>
      </c>
      <c r="I7" t="s">
        <v>216</v>
      </c>
      <c r="J7" t="s">
        <v>223</v>
      </c>
      <c r="K7">
        <v>3</v>
      </c>
      <c r="L7" t="s">
        <v>218</v>
      </c>
      <c r="M7" t="s">
        <v>218</v>
      </c>
      <c r="N7" t="s">
        <v>217</v>
      </c>
      <c r="O7">
        <v>2</v>
      </c>
    </row>
    <row r="8" spans="1:15" x14ac:dyDescent="0.2">
      <c r="G8" s="37" t="s">
        <v>466</v>
      </c>
    </row>
    <row r="11" spans="1:15" x14ac:dyDescent="0.2">
      <c r="A11" t="s">
        <v>184</v>
      </c>
    </row>
    <row r="12" spans="1:15" x14ac:dyDescent="0.2">
      <c r="B12" s="19" t="s">
        <v>156</v>
      </c>
      <c r="C12" s="19" t="s">
        <v>169</v>
      </c>
      <c r="D12" s="38" t="s">
        <v>172</v>
      </c>
      <c r="F12" s="37" t="s">
        <v>467</v>
      </c>
    </row>
    <row r="13" spans="1:15" x14ac:dyDescent="0.2">
      <c r="B13" s="20" t="s">
        <v>157</v>
      </c>
      <c r="C13" s="20" t="s">
        <v>157</v>
      </c>
      <c r="D13" s="20" t="s">
        <v>157</v>
      </c>
    </row>
    <row r="14" spans="1:15" x14ac:dyDescent="0.2">
      <c r="B14" s="21" t="s">
        <v>158</v>
      </c>
      <c r="C14" s="21" t="s">
        <v>165</v>
      </c>
      <c r="D14" s="21" t="s">
        <v>165</v>
      </c>
    </row>
    <row r="15" spans="1:15" x14ac:dyDescent="0.2">
      <c r="B15" s="20" t="s">
        <v>159</v>
      </c>
      <c r="C15" s="20" t="s">
        <v>167</v>
      </c>
      <c r="D15" s="20" t="s">
        <v>174</v>
      </c>
    </row>
    <row r="16" spans="1:15" x14ac:dyDescent="0.2">
      <c r="B16">
        <v>1</v>
      </c>
      <c r="C16">
        <v>1</v>
      </c>
      <c r="D16">
        <v>2</v>
      </c>
    </row>
    <row r="17" spans="1:8" x14ac:dyDescent="0.2">
      <c r="B17">
        <v>2</v>
      </c>
      <c r="C17">
        <v>2</v>
      </c>
      <c r="D17">
        <v>3</v>
      </c>
    </row>
    <row r="18" spans="1:8" x14ac:dyDescent="0.2">
      <c r="B18">
        <v>3</v>
      </c>
      <c r="C18">
        <v>3</v>
      </c>
      <c r="D18">
        <v>4</v>
      </c>
    </row>
    <row r="21" spans="1:8" x14ac:dyDescent="0.2">
      <c r="A21" t="s">
        <v>183</v>
      </c>
    </row>
    <row r="22" spans="1:8" x14ac:dyDescent="0.2">
      <c r="B22" s="19" t="s">
        <v>156</v>
      </c>
      <c r="C22" s="41" t="s">
        <v>169</v>
      </c>
      <c r="D22" s="19" t="s">
        <v>168</v>
      </c>
      <c r="E22" s="19" t="s">
        <v>75</v>
      </c>
      <c r="F22" s="19" t="s">
        <v>76</v>
      </c>
      <c r="H22" s="40"/>
    </row>
    <row r="23" spans="1:8" x14ac:dyDescent="0.2">
      <c r="B23" s="20" t="s">
        <v>157</v>
      </c>
      <c r="C23" s="20" t="s">
        <v>157</v>
      </c>
      <c r="D23" s="20" t="s">
        <v>157</v>
      </c>
      <c r="E23" s="20" t="s">
        <v>157</v>
      </c>
      <c r="F23" s="20" t="s">
        <v>157</v>
      </c>
    </row>
    <row r="24" spans="1:8" x14ac:dyDescent="0.2">
      <c r="B24" s="21" t="s">
        <v>158</v>
      </c>
      <c r="C24" s="21" t="s">
        <v>165</v>
      </c>
      <c r="D24" s="21" t="s">
        <v>165</v>
      </c>
      <c r="E24" s="21" t="s">
        <v>165</v>
      </c>
      <c r="F24" s="21" t="s">
        <v>165</v>
      </c>
    </row>
    <row r="25" spans="1:8" x14ac:dyDescent="0.2">
      <c r="B25" s="20" t="s">
        <v>159</v>
      </c>
      <c r="C25" s="20" t="s">
        <v>167</v>
      </c>
      <c r="D25" s="20" t="s">
        <v>166</v>
      </c>
      <c r="E25" s="20" t="s">
        <v>185</v>
      </c>
      <c r="F25" s="20" t="s">
        <v>186</v>
      </c>
    </row>
    <row r="26" spans="1:8" x14ac:dyDescent="0.2">
      <c r="B26">
        <v>1</v>
      </c>
      <c r="C26">
        <v>1</v>
      </c>
      <c r="D26">
        <v>4</v>
      </c>
      <c r="E26">
        <v>1</v>
      </c>
      <c r="F26">
        <v>100</v>
      </c>
    </row>
    <row r="27" spans="1:8" x14ac:dyDescent="0.2">
      <c r="B27">
        <v>2</v>
      </c>
      <c r="C27">
        <v>1</v>
      </c>
      <c r="D27">
        <v>4</v>
      </c>
      <c r="E27">
        <v>2</v>
      </c>
      <c r="F27">
        <v>200</v>
      </c>
    </row>
    <row r="28" spans="1:8" x14ac:dyDescent="0.2">
      <c r="B28">
        <v>3</v>
      </c>
      <c r="C28">
        <v>1</v>
      </c>
      <c r="D28">
        <v>4</v>
      </c>
      <c r="E28">
        <v>3</v>
      </c>
      <c r="F28">
        <v>300</v>
      </c>
    </row>
    <row r="31" spans="1:8" x14ac:dyDescent="0.2">
      <c r="A31" t="s">
        <v>187</v>
      </c>
    </row>
    <row r="32" spans="1:8" x14ac:dyDescent="0.2">
      <c r="B32" s="19" t="s">
        <v>156</v>
      </c>
      <c r="C32" s="19" t="s">
        <v>188</v>
      </c>
      <c r="D32" s="19" t="s">
        <v>189</v>
      </c>
      <c r="E32" s="19" t="s">
        <v>190</v>
      </c>
    </row>
    <row r="33" spans="1:6" x14ac:dyDescent="0.2">
      <c r="B33" s="23" t="s">
        <v>157</v>
      </c>
      <c r="C33" s="23" t="s">
        <v>157</v>
      </c>
      <c r="D33" s="23" t="s">
        <v>157</v>
      </c>
      <c r="E33" s="23" t="s">
        <v>162</v>
      </c>
    </row>
    <row r="34" spans="1:6" x14ac:dyDescent="0.2">
      <c r="B34" s="24" t="s">
        <v>158</v>
      </c>
      <c r="C34" s="24" t="s">
        <v>191</v>
      </c>
      <c r="D34" s="24" t="s">
        <v>158</v>
      </c>
      <c r="E34" s="24" t="s">
        <v>162</v>
      </c>
    </row>
    <row r="35" spans="1:6" x14ac:dyDescent="0.2">
      <c r="B35" s="23" t="s">
        <v>159</v>
      </c>
      <c r="C35" s="23" t="s">
        <v>192</v>
      </c>
      <c r="D35" s="23" t="s">
        <v>193</v>
      </c>
      <c r="E35" s="23" t="s">
        <v>194</v>
      </c>
    </row>
    <row r="36" spans="1:6" x14ac:dyDescent="0.2">
      <c r="B36" s="24" t="s">
        <v>195</v>
      </c>
      <c r="C36" s="24"/>
      <c r="D36" s="24"/>
      <c r="E36" s="24"/>
    </row>
    <row r="37" spans="1:6" x14ac:dyDescent="0.2">
      <c r="B37" t="s">
        <v>197</v>
      </c>
      <c r="C37" t="s">
        <v>200</v>
      </c>
      <c r="D37" t="s">
        <v>196</v>
      </c>
      <c r="E37" t="s">
        <v>199</v>
      </c>
    </row>
    <row r="40" spans="1:6" x14ac:dyDescent="0.2">
      <c r="A40" t="s">
        <v>204</v>
      </c>
    </row>
    <row r="41" spans="1:6" x14ac:dyDescent="0.2">
      <c r="B41" s="19" t="s">
        <v>156</v>
      </c>
      <c r="C41" s="22" t="s">
        <v>160</v>
      </c>
      <c r="D41" s="19" t="s">
        <v>163</v>
      </c>
      <c r="E41" s="19" t="s">
        <v>207</v>
      </c>
      <c r="F41" s="19" t="s">
        <v>209</v>
      </c>
    </row>
    <row r="42" spans="1:6" x14ac:dyDescent="0.2">
      <c r="B42" s="23" t="s">
        <v>157</v>
      </c>
      <c r="C42" s="20" t="s">
        <v>157</v>
      </c>
      <c r="D42" s="20" t="s">
        <v>162</v>
      </c>
      <c r="E42" s="20" t="s">
        <v>157</v>
      </c>
      <c r="F42" s="20" t="s">
        <v>157</v>
      </c>
    </row>
    <row r="43" spans="1:6" x14ac:dyDescent="0.2">
      <c r="B43" s="24" t="s">
        <v>158</v>
      </c>
      <c r="C43" s="21" t="s">
        <v>158</v>
      </c>
      <c r="D43" s="21" t="s">
        <v>162</v>
      </c>
      <c r="E43" s="21" t="s">
        <v>198</v>
      </c>
      <c r="F43" s="21" t="s">
        <v>198</v>
      </c>
    </row>
    <row r="44" spans="1:6" x14ac:dyDescent="0.2">
      <c r="B44" s="23" t="s">
        <v>159</v>
      </c>
      <c r="C44" s="20" t="s">
        <v>161</v>
      </c>
      <c r="D44" s="20" t="s">
        <v>164</v>
      </c>
      <c r="E44" s="20" t="s">
        <v>210</v>
      </c>
      <c r="F44" s="20" t="s">
        <v>211</v>
      </c>
    </row>
    <row r="45" spans="1:6" x14ac:dyDescent="0.2">
      <c r="B45" s="24" t="s">
        <v>195</v>
      </c>
      <c r="C45" s="24"/>
      <c r="D45" s="24"/>
      <c r="E45" s="24"/>
      <c r="F45" s="24"/>
    </row>
    <row r="46" spans="1:6" x14ac:dyDescent="0.2">
      <c r="B46">
        <v>1</v>
      </c>
      <c r="C46" t="s">
        <v>205</v>
      </c>
      <c r="D46" t="s">
        <v>206</v>
      </c>
      <c r="E46" t="s">
        <v>208</v>
      </c>
      <c r="F46" t="s">
        <v>212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3E90-84BE-4143-BEC1-A8B0544C443C}">
  <dimension ref="A1:R194"/>
  <sheetViews>
    <sheetView tabSelected="1" topLeftCell="E24" workbookViewId="0">
      <selection activeCell="M6" sqref="M6:M77"/>
    </sheetView>
  </sheetViews>
  <sheetFormatPr defaultRowHeight="13.5" x14ac:dyDescent="0.15"/>
  <cols>
    <col min="1" max="1" width="9" style="2"/>
    <col min="2" max="2" width="15" style="2" bestFit="1" customWidth="1"/>
    <col min="3" max="3" width="14" style="2" customWidth="1"/>
    <col min="4" max="4" width="25.875" style="2" customWidth="1"/>
    <col min="5" max="5" width="28.25" style="2" bestFit="1" customWidth="1"/>
    <col min="6" max="6" width="9" style="2"/>
    <col min="7" max="8" width="11.375" style="2" customWidth="1"/>
    <col min="9" max="9" width="18.25" style="2" customWidth="1"/>
    <col min="10" max="10" width="12.75" style="2" customWidth="1"/>
    <col min="11" max="11" width="15" style="2" bestFit="1" customWidth="1"/>
    <col min="12" max="12" width="57.125" style="2" bestFit="1" customWidth="1"/>
    <col min="13" max="13" width="37.125" style="2" bestFit="1" customWidth="1"/>
    <col min="14" max="15" width="9" style="2"/>
    <col min="16" max="16" width="9.125" style="2" customWidth="1"/>
    <col min="17" max="16384" width="9" style="2"/>
  </cols>
  <sheetData>
    <row r="1" spans="1:18" x14ac:dyDescent="0.15">
      <c r="A1" s="2" t="s">
        <v>155</v>
      </c>
    </row>
    <row r="2" spans="1:18" x14ac:dyDescent="0.15">
      <c r="B2" s="19" t="s">
        <v>156</v>
      </c>
      <c r="C2" s="22" t="s">
        <v>160</v>
      </c>
      <c r="D2" s="19" t="s">
        <v>163</v>
      </c>
      <c r="E2" s="19" t="s">
        <v>168</v>
      </c>
      <c r="F2" s="19" t="s">
        <v>169</v>
      </c>
      <c r="G2" s="19" t="s">
        <v>456</v>
      </c>
      <c r="H2" s="19" t="s">
        <v>457</v>
      </c>
      <c r="I2" s="19" t="s">
        <v>256</v>
      </c>
      <c r="J2" s="19" t="s">
        <v>257</v>
      </c>
      <c r="K2" s="19" t="s">
        <v>259</v>
      </c>
      <c r="L2" s="19" t="s">
        <v>176</v>
      </c>
      <c r="M2" s="19" t="s">
        <v>221</v>
      </c>
      <c r="N2" s="19" t="s">
        <v>454</v>
      </c>
      <c r="O2" s="19" t="s">
        <v>202</v>
      </c>
      <c r="P2" s="19" t="s">
        <v>201</v>
      </c>
      <c r="Q2" s="19" t="s">
        <v>355</v>
      </c>
      <c r="R2" s="19" t="s">
        <v>181</v>
      </c>
    </row>
    <row r="3" spans="1:18" x14ac:dyDescent="0.15">
      <c r="B3" s="20" t="s">
        <v>157</v>
      </c>
      <c r="C3" s="20" t="s">
        <v>157</v>
      </c>
      <c r="D3" s="20" t="s">
        <v>162</v>
      </c>
      <c r="E3" s="20" t="s">
        <v>157</v>
      </c>
      <c r="F3" s="20" t="s">
        <v>157</v>
      </c>
      <c r="G3" s="20" t="s">
        <v>455</v>
      </c>
      <c r="H3" s="20" t="s">
        <v>455</v>
      </c>
      <c r="I3" s="20" t="s">
        <v>157</v>
      </c>
      <c r="J3" s="20" t="s">
        <v>157</v>
      </c>
      <c r="K3" s="20" t="s">
        <v>157</v>
      </c>
      <c r="L3" s="20" t="s">
        <v>157</v>
      </c>
      <c r="M3" s="20" t="s">
        <v>157</v>
      </c>
      <c r="N3" s="20" t="s">
        <v>157</v>
      </c>
      <c r="O3" s="20" t="s">
        <v>157</v>
      </c>
      <c r="P3" s="20" t="s">
        <v>157</v>
      </c>
      <c r="Q3" s="20"/>
      <c r="R3" s="20" t="s">
        <v>157</v>
      </c>
    </row>
    <row r="4" spans="1:18" x14ac:dyDescent="0.15">
      <c r="B4" s="21" t="s">
        <v>158</v>
      </c>
      <c r="C4" s="21" t="s">
        <v>158</v>
      </c>
      <c r="D4" s="21" t="s">
        <v>162</v>
      </c>
      <c r="E4" s="21" t="s">
        <v>165</v>
      </c>
      <c r="F4" s="21" t="s">
        <v>165</v>
      </c>
      <c r="G4" s="21" t="s">
        <v>165</v>
      </c>
      <c r="H4" s="21" t="s">
        <v>458</v>
      </c>
      <c r="I4" s="21" t="s">
        <v>158</v>
      </c>
      <c r="J4" s="21" t="s">
        <v>258</v>
      </c>
      <c r="K4" s="21" t="s">
        <v>165</v>
      </c>
      <c r="L4" s="21" t="s">
        <v>260</v>
      </c>
      <c r="M4" s="21" t="s">
        <v>260</v>
      </c>
      <c r="N4" s="21" t="s">
        <v>165</v>
      </c>
      <c r="O4" s="21" t="s">
        <v>260</v>
      </c>
      <c r="P4" s="21" t="s">
        <v>260</v>
      </c>
      <c r="Q4" s="21" t="s">
        <v>260</v>
      </c>
      <c r="R4" s="21" t="s">
        <v>196</v>
      </c>
    </row>
    <row r="5" spans="1:18" x14ac:dyDescent="0.15">
      <c r="B5" s="20" t="s">
        <v>159</v>
      </c>
      <c r="C5" s="20" t="s">
        <v>161</v>
      </c>
      <c r="D5" s="20" t="s">
        <v>164</v>
      </c>
      <c r="E5" s="20" t="s">
        <v>166</v>
      </c>
      <c r="F5" s="20" t="s">
        <v>167</v>
      </c>
      <c r="G5" s="20" t="s">
        <v>459</v>
      </c>
      <c r="H5" s="20" t="s">
        <v>460</v>
      </c>
      <c r="I5" s="20" t="s">
        <v>179</v>
      </c>
      <c r="J5" s="20"/>
      <c r="K5" s="20" t="s">
        <v>173</v>
      </c>
      <c r="L5" s="20" t="s">
        <v>177</v>
      </c>
      <c r="M5" s="20" t="s">
        <v>222</v>
      </c>
      <c r="N5" s="20" t="s">
        <v>178</v>
      </c>
      <c r="O5" s="20" t="s">
        <v>180</v>
      </c>
      <c r="P5" s="20" t="s">
        <v>203</v>
      </c>
      <c r="Q5" s="20"/>
      <c r="R5" s="20" t="s">
        <v>182</v>
      </c>
    </row>
    <row r="6" spans="1:18" x14ac:dyDescent="0.15">
      <c r="B6" s="2" t="s">
        <v>373</v>
      </c>
      <c r="C6" s="2" t="str">
        <f>B6</f>
        <v>Gem1001</v>
      </c>
      <c r="D6" s="2" t="s">
        <v>228</v>
      </c>
      <c r="E6" s="2">
        <v>2</v>
      </c>
      <c r="F6" s="2">
        <v>1</v>
      </c>
      <c r="G6" s="2" t="str">
        <f>B183</f>
        <v>SuitCri_1</v>
      </c>
      <c r="I6" s="2" t="str">
        <f>VLOOKUP(F6,数值设计!$A$21:$I$23,9,FALSE)</f>
        <v>DEF</v>
      </c>
      <c r="J6" s="2">
        <f>INT(VLOOKUP(F6,数值设计!$B$97:$H$113,4,FALSE)*VLOOKUP(E6,数值设计!$J$118:$L$121,3,FALSE))</f>
        <v>472</v>
      </c>
      <c r="K6" s="2">
        <f>INT(VLOOKUP(F6,数值设计!$B$97:$H$113,5,FALSE)*数值设计!$L$118*VLOOKUP(E6,数值设计!$J$118:$L$121,3,FALSE))</f>
        <v>23</v>
      </c>
      <c r="L6" s="2" t="str">
        <f>IF(F6=1,"[CRITRATE,BLOCKRATE,UNCRITRATE,SPEED,HPRATE]",IF(F6=2,"[CRITSTRG,BLOCKSTRG,UNBLOCKRATE,DEFRATE]","[HURTRATE,UNHURTRATE,REFLECTION,ABSORPTION,ATKRATE]"))</f>
        <v>[CRITRATE,BLOCKRATE,UNCRITRATE,SPEED,HPRATE]</v>
      </c>
      <c r="M6" s="2" t="str">
        <f>IF(F6=1,"["&amp;数值设计!$F$100*VLOOKUP(E6,数值设计!$J$118:$L$121,3,FALSE)&amp;","&amp;数值设计!$F$103*VLOOKUP(E6,数值设计!$J$118:$L$121,3,FALSE)&amp;","&amp;数值设计!$F$102*VLOOKUP(E6,数值设计!$J$118:$L$121,3,FALSE)&amp;","&amp;数值设计!$F$110*VLOOKUP(E6,数值设计!$J$118:$L$121,3,FALSE)&amp;","&amp;数值设计!$F$113*VLOOKUP(E6,数值设计!$J$118:$L$121,3,FALSE)&amp;"]",IF(F6=2,"["&amp;数值设计!$F$101*VLOOKUP(E6,数值设计!$J$118:$L$121,3,FALSE)&amp;","&amp;数值设计!$F$104*VLOOKUP(E6,数值设计!$J$118:$L$121,3,FALSE)&amp;","&amp;数值设计!$F$105*VLOOKUP(E6,数值设计!$J$118:$L$121,3,FALSE)&amp;","&amp;数值设计!$F$112*VLOOKUP(E6,数值设计!$J$118:$L$121,3,FALSE)&amp;"]","["&amp;数值设计!$F$106*VLOOKUP(E6,数值设计!$J$118:$L$121,3,FALSE)&amp;","&amp;数值设计!$F$107*VLOOKUP(E6,数值设计!$J$118:$L$121,3,FALSE)&amp;","&amp;数值设计!$F$108*VLOOKUP(E6,数值设计!$J$118:$L$121,3,FALSE)&amp;","&amp;数值设计!$F$109*VLOOKUP(E6,数值设计!$J$118:$L$121,3,FALSE)&amp;","&amp;数值设计!$F$111*VLOOKUP(E6,数值设计!$J$118:$L$121,3,FALSE)&amp;"]"))</f>
        <v>[0.0075,0.006,0.006,45,0.015]</v>
      </c>
      <c r="N6" s="2">
        <v>3</v>
      </c>
      <c r="O6" s="2" t="s">
        <v>354</v>
      </c>
      <c r="P6" s="2" t="s">
        <v>354</v>
      </c>
      <c r="Q6" s="2" t="s">
        <v>356</v>
      </c>
      <c r="R6" s="2" t="s">
        <v>357</v>
      </c>
    </row>
    <row r="7" spans="1:18" x14ac:dyDescent="0.15">
      <c r="B7" s="2" t="s">
        <v>374</v>
      </c>
      <c r="C7" s="2" t="str">
        <f t="shared" ref="C7:C77" si="0">B7</f>
        <v>Gem1002</v>
      </c>
      <c r="D7" s="2" t="s">
        <v>229</v>
      </c>
      <c r="E7" s="2">
        <v>2</v>
      </c>
      <c r="F7" s="2">
        <v>2</v>
      </c>
      <c r="G7" s="2" t="str">
        <f>G6</f>
        <v>SuitCri_1</v>
      </c>
      <c r="I7" s="2" t="str">
        <f>VLOOKUP(F7,数值设计!$A$21:$I$23,9,FALSE)</f>
        <v>HP</v>
      </c>
      <c r="J7" s="2">
        <f>INT(VLOOKUP(F7,数值设计!$B$97:$H$113,4,FALSE)*VLOOKUP(E7,数值设计!$J$118:$L$121,3,FALSE))</f>
        <v>5793</v>
      </c>
      <c r="K7" s="2">
        <f>INT(VLOOKUP(F7,数值设计!$B$97:$H$113,5,FALSE)*数值设计!$L$118*VLOOKUP(E7,数值设计!$J$118:$L$121,3,FALSE))</f>
        <v>289</v>
      </c>
      <c r="L7" s="2" t="str">
        <f t="shared" ref="L7:L77" si="1">IF(F7=1,"[CRITRATE,BLOCKRATE,UNCRITRATE,SPEED,HPRATE]",IF(F7=2,"[CRITSTRG,BLOCKSTRG,UNBLOCKRATE,DEFRATE]","[HURTRATE,UNHURTRATE,REFLECTION,ABSORPTION,ATKRATE]"))</f>
        <v>[CRITSTRG,BLOCKSTRG,UNBLOCKRATE,DEFRATE]</v>
      </c>
      <c r="M7" s="2" t="str">
        <f>IF(F7=1,"["&amp;数值设计!$F$100*VLOOKUP(E7,数值设计!$J$118:$L$121,3,FALSE)&amp;","&amp;数值设计!$F$103*VLOOKUP(E7,数值设计!$J$118:$L$121,3,FALSE)&amp;","&amp;数值设计!$F$102*VLOOKUP(E7,数值设计!$J$118:$L$121,3,FALSE)&amp;","&amp;数值设计!$F$110*VLOOKUP(E7,数值设计!$J$118:$L$121,3,FALSE)&amp;","&amp;数值设计!$F$113*VLOOKUP(E7,数值设计!$J$118:$L$121,3,FALSE)&amp;"]",IF(F7=2,"["&amp;数值设计!$F$101*VLOOKUP(E7,数值设计!$J$118:$L$121,3,FALSE)&amp;","&amp;数值设计!$F$104*VLOOKUP(E7,数值设计!$J$118:$L$121,3,FALSE)&amp;","&amp;数值设计!$F$105*VLOOKUP(E7,数值设计!$J$118:$L$121,3,FALSE)&amp;","&amp;数值设计!$F$112*VLOOKUP(E7,数值设计!$J$118:$L$121,3,FALSE)&amp;"]","["&amp;数值设计!$F$106*VLOOKUP(E7,数值设计!$J$118:$L$121,3,FALSE)&amp;","&amp;数值设计!$F$107*VLOOKUP(E7,数值设计!$J$118:$L$121,3,FALSE)&amp;","&amp;数值设计!$F$108*VLOOKUP(E7,数值设计!$J$118:$L$121,3,FALSE)&amp;","&amp;数值设计!$F$109*VLOOKUP(E7,数值设计!$J$118:$L$121,3,FALSE)&amp;","&amp;数值设计!$F$111*VLOOKUP(E7,数值设计!$J$118:$L$121,3,FALSE)&amp;"]"))</f>
        <v>[0.0075,0.006,0.006,0.015]</v>
      </c>
      <c r="N7" s="2">
        <v>3</v>
      </c>
      <c r="O7" s="2" t="str">
        <f t="shared" ref="O7:R7" si="2">O6</f>
        <v>[1,1,1,1,1]</v>
      </c>
      <c r="P7" s="2" t="str">
        <f t="shared" si="2"/>
        <v>[1,1,1,1,1]</v>
      </c>
      <c r="Q7" s="2" t="s">
        <v>356</v>
      </c>
      <c r="R7" s="2" t="str">
        <f t="shared" si="2"/>
        <v>[20,20,20,20]</v>
      </c>
    </row>
    <row r="8" spans="1:18" x14ac:dyDescent="0.15">
      <c r="B8" s="2" t="s">
        <v>375</v>
      </c>
      <c r="C8" s="2" t="str">
        <f t="shared" si="0"/>
        <v>Gem1003</v>
      </c>
      <c r="D8" s="2" t="s">
        <v>230</v>
      </c>
      <c r="E8" s="2">
        <v>2</v>
      </c>
      <c r="F8" s="2">
        <v>3</v>
      </c>
      <c r="G8" s="2" t="str">
        <f>G6</f>
        <v>SuitCri_1</v>
      </c>
      <c r="I8" s="2" t="str">
        <f>VLOOKUP(F8,数值设计!$A$21:$I$23,9,FALSE)</f>
        <v>ATK</v>
      </c>
      <c r="J8" s="2">
        <f>INT(VLOOKUP(F8,数值设计!$B$97:$H$113,4,FALSE)*VLOOKUP(E8,数值设计!$J$118:$L$121,3,FALSE))</f>
        <v>945</v>
      </c>
      <c r="K8" s="2">
        <f>INT(VLOOKUP(F8,数值设计!$B$97:$H$113,5,FALSE)*数值设计!$L$118*VLOOKUP(E8,数值设计!$J$118:$L$121,3,FALSE))</f>
        <v>47</v>
      </c>
      <c r="L8" s="2" t="str">
        <f t="shared" si="1"/>
        <v>[HURTRATE,UNHURTRATE,REFLECTION,ABSORPTION,ATKRATE]</v>
      </c>
      <c r="M8" s="2" t="str">
        <f>IF(F8=1,"["&amp;数值设计!$F$100*VLOOKUP(E8,数值设计!$J$118:$L$121,3,FALSE)&amp;","&amp;数值设计!$F$103*VLOOKUP(E8,数值设计!$J$118:$L$121,3,FALSE)&amp;","&amp;数值设计!$F$102*VLOOKUP(E8,数值设计!$J$118:$L$121,3,FALSE)&amp;","&amp;数值设计!$F$110*VLOOKUP(E8,数值设计!$J$118:$L$121,3,FALSE)&amp;","&amp;数值设计!$F$113*VLOOKUP(E8,数值设计!$J$118:$L$121,3,FALSE)&amp;"]",IF(F8=2,"["&amp;数值设计!$F$101*VLOOKUP(E8,数值设计!$J$118:$L$121,3,FALSE)&amp;","&amp;数值设计!$F$104*VLOOKUP(E8,数值设计!$J$118:$L$121,3,FALSE)&amp;","&amp;数值设计!$F$105*VLOOKUP(E8,数值设计!$J$118:$L$121,3,FALSE)&amp;","&amp;数值设计!$F$112*VLOOKUP(E8,数值设计!$J$118:$L$121,3,FALSE)&amp;"]","["&amp;数值设计!$F$106*VLOOKUP(E8,数值设计!$J$118:$L$121,3,FALSE)&amp;","&amp;数值设计!$F$107*VLOOKUP(E8,数值设计!$J$118:$L$121,3,FALSE)&amp;","&amp;数值设计!$F$108*VLOOKUP(E8,数值设计!$J$118:$L$121,3,FALSE)&amp;","&amp;数值设计!$F$109*VLOOKUP(E8,数值设计!$J$118:$L$121,3,FALSE)&amp;","&amp;数值设计!$F$111*VLOOKUP(E8,数值设计!$J$118:$L$121,3,FALSE)&amp;"]"))</f>
        <v>[0.006,0.006,0.006,0.006,0.015]</v>
      </c>
      <c r="N8" s="2">
        <v>3</v>
      </c>
      <c r="O8" s="2" t="str">
        <f>O7</f>
        <v>[1,1,1,1,1]</v>
      </c>
      <c r="P8" s="2" t="str">
        <f>P7</f>
        <v>[1,1,1,1,1]</v>
      </c>
      <c r="Q8" s="2" t="s">
        <v>356</v>
      </c>
      <c r="R8" s="2" t="str">
        <f>R7</f>
        <v>[20,20,20,20]</v>
      </c>
    </row>
    <row r="9" spans="1:18" x14ac:dyDescent="0.15">
      <c r="B9" s="2" t="s">
        <v>473</v>
      </c>
      <c r="C9" s="2" t="str">
        <f t="shared" ref="C9:C19" si="3">B9</f>
        <v>Gem1011</v>
      </c>
      <c r="D9" s="2" t="s">
        <v>228</v>
      </c>
      <c r="E9" s="2">
        <v>2</v>
      </c>
      <c r="F9" s="2">
        <v>1</v>
      </c>
      <c r="G9" s="2" t="str">
        <f>B184</f>
        <v>SuitBlock_1</v>
      </c>
      <c r="I9" s="2" t="str">
        <f>VLOOKUP(F9,数值设计!$A$21:$I$23,9,FALSE)</f>
        <v>DEF</v>
      </c>
      <c r="J9" s="2">
        <f>INT(VLOOKUP(F9,数值设计!$B$97:$H$113,4,FALSE)*VLOOKUP(E9,数值设计!$J$118:$L$121,3,FALSE))</f>
        <v>472</v>
      </c>
      <c r="K9" s="2">
        <f>INT(VLOOKUP(F9,数值设计!$B$97:$H$113,5,FALSE)*数值设计!$L$118*VLOOKUP(E9,数值设计!$J$118:$L$121,3,FALSE))</f>
        <v>23</v>
      </c>
      <c r="L9" s="2" t="str">
        <f t="shared" ref="L9:L19" si="4">IF(F9=1,"[CRITRATE,BLOCKRATE,UNCRITRATE,SPEED,HPRATE]",IF(F9=2,"[CRITSTRG,BLOCKSTRG,UNBLOCKRATE,DEFRATE]","[HURTRATE,UNHURTRATE,REFLECTION,ABSORPTION,ATKRATE]"))</f>
        <v>[CRITRATE,BLOCKRATE,UNCRITRATE,SPEED,HPRATE]</v>
      </c>
      <c r="M9" s="2" t="str">
        <f>IF(F9=1,"["&amp;数值设计!$F$100*VLOOKUP(E9,数值设计!$J$118:$L$121,3,FALSE)&amp;","&amp;数值设计!$F$103*VLOOKUP(E9,数值设计!$J$118:$L$121,3,FALSE)&amp;","&amp;数值设计!$F$102*VLOOKUP(E9,数值设计!$J$118:$L$121,3,FALSE)&amp;","&amp;数值设计!$F$110*VLOOKUP(E9,数值设计!$J$118:$L$121,3,FALSE)&amp;","&amp;数值设计!$F$113*VLOOKUP(E9,数值设计!$J$118:$L$121,3,FALSE)&amp;"]",IF(F9=2,"["&amp;数值设计!$F$101*VLOOKUP(E9,数值设计!$J$118:$L$121,3,FALSE)&amp;","&amp;数值设计!$F$104*VLOOKUP(E9,数值设计!$J$118:$L$121,3,FALSE)&amp;","&amp;数值设计!$F$105*VLOOKUP(E9,数值设计!$J$118:$L$121,3,FALSE)&amp;","&amp;数值设计!$F$112*VLOOKUP(E9,数值设计!$J$118:$L$121,3,FALSE)&amp;"]","["&amp;数值设计!$F$106*VLOOKUP(E9,数值设计!$J$118:$L$121,3,FALSE)&amp;","&amp;数值设计!$F$107*VLOOKUP(E9,数值设计!$J$118:$L$121,3,FALSE)&amp;","&amp;数值设计!$F$108*VLOOKUP(E9,数值设计!$J$118:$L$121,3,FALSE)&amp;","&amp;数值设计!$F$109*VLOOKUP(E9,数值设计!$J$118:$L$121,3,FALSE)&amp;","&amp;数值设计!$F$111*VLOOKUP(E9,数值设计!$J$118:$L$121,3,FALSE)&amp;"]"))</f>
        <v>[0.0075,0.006,0.006,45,0.015]</v>
      </c>
      <c r="N9" s="2">
        <v>3</v>
      </c>
      <c r="O9" s="2" t="str">
        <f t="shared" ref="O9:O19" si="5">O8</f>
        <v>[1,1,1,1,1]</v>
      </c>
      <c r="P9" s="2" t="str">
        <f t="shared" ref="P9:P19" si="6">P8</f>
        <v>[1,1,1,1,1]</v>
      </c>
      <c r="Q9" s="2" t="s">
        <v>356</v>
      </c>
      <c r="R9" s="2" t="str">
        <f t="shared" ref="R9:R19" si="7">R8</f>
        <v>[20,20,20,20]</v>
      </c>
    </row>
    <row r="10" spans="1:18" x14ac:dyDescent="0.15">
      <c r="B10" s="2" t="s">
        <v>474</v>
      </c>
      <c r="C10" s="2" t="str">
        <f t="shared" si="3"/>
        <v>Gem1012</v>
      </c>
      <c r="D10" s="2" t="s">
        <v>476</v>
      </c>
      <c r="E10" s="2">
        <v>2</v>
      </c>
      <c r="F10" s="2">
        <v>2</v>
      </c>
      <c r="G10" s="2" t="str">
        <f>G9</f>
        <v>SuitBlock_1</v>
      </c>
      <c r="I10" s="2" t="str">
        <f>VLOOKUP(F10,数值设计!$A$21:$I$23,9,FALSE)</f>
        <v>HP</v>
      </c>
      <c r="J10" s="2">
        <f>INT(VLOOKUP(F10,数值设计!$B$97:$H$113,4,FALSE)*VLOOKUP(E10,数值设计!$J$118:$L$121,3,FALSE))</f>
        <v>5793</v>
      </c>
      <c r="K10" s="2">
        <f>INT(VLOOKUP(F10,数值设计!$B$97:$H$113,5,FALSE)*数值设计!$L$118*VLOOKUP(E10,数值设计!$J$118:$L$121,3,FALSE))</f>
        <v>289</v>
      </c>
      <c r="L10" s="2" t="str">
        <f t="shared" si="4"/>
        <v>[CRITSTRG,BLOCKSTRG,UNBLOCKRATE,DEFRATE]</v>
      </c>
      <c r="M10" s="2" t="str">
        <f>IF(F10=1,"["&amp;数值设计!$F$100*VLOOKUP(E10,数值设计!$J$118:$L$121,3,FALSE)&amp;","&amp;数值设计!$F$103*VLOOKUP(E10,数值设计!$J$118:$L$121,3,FALSE)&amp;","&amp;数值设计!$F$102*VLOOKUP(E10,数值设计!$J$118:$L$121,3,FALSE)&amp;","&amp;数值设计!$F$110*VLOOKUP(E10,数值设计!$J$118:$L$121,3,FALSE)&amp;","&amp;数值设计!$F$113*VLOOKUP(E10,数值设计!$J$118:$L$121,3,FALSE)&amp;"]",IF(F10=2,"["&amp;数值设计!$F$101*VLOOKUP(E10,数值设计!$J$118:$L$121,3,FALSE)&amp;","&amp;数值设计!$F$104*VLOOKUP(E10,数值设计!$J$118:$L$121,3,FALSE)&amp;","&amp;数值设计!$F$105*VLOOKUP(E10,数值设计!$J$118:$L$121,3,FALSE)&amp;","&amp;数值设计!$F$112*VLOOKUP(E10,数值设计!$J$118:$L$121,3,FALSE)&amp;"]","["&amp;数值设计!$F$106*VLOOKUP(E10,数值设计!$J$118:$L$121,3,FALSE)&amp;","&amp;数值设计!$F$107*VLOOKUP(E10,数值设计!$J$118:$L$121,3,FALSE)&amp;","&amp;数值设计!$F$108*VLOOKUP(E10,数值设计!$J$118:$L$121,3,FALSE)&amp;","&amp;数值设计!$F$109*VLOOKUP(E10,数值设计!$J$118:$L$121,3,FALSE)&amp;","&amp;数值设计!$F$111*VLOOKUP(E10,数值设计!$J$118:$L$121,3,FALSE)&amp;"]"))</f>
        <v>[0.0075,0.006,0.006,0.015]</v>
      </c>
      <c r="N10" s="2">
        <v>3</v>
      </c>
      <c r="O10" s="2" t="str">
        <f t="shared" si="5"/>
        <v>[1,1,1,1,1]</v>
      </c>
      <c r="P10" s="2" t="str">
        <f t="shared" si="6"/>
        <v>[1,1,1,1,1]</v>
      </c>
      <c r="Q10" s="2" t="s">
        <v>356</v>
      </c>
      <c r="R10" s="2" t="str">
        <f t="shared" si="7"/>
        <v>[20,20,20,20]</v>
      </c>
    </row>
    <row r="11" spans="1:18" x14ac:dyDescent="0.15">
      <c r="B11" s="2" t="s">
        <v>475</v>
      </c>
      <c r="C11" s="2" t="str">
        <f t="shared" si="3"/>
        <v>Gem1013</v>
      </c>
      <c r="D11" s="2" t="s">
        <v>230</v>
      </c>
      <c r="E11" s="2">
        <v>2</v>
      </c>
      <c r="F11" s="2">
        <v>3</v>
      </c>
      <c r="G11" s="2" t="str">
        <f>G9</f>
        <v>SuitBlock_1</v>
      </c>
      <c r="I11" s="2" t="str">
        <f>VLOOKUP(F11,数值设计!$A$21:$I$23,9,FALSE)</f>
        <v>ATK</v>
      </c>
      <c r="J11" s="2">
        <f>INT(VLOOKUP(F11,数值设计!$B$97:$H$113,4,FALSE)*VLOOKUP(E11,数值设计!$J$118:$L$121,3,FALSE))</f>
        <v>945</v>
      </c>
      <c r="K11" s="2">
        <f>INT(VLOOKUP(F11,数值设计!$B$97:$H$113,5,FALSE)*数值设计!$L$118*VLOOKUP(E11,数值设计!$J$118:$L$121,3,FALSE))</f>
        <v>47</v>
      </c>
      <c r="L11" s="2" t="str">
        <f t="shared" si="4"/>
        <v>[HURTRATE,UNHURTRATE,REFLECTION,ABSORPTION,ATKRATE]</v>
      </c>
      <c r="M11" s="2" t="str">
        <f>IF(F11=1,"["&amp;数值设计!$F$100*VLOOKUP(E11,数值设计!$J$118:$L$121,3,FALSE)&amp;","&amp;数值设计!$F$103*VLOOKUP(E11,数值设计!$J$118:$L$121,3,FALSE)&amp;","&amp;数值设计!$F$102*VLOOKUP(E11,数值设计!$J$118:$L$121,3,FALSE)&amp;","&amp;数值设计!$F$110*VLOOKUP(E11,数值设计!$J$118:$L$121,3,FALSE)&amp;","&amp;数值设计!$F$113*VLOOKUP(E11,数值设计!$J$118:$L$121,3,FALSE)&amp;"]",IF(F11=2,"["&amp;数值设计!$F$101*VLOOKUP(E11,数值设计!$J$118:$L$121,3,FALSE)&amp;","&amp;数值设计!$F$104*VLOOKUP(E11,数值设计!$J$118:$L$121,3,FALSE)&amp;","&amp;数值设计!$F$105*VLOOKUP(E11,数值设计!$J$118:$L$121,3,FALSE)&amp;","&amp;数值设计!$F$112*VLOOKUP(E11,数值设计!$J$118:$L$121,3,FALSE)&amp;"]","["&amp;数值设计!$F$106*VLOOKUP(E11,数值设计!$J$118:$L$121,3,FALSE)&amp;","&amp;数值设计!$F$107*VLOOKUP(E11,数值设计!$J$118:$L$121,3,FALSE)&amp;","&amp;数值设计!$F$108*VLOOKUP(E11,数值设计!$J$118:$L$121,3,FALSE)&amp;","&amp;数值设计!$F$109*VLOOKUP(E11,数值设计!$J$118:$L$121,3,FALSE)&amp;","&amp;数值设计!$F$111*VLOOKUP(E11,数值设计!$J$118:$L$121,3,FALSE)&amp;"]"))</f>
        <v>[0.006,0.006,0.006,0.006,0.015]</v>
      </c>
      <c r="N11" s="2">
        <v>3</v>
      </c>
      <c r="O11" s="2" t="str">
        <f t="shared" si="5"/>
        <v>[1,1,1,1,1]</v>
      </c>
      <c r="P11" s="2" t="str">
        <f t="shared" si="6"/>
        <v>[1,1,1,1,1]</v>
      </c>
      <c r="Q11" s="2" t="s">
        <v>356</v>
      </c>
      <c r="R11" s="2" t="str">
        <f t="shared" si="7"/>
        <v>[20,20,20,20]</v>
      </c>
    </row>
    <row r="12" spans="1:18" x14ac:dyDescent="0.15">
      <c r="B12" s="2" t="s">
        <v>477</v>
      </c>
      <c r="C12" s="2" t="str">
        <f t="shared" si="3"/>
        <v>Gem1021</v>
      </c>
      <c r="D12" s="2" t="s">
        <v>228</v>
      </c>
      <c r="E12" s="2">
        <v>2</v>
      </c>
      <c r="F12" s="2">
        <v>1</v>
      </c>
      <c r="G12" s="2" t="str">
        <f>B185</f>
        <v>SuitDef_1</v>
      </c>
      <c r="I12" s="2" t="str">
        <f>VLOOKUP(F12,数值设计!$A$21:$I$23,9,FALSE)</f>
        <v>DEF</v>
      </c>
      <c r="J12" s="2">
        <f>INT(VLOOKUP(F12,数值设计!$B$97:$H$113,4,FALSE)*VLOOKUP(E12,数值设计!$J$118:$L$121,3,FALSE))</f>
        <v>472</v>
      </c>
      <c r="K12" s="2">
        <f>INT(VLOOKUP(F12,数值设计!$B$97:$H$113,5,FALSE)*数值设计!$L$118*VLOOKUP(E12,数值设计!$J$118:$L$121,3,FALSE))</f>
        <v>23</v>
      </c>
      <c r="L12" s="2" t="str">
        <f t="shared" si="4"/>
        <v>[CRITRATE,BLOCKRATE,UNCRITRATE,SPEED,HPRATE]</v>
      </c>
      <c r="M12" s="2" t="str">
        <f>IF(F12=1,"["&amp;数值设计!$F$100*VLOOKUP(E12,数值设计!$J$118:$L$121,3,FALSE)&amp;","&amp;数值设计!$F$103*VLOOKUP(E12,数值设计!$J$118:$L$121,3,FALSE)&amp;","&amp;数值设计!$F$102*VLOOKUP(E12,数值设计!$J$118:$L$121,3,FALSE)&amp;","&amp;数值设计!$F$110*VLOOKUP(E12,数值设计!$J$118:$L$121,3,FALSE)&amp;","&amp;数值设计!$F$113*VLOOKUP(E12,数值设计!$J$118:$L$121,3,FALSE)&amp;"]",IF(F12=2,"["&amp;数值设计!$F$101*VLOOKUP(E12,数值设计!$J$118:$L$121,3,FALSE)&amp;","&amp;数值设计!$F$104*VLOOKUP(E12,数值设计!$J$118:$L$121,3,FALSE)&amp;","&amp;数值设计!$F$105*VLOOKUP(E12,数值设计!$J$118:$L$121,3,FALSE)&amp;","&amp;数值设计!$F$112*VLOOKUP(E12,数值设计!$J$118:$L$121,3,FALSE)&amp;"]","["&amp;数值设计!$F$106*VLOOKUP(E12,数值设计!$J$118:$L$121,3,FALSE)&amp;","&amp;数值设计!$F$107*VLOOKUP(E12,数值设计!$J$118:$L$121,3,FALSE)&amp;","&amp;数值设计!$F$108*VLOOKUP(E12,数值设计!$J$118:$L$121,3,FALSE)&amp;","&amp;数值设计!$F$109*VLOOKUP(E12,数值设计!$J$118:$L$121,3,FALSE)&amp;","&amp;数值设计!$F$111*VLOOKUP(E12,数值设计!$J$118:$L$121,3,FALSE)&amp;"]"))</f>
        <v>[0.0075,0.006,0.006,45,0.015]</v>
      </c>
      <c r="N12" s="2">
        <v>3</v>
      </c>
      <c r="O12" s="2" t="str">
        <f t="shared" si="5"/>
        <v>[1,1,1,1,1]</v>
      </c>
      <c r="P12" s="2" t="str">
        <f t="shared" si="6"/>
        <v>[1,1,1,1,1]</v>
      </c>
      <c r="Q12" s="2" t="s">
        <v>356</v>
      </c>
      <c r="R12" s="2" t="str">
        <f t="shared" si="7"/>
        <v>[20,20,20,20]</v>
      </c>
    </row>
    <row r="13" spans="1:18" x14ac:dyDescent="0.15">
      <c r="B13" s="2" t="s">
        <v>478</v>
      </c>
      <c r="C13" s="2" t="str">
        <f t="shared" si="3"/>
        <v>Gem1022</v>
      </c>
      <c r="D13" s="2" t="s">
        <v>476</v>
      </c>
      <c r="E13" s="2">
        <v>2</v>
      </c>
      <c r="F13" s="2">
        <v>2</v>
      </c>
      <c r="G13" s="2" t="str">
        <f>G12</f>
        <v>SuitDef_1</v>
      </c>
      <c r="I13" s="2" t="str">
        <f>VLOOKUP(F13,数值设计!$A$21:$I$23,9,FALSE)</f>
        <v>HP</v>
      </c>
      <c r="J13" s="2">
        <f>INT(VLOOKUP(F13,数值设计!$B$97:$H$113,4,FALSE)*VLOOKUP(E13,数值设计!$J$118:$L$121,3,FALSE))</f>
        <v>5793</v>
      </c>
      <c r="K13" s="2">
        <f>INT(VLOOKUP(F13,数值设计!$B$97:$H$113,5,FALSE)*数值设计!$L$118*VLOOKUP(E13,数值设计!$J$118:$L$121,3,FALSE))</f>
        <v>289</v>
      </c>
      <c r="L13" s="2" t="str">
        <f t="shared" si="4"/>
        <v>[CRITSTRG,BLOCKSTRG,UNBLOCKRATE,DEFRATE]</v>
      </c>
      <c r="M13" s="2" t="str">
        <f>IF(F13=1,"["&amp;数值设计!$F$100*VLOOKUP(E13,数值设计!$J$118:$L$121,3,FALSE)&amp;","&amp;数值设计!$F$103*VLOOKUP(E13,数值设计!$J$118:$L$121,3,FALSE)&amp;","&amp;数值设计!$F$102*VLOOKUP(E13,数值设计!$J$118:$L$121,3,FALSE)&amp;","&amp;数值设计!$F$110*VLOOKUP(E13,数值设计!$J$118:$L$121,3,FALSE)&amp;","&amp;数值设计!$F$113*VLOOKUP(E13,数值设计!$J$118:$L$121,3,FALSE)&amp;"]",IF(F13=2,"["&amp;数值设计!$F$101*VLOOKUP(E13,数值设计!$J$118:$L$121,3,FALSE)&amp;","&amp;数值设计!$F$104*VLOOKUP(E13,数值设计!$J$118:$L$121,3,FALSE)&amp;","&amp;数值设计!$F$105*VLOOKUP(E13,数值设计!$J$118:$L$121,3,FALSE)&amp;","&amp;数值设计!$F$112*VLOOKUP(E13,数值设计!$J$118:$L$121,3,FALSE)&amp;"]","["&amp;数值设计!$F$106*VLOOKUP(E13,数值设计!$J$118:$L$121,3,FALSE)&amp;","&amp;数值设计!$F$107*VLOOKUP(E13,数值设计!$J$118:$L$121,3,FALSE)&amp;","&amp;数值设计!$F$108*VLOOKUP(E13,数值设计!$J$118:$L$121,3,FALSE)&amp;","&amp;数值设计!$F$109*VLOOKUP(E13,数值设计!$J$118:$L$121,3,FALSE)&amp;","&amp;数值设计!$F$111*VLOOKUP(E13,数值设计!$J$118:$L$121,3,FALSE)&amp;"]"))</f>
        <v>[0.0075,0.006,0.006,0.015]</v>
      </c>
      <c r="N13" s="2">
        <v>3</v>
      </c>
      <c r="O13" s="2" t="str">
        <f t="shared" si="5"/>
        <v>[1,1,1,1,1]</v>
      </c>
      <c r="P13" s="2" t="str">
        <f t="shared" si="6"/>
        <v>[1,1,1,1,1]</v>
      </c>
      <c r="Q13" s="2" t="s">
        <v>356</v>
      </c>
      <c r="R13" s="2" t="str">
        <f t="shared" si="7"/>
        <v>[20,20,20,20]</v>
      </c>
    </row>
    <row r="14" spans="1:18" x14ac:dyDescent="0.15">
      <c r="B14" s="2" t="s">
        <v>479</v>
      </c>
      <c r="C14" s="2" t="str">
        <f t="shared" si="3"/>
        <v>Gem1023</v>
      </c>
      <c r="D14" s="2" t="s">
        <v>230</v>
      </c>
      <c r="E14" s="2">
        <v>2</v>
      </c>
      <c r="F14" s="2">
        <v>3</v>
      </c>
      <c r="G14" s="2" t="str">
        <f>G12</f>
        <v>SuitDef_1</v>
      </c>
      <c r="I14" s="2" t="str">
        <f>VLOOKUP(F14,数值设计!$A$21:$I$23,9,FALSE)</f>
        <v>ATK</v>
      </c>
      <c r="J14" s="2">
        <f>INT(VLOOKUP(F14,数值设计!$B$97:$H$113,4,FALSE)*VLOOKUP(E14,数值设计!$J$118:$L$121,3,FALSE))</f>
        <v>945</v>
      </c>
      <c r="K14" s="2">
        <f>INT(VLOOKUP(F14,数值设计!$B$97:$H$113,5,FALSE)*数值设计!$L$118*VLOOKUP(E14,数值设计!$J$118:$L$121,3,FALSE))</f>
        <v>47</v>
      </c>
      <c r="L14" s="2" t="str">
        <f t="shared" si="4"/>
        <v>[HURTRATE,UNHURTRATE,REFLECTION,ABSORPTION,ATKRATE]</v>
      </c>
      <c r="M14" s="2" t="str">
        <f>IF(F14=1,"["&amp;数值设计!$F$100*VLOOKUP(E14,数值设计!$J$118:$L$121,3,FALSE)&amp;","&amp;数值设计!$F$103*VLOOKUP(E14,数值设计!$J$118:$L$121,3,FALSE)&amp;","&amp;数值设计!$F$102*VLOOKUP(E14,数值设计!$J$118:$L$121,3,FALSE)&amp;","&amp;数值设计!$F$110*VLOOKUP(E14,数值设计!$J$118:$L$121,3,FALSE)&amp;","&amp;数值设计!$F$113*VLOOKUP(E14,数值设计!$J$118:$L$121,3,FALSE)&amp;"]",IF(F14=2,"["&amp;数值设计!$F$101*VLOOKUP(E14,数值设计!$J$118:$L$121,3,FALSE)&amp;","&amp;数值设计!$F$104*VLOOKUP(E14,数值设计!$J$118:$L$121,3,FALSE)&amp;","&amp;数值设计!$F$105*VLOOKUP(E14,数值设计!$J$118:$L$121,3,FALSE)&amp;","&amp;数值设计!$F$112*VLOOKUP(E14,数值设计!$J$118:$L$121,3,FALSE)&amp;"]","["&amp;数值设计!$F$106*VLOOKUP(E14,数值设计!$J$118:$L$121,3,FALSE)&amp;","&amp;数值设计!$F$107*VLOOKUP(E14,数值设计!$J$118:$L$121,3,FALSE)&amp;","&amp;数值设计!$F$108*VLOOKUP(E14,数值设计!$J$118:$L$121,3,FALSE)&amp;","&amp;数值设计!$F$109*VLOOKUP(E14,数值设计!$J$118:$L$121,3,FALSE)&amp;","&amp;数值设计!$F$111*VLOOKUP(E14,数值设计!$J$118:$L$121,3,FALSE)&amp;"]"))</f>
        <v>[0.006,0.006,0.006,0.006,0.015]</v>
      </c>
      <c r="N14" s="2">
        <v>3</v>
      </c>
      <c r="O14" s="2" t="str">
        <f t="shared" si="5"/>
        <v>[1,1,1,1,1]</v>
      </c>
      <c r="P14" s="2" t="str">
        <f t="shared" si="6"/>
        <v>[1,1,1,1,1]</v>
      </c>
      <c r="Q14" s="2" t="s">
        <v>356</v>
      </c>
      <c r="R14" s="2" t="str">
        <f t="shared" si="7"/>
        <v>[20,20,20,20]</v>
      </c>
    </row>
    <row r="15" spans="1:18" x14ac:dyDescent="0.15">
      <c r="B15" s="2" t="s">
        <v>480</v>
      </c>
      <c r="C15" s="2" t="str">
        <f t="shared" si="3"/>
        <v>Gem1031</v>
      </c>
      <c r="D15" s="2" t="s">
        <v>228</v>
      </c>
      <c r="E15" s="2">
        <v>2</v>
      </c>
      <c r="F15" s="2">
        <v>1</v>
      </c>
      <c r="G15" s="2" t="str">
        <f>B186</f>
        <v>SuitUnblock_1</v>
      </c>
      <c r="I15" s="2" t="str">
        <f>VLOOKUP(F15,数值设计!$A$21:$I$23,9,FALSE)</f>
        <v>DEF</v>
      </c>
      <c r="J15" s="2">
        <f>INT(VLOOKUP(F15,数值设计!$B$97:$H$113,4,FALSE)*VLOOKUP(E15,数值设计!$J$118:$L$121,3,FALSE))</f>
        <v>472</v>
      </c>
      <c r="K15" s="2">
        <f>INT(VLOOKUP(F15,数值设计!$B$97:$H$113,5,FALSE)*数值设计!$L$118*VLOOKUP(E15,数值设计!$J$118:$L$121,3,FALSE))</f>
        <v>23</v>
      </c>
      <c r="L15" s="2" t="str">
        <f t="shared" si="4"/>
        <v>[CRITRATE,BLOCKRATE,UNCRITRATE,SPEED,HPRATE]</v>
      </c>
      <c r="M15" s="2" t="str">
        <f>IF(F15=1,"["&amp;数值设计!$F$100*VLOOKUP(E15,数值设计!$J$118:$L$121,3,FALSE)&amp;","&amp;数值设计!$F$103*VLOOKUP(E15,数值设计!$J$118:$L$121,3,FALSE)&amp;","&amp;数值设计!$F$102*VLOOKUP(E15,数值设计!$J$118:$L$121,3,FALSE)&amp;","&amp;数值设计!$F$110*VLOOKUP(E15,数值设计!$J$118:$L$121,3,FALSE)&amp;","&amp;数值设计!$F$113*VLOOKUP(E15,数值设计!$J$118:$L$121,3,FALSE)&amp;"]",IF(F15=2,"["&amp;数值设计!$F$101*VLOOKUP(E15,数值设计!$J$118:$L$121,3,FALSE)&amp;","&amp;数值设计!$F$104*VLOOKUP(E15,数值设计!$J$118:$L$121,3,FALSE)&amp;","&amp;数值设计!$F$105*VLOOKUP(E15,数值设计!$J$118:$L$121,3,FALSE)&amp;","&amp;数值设计!$F$112*VLOOKUP(E15,数值设计!$J$118:$L$121,3,FALSE)&amp;"]","["&amp;数值设计!$F$106*VLOOKUP(E15,数值设计!$J$118:$L$121,3,FALSE)&amp;","&amp;数值设计!$F$107*VLOOKUP(E15,数值设计!$J$118:$L$121,3,FALSE)&amp;","&amp;数值设计!$F$108*VLOOKUP(E15,数值设计!$J$118:$L$121,3,FALSE)&amp;","&amp;数值设计!$F$109*VLOOKUP(E15,数值设计!$J$118:$L$121,3,FALSE)&amp;","&amp;数值设计!$F$111*VLOOKUP(E15,数值设计!$J$118:$L$121,3,FALSE)&amp;"]"))</f>
        <v>[0.0075,0.006,0.006,45,0.015]</v>
      </c>
      <c r="N15" s="2">
        <v>3</v>
      </c>
      <c r="O15" s="2" t="str">
        <f t="shared" si="5"/>
        <v>[1,1,1,1,1]</v>
      </c>
      <c r="P15" s="2" t="str">
        <f t="shared" si="6"/>
        <v>[1,1,1,1,1]</v>
      </c>
      <c r="Q15" s="2" t="s">
        <v>356</v>
      </c>
      <c r="R15" s="2" t="str">
        <f t="shared" si="7"/>
        <v>[20,20,20,20]</v>
      </c>
    </row>
    <row r="16" spans="1:18" x14ac:dyDescent="0.15">
      <c r="B16" s="2" t="s">
        <v>481</v>
      </c>
      <c r="C16" s="2" t="str">
        <f t="shared" si="3"/>
        <v>Gem1032</v>
      </c>
      <c r="D16" s="2" t="s">
        <v>476</v>
      </c>
      <c r="E16" s="2">
        <v>2</v>
      </c>
      <c r="F16" s="2">
        <v>2</v>
      </c>
      <c r="G16" s="2" t="str">
        <f>G15</f>
        <v>SuitUnblock_1</v>
      </c>
      <c r="I16" s="2" t="str">
        <f>VLOOKUP(F16,数值设计!$A$21:$I$23,9,FALSE)</f>
        <v>HP</v>
      </c>
      <c r="J16" s="2">
        <f>INT(VLOOKUP(F16,数值设计!$B$97:$H$113,4,FALSE)*VLOOKUP(E16,数值设计!$J$118:$L$121,3,FALSE))</f>
        <v>5793</v>
      </c>
      <c r="K16" s="2">
        <f>INT(VLOOKUP(F16,数值设计!$B$97:$H$113,5,FALSE)*数值设计!$L$118*VLOOKUP(E16,数值设计!$J$118:$L$121,3,FALSE))</f>
        <v>289</v>
      </c>
      <c r="L16" s="2" t="str">
        <f t="shared" si="4"/>
        <v>[CRITSTRG,BLOCKSTRG,UNBLOCKRATE,DEFRATE]</v>
      </c>
      <c r="M16" s="2" t="str">
        <f>IF(F16=1,"["&amp;数值设计!$F$100*VLOOKUP(E16,数值设计!$J$118:$L$121,3,FALSE)&amp;","&amp;数值设计!$F$103*VLOOKUP(E16,数值设计!$J$118:$L$121,3,FALSE)&amp;","&amp;数值设计!$F$102*VLOOKUP(E16,数值设计!$J$118:$L$121,3,FALSE)&amp;","&amp;数值设计!$F$110*VLOOKUP(E16,数值设计!$J$118:$L$121,3,FALSE)&amp;","&amp;数值设计!$F$113*VLOOKUP(E16,数值设计!$J$118:$L$121,3,FALSE)&amp;"]",IF(F16=2,"["&amp;数值设计!$F$101*VLOOKUP(E16,数值设计!$J$118:$L$121,3,FALSE)&amp;","&amp;数值设计!$F$104*VLOOKUP(E16,数值设计!$J$118:$L$121,3,FALSE)&amp;","&amp;数值设计!$F$105*VLOOKUP(E16,数值设计!$J$118:$L$121,3,FALSE)&amp;","&amp;数值设计!$F$112*VLOOKUP(E16,数值设计!$J$118:$L$121,3,FALSE)&amp;"]","["&amp;数值设计!$F$106*VLOOKUP(E16,数值设计!$J$118:$L$121,3,FALSE)&amp;","&amp;数值设计!$F$107*VLOOKUP(E16,数值设计!$J$118:$L$121,3,FALSE)&amp;","&amp;数值设计!$F$108*VLOOKUP(E16,数值设计!$J$118:$L$121,3,FALSE)&amp;","&amp;数值设计!$F$109*VLOOKUP(E16,数值设计!$J$118:$L$121,3,FALSE)&amp;","&amp;数值设计!$F$111*VLOOKUP(E16,数值设计!$J$118:$L$121,3,FALSE)&amp;"]"))</f>
        <v>[0.0075,0.006,0.006,0.015]</v>
      </c>
      <c r="N16" s="2">
        <v>3</v>
      </c>
      <c r="O16" s="2" t="str">
        <f t="shared" si="5"/>
        <v>[1,1,1,1,1]</v>
      </c>
      <c r="P16" s="2" t="str">
        <f t="shared" si="6"/>
        <v>[1,1,1,1,1]</v>
      </c>
      <c r="Q16" s="2" t="s">
        <v>356</v>
      </c>
      <c r="R16" s="2" t="str">
        <f t="shared" si="7"/>
        <v>[20,20,20,20]</v>
      </c>
    </row>
    <row r="17" spans="2:18" x14ac:dyDescent="0.15">
      <c r="B17" s="2" t="s">
        <v>482</v>
      </c>
      <c r="C17" s="2" t="str">
        <f t="shared" si="3"/>
        <v>Gem1033</v>
      </c>
      <c r="D17" s="2" t="s">
        <v>230</v>
      </c>
      <c r="E17" s="2">
        <v>2</v>
      </c>
      <c r="F17" s="2">
        <v>3</v>
      </c>
      <c r="G17" s="2" t="str">
        <f>G16</f>
        <v>SuitUnblock_1</v>
      </c>
      <c r="I17" s="2" t="str">
        <f>VLOOKUP(F17,数值设计!$A$21:$I$23,9,FALSE)</f>
        <v>ATK</v>
      </c>
      <c r="J17" s="2">
        <f>INT(VLOOKUP(F17,数值设计!$B$97:$H$113,4,FALSE)*VLOOKUP(E17,数值设计!$J$118:$L$121,3,FALSE))</f>
        <v>945</v>
      </c>
      <c r="K17" s="2">
        <f>INT(VLOOKUP(F17,数值设计!$B$97:$H$113,5,FALSE)*数值设计!$L$118*VLOOKUP(E17,数值设计!$J$118:$L$121,3,FALSE))</f>
        <v>47</v>
      </c>
      <c r="L17" s="2" t="str">
        <f t="shared" si="4"/>
        <v>[HURTRATE,UNHURTRATE,REFLECTION,ABSORPTION,ATKRATE]</v>
      </c>
      <c r="M17" s="2" t="str">
        <f>IF(F17=1,"["&amp;数值设计!$F$100*VLOOKUP(E17,数值设计!$J$118:$L$121,3,FALSE)&amp;","&amp;数值设计!$F$103*VLOOKUP(E17,数值设计!$J$118:$L$121,3,FALSE)&amp;","&amp;数值设计!$F$102*VLOOKUP(E17,数值设计!$J$118:$L$121,3,FALSE)&amp;","&amp;数值设计!$F$110*VLOOKUP(E17,数值设计!$J$118:$L$121,3,FALSE)&amp;","&amp;数值设计!$F$113*VLOOKUP(E17,数值设计!$J$118:$L$121,3,FALSE)&amp;"]",IF(F17=2,"["&amp;数值设计!$F$101*VLOOKUP(E17,数值设计!$J$118:$L$121,3,FALSE)&amp;","&amp;数值设计!$F$104*VLOOKUP(E17,数值设计!$J$118:$L$121,3,FALSE)&amp;","&amp;数值设计!$F$105*VLOOKUP(E17,数值设计!$J$118:$L$121,3,FALSE)&amp;","&amp;数值设计!$F$112*VLOOKUP(E17,数值设计!$J$118:$L$121,3,FALSE)&amp;"]","["&amp;数值设计!$F$106*VLOOKUP(E17,数值设计!$J$118:$L$121,3,FALSE)&amp;","&amp;数值设计!$F$107*VLOOKUP(E17,数值设计!$J$118:$L$121,3,FALSE)&amp;","&amp;数值设计!$F$108*VLOOKUP(E17,数值设计!$J$118:$L$121,3,FALSE)&amp;","&amp;数值设计!$F$109*VLOOKUP(E17,数值设计!$J$118:$L$121,3,FALSE)&amp;","&amp;数值设计!$F$111*VLOOKUP(E17,数值设计!$J$118:$L$121,3,FALSE)&amp;"]"))</f>
        <v>[0.006,0.006,0.006,0.006,0.015]</v>
      </c>
      <c r="N17" s="2">
        <v>3</v>
      </c>
      <c r="O17" s="2" t="str">
        <f t="shared" si="5"/>
        <v>[1,1,1,1,1]</v>
      </c>
      <c r="P17" s="2" t="str">
        <f t="shared" si="6"/>
        <v>[1,1,1,1,1]</v>
      </c>
      <c r="Q17" s="2" t="s">
        <v>356</v>
      </c>
      <c r="R17" s="2" t="str">
        <f t="shared" si="7"/>
        <v>[20,20,20,20]</v>
      </c>
    </row>
    <row r="18" spans="2:18" x14ac:dyDescent="0.15">
      <c r="B18" s="2" t="s">
        <v>483</v>
      </c>
      <c r="C18" s="2" t="str">
        <f t="shared" si="3"/>
        <v>Gem1041</v>
      </c>
      <c r="D18" s="2" t="s">
        <v>228</v>
      </c>
      <c r="E18" s="2">
        <v>2</v>
      </c>
      <c r="F18" s="2">
        <v>1</v>
      </c>
      <c r="G18" s="2" t="str">
        <f>B187</f>
        <v>SuitSpecial_1</v>
      </c>
      <c r="I18" s="2" t="str">
        <f>VLOOKUP(F18,数值设计!$A$21:$I$23,9,FALSE)</f>
        <v>DEF</v>
      </c>
      <c r="J18" s="2">
        <f>INT(VLOOKUP(F18,数值设计!$B$97:$H$113,4,FALSE)*VLOOKUP(E18,数值设计!$J$118:$L$121,3,FALSE))</f>
        <v>472</v>
      </c>
      <c r="K18" s="2">
        <f>INT(VLOOKUP(F18,数值设计!$B$97:$H$113,5,FALSE)*数值设计!$L$118*VLOOKUP(E18,数值设计!$J$118:$L$121,3,FALSE))</f>
        <v>23</v>
      </c>
      <c r="L18" s="2" t="str">
        <f t="shared" si="4"/>
        <v>[CRITRATE,BLOCKRATE,UNCRITRATE,SPEED,HPRATE]</v>
      </c>
      <c r="M18" s="2" t="str">
        <f>IF(F18=1,"["&amp;数值设计!$F$100*VLOOKUP(E18,数值设计!$J$118:$L$121,3,FALSE)&amp;","&amp;数值设计!$F$103*VLOOKUP(E18,数值设计!$J$118:$L$121,3,FALSE)&amp;","&amp;数值设计!$F$102*VLOOKUP(E18,数值设计!$J$118:$L$121,3,FALSE)&amp;","&amp;数值设计!$F$110*VLOOKUP(E18,数值设计!$J$118:$L$121,3,FALSE)&amp;","&amp;数值设计!$F$113*VLOOKUP(E18,数值设计!$J$118:$L$121,3,FALSE)&amp;"]",IF(F18=2,"["&amp;数值设计!$F$101*VLOOKUP(E18,数值设计!$J$118:$L$121,3,FALSE)&amp;","&amp;数值设计!$F$104*VLOOKUP(E18,数值设计!$J$118:$L$121,3,FALSE)&amp;","&amp;数值设计!$F$105*VLOOKUP(E18,数值设计!$J$118:$L$121,3,FALSE)&amp;","&amp;数值设计!$F$112*VLOOKUP(E18,数值设计!$J$118:$L$121,3,FALSE)&amp;"]","["&amp;数值设计!$F$106*VLOOKUP(E18,数值设计!$J$118:$L$121,3,FALSE)&amp;","&amp;数值设计!$F$107*VLOOKUP(E18,数值设计!$J$118:$L$121,3,FALSE)&amp;","&amp;数值设计!$F$108*VLOOKUP(E18,数值设计!$J$118:$L$121,3,FALSE)&amp;","&amp;数值设计!$F$109*VLOOKUP(E18,数值设计!$J$118:$L$121,3,FALSE)&amp;","&amp;数值设计!$F$111*VLOOKUP(E18,数值设计!$J$118:$L$121,3,FALSE)&amp;"]"))</f>
        <v>[0.0075,0.006,0.006,45,0.015]</v>
      </c>
      <c r="N18" s="2">
        <v>3</v>
      </c>
      <c r="O18" s="2" t="str">
        <f t="shared" si="5"/>
        <v>[1,1,1,1,1]</v>
      </c>
      <c r="P18" s="2" t="str">
        <f t="shared" si="6"/>
        <v>[1,1,1,1,1]</v>
      </c>
      <c r="Q18" s="2" t="s">
        <v>356</v>
      </c>
      <c r="R18" s="2" t="str">
        <f t="shared" si="7"/>
        <v>[20,20,20,20]</v>
      </c>
    </row>
    <row r="19" spans="2:18" x14ac:dyDescent="0.15">
      <c r="B19" s="2" t="s">
        <v>484</v>
      </c>
      <c r="C19" s="2" t="str">
        <f t="shared" si="3"/>
        <v>Gem1042</v>
      </c>
      <c r="D19" s="2" t="s">
        <v>476</v>
      </c>
      <c r="E19" s="2">
        <v>2</v>
      </c>
      <c r="F19" s="2">
        <v>2</v>
      </c>
      <c r="G19" s="2" t="str">
        <f>G18</f>
        <v>SuitSpecial_1</v>
      </c>
      <c r="I19" s="2" t="str">
        <f>VLOOKUP(F19,数值设计!$A$21:$I$23,9,FALSE)</f>
        <v>HP</v>
      </c>
      <c r="J19" s="2">
        <f>INT(VLOOKUP(F19,数值设计!$B$97:$H$113,4,FALSE)*VLOOKUP(E19,数值设计!$J$118:$L$121,3,FALSE))</f>
        <v>5793</v>
      </c>
      <c r="K19" s="2">
        <f>INT(VLOOKUP(F19,数值设计!$B$97:$H$113,5,FALSE)*数值设计!$L$118*VLOOKUP(E19,数值设计!$J$118:$L$121,3,FALSE))</f>
        <v>289</v>
      </c>
      <c r="L19" s="2" t="str">
        <f t="shared" si="4"/>
        <v>[CRITSTRG,BLOCKSTRG,UNBLOCKRATE,DEFRATE]</v>
      </c>
      <c r="M19" s="2" t="str">
        <f>IF(F19=1,"["&amp;数值设计!$F$100*VLOOKUP(E19,数值设计!$J$118:$L$121,3,FALSE)&amp;","&amp;数值设计!$F$103*VLOOKUP(E19,数值设计!$J$118:$L$121,3,FALSE)&amp;","&amp;数值设计!$F$102*VLOOKUP(E19,数值设计!$J$118:$L$121,3,FALSE)&amp;","&amp;数值设计!$F$110*VLOOKUP(E19,数值设计!$J$118:$L$121,3,FALSE)&amp;","&amp;数值设计!$F$113*VLOOKUP(E19,数值设计!$J$118:$L$121,3,FALSE)&amp;"]",IF(F19=2,"["&amp;数值设计!$F$101*VLOOKUP(E19,数值设计!$J$118:$L$121,3,FALSE)&amp;","&amp;数值设计!$F$104*VLOOKUP(E19,数值设计!$J$118:$L$121,3,FALSE)&amp;","&amp;数值设计!$F$105*VLOOKUP(E19,数值设计!$J$118:$L$121,3,FALSE)&amp;","&amp;数值设计!$F$112*VLOOKUP(E19,数值设计!$J$118:$L$121,3,FALSE)&amp;"]","["&amp;数值设计!$F$106*VLOOKUP(E19,数值设计!$J$118:$L$121,3,FALSE)&amp;","&amp;数值设计!$F$107*VLOOKUP(E19,数值设计!$J$118:$L$121,3,FALSE)&amp;","&amp;数值设计!$F$108*VLOOKUP(E19,数值设计!$J$118:$L$121,3,FALSE)&amp;","&amp;数值设计!$F$109*VLOOKUP(E19,数值设计!$J$118:$L$121,3,FALSE)&amp;","&amp;数值设计!$F$111*VLOOKUP(E19,数值设计!$J$118:$L$121,3,FALSE)&amp;"]"))</f>
        <v>[0.0075,0.006,0.006,0.015]</v>
      </c>
      <c r="N19" s="2">
        <v>3</v>
      </c>
      <c r="O19" s="2" t="str">
        <f t="shared" si="5"/>
        <v>[1,1,1,1,1]</v>
      </c>
      <c r="P19" s="2" t="str">
        <f t="shared" si="6"/>
        <v>[1,1,1,1,1]</v>
      </c>
      <c r="Q19" s="2" t="s">
        <v>356</v>
      </c>
      <c r="R19" s="2" t="str">
        <f t="shared" si="7"/>
        <v>[20,20,20,20]</v>
      </c>
    </row>
    <row r="20" spans="2:18" x14ac:dyDescent="0.15">
      <c r="B20" s="2" t="s">
        <v>485</v>
      </c>
      <c r="C20" s="2" t="str">
        <f t="shared" ref="C20:C23" si="8">B20</f>
        <v>Gem1043</v>
      </c>
      <c r="D20" s="2" t="s">
        <v>476</v>
      </c>
      <c r="E20" s="2">
        <v>2</v>
      </c>
      <c r="F20" s="2">
        <v>3</v>
      </c>
      <c r="G20" s="2" t="str">
        <f>G19</f>
        <v>SuitSpecial_1</v>
      </c>
      <c r="I20" s="2" t="str">
        <f>VLOOKUP(F20,数值设计!$A$21:$I$23,9,FALSE)</f>
        <v>ATK</v>
      </c>
      <c r="J20" s="2">
        <f>INT(VLOOKUP(F20,数值设计!$B$97:$H$113,4,FALSE)*VLOOKUP(E20,数值设计!$J$118:$L$121,3,FALSE))</f>
        <v>945</v>
      </c>
      <c r="K20" s="2">
        <f>INT(VLOOKUP(F20,数值设计!$B$97:$H$113,5,FALSE)*数值设计!$L$118*VLOOKUP(E20,数值设计!$J$118:$L$121,3,FALSE))</f>
        <v>47</v>
      </c>
      <c r="L20" s="2" t="str">
        <f t="shared" ref="L20:L23" si="9">IF(F20=1,"[CRITRATE,BLOCKRATE,UNCRITRATE,SPEED,HPRATE]",IF(F20=2,"[CRITSTRG,BLOCKSTRG,UNBLOCKRATE,DEFRATE]","[HURTRATE,UNHURTRATE,REFLECTION,ABSORPTION,ATKRATE]"))</f>
        <v>[HURTRATE,UNHURTRATE,REFLECTION,ABSORPTION,ATKRATE]</v>
      </c>
      <c r="M20" s="2" t="str">
        <f>IF(F20=1,"["&amp;数值设计!$F$100*VLOOKUP(E20,数值设计!$J$118:$L$121,3,FALSE)&amp;","&amp;数值设计!$F$103*VLOOKUP(E20,数值设计!$J$118:$L$121,3,FALSE)&amp;","&amp;数值设计!$F$102*VLOOKUP(E20,数值设计!$J$118:$L$121,3,FALSE)&amp;","&amp;数值设计!$F$110*VLOOKUP(E20,数值设计!$J$118:$L$121,3,FALSE)&amp;","&amp;数值设计!$F$113*VLOOKUP(E20,数值设计!$J$118:$L$121,3,FALSE)&amp;"]",IF(F20=2,"["&amp;数值设计!$F$101*VLOOKUP(E20,数值设计!$J$118:$L$121,3,FALSE)&amp;","&amp;数值设计!$F$104*VLOOKUP(E20,数值设计!$J$118:$L$121,3,FALSE)&amp;","&amp;数值设计!$F$105*VLOOKUP(E20,数值设计!$J$118:$L$121,3,FALSE)&amp;","&amp;数值设计!$F$112*VLOOKUP(E20,数值设计!$J$118:$L$121,3,FALSE)&amp;"]","["&amp;数值设计!$F$106*VLOOKUP(E20,数值设计!$J$118:$L$121,3,FALSE)&amp;","&amp;数值设计!$F$107*VLOOKUP(E20,数值设计!$J$118:$L$121,3,FALSE)&amp;","&amp;数值设计!$F$108*VLOOKUP(E20,数值设计!$J$118:$L$121,3,FALSE)&amp;","&amp;数值设计!$F$109*VLOOKUP(E20,数值设计!$J$118:$L$121,3,FALSE)&amp;","&amp;数值设计!$F$111*VLOOKUP(E20,数值设计!$J$118:$L$121,3,FALSE)&amp;"]"))</f>
        <v>[0.006,0.006,0.006,0.006,0.015]</v>
      </c>
      <c r="N20" s="2">
        <v>3</v>
      </c>
      <c r="O20" s="2" t="str">
        <f t="shared" ref="O20:O23" si="10">O19</f>
        <v>[1,1,1,1,1]</v>
      </c>
      <c r="P20" s="2" t="str">
        <f t="shared" ref="P20:P23" si="11">P19</f>
        <v>[1,1,1,1,1]</v>
      </c>
      <c r="Q20" s="2" t="s">
        <v>356</v>
      </c>
      <c r="R20" s="2" t="str">
        <f t="shared" ref="R20:R23" si="12">R19</f>
        <v>[20,20,20,20]</v>
      </c>
    </row>
    <row r="21" spans="2:18" x14ac:dyDescent="0.15">
      <c r="B21" s="2" t="s">
        <v>486</v>
      </c>
      <c r="C21" s="2" t="str">
        <f t="shared" si="8"/>
        <v>Gem1051</v>
      </c>
      <c r="D21" s="2" t="s">
        <v>476</v>
      </c>
      <c r="E21" s="2">
        <v>2</v>
      </c>
      <c r="F21" s="2">
        <v>1</v>
      </c>
      <c r="G21" s="2" t="str">
        <f>B188</f>
        <v>SuitAtk_1</v>
      </c>
      <c r="I21" s="2" t="str">
        <f>VLOOKUP(F21,数值设计!$A$21:$I$23,9,FALSE)</f>
        <v>DEF</v>
      </c>
      <c r="J21" s="2">
        <f>INT(VLOOKUP(F21,数值设计!$B$97:$H$113,4,FALSE)*VLOOKUP(E21,数值设计!$J$118:$L$121,3,FALSE))</f>
        <v>472</v>
      </c>
      <c r="K21" s="2">
        <f>INT(VLOOKUP(F21,数值设计!$B$97:$H$113,5,FALSE)*数值设计!$L$118*VLOOKUP(E21,数值设计!$J$118:$L$121,3,FALSE))</f>
        <v>23</v>
      </c>
      <c r="L21" s="2" t="str">
        <f t="shared" si="9"/>
        <v>[CRITRATE,BLOCKRATE,UNCRITRATE,SPEED,HPRATE]</v>
      </c>
      <c r="M21" s="2" t="str">
        <f>IF(F21=1,"["&amp;数值设计!$F$100*VLOOKUP(E21,数值设计!$J$118:$L$121,3,FALSE)&amp;","&amp;数值设计!$F$103*VLOOKUP(E21,数值设计!$J$118:$L$121,3,FALSE)&amp;","&amp;数值设计!$F$102*VLOOKUP(E21,数值设计!$J$118:$L$121,3,FALSE)&amp;","&amp;数值设计!$F$110*VLOOKUP(E21,数值设计!$J$118:$L$121,3,FALSE)&amp;","&amp;数值设计!$F$113*VLOOKUP(E21,数值设计!$J$118:$L$121,3,FALSE)&amp;"]",IF(F21=2,"["&amp;数值设计!$F$101*VLOOKUP(E21,数值设计!$J$118:$L$121,3,FALSE)&amp;","&amp;数值设计!$F$104*VLOOKUP(E21,数值设计!$J$118:$L$121,3,FALSE)&amp;","&amp;数值设计!$F$105*VLOOKUP(E21,数值设计!$J$118:$L$121,3,FALSE)&amp;","&amp;数值设计!$F$112*VLOOKUP(E21,数值设计!$J$118:$L$121,3,FALSE)&amp;"]","["&amp;数值设计!$F$106*VLOOKUP(E21,数值设计!$J$118:$L$121,3,FALSE)&amp;","&amp;数值设计!$F$107*VLOOKUP(E21,数值设计!$J$118:$L$121,3,FALSE)&amp;","&amp;数值设计!$F$108*VLOOKUP(E21,数值设计!$J$118:$L$121,3,FALSE)&amp;","&amp;数值设计!$F$109*VLOOKUP(E21,数值设计!$J$118:$L$121,3,FALSE)&amp;","&amp;数值设计!$F$111*VLOOKUP(E21,数值设计!$J$118:$L$121,3,FALSE)&amp;"]"))</f>
        <v>[0.0075,0.006,0.006,45,0.015]</v>
      </c>
      <c r="N21" s="2">
        <v>3</v>
      </c>
      <c r="O21" s="2" t="str">
        <f t="shared" si="10"/>
        <v>[1,1,1,1,1]</v>
      </c>
      <c r="P21" s="2" t="str">
        <f t="shared" si="11"/>
        <v>[1,1,1,1,1]</v>
      </c>
      <c r="Q21" s="2" t="s">
        <v>356</v>
      </c>
      <c r="R21" s="2" t="str">
        <f t="shared" si="12"/>
        <v>[20,20,20,20]</v>
      </c>
    </row>
    <row r="22" spans="2:18" x14ac:dyDescent="0.15">
      <c r="B22" s="2" t="s">
        <v>487</v>
      </c>
      <c r="C22" s="2" t="str">
        <f t="shared" si="8"/>
        <v>Gem1052</v>
      </c>
      <c r="D22" s="2" t="s">
        <v>476</v>
      </c>
      <c r="E22" s="2">
        <v>2</v>
      </c>
      <c r="F22" s="2">
        <v>2</v>
      </c>
      <c r="G22" s="2" t="str">
        <f>G21</f>
        <v>SuitAtk_1</v>
      </c>
      <c r="I22" s="2" t="str">
        <f>VLOOKUP(F22,数值设计!$A$21:$I$23,9,FALSE)</f>
        <v>HP</v>
      </c>
      <c r="J22" s="2">
        <f>INT(VLOOKUP(F22,数值设计!$B$97:$H$113,4,FALSE)*VLOOKUP(E22,数值设计!$J$118:$L$121,3,FALSE))</f>
        <v>5793</v>
      </c>
      <c r="K22" s="2">
        <f>INT(VLOOKUP(F22,数值设计!$B$97:$H$113,5,FALSE)*数值设计!$L$118*VLOOKUP(E22,数值设计!$J$118:$L$121,3,FALSE))</f>
        <v>289</v>
      </c>
      <c r="L22" s="2" t="str">
        <f t="shared" si="9"/>
        <v>[CRITSTRG,BLOCKSTRG,UNBLOCKRATE,DEFRATE]</v>
      </c>
      <c r="M22" s="2" t="str">
        <f>IF(F22=1,"["&amp;数值设计!$F$100*VLOOKUP(E22,数值设计!$J$118:$L$121,3,FALSE)&amp;","&amp;数值设计!$F$103*VLOOKUP(E22,数值设计!$J$118:$L$121,3,FALSE)&amp;","&amp;数值设计!$F$102*VLOOKUP(E22,数值设计!$J$118:$L$121,3,FALSE)&amp;","&amp;数值设计!$F$110*VLOOKUP(E22,数值设计!$J$118:$L$121,3,FALSE)&amp;","&amp;数值设计!$F$113*VLOOKUP(E22,数值设计!$J$118:$L$121,3,FALSE)&amp;"]",IF(F22=2,"["&amp;数值设计!$F$101*VLOOKUP(E22,数值设计!$J$118:$L$121,3,FALSE)&amp;","&amp;数值设计!$F$104*VLOOKUP(E22,数值设计!$J$118:$L$121,3,FALSE)&amp;","&amp;数值设计!$F$105*VLOOKUP(E22,数值设计!$J$118:$L$121,3,FALSE)&amp;","&amp;数值设计!$F$112*VLOOKUP(E22,数值设计!$J$118:$L$121,3,FALSE)&amp;"]","["&amp;数值设计!$F$106*VLOOKUP(E22,数值设计!$J$118:$L$121,3,FALSE)&amp;","&amp;数值设计!$F$107*VLOOKUP(E22,数值设计!$J$118:$L$121,3,FALSE)&amp;","&amp;数值设计!$F$108*VLOOKUP(E22,数值设计!$J$118:$L$121,3,FALSE)&amp;","&amp;数值设计!$F$109*VLOOKUP(E22,数值设计!$J$118:$L$121,3,FALSE)&amp;","&amp;数值设计!$F$111*VLOOKUP(E22,数值设计!$J$118:$L$121,3,FALSE)&amp;"]"))</f>
        <v>[0.0075,0.006,0.006,0.015]</v>
      </c>
      <c r="N22" s="2">
        <v>3</v>
      </c>
      <c r="O22" s="2" t="str">
        <f t="shared" si="10"/>
        <v>[1,1,1,1,1]</v>
      </c>
      <c r="P22" s="2" t="str">
        <f t="shared" si="11"/>
        <v>[1,1,1,1,1]</v>
      </c>
      <c r="Q22" s="2" t="s">
        <v>356</v>
      </c>
      <c r="R22" s="2" t="str">
        <f t="shared" si="12"/>
        <v>[20,20,20,20]</v>
      </c>
    </row>
    <row r="23" spans="2:18" x14ac:dyDescent="0.15">
      <c r="B23" s="2" t="s">
        <v>488</v>
      </c>
      <c r="C23" s="2" t="str">
        <f t="shared" si="8"/>
        <v>Gem1053</v>
      </c>
      <c r="D23" s="2" t="s">
        <v>476</v>
      </c>
      <c r="E23" s="2">
        <v>2</v>
      </c>
      <c r="F23" s="2">
        <v>3</v>
      </c>
      <c r="G23" s="2" t="str">
        <f>G22</f>
        <v>SuitAtk_1</v>
      </c>
      <c r="I23" s="2" t="str">
        <f>VLOOKUP(F23,数值设计!$A$21:$I$23,9,FALSE)</f>
        <v>ATK</v>
      </c>
      <c r="J23" s="2">
        <f>INT(VLOOKUP(F23,数值设计!$B$97:$H$113,4,FALSE)*VLOOKUP(E23,数值设计!$J$118:$L$121,3,FALSE))</f>
        <v>945</v>
      </c>
      <c r="K23" s="2">
        <f>INT(VLOOKUP(F23,数值设计!$B$97:$H$113,5,FALSE)*数值设计!$L$118*VLOOKUP(E23,数值设计!$J$118:$L$121,3,FALSE))</f>
        <v>47</v>
      </c>
      <c r="L23" s="2" t="str">
        <f t="shared" si="9"/>
        <v>[HURTRATE,UNHURTRATE,REFLECTION,ABSORPTION,ATKRATE]</v>
      </c>
      <c r="M23" s="2" t="str">
        <f>IF(F23=1,"["&amp;数值设计!$F$100*VLOOKUP(E23,数值设计!$J$118:$L$121,3,FALSE)&amp;","&amp;数值设计!$F$103*VLOOKUP(E23,数值设计!$J$118:$L$121,3,FALSE)&amp;","&amp;数值设计!$F$102*VLOOKUP(E23,数值设计!$J$118:$L$121,3,FALSE)&amp;","&amp;数值设计!$F$110*VLOOKUP(E23,数值设计!$J$118:$L$121,3,FALSE)&amp;","&amp;数值设计!$F$113*VLOOKUP(E23,数值设计!$J$118:$L$121,3,FALSE)&amp;"]",IF(F23=2,"["&amp;数值设计!$F$101*VLOOKUP(E23,数值设计!$J$118:$L$121,3,FALSE)&amp;","&amp;数值设计!$F$104*VLOOKUP(E23,数值设计!$J$118:$L$121,3,FALSE)&amp;","&amp;数值设计!$F$105*VLOOKUP(E23,数值设计!$J$118:$L$121,3,FALSE)&amp;","&amp;数值设计!$F$112*VLOOKUP(E23,数值设计!$J$118:$L$121,3,FALSE)&amp;"]","["&amp;数值设计!$F$106*VLOOKUP(E23,数值设计!$J$118:$L$121,3,FALSE)&amp;","&amp;数值设计!$F$107*VLOOKUP(E23,数值设计!$J$118:$L$121,3,FALSE)&amp;","&amp;数值设计!$F$108*VLOOKUP(E23,数值设计!$J$118:$L$121,3,FALSE)&amp;","&amp;数值设计!$F$109*VLOOKUP(E23,数值设计!$J$118:$L$121,3,FALSE)&amp;","&amp;数值设计!$F$111*VLOOKUP(E23,数值设计!$J$118:$L$121,3,FALSE)&amp;"]"))</f>
        <v>[0.006,0.006,0.006,0.006,0.015]</v>
      </c>
      <c r="N23" s="2">
        <v>3</v>
      </c>
      <c r="O23" s="2" t="str">
        <f t="shared" si="10"/>
        <v>[1,1,1,1,1]</v>
      </c>
      <c r="P23" s="2" t="str">
        <f t="shared" si="11"/>
        <v>[1,1,1,1,1]</v>
      </c>
      <c r="Q23" s="2" t="s">
        <v>356</v>
      </c>
      <c r="R23" s="2" t="str">
        <f t="shared" si="12"/>
        <v>[20,20,20,20]</v>
      </c>
    </row>
    <row r="24" spans="2:18" x14ac:dyDescent="0.15">
      <c r="B24" s="2" t="s">
        <v>376</v>
      </c>
      <c r="C24" s="2" t="str">
        <f t="shared" si="0"/>
        <v>Gem2001</v>
      </c>
      <c r="D24" s="2" t="s">
        <v>231</v>
      </c>
      <c r="E24" s="2">
        <v>3</v>
      </c>
      <c r="F24" s="2">
        <v>1</v>
      </c>
      <c r="G24" s="2" t="str">
        <f>B189</f>
        <v>SuitCri_2</v>
      </c>
      <c r="I24" s="2" t="str">
        <f>VLOOKUP(F24,数值设计!$A$21:$I$23,9,FALSE)</f>
        <v>DEF</v>
      </c>
      <c r="J24" s="2">
        <f>INT(VLOOKUP(F24,数值设计!$B$97:$H$113,4,FALSE)*VLOOKUP(E24,数值设计!$J$118:$L$121,3,FALSE))</f>
        <v>865</v>
      </c>
      <c r="K24" s="2">
        <f>INT(VLOOKUP(F24,数值设计!$B$97:$H$113,5,FALSE)*数值设计!$L$118*VLOOKUP(E24,数值设计!$J$118:$L$121,3,FALSE))</f>
        <v>43</v>
      </c>
      <c r="L24" s="2" t="str">
        <f t="shared" si="1"/>
        <v>[CRITRATE,BLOCKRATE,UNCRITRATE,SPEED,HPRATE]</v>
      </c>
      <c r="M24" s="2" t="str">
        <f>IF(F24=1,"["&amp;数值设计!$F$100*VLOOKUP(E24,数值设计!$J$118:$L$121,3,FALSE)&amp;","&amp;数值设计!$F$103*VLOOKUP(E24,数值设计!$J$118:$L$121,3,FALSE)&amp;","&amp;数值设计!$F$102*VLOOKUP(E24,数值设计!$J$118:$L$121,3,FALSE)&amp;","&amp;数值设计!$F$110*VLOOKUP(E24,数值设计!$J$118:$L$121,3,FALSE)&amp;","&amp;数值设计!$F$113*VLOOKUP(E24,数值设计!$J$118:$L$121,3,FALSE)&amp;"]",IF(F24=2,"["&amp;数值设计!$F$101*VLOOKUP(E24,数值设计!$J$118:$L$121,3,FALSE)&amp;","&amp;数值设计!$F$104*VLOOKUP(E24,数值设计!$J$118:$L$121,3,FALSE)&amp;","&amp;数值设计!$F$105*VLOOKUP(E24,数值设计!$J$118:$L$121,3,FALSE)&amp;","&amp;数值设计!$F$112*VLOOKUP(E24,数值设计!$J$118:$L$121,3,FALSE)&amp;"]","["&amp;数值设计!$F$106*VLOOKUP(E24,数值设计!$J$118:$L$121,3,FALSE)&amp;","&amp;数值设计!$F$107*VLOOKUP(E24,数值设计!$J$118:$L$121,3,FALSE)&amp;","&amp;数值设计!$F$108*VLOOKUP(E24,数值设计!$J$118:$L$121,3,FALSE)&amp;","&amp;数值设计!$F$109*VLOOKUP(E24,数值设计!$J$118:$L$121,3,FALSE)&amp;","&amp;数值设计!$F$111*VLOOKUP(E24,数值设计!$J$118:$L$121,3,FALSE)&amp;"]"))</f>
        <v>[0.01375,0.011,0.011,82.5,0.0275]</v>
      </c>
      <c r="N24" s="2">
        <f t="shared" ref="N24:P41" si="13">N6</f>
        <v>3</v>
      </c>
      <c r="O24" s="2" t="str">
        <f t="shared" si="13"/>
        <v>[1,1,1,1,1]</v>
      </c>
      <c r="P24" s="2" t="str">
        <f t="shared" si="13"/>
        <v>[1,1,1,1,1]</v>
      </c>
      <c r="Q24" s="2" t="s">
        <v>356</v>
      </c>
      <c r="R24" s="2" t="s">
        <v>357</v>
      </c>
    </row>
    <row r="25" spans="2:18" x14ac:dyDescent="0.15">
      <c r="B25" s="2" t="s">
        <v>377</v>
      </c>
      <c r="C25" s="2" t="str">
        <f t="shared" si="0"/>
        <v>Gem2002</v>
      </c>
      <c r="D25" s="2" t="s">
        <v>232</v>
      </c>
      <c r="E25" s="2">
        <v>3</v>
      </c>
      <c r="F25" s="2">
        <v>2</v>
      </c>
      <c r="G25" s="2" t="str">
        <f>G24</f>
        <v>SuitCri_2</v>
      </c>
      <c r="I25" s="2" t="str">
        <f>VLOOKUP(F25,数值设计!$A$21:$I$23,9,FALSE)</f>
        <v>HP</v>
      </c>
      <c r="J25" s="2">
        <f>INT(VLOOKUP(F25,数值设计!$B$97:$H$113,4,FALSE)*VLOOKUP(E25,数值设计!$J$118:$L$121,3,FALSE))</f>
        <v>10620</v>
      </c>
      <c r="K25" s="2">
        <f>INT(VLOOKUP(F25,数值设计!$B$97:$H$113,5,FALSE)*数值设计!$L$118*VLOOKUP(E25,数值设计!$J$118:$L$121,3,FALSE))</f>
        <v>530</v>
      </c>
      <c r="L25" s="2" t="str">
        <f t="shared" si="1"/>
        <v>[CRITSTRG,BLOCKSTRG,UNBLOCKRATE,DEFRATE]</v>
      </c>
      <c r="M25" s="2" t="str">
        <f>IF(F25=1,"["&amp;数值设计!$F$100*VLOOKUP(E25,数值设计!$J$118:$L$121,3,FALSE)&amp;","&amp;数值设计!$F$103*VLOOKUP(E25,数值设计!$J$118:$L$121,3,FALSE)&amp;","&amp;数值设计!$F$102*VLOOKUP(E25,数值设计!$J$118:$L$121,3,FALSE)&amp;","&amp;数值设计!$F$110*VLOOKUP(E25,数值设计!$J$118:$L$121,3,FALSE)&amp;","&amp;数值设计!$F$113*VLOOKUP(E25,数值设计!$J$118:$L$121,3,FALSE)&amp;"]",IF(F25=2,"["&amp;数值设计!$F$101*VLOOKUP(E25,数值设计!$J$118:$L$121,3,FALSE)&amp;","&amp;数值设计!$F$104*VLOOKUP(E25,数值设计!$J$118:$L$121,3,FALSE)&amp;","&amp;数值设计!$F$105*VLOOKUP(E25,数值设计!$J$118:$L$121,3,FALSE)&amp;","&amp;数值设计!$F$112*VLOOKUP(E25,数值设计!$J$118:$L$121,3,FALSE)&amp;"]","["&amp;数值设计!$F$106*VLOOKUP(E25,数值设计!$J$118:$L$121,3,FALSE)&amp;","&amp;数值设计!$F$107*VLOOKUP(E25,数值设计!$J$118:$L$121,3,FALSE)&amp;","&amp;数值设计!$F$108*VLOOKUP(E25,数值设计!$J$118:$L$121,3,FALSE)&amp;","&amp;数值设计!$F$109*VLOOKUP(E25,数值设计!$J$118:$L$121,3,FALSE)&amp;","&amp;数值设计!$F$111*VLOOKUP(E25,数值设计!$J$118:$L$121,3,FALSE)&amp;"]"))</f>
        <v>[0.01375,0.011,0.011,0.0275]</v>
      </c>
      <c r="N25" s="2">
        <f t="shared" si="13"/>
        <v>3</v>
      </c>
      <c r="O25" s="2" t="str">
        <f t="shared" si="13"/>
        <v>[1,1,1,1,1]</v>
      </c>
      <c r="P25" s="2" t="str">
        <f t="shared" si="13"/>
        <v>[1,1,1,1,1]</v>
      </c>
      <c r="Q25" s="2" t="s">
        <v>356</v>
      </c>
      <c r="R25" s="2" t="str">
        <f>R7</f>
        <v>[20,20,20,20]</v>
      </c>
    </row>
    <row r="26" spans="2:18" x14ac:dyDescent="0.15">
      <c r="B26" s="2" t="s">
        <v>378</v>
      </c>
      <c r="C26" s="2" t="str">
        <f t="shared" si="0"/>
        <v>Gem2003</v>
      </c>
      <c r="D26" s="2" t="s">
        <v>233</v>
      </c>
      <c r="E26" s="2">
        <v>3</v>
      </c>
      <c r="F26" s="2">
        <v>3</v>
      </c>
      <c r="G26" s="2" t="str">
        <f>G25</f>
        <v>SuitCri_2</v>
      </c>
      <c r="I26" s="2" t="str">
        <f>VLOOKUP(F26,数值设计!$A$21:$I$23,9,FALSE)</f>
        <v>ATK</v>
      </c>
      <c r="J26" s="2">
        <f>INT(VLOOKUP(F26,数值设计!$B$97:$H$113,4,FALSE)*VLOOKUP(E26,数值设计!$J$118:$L$121,3,FALSE))</f>
        <v>1732</v>
      </c>
      <c r="K26" s="2">
        <f>INT(VLOOKUP(F26,数值设计!$B$97:$H$113,5,FALSE)*数值设计!$L$118*VLOOKUP(E26,数值设计!$J$118:$L$121,3,FALSE))</f>
        <v>86</v>
      </c>
      <c r="L26" s="2" t="str">
        <f t="shared" si="1"/>
        <v>[HURTRATE,UNHURTRATE,REFLECTION,ABSORPTION,ATKRATE]</v>
      </c>
      <c r="M26" s="2" t="str">
        <f>IF(F26=1,"["&amp;数值设计!$F$100*VLOOKUP(E26,数值设计!$J$118:$L$121,3,FALSE)&amp;","&amp;数值设计!$F$103*VLOOKUP(E26,数值设计!$J$118:$L$121,3,FALSE)&amp;","&amp;数值设计!$F$102*VLOOKUP(E26,数值设计!$J$118:$L$121,3,FALSE)&amp;","&amp;数值设计!$F$110*VLOOKUP(E26,数值设计!$J$118:$L$121,3,FALSE)&amp;","&amp;数值设计!$F$113*VLOOKUP(E26,数值设计!$J$118:$L$121,3,FALSE)&amp;"]",IF(F26=2,"["&amp;数值设计!$F$101*VLOOKUP(E26,数值设计!$J$118:$L$121,3,FALSE)&amp;","&amp;数值设计!$F$104*VLOOKUP(E26,数值设计!$J$118:$L$121,3,FALSE)&amp;","&amp;数值设计!$F$105*VLOOKUP(E26,数值设计!$J$118:$L$121,3,FALSE)&amp;","&amp;数值设计!$F$112*VLOOKUP(E26,数值设计!$J$118:$L$121,3,FALSE)&amp;"]","["&amp;数值设计!$F$106*VLOOKUP(E26,数值设计!$J$118:$L$121,3,FALSE)&amp;","&amp;数值设计!$F$107*VLOOKUP(E26,数值设计!$J$118:$L$121,3,FALSE)&amp;","&amp;数值设计!$F$108*VLOOKUP(E26,数值设计!$J$118:$L$121,3,FALSE)&amp;","&amp;数值设计!$F$109*VLOOKUP(E26,数值设计!$J$118:$L$121,3,FALSE)&amp;","&amp;数值设计!$F$111*VLOOKUP(E26,数值设计!$J$118:$L$121,3,FALSE)&amp;"]"))</f>
        <v>[0.011,0.011,0.011,0.011,0.0275]</v>
      </c>
      <c r="N26" s="2">
        <f t="shared" si="13"/>
        <v>3</v>
      </c>
      <c r="O26" s="2" t="str">
        <f t="shared" si="13"/>
        <v>[1,1,1,1,1]</v>
      </c>
      <c r="P26" s="2" t="str">
        <f t="shared" si="13"/>
        <v>[1,1,1,1,1]</v>
      </c>
      <c r="Q26" s="2" t="s">
        <v>356</v>
      </c>
      <c r="R26" s="2" t="str">
        <f>R8</f>
        <v>[20,20,20,20]</v>
      </c>
    </row>
    <row r="27" spans="2:18" x14ac:dyDescent="0.15">
      <c r="B27" s="2" t="s">
        <v>490</v>
      </c>
      <c r="C27" s="2" t="str">
        <f t="shared" ref="C27:C29" si="14">B27</f>
        <v>Gem2011</v>
      </c>
      <c r="D27" s="2" t="s">
        <v>489</v>
      </c>
      <c r="E27" s="2">
        <v>3</v>
      </c>
      <c r="F27" s="2">
        <v>1</v>
      </c>
      <c r="G27" s="2" t="str">
        <f>B190</f>
        <v>SuitBlock_2</v>
      </c>
      <c r="I27" s="2" t="str">
        <f>VLOOKUP(F27,数值设计!$A$21:$I$23,9,FALSE)</f>
        <v>DEF</v>
      </c>
      <c r="J27" s="2">
        <f>INT(VLOOKUP(F27,数值设计!$B$97:$H$113,4,FALSE)*VLOOKUP(E27,数值设计!$J$118:$L$121,3,FALSE))</f>
        <v>865</v>
      </c>
      <c r="K27" s="2">
        <f>INT(VLOOKUP(F27,数值设计!$B$97:$H$113,5,FALSE)*数值设计!$L$118*VLOOKUP(E27,数值设计!$J$118:$L$121,3,FALSE))</f>
        <v>43</v>
      </c>
      <c r="L27" s="2" t="str">
        <f t="shared" ref="L27:L29" si="15">IF(F27=1,"[CRITRATE,BLOCKRATE,UNCRITRATE,SPEED,HPRATE]",IF(F27=2,"[CRITSTRG,BLOCKSTRG,UNBLOCKRATE,DEFRATE]","[HURTRATE,UNHURTRATE,REFLECTION,ABSORPTION,ATKRATE]"))</f>
        <v>[CRITRATE,BLOCKRATE,UNCRITRATE,SPEED,HPRATE]</v>
      </c>
      <c r="M27" s="2" t="str">
        <f>IF(F27=1,"["&amp;数值设计!$F$100*VLOOKUP(E27,数值设计!$J$118:$L$121,3,FALSE)&amp;","&amp;数值设计!$F$103*VLOOKUP(E27,数值设计!$J$118:$L$121,3,FALSE)&amp;","&amp;数值设计!$F$102*VLOOKUP(E27,数值设计!$J$118:$L$121,3,FALSE)&amp;","&amp;数值设计!$F$110*VLOOKUP(E27,数值设计!$J$118:$L$121,3,FALSE)&amp;","&amp;数值设计!$F$113*VLOOKUP(E27,数值设计!$J$118:$L$121,3,FALSE)&amp;"]",IF(F27=2,"["&amp;数值设计!$F$101*VLOOKUP(E27,数值设计!$J$118:$L$121,3,FALSE)&amp;","&amp;数值设计!$F$104*VLOOKUP(E27,数值设计!$J$118:$L$121,3,FALSE)&amp;","&amp;数值设计!$F$105*VLOOKUP(E27,数值设计!$J$118:$L$121,3,FALSE)&amp;","&amp;数值设计!$F$112*VLOOKUP(E27,数值设计!$J$118:$L$121,3,FALSE)&amp;"]","["&amp;数值设计!$F$106*VLOOKUP(E27,数值设计!$J$118:$L$121,3,FALSE)&amp;","&amp;数值设计!$F$107*VLOOKUP(E27,数值设计!$J$118:$L$121,3,FALSE)&amp;","&amp;数值设计!$F$108*VLOOKUP(E27,数值设计!$J$118:$L$121,3,FALSE)&amp;","&amp;数值设计!$F$109*VLOOKUP(E27,数值设计!$J$118:$L$121,3,FALSE)&amp;","&amp;数值设计!$F$111*VLOOKUP(E27,数值设计!$J$118:$L$121,3,FALSE)&amp;"]"))</f>
        <v>[0.01375,0.011,0.011,82.5,0.0275]</v>
      </c>
      <c r="N27" s="2">
        <f t="shared" si="13"/>
        <v>3</v>
      </c>
      <c r="O27" s="2" t="str">
        <f t="shared" si="13"/>
        <v>[1,1,1,1,1]</v>
      </c>
      <c r="P27" s="2" t="str">
        <f t="shared" si="13"/>
        <v>[1,1,1,1,1]</v>
      </c>
      <c r="Q27" s="2" t="s">
        <v>358</v>
      </c>
      <c r="R27" s="2" t="s">
        <v>357</v>
      </c>
    </row>
    <row r="28" spans="2:18" x14ac:dyDescent="0.15">
      <c r="B28" s="2" t="s">
        <v>491</v>
      </c>
      <c r="C28" s="2" t="str">
        <f t="shared" si="14"/>
        <v>Gem2012</v>
      </c>
      <c r="D28" s="2" t="s">
        <v>232</v>
      </c>
      <c r="E28" s="2">
        <v>3</v>
      </c>
      <c r="F28" s="2">
        <v>2</v>
      </c>
      <c r="G28" s="2" t="str">
        <f>G27</f>
        <v>SuitBlock_2</v>
      </c>
      <c r="I28" s="2" t="str">
        <f>VLOOKUP(F28,数值设计!$A$21:$I$23,9,FALSE)</f>
        <v>HP</v>
      </c>
      <c r="J28" s="2">
        <f>INT(VLOOKUP(F28,数值设计!$B$97:$H$113,4,FALSE)*VLOOKUP(E28,数值设计!$J$118:$L$121,3,FALSE))</f>
        <v>10620</v>
      </c>
      <c r="K28" s="2">
        <f>INT(VLOOKUP(F28,数值设计!$B$97:$H$113,5,FALSE)*数值设计!$L$118*VLOOKUP(E28,数值设计!$J$118:$L$121,3,FALSE))</f>
        <v>530</v>
      </c>
      <c r="L28" s="2" t="str">
        <f t="shared" si="15"/>
        <v>[CRITSTRG,BLOCKSTRG,UNBLOCKRATE,DEFRATE]</v>
      </c>
      <c r="M28" s="2" t="str">
        <f>IF(F28=1,"["&amp;数值设计!$F$100*VLOOKUP(E28,数值设计!$J$118:$L$121,3,FALSE)&amp;","&amp;数值设计!$F$103*VLOOKUP(E28,数值设计!$J$118:$L$121,3,FALSE)&amp;","&amp;数值设计!$F$102*VLOOKUP(E28,数值设计!$J$118:$L$121,3,FALSE)&amp;","&amp;数值设计!$F$110*VLOOKUP(E28,数值设计!$J$118:$L$121,3,FALSE)&amp;","&amp;数值设计!$F$113*VLOOKUP(E28,数值设计!$J$118:$L$121,3,FALSE)&amp;"]",IF(F28=2,"["&amp;数值设计!$F$101*VLOOKUP(E28,数值设计!$J$118:$L$121,3,FALSE)&amp;","&amp;数值设计!$F$104*VLOOKUP(E28,数值设计!$J$118:$L$121,3,FALSE)&amp;","&amp;数值设计!$F$105*VLOOKUP(E28,数值设计!$J$118:$L$121,3,FALSE)&amp;","&amp;数值设计!$F$112*VLOOKUP(E28,数值设计!$J$118:$L$121,3,FALSE)&amp;"]","["&amp;数值设计!$F$106*VLOOKUP(E28,数值设计!$J$118:$L$121,3,FALSE)&amp;","&amp;数值设计!$F$107*VLOOKUP(E28,数值设计!$J$118:$L$121,3,FALSE)&amp;","&amp;数值设计!$F$108*VLOOKUP(E28,数值设计!$J$118:$L$121,3,FALSE)&amp;","&amp;数值设计!$F$109*VLOOKUP(E28,数值设计!$J$118:$L$121,3,FALSE)&amp;","&amp;数值设计!$F$111*VLOOKUP(E28,数值设计!$J$118:$L$121,3,FALSE)&amp;"]"))</f>
        <v>[0.01375,0.011,0.011,0.0275]</v>
      </c>
      <c r="N28" s="2">
        <f t="shared" si="13"/>
        <v>3</v>
      </c>
      <c r="O28" s="2" t="str">
        <f t="shared" si="13"/>
        <v>[1,1,1,1,1]</v>
      </c>
      <c r="P28" s="2" t="str">
        <f t="shared" si="13"/>
        <v>[1,1,1,1,1]</v>
      </c>
      <c r="Q28" s="2" t="s">
        <v>358</v>
      </c>
      <c r="R28" s="2" t="str">
        <f>R10</f>
        <v>[20,20,20,20]</v>
      </c>
    </row>
    <row r="29" spans="2:18" x14ac:dyDescent="0.15">
      <c r="B29" s="2" t="s">
        <v>492</v>
      </c>
      <c r="C29" s="2" t="str">
        <f t="shared" si="14"/>
        <v>Gem2013</v>
      </c>
      <c r="D29" s="2" t="s">
        <v>233</v>
      </c>
      <c r="E29" s="2">
        <v>3</v>
      </c>
      <c r="F29" s="2">
        <v>3</v>
      </c>
      <c r="G29" s="2" t="str">
        <f>G28</f>
        <v>SuitBlock_2</v>
      </c>
      <c r="I29" s="2" t="str">
        <f>VLOOKUP(F29,数值设计!$A$21:$I$23,9,FALSE)</f>
        <v>ATK</v>
      </c>
      <c r="J29" s="2">
        <f>INT(VLOOKUP(F29,数值设计!$B$97:$H$113,4,FALSE)*VLOOKUP(E29,数值设计!$J$118:$L$121,3,FALSE))</f>
        <v>1732</v>
      </c>
      <c r="K29" s="2">
        <f>INT(VLOOKUP(F29,数值设计!$B$97:$H$113,5,FALSE)*数值设计!$L$118*VLOOKUP(E29,数值设计!$J$118:$L$121,3,FALSE))</f>
        <v>86</v>
      </c>
      <c r="L29" s="2" t="str">
        <f t="shared" si="15"/>
        <v>[HURTRATE,UNHURTRATE,REFLECTION,ABSORPTION,ATKRATE]</v>
      </c>
      <c r="M29" s="2" t="str">
        <f>IF(F29=1,"["&amp;数值设计!$F$100*VLOOKUP(E29,数值设计!$J$118:$L$121,3,FALSE)&amp;","&amp;数值设计!$F$103*VLOOKUP(E29,数值设计!$J$118:$L$121,3,FALSE)&amp;","&amp;数值设计!$F$102*VLOOKUP(E29,数值设计!$J$118:$L$121,3,FALSE)&amp;","&amp;数值设计!$F$110*VLOOKUP(E29,数值设计!$J$118:$L$121,3,FALSE)&amp;","&amp;数值设计!$F$113*VLOOKUP(E29,数值设计!$J$118:$L$121,3,FALSE)&amp;"]",IF(F29=2,"["&amp;数值设计!$F$101*VLOOKUP(E29,数值设计!$J$118:$L$121,3,FALSE)&amp;","&amp;数值设计!$F$104*VLOOKUP(E29,数值设计!$J$118:$L$121,3,FALSE)&amp;","&amp;数值设计!$F$105*VLOOKUP(E29,数值设计!$J$118:$L$121,3,FALSE)&amp;","&amp;数值设计!$F$112*VLOOKUP(E29,数值设计!$J$118:$L$121,3,FALSE)&amp;"]","["&amp;数值设计!$F$106*VLOOKUP(E29,数值设计!$J$118:$L$121,3,FALSE)&amp;","&amp;数值设计!$F$107*VLOOKUP(E29,数值设计!$J$118:$L$121,3,FALSE)&amp;","&amp;数值设计!$F$108*VLOOKUP(E29,数值设计!$J$118:$L$121,3,FALSE)&amp;","&amp;数值设计!$F$109*VLOOKUP(E29,数值设计!$J$118:$L$121,3,FALSE)&amp;","&amp;数值设计!$F$111*VLOOKUP(E29,数值设计!$J$118:$L$121,3,FALSE)&amp;"]"))</f>
        <v>[0.011,0.011,0.011,0.011,0.0275]</v>
      </c>
      <c r="N29" s="2">
        <f t="shared" si="13"/>
        <v>3</v>
      </c>
      <c r="O29" s="2" t="str">
        <f t="shared" si="13"/>
        <v>[1,1,1,1,1]</v>
      </c>
      <c r="P29" s="2" t="str">
        <f t="shared" si="13"/>
        <v>[1,1,1,1,1]</v>
      </c>
      <c r="Q29" s="2" t="s">
        <v>358</v>
      </c>
      <c r="R29" s="2" t="str">
        <f>R11</f>
        <v>[20,20,20,20]</v>
      </c>
    </row>
    <row r="30" spans="2:18" x14ac:dyDescent="0.15">
      <c r="B30" s="2" t="s">
        <v>493</v>
      </c>
      <c r="C30" s="2" t="str">
        <f t="shared" ref="C30:C41" si="16">B30</f>
        <v>Gem2021</v>
      </c>
      <c r="D30" s="2" t="s">
        <v>489</v>
      </c>
      <c r="E30" s="2">
        <v>3</v>
      </c>
      <c r="F30" s="2">
        <v>1</v>
      </c>
      <c r="G30" s="2" t="str">
        <f>B191</f>
        <v>SuitDef_2</v>
      </c>
      <c r="I30" s="2" t="str">
        <f>VLOOKUP(F30,数值设计!$A$21:$I$23,9,FALSE)</f>
        <v>DEF</v>
      </c>
      <c r="J30" s="2">
        <f>INT(VLOOKUP(F30,数值设计!$B$97:$H$113,4,FALSE)*VLOOKUP(E30,数值设计!$J$118:$L$121,3,FALSE))</f>
        <v>865</v>
      </c>
      <c r="K30" s="2">
        <f>INT(VLOOKUP(F30,数值设计!$B$97:$H$113,5,FALSE)*数值设计!$L$118*VLOOKUP(E30,数值设计!$J$118:$L$121,3,FALSE))</f>
        <v>43</v>
      </c>
      <c r="L30" s="2" t="str">
        <f t="shared" ref="L30:L41" si="17">IF(F30=1,"[CRITRATE,BLOCKRATE,UNCRITRATE,SPEED,HPRATE]",IF(F30=2,"[CRITSTRG,BLOCKSTRG,UNBLOCKRATE,DEFRATE]","[HURTRATE,UNHURTRATE,REFLECTION,ABSORPTION,ATKRATE]"))</f>
        <v>[CRITRATE,BLOCKRATE,UNCRITRATE,SPEED,HPRATE]</v>
      </c>
      <c r="M30" s="2" t="str">
        <f>IF(F30=1,"["&amp;数值设计!$F$100*VLOOKUP(E30,数值设计!$J$118:$L$121,3,FALSE)&amp;","&amp;数值设计!$F$103*VLOOKUP(E30,数值设计!$J$118:$L$121,3,FALSE)&amp;","&amp;数值设计!$F$102*VLOOKUP(E30,数值设计!$J$118:$L$121,3,FALSE)&amp;","&amp;数值设计!$F$110*VLOOKUP(E30,数值设计!$J$118:$L$121,3,FALSE)&amp;","&amp;数值设计!$F$113*VLOOKUP(E30,数值设计!$J$118:$L$121,3,FALSE)&amp;"]",IF(F30=2,"["&amp;数值设计!$F$101*VLOOKUP(E30,数值设计!$J$118:$L$121,3,FALSE)&amp;","&amp;数值设计!$F$104*VLOOKUP(E30,数值设计!$J$118:$L$121,3,FALSE)&amp;","&amp;数值设计!$F$105*VLOOKUP(E30,数值设计!$J$118:$L$121,3,FALSE)&amp;","&amp;数值设计!$F$112*VLOOKUP(E30,数值设计!$J$118:$L$121,3,FALSE)&amp;"]","["&amp;数值设计!$F$106*VLOOKUP(E30,数值设计!$J$118:$L$121,3,FALSE)&amp;","&amp;数值设计!$F$107*VLOOKUP(E30,数值设计!$J$118:$L$121,3,FALSE)&amp;","&amp;数值设计!$F$108*VLOOKUP(E30,数值设计!$J$118:$L$121,3,FALSE)&amp;","&amp;数值设计!$F$109*VLOOKUP(E30,数值设计!$J$118:$L$121,3,FALSE)&amp;","&amp;数值设计!$F$111*VLOOKUP(E30,数值设计!$J$118:$L$121,3,FALSE)&amp;"]"))</f>
        <v>[0.01375,0.011,0.011,82.5,0.0275]</v>
      </c>
      <c r="N30" s="2">
        <f t="shared" si="13"/>
        <v>3</v>
      </c>
      <c r="O30" s="2" t="str">
        <f t="shared" si="13"/>
        <v>[1,1,1,1,1]</v>
      </c>
      <c r="P30" s="2" t="str">
        <f t="shared" si="13"/>
        <v>[1,1,1,1,1]</v>
      </c>
      <c r="Q30" s="2" t="s">
        <v>358</v>
      </c>
      <c r="R30" s="2" t="s">
        <v>357</v>
      </c>
    </row>
    <row r="31" spans="2:18" x14ac:dyDescent="0.15">
      <c r="B31" s="2" t="s">
        <v>494</v>
      </c>
      <c r="C31" s="2" t="str">
        <f t="shared" si="16"/>
        <v>Gem2022</v>
      </c>
      <c r="D31" s="2" t="s">
        <v>232</v>
      </c>
      <c r="E31" s="2">
        <v>3</v>
      </c>
      <c r="F31" s="2">
        <v>2</v>
      </c>
      <c r="G31" s="2" t="str">
        <f>G30</f>
        <v>SuitDef_2</v>
      </c>
      <c r="I31" s="2" t="str">
        <f>VLOOKUP(F31,数值设计!$A$21:$I$23,9,FALSE)</f>
        <v>HP</v>
      </c>
      <c r="J31" s="2">
        <f>INT(VLOOKUP(F31,数值设计!$B$97:$H$113,4,FALSE)*VLOOKUP(E31,数值设计!$J$118:$L$121,3,FALSE))</f>
        <v>10620</v>
      </c>
      <c r="K31" s="2">
        <f>INT(VLOOKUP(F31,数值设计!$B$97:$H$113,5,FALSE)*数值设计!$L$118*VLOOKUP(E31,数值设计!$J$118:$L$121,3,FALSE))</f>
        <v>530</v>
      </c>
      <c r="L31" s="2" t="str">
        <f t="shared" si="17"/>
        <v>[CRITSTRG,BLOCKSTRG,UNBLOCKRATE,DEFRATE]</v>
      </c>
      <c r="M31" s="2" t="str">
        <f>IF(F31=1,"["&amp;数值设计!$F$100*VLOOKUP(E31,数值设计!$J$118:$L$121,3,FALSE)&amp;","&amp;数值设计!$F$103*VLOOKUP(E31,数值设计!$J$118:$L$121,3,FALSE)&amp;","&amp;数值设计!$F$102*VLOOKUP(E31,数值设计!$J$118:$L$121,3,FALSE)&amp;","&amp;数值设计!$F$110*VLOOKUP(E31,数值设计!$J$118:$L$121,3,FALSE)&amp;","&amp;数值设计!$F$113*VLOOKUP(E31,数值设计!$J$118:$L$121,3,FALSE)&amp;"]",IF(F31=2,"["&amp;数值设计!$F$101*VLOOKUP(E31,数值设计!$J$118:$L$121,3,FALSE)&amp;","&amp;数值设计!$F$104*VLOOKUP(E31,数值设计!$J$118:$L$121,3,FALSE)&amp;","&amp;数值设计!$F$105*VLOOKUP(E31,数值设计!$J$118:$L$121,3,FALSE)&amp;","&amp;数值设计!$F$112*VLOOKUP(E31,数值设计!$J$118:$L$121,3,FALSE)&amp;"]","["&amp;数值设计!$F$106*VLOOKUP(E31,数值设计!$J$118:$L$121,3,FALSE)&amp;","&amp;数值设计!$F$107*VLOOKUP(E31,数值设计!$J$118:$L$121,3,FALSE)&amp;","&amp;数值设计!$F$108*VLOOKUP(E31,数值设计!$J$118:$L$121,3,FALSE)&amp;","&amp;数值设计!$F$109*VLOOKUP(E31,数值设计!$J$118:$L$121,3,FALSE)&amp;","&amp;数值设计!$F$111*VLOOKUP(E31,数值设计!$J$118:$L$121,3,FALSE)&amp;"]"))</f>
        <v>[0.01375,0.011,0.011,0.0275]</v>
      </c>
      <c r="N31" s="2">
        <f t="shared" si="13"/>
        <v>3</v>
      </c>
      <c r="O31" s="2" t="str">
        <f t="shared" si="13"/>
        <v>[1,1,1,1,1]</v>
      </c>
      <c r="P31" s="2" t="str">
        <f t="shared" si="13"/>
        <v>[1,1,1,1,1]</v>
      </c>
      <c r="Q31" s="2" t="s">
        <v>358</v>
      </c>
      <c r="R31" s="2" t="str">
        <f>R13</f>
        <v>[20,20,20,20]</v>
      </c>
    </row>
    <row r="32" spans="2:18" x14ac:dyDescent="0.15">
      <c r="B32" s="2" t="s">
        <v>495</v>
      </c>
      <c r="C32" s="2" t="str">
        <f t="shared" si="16"/>
        <v>Gem2023</v>
      </c>
      <c r="D32" s="2" t="s">
        <v>233</v>
      </c>
      <c r="E32" s="2">
        <v>3</v>
      </c>
      <c r="F32" s="2">
        <v>3</v>
      </c>
      <c r="G32" s="2" t="str">
        <f>G30</f>
        <v>SuitDef_2</v>
      </c>
      <c r="I32" s="2" t="str">
        <f>VLOOKUP(F32,数值设计!$A$21:$I$23,9,FALSE)</f>
        <v>ATK</v>
      </c>
      <c r="J32" s="2">
        <f>INT(VLOOKUP(F32,数值设计!$B$97:$H$113,4,FALSE)*VLOOKUP(E32,数值设计!$J$118:$L$121,3,FALSE))</f>
        <v>1732</v>
      </c>
      <c r="K32" s="2">
        <f>INT(VLOOKUP(F32,数值设计!$B$97:$H$113,5,FALSE)*数值设计!$L$118*VLOOKUP(E32,数值设计!$J$118:$L$121,3,FALSE))</f>
        <v>86</v>
      </c>
      <c r="L32" s="2" t="str">
        <f t="shared" si="17"/>
        <v>[HURTRATE,UNHURTRATE,REFLECTION,ABSORPTION,ATKRATE]</v>
      </c>
      <c r="M32" s="2" t="str">
        <f>IF(F32=1,"["&amp;数值设计!$F$100*VLOOKUP(E32,数值设计!$J$118:$L$121,3,FALSE)&amp;","&amp;数值设计!$F$103*VLOOKUP(E32,数值设计!$J$118:$L$121,3,FALSE)&amp;","&amp;数值设计!$F$102*VLOOKUP(E32,数值设计!$J$118:$L$121,3,FALSE)&amp;","&amp;数值设计!$F$110*VLOOKUP(E32,数值设计!$J$118:$L$121,3,FALSE)&amp;","&amp;数值设计!$F$113*VLOOKUP(E32,数值设计!$J$118:$L$121,3,FALSE)&amp;"]",IF(F32=2,"["&amp;数值设计!$F$101*VLOOKUP(E32,数值设计!$J$118:$L$121,3,FALSE)&amp;","&amp;数值设计!$F$104*VLOOKUP(E32,数值设计!$J$118:$L$121,3,FALSE)&amp;","&amp;数值设计!$F$105*VLOOKUP(E32,数值设计!$J$118:$L$121,3,FALSE)&amp;","&amp;数值设计!$F$112*VLOOKUP(E32,数值设计!$J$118:$L$121,3,FALSE)&amp;"]","["&amp;数值设计!$F$106*VLOOKUP(E32,数值设计!$J$118:$L$121,3,FALSE)&amp;","&amp;数值设计!$F$107*VLOOKUP(E32,数值设计!$J$118:$L$121,3,FALSE)&amp;","&amp;数值设计!$F$108*VLOOKUP(E32,数值设计!$J$118:$L$121,3,FALSE)&amp;","&amp;数值设计!$F$109*VLOOKUP(E32,数值设计!$J$118:$L$121,3,FALSE)&amp;","&amp;数值设计!$F$111*VLOOKUP(E32,数值设计!$J$118:$L$121,3,FALSE)&amp;"]"))</f>
        <v>[0.011,0.011,0.011,0.011,0.0275]</v>
      </c>
      <c r="N32" s="2">
        <f t="shared" si="13"/>
        <v>3</v>
      </c>
      <c r="O32" s="2" t="str">
        <f t="shared" si="13"/>
        <v>[1,1,1,1,1]</v>
      </c>
      <c r="P32" s="2" t="str">
        <f t="shared" si="13"/>
        <v>[1,1,1,1,1]</v>
      </c>
      <c r="Q32" s="2" t="s">
        <v>358</v>
      </c>
      <c r="R32" s="2" t="str">
        <f>R14</f>
        <v>[20,20,20,20]</v>
      </c>
    </row>
    <row r="33" spans="2:18" x14ac:dyDescent="0.15">
      <c r="B33" s="2" t="s">
        <v>496</v>
      </c>
      <c r="C33" s="2" t="str">
        <f t="shared" si="16"/>
        <v>Gem2031</v>
      </c>
      <c r="D33" s="2" t="s">
        <v>489</v>
      </c>
      <c r="E33" s="2">
        <v>3</v>
      </c>
      <c r="F33" s="2">
        <v>1</v>
      </c>
      <c r="G33" s="2" t="str">
        <f>B192</f>
        <v>SuitUnblock_2</v>
      </c>
      <c r="I33" s="2" t="str">
        <f>VLOOKUP(F33,数值设计!$A$21:$I$23,9,FALSE)</f>
        <v>DEF</v>
      </c>
      <c r="J33" s="2">
        <f>INT(VLOOKUP(F33,数值设计!$B$97:$H$113,4,FALSE)*VLOOKUP(E33,数值设计!$J$118:$L$121,3,FALSE))</f>
        <v>865</v>
      </c>
      <c r="K33" s="2">
        <f>INT(VLOOKUP(F33,数值设计!$B$97:$H$113,5,FALSE)*数值设计!$L$118*VLOOKUP(E33,数值设计!$J$118:$L$121,3,FALSE))</f>
        <v>43</v>
      </c>
      <c r="L33" s="2" t="str">
        <f t="shared" si="17"/>
        <v>[CRITRATE,BLOCKRATE,UNCRITRATE,SPEED,HPRATE]</v>
      </c>
      <c r="M33" s="2" t="str">
        <f>IF(F33=1,"["&amp;数值设计!$F$100*VLOOKUP(E33,数值设计!$J$118:$L$121,3,FALSE)&amp;","&amp;数值设计!$F$103*VLOOKUP(E33,数值设计!$J$118:$L$121,3,FALSE)&amp;","&amp;数值设计!$F$102*VLOOKUP(E33,数值设计!$J$118:$L$121,3,FALSE)&amp;","&amp;数值设计!$F$110*VLOOKUP(E33,数值设计!$J$118:$L$121,3,FALSE)&amp;","&amp;数值设计!$F$113*VLOOKUP(E33,数值设计!$J$118:$L$121,3,FALSE)&amp;"]",IF(F33=2,"["&amp;数值设计!$F$101*VLOOKUP(E33,数值设计!$J$118:$L$121,3,FALSE)&amp;","&amp;数值设计!$F$104*VLOOKUP(E33,数值设计!$J$118:$L$121,3,FALSE)&amp;","&amp;数值设计!$F$105*VLOOKUP(E33,数值设计!$J$118:$L$121,3,FALSE)&amp;","&amp;数值设计!$F$112*VLOOKUP(E33,数值设计!$J$118:$L$121,3,FALSE)&amp;"]","["&amp;数值设计!$F$106*VLOOKUP(E33,数值设计!$J$118:$L$121,3,FALSE)&amp;","&amp;数值设计!$F$107*VLOOKUP(E33,数值设计!$J$118:$L$121,3,FALSE)&amp;","&amp;数值设计!$F$108*VLOOKUP(E33,数值设计!$J$118:$L$121,3,FALSE)&amp;","&amp;数值设计!$F$109*VLOOKUP(E33,数值设计!$J$118:$L$121,3,FALSE)&amp;","&amp;数值设计!$F$111*VLOOKUP(E33,数值设计!$J$118:$L$121,3,FALSE)&amp;"]"))</f>
        <v>[0.01375,0.011,0.011,82.5,0.0275]</v>
      </c>
      <c r="N33" s="2">
        <f t="shared" si="13"/>
        <v>3</v>
      </c>
      <c r="O33" s="2" t="str">
        <f t="shared" si="13"/>
        <v>[1,1,1,1,1]</v>
      </c>
      <c r="P33" s="2" t="str">
        <f t="shared" si="13"/>
        <v>[1,1,1,1,1]</v>
      </c>
      <c r="Q33" s="2" t="s">
        <v>358</v>
      </c>
      <c r="R33" s="2" t="s">
        <v>357</v>
      </c>
    </row>
    <row r="34" spans="2:18" x14ac:dyDescent="0.15">
      <c r="B34" s="2" t="s">
        <v>497</v>
      </c>
      <c r="C34" s="2" t="str">
        <f t="shared" si="16"/>
        <v>Gem2032</v>
      </c>
      <c r="D34" s="2" t="s">
        <v>232</v>
      </c>
      <c r="E34" s="2">
        <v>3</v>
      </c>
      <c r="F34" s="2">
        <v>2</v>
      </c>
      <c r="G34" s="2" t="str">
        <f>G33</f>
        <v>SuitUnblock_2</v>
      </c>
      <c r="I34" s="2" t="str">
        <f>VLOOKUP(F34,数值设计!$A$21:$I$23,9,FALSE)</f>
        <v>HP</v>
      </c>
      <c r="J34" s="2">
        <f>INT(VLOOKUP(F34,数值设计!$B$97:$H$113,4,FALSE)*VLOOKUP(E34,数值设计!$J$118:$L$121,3,FALSE))</f>
        <v>10620</v>
      </c>
      <c r="K34" s="2">
        <f>INT(VLOOKUP(F34,数值设计!$B$97:$H$113,5,FALSE)*数值设计!$L$118*VLOOKUP(E34,数值设计!$J$118:$L$121,3,FALSE))</f>
        <v>530</v>
      </c>
      <c r="L34" s="2" t="str">
        <f t="shared" si="17"/>
        <v>[CRITSTRG,BLOCKSTRG,UNBLOCKRATE,DEFRATE]</v>
      </c>
      <c r="M34" s="2" t="str">
        <f>IF(F34=1,"["&amp;数值设计!$F$100*VLOOKUP(E34,数值设计!$J$118:$L$121,3,FALSE)&amp;","&amp;数值设计!$F$103*VLOOKUP(E34,数值设计!$J$118:$L$121,3,FALSE)&amp;","&amp;数值设计!$F$102*VLOOKUP(E34,数值设计!$J$118:$L$121,3,FALSE)&amp;","&amp;数值设计!$F$110*VLOOKUP(E34,数值设计!$J$118:$L$121,3,FALSE)&amp;","&amp;数值设计!$F$113*VLOOKUP(E34,数值设计!$J$118:$L$121,3,FALSE)&amp;"]",IF(F34=2,"["&amp;数值设计!$F$101*VLOOKUP(E34,数值设计!$J$118:$L$121,3,FALSE)&amp;","&amp;数值设计!$F$104*VLOOKUP(E34,数值设计!$J$118:$L$121,3,FALSE)&amp;","&amp;数值设计!$F$105*VLOOKUP(E34,数值设计!$J$118:$L$121,3,FALSE)&amp;","&amp;数值设计!$F$112*VLOOKUP(E34,数值设计!$J$118:$L$121,3,FALSE)&amp;"]","["&amp;数值设计!$F$106*VLOOKUP(E34,数值设计!$J$118:$L$121,3,FALSE)&amp;","&amp;数值设计!$F$107*VLOOKUP(E34,数值设计!$J$118:$L$121,3,FALSE)&amp;","&amp;数值设计!$F$108*VLOOKUP(E34,数值设计!$J$118:$L$121,3,FALSE)&amp;","&amp;数值设计!$F$109*VLOOKUP(E34,数值设计!$J$118:$L$121,3,FALSE)&amp;","&amp;数值设计!$F$111*VLOOKUP(E34,数值设计!$J$118:$L$121,3,FALSE)&amp;"]"))</f>
        <v>[0.01375,0.011,0.011,0.0275]</v>
      </c>
      <c r="N34" s="2">
        <f t="shared" si="13"/>
        <v>3</v>
      </c>
      <c r="O34" s="2" t="str">
        <f t="shared" si="13"/>
        <v>[1,1,1,1,1]</v>
      </c>
      <c r="P34" s="2" t="str">
        <f t="shared" si="13"/>
        <v>[1,1,1,1,1]</v>
      </c>
      <c r="Q34" s="2" t="s">
        <v>358</v>
      </c>
      <c r="R34" s="2" t="str">
        <f>R16</f>
        <v>[20,20,20,20]</v>
      </c>
    </row>
    <row r="35" spans="2:18" x14ac:dyDescent="0.15">
      <c r="B35" s="2" t="s">
        <v>498</v>
      </c>
      <c r="C35" s="2" t="str">
        <f t="shared" si="16"/>
        <v>Gem2033</v>
      </c>
      <c r="D35" s="2" t="s">
        <v>233</v>
      </c>
      <c r="E35" s="2">
        <v>3</v>
      </c>
      <c r="F35" s="2">
        <v>3</v>
      </c>
      <c r="G35" s="2" t="str">
        <f>G34</f>
        <v>SuitUnblock_2</v>
      </c>
      <c r="I35" s="2" t="str">
        <f>VLOOKUP(F35,数值设计!$A$21:$I$23,9,FALSE)</f>
        <v>ATK</v>
      </c>
      <c r="J35" s="2">
        <f>INT(VLOOKUP(F35,数值设计!$B$97:$H$113,4,FALSE)*VLOOKUP(E35,数值设计!$J$118:$L$121,3,FALSE))</f>
        <v>1732</v>
      </c>
      <c r="K35" s="2">
        <f>INT(VLOOKUP(F35,数值设计!$B$97:$H$113,5,FALSE)*数值设计!$L$118*VLOOKUP(E35,数值设计!$J$118:$L$121,3,FALSE))</f>
        <v>86</v>
      </c>
      <c r="L35" s="2" t="str">
        <f t="shared" si="17"/>
        <v>[HURTRATE,UNHURTRATE,REFLECTION,ABSORPTION,ATKRATE]</v>
      </c>
      <c r="M35" s="2" t="str">
        <f>IF(F35=1,"["&amp;数值设计!$F$100*VLOOKUP(E35,数值设计!$J$118:$L$121,3,FALSE)&amp;","&amp;数值设计!$F$103*VLOOKUP(E35,数值设计!$J$118:$L$121,3,FALSE)&amp;","&amp;数值设计!$F$102*VLOOKUP(E35,数值设计!$J$118:$L$121,3,FALSE)&amp;","&amp;数值设计!$F$110*VLOOKUP(E35,数值设计!$J$118:$L$121,3,FALSE)&amp;","&amp;数值设计!$F$113*VLOOKUP(E35,数值设计!$J$118:$L$121,3,FALSE)&amp;"]",IF(F35=2,"["&amp;数值设计!$F$101*VLOOKUP(E35,数值设计!$J$118:$L$121,3,FALSE)&amp;","&amp;数值设计!$F$104*VLOOKUP(E35,数值设计!$J$118:$L$121,3,FALSE)&amp;","&amp;数值设计!$F$105*VLOOKUP(E35,数值设计!$J$118:$L$121,3,FALSE)&amp;","&amp;数值设计!$F$112*VLOOKUP(E35,数值设计!$J$118:$L$121,3,FALSE)&amp;"]","["&amp;数值设计!$F$106*VLOOKUP(E35,数值设计!$J$118:$L$121,3,FALSE)&amp;","&amp;数值设计!$F$107*VLOOKUP(E35,数值设计!$J$118:$L$121,3,FALSE)&amp;","&amp;数值设计!$F$108*VLOOKUP(E35,数值设计!$J$118:$L$121,3,FALSE)&amp;","&amp;数值设计!$F$109*VLOOKUP(E35,数值设计!$J$118:$L$121,3,FALSE)&amp;","&amp;数值设计!$F$111*VLOOKUP(E35,数值设计!$J$118:$L$121,3,FALSE)&amp;"]"))</f>
        <v>[0.011,0.011,0.011,0.011,0.0275]</v>
      </c>
      <c r="N35" s="2">
        <f t="shared" si="13"/>
        <v>3</v>
      </c>
      <c r="O35" s="2" t="str">
        <f t="shared" si="13"/>
        <v>[1,1,1,1,1]</v>
      </c>
      <c r="P35" s="2" t="str">
        <f t="shared" si="13"/>
        <v>[1,1,1,1,1]</v>
      </c>
      <c r="Q35" s="2" t="s">
        <v>358</v>
      </c>
      <c r="R35" s="2" t="str">
        <f>R17</f>
        <v>[20,20,20,20]</v>
      </c>
    </row>
    <row r="36" spans="2:18" x14ac:dyDescent="0.15">
      <c r="B36" s="2" t="s">
        <v>499</v>
      </c>
      <c r="C36" s="2" t="str">
        <f t="shared" si="16"/>
        <v>Gem2041</v>
      </c>
      <c r="D36" s="2" t="s">
        <v>489</v>
      </c>
      <c r="E36" s="2">
        <v>3</v>
      </c>
      <c r="F36" s="2">
        <v>1</v>
      </c>
      <c r="G36" s="2" t="str">
        <f>B193</f>
        <v>SuitSpecial_2</v>
      </c>
      <c r="I36" s="2" t="str">
        <f>VLOOKUP(F36,数值设计!$A$21:$I$23,9,FALSE)</f>
        <v>DEF</v>
      </c>
      <c r="J36" s="2">
        <f>INT(VLOOKUP(F36,数值设计!$B$97:$H$113,4,FALSE)*VLOOKUP(E36,数值设计!$J$118:$L$121,3,FALSE))</f>
        <v>865</v>
      </c>
      <c r="K36" s="2">
        <f>INT(VLOOKUP(F36,数值设计!$B$97:$H$113,5,FALSE)*数值设计!$L$118*VLOOKUP(E36,数值设计!$J$118:$L$121,3,FALSE))</f>
        <v>43</v>
      </c>
      <c r="L36" s="2" t="str">
        <f t="shared" si="17"/>
        <v>[CRITRATE,BLOCKRATE,UNCRITRATE,SPEED,HPRATE]</v>
      </c>
      <c r="M36" s="2" t="str">
        <f>IF(F36=1,"["&amp;数值设计!$F$100*VLOOKUP(E36,数值设计!$J$118:$L$121,3,FALSE)&amp;","&amp;数值设计!$F$103*VLOOKUP(E36,数值设计!$J$118:$L$121,3,FALSE)&amp;","&amp;数值设计!$F$102*VLOOKUP(E36,数值设计!$J$118:$L$121,3,FALSE)&amp;","&amp;数值设计!$F$110*VLOOKUP(E36,数值设计!$J$118:$L$121,3,FALSE)&amp;","&amp;数值设计!$F$113*VLOOKUP(E36,数值设计!$J$118:$L$121,3,FALSE)&amp;"]",IF(F36=2,"["&amp;数值设计!$F$101*VLOOKUP(E36,数值设计!$J$118:$L$121,3,FALSE)&amp;","&amp;数值设计!$F$104*VLOOKUP(E36,数值设计!$J$118:$L$121,3,FALSE)&amp;","&amp;数值设计!$F$105*VLOOKUP(E36,数值设计!$J$118:$L$121,3,FALSE)&amp;","&amp;数值设计!$F$112*VLOOKUP(E36,数值设计!$J$118:$L$121,3,FALSE)&amp;"]","["&amp;数值设计!$F$106*VLOOKUP(E36,数值设计!$J$118:$L$121,3,FALSE)&amp;","&amp;数值设计!$F$107*VLOOKUP(E36,数值设计!$J$118:$L$121,3,FALSE)&amp;","&amp;数值设计!$F$108*VLOOKUP(E36,数值设计!$J$118:$L$121,3,FALSE)&amp;","&amp;数值设计!$F$109*VLOOKUP(E36,数值设计!$J$118:$L$121,3,FALSE)&amp;","&amp;数值设计!$F$111*VLOOKUP(E36,数值设计!$J$118:$L$121,3,FALSE)&amp;"]"))</f>
        <v>[0.01375,0.011,0.011,82.5,0.0275]</v>
      </c>
      <c r="N36" s="2">
        <f t="shared" si="13"/>
        <v>3</v>
      </c>
      <c r="O36" s="2" t="str">
        <f t="shared" si="13"/>
        <v>[1,1,1,1,1]</v>
      </c>
      <c r="P36" s="2" t="str">
        <f t="shared" si="13"/>
        <v>[1,1,1,1,1]</v>
      </c>
      <c r="Q36" s="2" t="s">
        <v>358</v>
      </c>
      <c r="R36" s="2" t="s">
        <v>357</v>
      </c>
    </row>
    <row r="37" spans="2:18" x14ac:dyDescent="0.15">
      <c r="B37" s="2" t="s">
        <v>500</v>
      </c>
      <c r="C37" s="2" t="str">
        <f t="shared" si="16"/>
        <v>Gem2042</v>
      </c>
      <c r="D37" s="2" t="s">
        <v>232</v>
      </c>
      <c r="E37" s="2">
        <v>3</v>
      </c>
      <c r="F37" s="2">
        <v>2</v>
      </c>
      <c r="G37" s="2" t="str">
        <f>G36</f>
        <v>SuitSpecial_2</v>
      </c>
      <c r="I37" s="2" t="str">
        <f>VLOOKUP(F37,数值设计!$A$21:$I$23,9,FALSE)</f>
        <v>HP</v>
      </c>
      <c r="J37" s="2">
        <f>INT(VLOOKUP(F37,数值设计!$B$97:$H$113,4,FALSE)*VLOOKUP(E37,数值设计!$J$118:$L$121,3,FALSE))</f>
        <v>10620</v>
      </c>
      <c r="K37" s="2">
        <f>INT(VLOOKUP(F37,数值设计!$B$97:$H$113,5,FALSE)*数值设计!$L$118*VLOOKUP(E37,数值设计!$J$118:$L$121,3,FALSE))</f>
        <v>530</v>
      </c>
      <c r="L37" s="2" t="str">
        <f t="shared" si="17"/>
        <v>[CRITSTRG,BLOCKSTRG,UNBLOCKRATE,DEFRATE]</v>
      </c>
      <c r="M37" s="2" t="str">
        <f>IF(F37=1,"["&amp;数值设计!$F$100*VLOOKUP(E37,数值设计!$J$118:$L$121,3,FALSE)&amp;","&amp;数值设计!$F$103*VLOOKUP(E37,数值设计!$J$118:$L$121,3,FALSE)&amp;","&amp;数值设计!$F$102*VLOOKUP(E37,数值设计!$J$118:$L$121,3,FALSE)&amp;","&amp;数值设计!$F$110*VLOOKUP(E37,数值设计!$J$118:$L$121,3,FALSE)&amp;","&amp;数值设计!$F$113*VLOOKUP(E37,数值设计!$J$118:$L$121,3,FALSE)&amp;"]",IF(F37=2,"["&amp;数值设计!$F$101*VLOOKUP(E37,数值设计!$J$118:$L$121,3,FALSE)&amp;","&amp;数值设计!$F$104*VLOOKUP(E37,数值设计!$J$118:$L$121,3,FALSE)&amp;","&amp;数值设计!$F$105*VLOOKUP(E37,数值设计!$J$118:$L$121,3,FALSE)&amp;","&amp;数值设计!$F$112*VLOOKUP(E37,数值设计!$J$118:$L$121,3,FALSE)&amp;"]","["&amp;数值设计!$F$106*VLOOKUP(E37,数值设计!$J$118:$L$121,3,FALSE)&amp;","&amp;数值设计!$F$107*VLOOKUP(E37,数值设计!$J$118:$L$121,3,FALSE)&amp;","&amp;数值设计!$F$108*VLOOKUP(E37,数值设计!$J$118:$L$121,3,FALSE)&amp;","&amp;数值设计!$F$109*VLOOKUP(E37,数值设计!$J$118:$L$121,3,FALSE)&amp;","&amp;数值设计!$F$111*VLOOKUP(E37,数值设计!$J$118:$L$121,3,FALSE)&amp;"]"))</f>
        <v>[0.01375,0.011,0.011,0.0275]</v>
      </c>
      <c r="N37" s="2">
        <f t="shared" si="13"/>
        <v>3</v>
      </c>
      <c r="O37" s="2" t="str">
        <f t="shared" si="13"/>
        <v>[1,1,1,1,1]</v>
      </c>
      <c r="P37" s="2" t="str">
        <f t="shared" si="13"/>
        <v>[1,1,1,1,1]</v>
      </c>
      <c r="Q37" s="2" t="s">
        <v>358</v>
      </c>
      <c r="R37" s="2" t="str">
        <f>R19</f>
        <v>[20,20,20,20]</v>
      </c>
    </row>
    <row r="38" spans="2:18" x14ac:dyDescent="0.15">
      <c r="B38" s="2" t="s">
        <v>501</v>
      </c>
      <c r="C38" s="2" t="str">
        <f t="shared" si="16"/>
        <v>Gem2043</v>
      </c>
      <c r="D38" s="2" t="s">
        <v>233</v>
      </c>
      <c r="E38" s="2">
        <v>3</v>
      </c>
      <c r="F38" s="2">
        <v>3</v>
      </c>
      <c r="G38" s="2" t="str">
        <f>G37</f>
        <v>SuitSpecial_2</v>
      </c>
      <c r="I38" s="2" t="str">
        <f>VLOOKUP(F38,数值设计!$A$21:$I$23,9,FALSE)</f>
        <v>ATK</v>
      </c>
      <c r="J38" s="2">
        <f>INT(VLOOKUP(F38,数值设计!$B$97:$H$113,4,FALSE)*VLOOKUP(E38,数值设计!$J$118:$L$121,3,FALSE))</f>
        <v>1732</v>
      </c>
      <c r="K38" s="2">
        <f>INT(VLOOKUP(F38,数值设计!$B$97:$H$113,5,FALSE)*数值设计!$L$118*VLOOKUP(E38,数值设计!$J$118:$L$121,3,FALSE))</f>
        <v>86</v>
      </c>
      <c r="L38" s="2" t="str">
        <f t="shared" si="17"/>
        <v>[HURTRATE,UNHURTRATE,REFLECTION,ABSORPTION,ATKRATE]</v>
      </c>
      <c r="M38" s="2" t="str">
        <f>IF(F38=1,"["&amp;数值设计!$F$100*VLOOKUP(E38,数值设计!$J$118:$L$121,3,FALSE)&amp;","&amp;数值设计!$F$103*VLOOKUP(E38,数值设计!$J$118:$L$121,3,FALSE)&amp;","&amp;数值设计!$F$102*VLOOKUP(E38,数值设计!$J$118:$L$121,3,FALSE)&amp;","&amp;数值设计!$F$110*VLOOKUP(E38,数值设计!$J$118:$L$121,3,FALSE)&amp;","&amp;数值设计!$F$113*VLOOKUP(E38,数值设计!$J$118:$L$121,3,FALSE)&amp;"]",IF(F38=2,"["&amp;数值设计!$F$101*VLOOKUP(E38,数值设计!$J$118:$L$121,3,FALSE)&amp;","&amp;数值设计!$F$104*VLOOKUP(E38,数值设计!$J$118:$L$121,3,FALSE)&amp;","&amp;数值设计!$F$105*VLOOKUP(E38,数值设计!$J$118:$L$121,3,FALSE)&amp;","&amp;数值设计!$F$112*VLOOKUP(E38,数值设计!$J$118:$L$121,3,FALSE)&amp;"]","["&amp;数值设计!$F$106*VLOOKUP(E38,数值设计!$J$118:$L$121,3,FALSE)&amp;","&amp;数值设计!$F$107*VLOOKUP(E38,数值设计!$J$118:$L$121,3,FALSE)&amp;","&amp;数值设计!$F$108*VLOOKUP(E38,数值设计!$J$118:$L$121,3,FALSE)&amp;","&amp;数值设计!$F$109*VLOOKUP(E38,数值设计!$J$118:$L$121,3,FALSE)&amp;","&amp;数值设计!$F$111*VLOOKUP(E38,数值设计!$J$118:$L$121,3,FALSE)&amp;"]"))</f>
        <v>[0.011,0.011,0.011,0.011,0.0275]</v>
      </c>
      <c r="N38" s="2">
        <f t="shared" si="13"/>
        <v>3</v>
      </c>
      <c r="O38" s="2" t="str">
        <f t="shared" si="13"/>
        <v>[1,1,1,1,1]</v>
      </c>
      <c r="P38" s="2" t="str">
        <f t="shared" si="13"/>
        <v>[1,1,1,1,1]</v>
      </c>
      <c r="Q38" s="2" t="s">
        <v>358</v>
      </c>
      <c r="R38" s="2" t="str">
        <f>R20</f>
        <v>[20,20,20,20]</v>
      </c>
    </row>
    <row r="39" spans="2:18" x14ac:dyDescent="0.15">
      <c r="B39" s="2" t="s">
        <v>502</v>
      </c>
      <c r="C39" s="2" t="str">
        <f t="shared" si="16"/>
        <v>Gem2051</v>
      </c>
      <c r="D39" s="2" t="s">
        <v>489</v>
      </c>
      <c r="E39" s="2">
        <v>3</v>
      </c>
      <c r="F39" s="2">
        <v>1</v>
      </c>
      <c r="G39" s="2" t="str">
        <f>B194</f>
        <v>SuitAtk_2</v>
      </c>
      <c r="I39" s="2" t="str">
        <f>VLOOKUP(F39,数值设计!$A$21:$I$23,9,FALSE)</f>
        <v>DEF</v>
      </c>
      <c r="J39" s="2">
        <f>INT(VLOOKUP(F39,数值设计!$B$97:$H$113,4,FALSE)*VLOOKUP(E39,数值设计!$J$118:$L$121,3,FALSE))</f>
        <v>865</v>
      </c>
      <c r="K39" s="2">
        <f>INT(VLOOKUP(F39,数值设计!$B$97:$H$113,5,FALSE)*数值设计!$L$118*VLOOKUP(E39,数值设计!$J$118:$L$121,3,FALSE))</f>
        <v>43</v>
      </c>
      <c r="L39" s="2" t="str">
        <f t="shared" si="17"/>
        <v>[CRITRATE,BLOCKRATE,UNCRITRATE,SPEED,HPRATE]</v>
      </c>
      <c r="M39" s="2" t="str">
        <f>IF(F39=1,"["&amp;数值设计!$F$100*VLOOKUP(E39,数值设计!$J$118:$L$121,3,FALSE)&amp;","&amp;数值设计!$F$103*VLOOKUP(E39,数值设计!$J$118:$L$121,3,FALSE)&amp;","&amp;数值设计!$F$102*VLOOKUP(E39,数值设计!$J$118:$L$121,3,FALSE)&amp;","&amp;数值设计!$F$110*VLOOKUP(E39,数值设计!$J$118:$L$121,3,FALSE)&amp;","&amp;数值设计!$F$113*VLOOKUP(E39,数值设计!$J$118:$L$121,3,FALSE)&amp;"]",IF(F39=2,"["&amp;数值设计!$F$101*VLOOKUP(E39,数值设计!$J$118:$L$121,3,FALSE)&amp;","&amp;数值设计!$F$104*VLOOKUP(E39,数值设计!$J$118:$L$121,3,FALSE)&amp;","&amp;数值设计!$F$105*VLOOKUP(E39,数值设计!$J$118:$L$121,3,FALSE)&amp;","&amp;数值设计!$F$112*VLOOKUP(E39,数值设计!$J$118:$L$121,3,FALSE)&amp;"]","["&amp;数值设计!$F$106*VLOOKUP(E39,数值设计!$J$118:$L$121,3,FALSE)&amp;","&amp;数值设计!$F$107*VLOOKUP(E39,数值设计!$J$118:$L$121,3,FALSE)&amp;","&amp;数值设计!$F$108*VLOOKUP(E39,数值设计!$J$118:$L$121,3,FALSE)&amp;","&amp;数值设计!$F$109*VLOOKUP(E39,数值设计!$J$118:$L$121,3,FALSE)&amp;","&amp;数值设计!$F$111*VLOOKUP(E39,数值设计!$J$118:$L$121,3,FALSE)&amp;"]"))</f>
        <v>[0.01375,0.011,0.011,82.5,0.0275]</v>
      </c>
      <c r="N39" s="2">
        <f t="shared" si="13"/>
        <v>3</v>
      </c>
      <c r="O39" s="2" t="str">
        <f t="shared" si="13"/>
        <v>[1,1,1,1,1]</v>
      </c>
      <c r="P39" s="2" t="str">
        <f t="shared" si="13"/>
        <v>[1,1,1,1,1]</v>
      </c>
      <c r="Q39" s="2" t="s">
        <v>358</v>
      </c>
      <c r="R39" s="2" t="s">
        <v>357</v>
      </c>
    </row>
    <row r="40" spans="2:18" x14ac:dyDescent="0.15">
      <c r="B40" s="2" t="s">
        <v>503</v>
      </c>
      <c r="C40" s="2" t="str">
        <f t="shared" si="16"/>
        <v>Gem2052</v>
      </c>
      <c r="D40" s="2" t="s">
        <v>232</v>
      </c>
      <c r="E40" s="2">
        <v>3</v>
      </c>
      <c r="F40" s="2">
        <v>2</v>
      </c>
      <c r="G40" s="2" t="str">
        <f>G39</f>
        <v>SuitAtk_2</v>
      </c>
      <c r="I40" s="2" t="str">
        <f>VLOOKUP(F40,数值设计!$A$21:$I$23,9,FALSE)</f>
        <v>HP</v>
      </c>
      <c r="J40" s="2">
        <f>INT(VLOOKUP(F40,数值设计!$B$97:$H$113,4,FALSE)*VLOOKUP(E40,数值设计!$J$118:$L$121,3,FALSE))</f>
        <v>10620</v>
      </c>
      <c r="K40" s="2">
        <f>INT(VLOOKUP(F40,数值设计!$B$97:$H$113,5,FALSE)*数值设计!$L$118*VLOOKUP(E40,数值设计!$J$118:$L$121,3,FALSE))</f>
        <v>530</v>
      </c>
      <c r="L40" s="2" t="str">
        <f t="shared" si="17"/>
        <v>[CRITSTRG,BLOCKSTRG,UNBLOCKRATE,DEFRATE]</v>
      </c>
      <c r="M40" s="2" t="str">
        <f>IF(F40=1,"["&amp;数值设计!$F$100*VLOOKUP(E40,数值设计!$J$118:$L$121,3,FALSE)&amp;","&amp;数值设计!$F$103*VLOOKUP(E40,数值设计!$J$118:$L$121,3,FALSE)&amp;","&amp;数值设计!$F$102*VLOOKUP(E40,数值设计!$J$118:$L$121,3,FALSE)&amp;","&amp;数值设计!$F$110*VLOOKUP(E40,数值设计!$J$118:$L$121,3,FALSE)&amp;","&amp;数值设计!$F$113*VLOOKUP(E40,数值设计!$J$118:$L$121,3,FALSE)&amp;"]",IF(F40=2,"["&amp;数值设计!$F$101*VLOOKUP(E40,数值设计!$J$118:$L$121,3,FALSE)&amp;","&amp;数值设计!$F$104*VLOOKUP(E40,数值设计!$J$118:$L$121,3,FALSE)&amp;","&amp;数值设计!$F$105*VLOOKUP(E40,数值设计!$J$118:$L$121,3,FALSE)&amp;","&amp;数值设计!$F$112*VLOOKUP(E40,数值设计!$J$118:$L$121,3,FALSE)&amp;"]","["&amp;数值设计!$F$106*VLOOKUP(E40,数值设计!$J$118:$L$121,3,FALSE)&amp;","&amp;数值设计!$F$107*VLOOKUP(E40,数值设计!$J$118:$L$121,3,FALSE)&amp;","&amp;数值设计!$F$108*VLOOKUP(E40,数值设计!$J$118:$L$121,3,FALSE)&amp;","&amp;数值设计!$F$109*VLOOKUP(E40,数值设计!$J$118:$L$121,3,FALSE)&amp;","&amp;数值设计!$F$111*VLOOKUP(E40,数值设计!$J$118:$L$121,3,FALSE)&amp;"]"))</f>
        <v>[0.01375,0.011,0.011,0.0275]</v>
      </c>
      <c r="N40" s="2">
        <f t="shared" si="13"/>
        <v>3</v>
      </c>
      <c r="O40" s="2" t="str">
        <f t="shared" si="13"/>
        <v>[1,1,1,1,1]</v>
      </c>
      <c r="P40" s="2" t="str">
        <f t="shared" si="13"/>
        <v>[1,1,1,1,1]</v>
      </c>
      <c r="Q40" s="2" t="s">
        <v>358</v>
      </c>
      <c r="R40" s="2" t="str">
        <f>R22</f>
        <v>[20,20,20,20]</v>
      </c>
    </row>
    <row r="41" spans="2:18" x14ac:dyDescent="0.15">
      <c r="B41" s="2" t="s">
        <v>504</v>
      </c>
      <c r="C41" s="2" t="str">
        <f t="shared" si="16"/>
        <v>Gem2053</v>
      </c>
      <c r="D41" s="2" t="s">
        <v>233</v>
      </c>
      <c r="E41" s="2">
        <v>3</v>
      </c>
      <c r="F41" s="2">
        <v>3</v>
      </c>
      <c r="G41" s="2" t="str">
        <f>G40</f>
        <v>SuitAtk_2</v>
      </c>
      <c r="I41" s="2" t="str">
        <f>VLOOKUP(F41,数值设计!$A$21:$I$23,9,FALSE)</f>
        <v>ATK</v>
      </c>
      <c r="J41" s="2">
        <f>INT(VLOOKUP(F41,数值设计!$B$97:$H$113,4,FALSE)*VLOOKUP(E41,数值设计!$J$118:$L$121,3,FALSE))</f>
        <v>1732</v>
      </c>
      <c r="K41" s="2">
        <f>INT(VLOOKUP(F41,数值设计!$B$97:$H$113,5,FALSE)*数值设计!$L$118*VLOOKUP(E41,数值设计!$J$118:$L$121,3,FALSE))</f>
        <v>86</v>
      </c>
      <c r="L41" s="2" t="str">
        <f t="shared" si="17"/>
        <v>[HURTRATE,UNHURTRATE,REFLECTION,ABSORPTION,ATKRATE]</v>
      </c>
      <c r="M41" s="2" t="str">
        <f>IF(F41=1,"["&amp;数值设计!$F$100*VLOOKUP(E41,数值设计!$J$118:$L$121,3,FALSE)&amp;","&amp;数值设计!$F$103*VLOOKUP(E41,数值设计!$J$118:$L$121,3,FALSE)&amp;","&amp;数值设计!$F$102*VLOOKUP(E41,数值设计!$J$118:$L$121,3,FALSE)&amp;","&amp;数值设计!$F$110*VLOOKUP(E41,数值设计!$J$118:$L$121,3,FALSE)&amp;","&amp;数值设计!$F$113*VLOOKUP(E41,数值设计!$J$118:$L$121,3,FALSE)&amp;"]",IF(F41=2,"["&amp;数值设计!$F$101*VLOOKUP(E41,数值设计!$J$118:$L$121,3,FALSE)&amp;","&amp;数值设计!$F$104*VLOOKUP(E41,数值设计!$J$118:$L$121,3,FALSE)&amp;","&amp;数值设计!$F$105*VLOOKUP(E41,数值设计!$J$118:$L$121,3,FALSE)&amp;","&amp;数值设计!$F$112*VLOOKUP(E41,数值设计!$J$118:$L$121,3,FALSE)&amp;"]","["&amp;数值设计!$F$106*VLOOKUP(E41,数值设计!$J$118:$L$121,3,FALSE)&amp;","&amp;数值设计!$F$107*VLOOKUP(E41,数值设计!$J$118:$L$121,3,FALSE)&amp;","&amp;数值设计!$F$108*VLOOKUP(E41,数值设计!$J$118:$L$121,3,FALSE)&amp;","&amp;数值设计!$F$109*VLOOKUP(E41,数值设计!$J$118:$L$121,3,FALSE)&amp;","&amp;数值设计!$F$111*VLOOKUP(E41,数值设计!$J$118:$L$121,3,FALSE)&amp;"]"))</f>
        <v>[0.011,0.011,0.011,0.011,0.0275]</v>
      </c>
      <c r="N41" s="2">
        <f t="shared" si="13"/>
        <v>3</v>
      </c>
      <c r="O41" s="2" t="str">
        <f t="shared" si="13"/>
        <v>[1,1,1,1,1]</v>
      </c>
      <c r="P41" s="2" t="str">
        <f t="shared" si="13"/>
        <v>[1,1,1,1,1]</v>
      </c>
      <c r="Q41" s="2" t="s">
        <v>358</v>
      </c>
      <c r="R41" s="2" t="str">
        <f>R23</f>
        <v>[20,20,20,20]</v>
      </c>
    </row>
    <row r="42" spans="2:18" x14ac:dyDescent="0.15">
      <c r="B42" s="2" t="s">
        <v>379</v>
      </c>
      <c r="C42" s="2" t="str">
        <f t="shared" si="0"/>
        <v>Gem3001</v>
      </c>
      <c r="D42" s="2" t="s">
        <v>235</v>
      </c>
      <c r="E42" s="2">
        <v>4</v>
      </c>
      <c r="F42" s="2">
        <v>1</v>
      </c>
      <c r="G42" s="2" t="str">
        <f>B171</f>
        <v>SuitCri_3</v>
      </c>
      <c r="I42" s="2" t="str">
        <f>VLOOKUP(F42,数值设计!$A$21:$I$23,9,FALSE)</f>
        <v>DEF</v>
      </c>
      <c r="J42" s="2">
        <f>INT(VLOOKUP(F42,数值设计!$B$97:$H$113,4,FALSE)*VLOOKUP(E42,数值设计!$J$118:$L$121,3,FALSE))</f>
        <v>1259</v>
      </c>
      <c r="K42" s="2">
        <f>INT(VLOOKUP(F42,数值设计!$B$97:$H$113,5,FALSE)*数值设计!$L$118*VLOOKUP(E42,数值设计!$J$118:$L$121,3,FALSE))</f>
        <v>62</v>
      </c>
      <c r="L42" s="2" t="str">
        <f t="shared" si="1"/>
        <v>[CRITRATE,BLOCKRATE,UNCRITRATE,SPEED,HPRATE]</v>
      </c>
      <c r="M42" s="2" t="str">
        <f>IF(F42=1,"["&amp;数值设计!$F$100*VLOOKUP(E42,数值设计!$J$118:$L$121,3,FALSE)&amp;","&amp;数值设计!$F$103*VLOOKUP(E42,数值设计!$J$118:$L$121,3,FALSE)&amp;","&amp;数值设计!$F$102*VLOOKUP(E42,数值设计!$J$118:$L$121,3,FALSE)&amp;","&amp;数值设计!$F$110*VLOOKUP(E42,数值设计!$J$118:$L$121,3,FALSE)&amp;","&amp;数值设计!$F$113*VLOOKUP(E42,数值设计!$J$118:$L$121,3,FALSE)&amp;"]",IF(F42=2,"["&amp;数值设计!$F$101*VLOOKUP(E42,数值设计!$J$118:$L$121,3,FALSE)&amp;","&amp;数值设计!$F$104*VLOOKUP(E42,数值设计!$J$118:$L$121,3,FALSE)&amp;","&amp;数值设计!$F$105*VLOOKUP(E42,数值设计!$J$118:$L$121,3,FALSE)&amp;","&amp;数值设计!$F$112*VLOOKUP(E42,数值设计!$J$118:$L$121,3,FALSE)&amp;"]","["&amp;数值设计!$F$106*VLOOKUP(E42,数值设计!$J$118:$L$121,3,FALSE)&amp;","&amp;数值设计!$F$107*VLOOKUP(E42,数值设计!$J$118:$L$121,3,FALSE)&amp;","&amp;数值设计!$F$108*VLOOKUP(E42,数值设计!$J$118:$L$121,3,FALSE)&amp;","&amp;数值设计!$F$109*VLOOKUP(E42,数值设计!$J$118:$L$121,3,FALSE)&amp;","&amp;数值设计!$F$111*VLOOKUP(E42,数值设计!$J$118:$L$121,3,FALSE)&amp;"]"))</f>
        <v>[0.02,0.016,0.016,120,0.04]</v>
      </c>
      <c r="N42" s="2">
        <f>N24</f>
        <v>3</v>
      </c>
      <c r="O42" s="2" t="s">
        <v>354</v>
      </c>
      <c r="P42" s="2" t="s">
        <v>354</v>
      </c>
      <c r="Q42" s="2" t="s">
        <v>356</v>
      </c>
      <c r="R42" s="2" t="s">
        <v>357</v>
      </c>
    </row>
    <row r="43" spans="2:18" x14ac:dyDescent="0.15">
      <c r="B43" s="2" t="s">
        <v>380</v>
      </c>
      <c r="C43" s="2" t="str">
        <f t="shared" si="0"/>
        <v>Gem3002</v>
      </c>
      <c r="D43" s="2" t="s">
        <v>236</v>
      </c>
      <c r="E43" s="2">
        <v>4</v>
      </c>
      <c r="F43" s="2">
        <v>2</v>
      </c>
      <c r="G43" s="2" t="str">
        <f>G42</f>
        <v>SuitCri_3</v>
      </c>
      <c r="I43" s="2" t="str">
        <f>VLOOKUP(F43,数值设计!$A$21:$I$23,9,FALSE)</f>
        <v>HP</v>
      </c>
      <c r="J43" s="2">
        <f>INT(VLOOKUP(F43,数值设计!$B$97:$H$113,4,FALSE)*VLOOKUP(E43,数值设计!$J$118:$L$121,3,FALSE))</f>
        <v>15448</v>
      </c>
      <c r="K43" s="2">
        <f>INT(VLOOKUP(F43,数值设计!$B$97:$H$113,5,FALSE)*数值设计!$L$118*VLOOKUP(E43,数值设计!$J$118:$L$121,3,FALSE))</f>
        <v>772</v>
      </c>
      <c r="L43" s="2" t="str">
        <f t="shared" si="1"/>
        <v>[CRITSTRG,BLOCKSTRG,UNBLOCKRATE,DEFRATE]</v>
      </c>
      <c r="M43" s="2" t="str">
        <f>IF(F43=1,"["&amp;数值设计!$F$100*VLOOKUP(E43,数值设计!$J$118:$L$121,3,FALSE)&amp;","&amp;数值设计!$F$103*VLOOKUP(E43,数值设计!$J$118:$L$121,3,FALSE)&amp;","&amp;数值设计!$F$102*VLOOKUP(E43,数值设计!$J$118:$L$121,3,FALSE)&amp;","&amp;数值设计!$F$110*VLOOKUP(E43,数值设计!$J$118:$L$121,3,FALSE)&amp;","&amp;数值设计!$F$113*VLOOKUP(E43,数值设计!$J$118:$L$121,3,FALSE)&amp;"]",IF(F43=2,"["&amp;数值设计!$F$101*VLOOKUP(E43,数值设计!$J$118:$L$121,3,FALSE)&amp;","&amp;数值设计!$F$104*VLOOKUP(E43,数值设计!$J$118:$L$121,3,FALSE)&amp;","&amp;数值设计!$F$105*VLOOKUP(E43,数值设计!$J$118:$L$121,3,FALSE)&amp;","&amp;数值设计!$F$112*VLOOKUP(E43,数值设计!$J$118:$L$121,3,FALSE)&amp;"]","["&amp;数值设计!$F$106*VLOOKUP(E43,数值设计!$J$118:$L$121,3,FALSE)&amp;","&amp;数值设计!$F$107*VLOOKUP(E43,数值设计!$J$118:$L$121,3,FALSE)&amp;","&amp;数值设计!$F$108*VLOOKUP(E43,数值设计!$J$118:$L$121,3,FALSE)&amp;","&amp;数值设计!$F$109*VLOOKUP(E43,数值设计!$J$118:$L$121,3,FALSE)&amp;","&amp;数值设计!$F$111*VLOOKUP(E43,数值设计!$J$118:$L$121,3,FALSE)&amp;"]"))</f>
        <v>[0.02,0.016,0.016,0.04]</v>
      </c>
      <c r="N43" s="2">
        <f>N25</f>
        <v>3</v>
      </c>
      <c r="O43" s="2" t="str">
        <f>O42</f>
        <v>[1,1,1,1,1]</v>
      </c>
      <c r="P43" s="2" t="str">
        <f>P42</f>
        <v>[1,1,1,1,1]</v>
      </c>
      <c r="Q43" s="2" t="s">
        <v>356</v>
      </c>
      <c r="R43" s="2" t="str">
        <f>R25</f>
        <v>[20,20,20,20]</v>
      </c>
    </row>
    <row r="44" spans="2:18" x14ac:dyDescent="0.15">
      <c r="B44" s="2" t="s">
        <v>381</v>
      </c>
      <c r="C44" s="2" t="str">
        <f t="shared" si="0"/>
        <v>Gem3003</v>
      </c>
      <c r="D44" s="2" t="s">
        <v>237</v>
      </c>
      <c r="E44" s="2">
        <v>4</v>
      </c>
      <c r="F44" s="2">
        <v>3</v>
      </c>
      <c r="G44" s="2" t="str">
        <f>G43</f>
        <v>SuitCri_3</v>
      </c>
      <c r="I44" s="2" t="str">
        <f>VLOOKUP(F44,数值设计!$A$21:$I$23,9,FALSE)</f>
        <v>ATK</v>
      </c>
      <c r="J44" s="2">
        <f>INT(VLOOKUP(F44,数值设计!$B$97:$H$113,4,FALSE)*VLOOKUP(E44,数值设计!$J$118:$L$121,3,FALSE))</f>
        <v>2520</v>
      </c>
      <c r="K44" s="2">
        <f>INT(VLOOKUP(F44,数值设计!$B$97:$H$113,5,FALSE)*数值设计!$L$118*VLOOKUP(E44,数值设计!$J$118:$L$121,3,FALSE))</f>
        <v>126</v>
      </c>
      <c r="L44" s="2" t="str">
        <f t="shared" si="1"/>
        <v>[HURTRATE,UNHURTRATE,REFLECTION,ABSORPTION,ATKRATE]</v>
      </c>
      <c r="M44" s="2" t="str">
        <f>IF(F44=1,"["&amp;数值设计!$F$100*VLOOKUP(E44,数值设计!$J$118:$L$121,3,FALSE)&amp;","&amp;数值设计!$F$103*VLOOKUP(E44,数值设计!$J$118:$L$121,3,FALSE)&amp;","&amp;数值设计!$F$102*VLOOKUP(E44,数值设计!$J$118:$L$121,3,FALSE)&amp;","&amp;数值设计!$F$110*VLOOKUP(E44,数值设计!$J$118:$L$121,3,FALSE)&amp;","&amp;数值设计!$F$113*VLOOKUP(E44,数值设计!$J$118:$L$121,3,FALSE)&amp;"]",IF(F44=2,"["&amp;数值设计!$F$101*VLOOKUP(E44,数值设计!$J$118:$L$121,3,FALSE)&amp;","&amp;数值设计!$F$104*VLOOKUP(E44,数值设计!$J$118:$L$121,3,FALSE)&amp;","&amp;数值设计!$F$105*VLOOKUP(E44,数值设计!$J$118:$L$121,3,FALSE)&amp;","&amp;数值设计!$F$112*VLOOKUP(E44,数值设计!$J$118:$L$121,3,FALSE)&amp;"]","["&amp;数值设计!$F$106*VLOOKUP(E44,数值设计!$J$118:$L$121,3,FALSE)&amp;","&amp;数值设计!$F$107*VLOOKUP(E44,数值设计!$J$118:$L$121,3,FALSE)&amp;","&amp;数值设计!$F$108*VLOOKUP(E44,数值设计!$J$118:$L$121,3,FALSE)&amp;","&amp;数值设计!$F$109*VLOOKUP(E44,数值设计!$J$118:$L$121,3,FALSE)&amp;","&amp;数值设计!$F$111*VLOOKUP(E44,数值设计!$J$118:$L$121,3,FALSE)&amp;"]"))</f>
        <v>[0.016,0.016,0.016,0.016,0.04]</v>
      </c>
      <c r="N44" s="2">
        <f>N26</f>
        <v>3</v>
      </c>
      <c r="O44" s="2" t="str">
        <f t="shared" ref="O44:O65" si="18">O43</f>
        <v>[1,1,1,1,1]</v>
      </c>
      <c r="P44" s="2" t="str">
        <f t="shared" ref="P44:P65" si="19">P43</f>
        <v>[1,1,1,1,1]</v>
      </c>
      <c r="Q44" s="2" t="s">
        <v>356</v>
      </c>
      <c r="R44" s="2" t="str">
        <f>R26</f>
        <v>[20,20,20,20]</v>
      </c>
    </row>
    <row r="45" spans="2:18" x14ac:dyDescent="0.15">
      <c r="B45" s="2" t="s">
        <v>382</v>
      </c>
      <c r="C45" s="2" t="str">
        <f t="shared" si="0"/>
        <v>Gem3011</v>
      </c>
      <c r="D45" s="2" t="s">
        <v>238</v>
      </c>
      <c r="E45" s="2">
        <v>4</v>
      </c>
      <c r="F45" s="2">
        <v>1</v>
      </c>
      <c r="G45" s="2" t="str">
        <f>B172</f>
        <v>SuitBlock_3</v>
      </c>
      <c r="I45" s="2" t="str">
        <f>VLOOKUP(F45,数值设计!$A$21:$I$23,9,FALSE)</f>
        <v>DEF</v>
      </c>
      <c r="J45" s="2">
        <f>INT(VLOOKUP(F45,数值设计!$B$97:$H$113,4,FALSE)*VLOOKUP(E45,数值设计!$J$118:$L$121,3,FALSE))</f>
        <v>1259</v>
      </c>
      <c r="K45" s="2">
        <f>INT(VLOOKUP(F45,数值设计!$B$97:$H$113,5,FALSE)*数值设计!$L$118*VLOOKUP(E45,数值设计!$J$118:$L$121,3,FALSE))</f>
        <v>62</v>
      </c>
      <c r="L45" s="2" t="str">
        <f t="shared" si="1"/>
        <v>[CRITRATE,BLOCKRATE,UNCRITRATE,SPEED,HPRATE]</v>
      </c>
      <c r="M45" s="2" t="str">
        <f>IF(F45=1,"["&amp;数值设计!$F$100*VLOOKUP(E45,数值设计!$J$118:$L$121,3,FALSE)&amp;","&amp;数值设计!$F$103*VLOOKUP(E45,数值设计!$J$118:$L$121,3,FALSE)&amp;","&amp;数值设计!$F$102*VLOOKUP(E45,数值设计!$J$118:$L$121,3,FALSE)&amp;","&amp;数值设计!$F$110*VLOOKUP(E45,数值设计!$J$118:$L$121,3,FALSE)&amp;","&amp;数值设计!$F$113*VLOOKUP(E45,数值设计!$J$118:$L$121,3,FALSE)&amp;"]",IF(F45=2,"["&amp;数值设计!$F$101*VLOOKUP(E45,数值设计!$J$118:$L$121,3,FALSE)&amp;","&amp;数值设计!$F$104*VLOOKUP(E45,数值设计!$J$118:$L$121,3,FALSE)&amp;","&amp;数值设计!$F$105*VLOOKUP(E45,数值设计!$J$118:$L$121,3,FALSE)&amp;","&amp;数值设计!$F$112*VLOOKUP(E45,数值设计!$J$118:$L$121,3,FALSE)&amp;"]","["&amp;数值设计!$F$106*VLOOKUP(E45,数值设计!$J$118:$L$121,3,FALSE)&amp;","&amp;数值设计!$F$107*VLOOKUP(E45,数值设计!$J$118:$L$121,3,FALSE)&amp;","&amp;数值设计!$F$108*VLOOKUP(E45,数值设计!$J$118:$L$121,3,FALSE)&amp;","&amp;数值设计!$F$109*VLOOKUP(E45,数值设计!$J$118:$L$121,3,FALSE)&amp;","&amp;数值设计!$F$111*VLOOKUP(E45,数值设计!$J$118:$L$121,3,FALSE)&amp;"]"))</f>
        <v>[0.02,0.016,0.016,120,0.04]</v>
      </c>
      <c r="N45" s="2">
        <f t="shared" ref="N45:N59" si="20">N42</f>
        <v>3</v>
      </c>
      <c r="O45" s="2" t="str">
        <f t="shared" si="18"/>
        <v>[1,1,1,1,1]</v>
      </c>
      <c r="P45" s="2" t="str">
        <f t="shared" si="19"/>
        <v>[1,1,1,1,1]</v>
      </c>
      <c r="Q45" s="2" t="s">
        <v>356</v>
      </c>
      <c r="R45" s="2" t="str">
        <f t="shared" ref="R45:R59" si="21">R42</f>
        <v>[20,20,20,20]</v>
      </c>
    </row>
    <row r="46" spans="2:18" x14ac:dyDescent="0.15">
      <c r="B46" s="2" t="s">
        <v>383</v>
      </c>
      <c r="C46" s="2" t="str">
        <f t="shared" si="0"/>
        <v>Gem3012</v>
      </c>
      <c r="D46" s="2" t="s">
        <v>239</v>
      </c>
      <c r="E46" s="2">
        <v>4</v>
      </c>
      <c r="F46" s="2">
        <v>2</v>
      </c>
      <c r="G46" s="2" t="str">
        <f>G45</f>
        <v>SuitBlock_3</v>
      </c>
      <c r="I46" s="2" t="str">
        <f>VLOOKUP(F46,数值设计!$A$21:$I$23,9,FALSE)</f>
        <v>HP</v>
      </c>
      <c r="J46" s="2">
        <f>INT(VLOOKUP(F46,数值设计!$B$97:$H$113,4,FALSE)*VLOOKUP(E46,数值设计!$J$118:$L$121,3,FALSE))</f>
        <v>15448</v>
      </c>
      <c r="K46" s="2">
        <f>INT(VLOOKUP(F46,数值设计!$B$97:$H$113,5,FALSE)*数值设计!$L$118*VLOOKUP(E46,数值设计!$J$118:$L$121,3,FALSE))</f>
        <v>772</v>
      </c>
      <c r="L46" s="2" t="str">
        <f t="shared" si="1"/>
        <v>[CRITSTRG,BLOCKSTRG,UNBLOCKRATE,DEFRATE]</v>
      </c>
      <c r="M46" s="2" t="str">
        <f>IF(F46=1,"["&amp;数值设计!$F$100*VLOOKUP(E46,数值设计!$J$118:$L$121,3,FALSE)&amp;","&amp;数值设计!$F$103*VLOOKUP(E46,数值设计!$J$118:$L$121,3,FALSE)&amp;","&amp;数值设计!$F$102*VLOOKUP(E46,数值设计!$J$118:$L$121,3,FALSE)&amp;","&amp;数值设计!$F$110*VLOOKUP(E46,数值设计!$J$118:$L$121,3,FALSE)&amp;","&amp;数值设计!$F$113*VLOOKUP(E46,数值设计!$J$118:$L$121,3,FALSE)&amp;"]",IF(F46=2,"["&amp;数值设计!$F$101*VLOOKUP(E46,数值设计!$J$118:$L$121,3,FALSE)&amp;","&amp;数值设计!$F$104*VLOOKUP(E46,数值设计!$J$118:$L$121,3,FALSE)&amp;","&amp;数值设计!$F$105*VLOOKUP(E46,数值设计!$J$118:$L$121,3,FALSE)&amp;","&amp;数值设计!$F$112*VLOOKUP(E46,数值设计!$J$118:$L$121,3,FALSE)&amp;"]","["&amp;数值设计!$F$106*VLOOKUP(E46,数值设计!$J$118:$L$121,3,FALSE)&amp;","&amp;数值设计!$F$107*VLOOKUP(E46,数值设计!$J$118:$L$121,3,FALSE)&amp;","&amp;数值设计!$F$108*VLOOKUP(E46,数值设计!$J$118:$L$121,3,FALSE)&amp;","&amp;数值设计!$F$109*VLOOKUP(E46,数值设计!$J$118:$L$121,3,FALSE)&amp;","&amp;数值设计!$F$111*VLOOKUP(E46,数值设计!$J$118:$L$121,3,FALSE)&amp;"]"))</f>
        <v>[0.02,0.016,0.016,0.04]</v>
      </c>
      <c r="N46" s="2">
        <f t="shared" si="20"/>
        <v>3</v>
      </c>
      <c r="O46" s="2" t="str">
        <f t="shared" si="18"/>
        <v>[1,1,1,1,1]</v>
      </c>
      <c r="P46" s="2" t="str">
        <f t="shared" si="19"/>
        <v>[1,1,1,1,1]</v>
      </c>
      <c r="Q46" s="2" t="s">
        <v>356</v>
      </c>
      <c r="R46" s="2" t="str">
        <f t="shared" si="21"/>
        <v>[20,20,20,20]</v>
      </c>
    </row>
    <row r="47" spans="2:18" x14ac:dyDescent="0.15">
      <c r="B47" s="2" t="s">
        <v>384</v>
      </c>
      <c r="C47" s="2" t="str">
        <f t="shared" si="0"/>
        <v>Gem3013</v>
      </c>
      <c r="D47" s="2" t="s">
        <v>240</v>
      </c>
      <c r="E47" s="2">
        <v>4</v>
      </c>
      <c r="F47" s="2">
        <v>3</v>
      </c>
      <c r="G47" s="2" t="str">
        <f>G46</f>
        <v>SuitBlock_3</v>
      </c>
      <c r="I47" s="2" t="str">
        <f>VLOOKUP(F47,数值设计!$A$21:$I$23,9,FALSE)</f>
        <v>ATK</v>
      </c>
      <c r="J47" s="2">
        <f>INT(VLOOKUP(F47,数值设计!$B$97:$H$113,4,FALSE)*VLOOKUP(E47,数值设计!$J$118:$L$121,3,FALSE))</f>
        <v>2520</v>
      </c>
      <c r="K47" s="2">
        <f>INT(VLOOKUP(F47,数值设计!$B$97:$H$113,5,FALSE)*数值设计!$L$118*VLOOKUP(E47,数值设计!$J$118:$L$121,3,FALSE))</f>
        <v>126</v>
      </c>
      <c r="L47" s="2" t="str">
        <f t="shared" si="1"/>
        <v>[HURTRATE,UNHURTRATE,REFLECTION,ABSORPTION,ATKRATE]</v>
      </c>
      <c r="M47" s="2" t="str">
        <f>IF(F47=1,"["&amp;数值设计!$F$100*VLOOKUP(E47,数值设计!$J$118:$L$121,3,FALSE)&amp;","&amp;数值设计!$F$103*VLOOKUP(E47,数值设计!$J$118:$L$121,3,FALSE)&amp;","&amp;数值设计!$F$102*VLOOKUP(E47,数值设计!$J$118:$L$121,3,FALSE)&amp;","&amp;数值设计!$F$110*VLOOKUP(E47,数值设计!$J$118:$L$121,3,FALSE)&amp;","&amp;数值设计!$F$113*VLOOKUP(E47,数值设计!$J$118:$L$121,3,FALSE)&amp;"]",IF(F47=2,"["&amp;数值设计!$F$101*VLOOKUP(E47,数值设计!$J$118:$L$121,3,FALSE)&amp;","&amp;数值设计!$F$104*VLOOKUP(E47,数值设计!$J$118:$L$121,3,FALSE)&amp;","&amp;数值设计!$F$105*VLOOKUP(E47,数值设计!$J$118:$L$121,3,FALSE)&amp;","&amp;数值设计!$F$112*VLOOKUP(E47,数值设计!$J$118:$L$121,3,FALSE)&amp;"]","["&amp;数值设计!$F$106*VLOOKUP(E47,数值设计!$J$118:$L$121,3,FALSE)&amp;","&amp;数值设计!$F$107*VLOOKUP(E47,数值设计!$J$118:$L$121,3,FALSE)&amp;","&amp;数值设计!$F$108*VLOOKUP(E47,数值设计!$J$118:$L$121,3,FALSE)&amp;","&amp;数值设计!$F$109*VLOOKUP(E47,数值设计!$J$118:$L$121,3,FALSE)&amp;","&amp;数值设计!$F$111*VLOOKUP(E47,数值设计!$J$118:$L$121,3,FALSE)&amp;"]"))</f>
        <v>[0.016,0.016,0.016,0.016,0.04]</v>
      </c>
      <c r="N47" s="2">
        <f t="shared" si="20"/>
        <v>3</v>
      </c>
      <c r="O47" s="2" t="str">
        <f t="shared" si="18"/>
        <v>[1,1,1,1,1]</v>
      </c>
      <c r="P47" s="2" t="str">
        <f t="shared" si="19"/>
        <v>[1,1,1,1,1]</v>
      </c>
      <c r="Q47" s="2" t="s">
        <v>356</v>
      </c>
      <c r="R47" s="2" t="str">
        <f t="shared" si="21"/>
        <v>[20,20,20,20]</v>
      </c>
    </row>
    <row r="48" spans="2:18" x14ac:dyDescent="0.15">
      <c r="B48" s="2" t="s">
        <v>385</v>
      </c>
      <c r="C48" s="2" t="str">
        <f t="shared" si="0"/>
        <v>Gem3021</v>
      </c>
      <c r="D48" s="2" t="s">
        <v>241</v>
      </c>
      <c r="E48" s="2">
        <v>4</v>
      </c>
      <c r="F48" s="2">
        <v>1</v>
      </c>
      <c r="G48" s="2" t="str">
        <f>B173</f>
        <v>SuitDef_3</v>
      </c>
      <c r="I48" s="2" t="str">
        <f>VLOOKUP(F48,数值设计!$A$21:$I$23,9,FALSE)</f>
        <v>DEF</v>
      </c>
      <c r="J48" s="2">
        <f>INT(VLOOKUP(F48,数值设计!$B$97:$H$113,4,FALSE)*VLOOKUP(E48,数值设计!$J$118:$L$121,3,FALSE))</f>
        <v>1259</v>
      </c>
      <c r="K48" s="2">
        <f>INT(VLOOKUP(F48,数值设计!$B$97:$H$113,5,FALSE)*数值设计!$L$118*VLOOKUP(E48,数值设计!$J$118:$L$121,3,FALSE))</f>
        <v>62</v>
      </c>
      <c r="L48" s="2" t="str">
        <f t="shared" si="1"/>
        <v>[CRITRATE,BLOCKRATE,UNCRITRATE,SPEED,HPRATE]</v>
      </c>
      <c r="M48" s="2" t="str">
        <f>IF(F48=1,"["&amp;数值设计!$F$100*VLOOKUP(E48,数值设计!$J$118:$L$121,3,FALSE)&amp;","&amp;数值设计!$F$103*VLOOKUP(E48,数值设计!$J$118:$L$121,3,FALSE)&amp;","&amp;数值设计!$F$102*VLOOKUP(E48,数值设计!$J$118:$L$121,3,FALSE)&amp;","&amp;数值设计!$F$110*VLOOKUP(E48,数值设计!$J$118:$L$121,3,FALSE)&amp;","&amp;数值设计!$F$113*VLOOKUP(E48,数值设计!$J$118:$L$121,3,FALSE)&amp;"]",IF(F48=2,"["&amp;数值设计!$F$101*VLOOKUP(E48,数值设计!$J$118:$L$121,3,FALSE)&amp;","&amp;数值设计!$F$104*VLOOKUP(E48,数值设计!$J$118:$L$121,3,FALSE)&amp;","&amp;数值设计!$F$105*VLOOKUP(E48,数值设计!$J$118:$L$121,3,FALSE)&amp;","&amp;数值设计!$F$112*VLOOKUP(E48,数值设计!$J$118:$L$121,3,FALSE)&amp;"]","["&amp;数值设计!$F$106*VLOOKUP(E48,数值设计!$J$118:$L$121,3,FALSE)&amp;","&amp;数值设计!$F$107*VLOOKUP(E48,数值设计!$J$118:$L$121,3,FALSE)&amp;","&amp;数值设计!$F$108*VLOOKUP(E48,数值设计!$J$118:$L$121,3,FALSE)&amp;","&amp;数值设计!$F$109*VLOOKUP(E48,数值设计!$J$118:$L$121,3,FALSE)&amp;","&amp;数值设计!$F$111*VLOOKUP(E48,数值设计!$J$118:$L$121,3,FALSE)&amp;"]"))</f>
        <v>[0.02,0.016,0.016,120,0.04]</v>
      </c>
      <c r="N48" s="2">
        <f t="shared" si="20"/>
        <v>3</v>
      </c>
      <c r="O48" s="2" t="str">
        <f t="shared" si="18"/>
        <v>[1,1,1,1,1]</v>
      </c>
      <c r="P48" s="2" t="str">
        <f t="shared" si="19"/>
        <v>[1,1,1,1,1]</v>
      </c>
      <c r="Q48" s="2" t="s">
        <v>356</v>
      </c>
      <c r="R48" s="2" t="str">
        <f t="shared" si="21"/>
        <v>[20,20,20,20]</v>
      </c>
    </row>
    <row r="49" spans="2:18" x14ac:dyDescent="0.15">
      <c r="B49" s="2" t="s">
        <v>386</v>
      </c>
      <c r="C49" s="2" t="str">
        <f t="shared" si="0"/>
        <v>Gem3022</v>
      </c>
      <c r="D49" s="2" t="s">
        <v>242</v>
      </c>
      <c r="E49" s="2">
        <v>4</v>
      </c>
      <c r="F49" s="2">
        <v>2</v>
      </c>
      <c r="G49" s="2" t="str">
        <f>G48</f>
        <v>SuitDef_3</v>
      </c>
      <c r="I49" s="2" t="str">
        <f>VLOOKUP(F49,数值设计!$A$21:$I$23,9,FALSE)</f>
        <v>HP</v>
      </c>
      <c r="J49" s="2">
        <f>INT(VLOOKUP(F49,数值设计!$B$97:$H$113,4,FALSE)*VLOOKUP(E49,数值设计!$J$118:$L$121,3,FALSE))</f>
        <v>15448</v>
      </c>
      <c r="K49" s="2">
        <f>INT(VLOOKUP(F49,数值设计!$B$97:$H$113,5,FALSE)*数值设计!$L$118*VLOOKUP(E49,数值设计!$J$118:$L$121,3,FALSE))</f>
        <v>772</v>
      </c>
      <c r="L49" s="2" t="str">
        <f t="shared" si="1"/>
        <v>[CRITSTRG,BLOCKSTRG,UNBLOCKRATE,DEFRATE]</v>
      </c>
      <c r="M49" s="2" t="str">
        <f>IF(F49=1,"["&amp;数值设计!$F$100*VLOOKUP(E49,数值设计!$J$118:$L$121,3,FALSE)&amp;","&amp;数值设计!$F$103*VLOOKUP(E49,数值设计!$J$118:$L$121,3,FALSE)&amp;","&amp;数值设计!$F$102*VLOOKUP(E49,数值设计!$J$118:$L$121,3,FALSE)&amp;","&amp;数值设计!$F$110*VLOOKUP(E49,数值设计!$J$118:$L$121,3,FALSE)&amp;","&amp;数值设计!$F$113*VLOOKUP(E49,数值设计!$J$118:$L$121,3,FALSE)&amp;"]",IF(F49=2,"["&amp;数值设计!$F$101*VLOOKUP(E49,数值设计!$J$118:$L$121,3,FALSE)&amp;","&amp;数值设计!$F$104*VLOOKUP(E49,数值设计!$J$118:$L$121,3,FALSE)&amp;","&amp;数值设计!$F$105*VLOOKUP(E49,数值设计!$J$118:$L$121,3,FALSE)&amp;","&amp;数值设计!$F$112*VLOOKUP(E49,数值设计!$J$118:$L$121,3,FALSE)&amp;"]","["&amp;数值设计!$F$106*VLOOKUP(E49,数值设计!$J$118:$L$121,3,FALSE)&amp;","&amp;数值设计!$F$107*VLOOKUP(E49,数值设计!$J$118:$L$121,3,FALSE)&amp;","&amp;数值设计!$F$108*VLOOKUP(E49,数值设计!$J$118:$L$121,3,FALSE)&amp;","&amp;数值设计!$F$109*VLOOKUP(E49,数值设计!$J$118:$L$121,3,FALSE)&amp;","&amp;数值设计!$F$111*VLOOKUP(E49,数值设计!$J$118:$L$121,3,FALSE)&amp;"]"))</f>
        <v>[0.02,0.016,0.016,0.04]</v>
      </c>
      <c r="N49" s="2">
        <f t="shared" si="20"/>
        <v>3</v>
      </c>
      <c r="O49" s="2" t="str">
        <f t="shared" si="18"/>
        <v>[1,1,1,1,1]</v>
      </c>
      <c r="P49" s="2" t="str">
        <f t="shared" si="19"/>
        <v>[1,1,1,1,1]</v>
      </c>
      <c r="Q49" s="2" t="s">
        <v>358</v>
      </c>
      <c r="R49" s="2" t="str">
        <f t="shared" si="21"/>
        <v>[20,20,20,20]</v>
      </c>
    </row>
    <row r="50" spans="2:18" x14ac:dyDescent="0.15">
      <c r="B50" s="2" t="s">
        <v>387</v>
      </c>
      <c r="C50" s="2" t="str">
        <f t="shared" si="0"/>
        <v>Gem3023</v>
      </c>
      <c r="D50" s="2" t="s">
        <v>243</v>
      </c>
      <c r="E50" s="2">
        <v>4</v>
      </c>
      <c r="F50" s="2">
        <v>3</v>
      </c>
      <c r="G50" s="2" t="str">
        <f>G49</f>
        <v>SuitDef_3</v>
      </c>
      <c r="I50" s="2" t="str">
        <f>VLOOKUP(F50,数值设计!$A$21:$I$23,9,FALSE)</f>
        <v>ATK</v>
      </c>
      <c r="J50" s="2">
        <f>INT(VLOOKUP(F50,数值设计!$B$97:$H$113,4,FALSE)*VLOOKUP(E50,数值设计!$J$118:$L$121,3,FALSE))</f>
        <v>2520</v>
      </c>
      <c r="K50" s="2">
        <f>INT(VLOOKUP(F50,数值设计!$B$97:$H$113,5,FALSE)*数值设计!$L$118*VLOOKUP(E50,数值设计!$J$118:$L$121,3,FALSE))</f>
        <v>126</v>
      </c>
      <c r="L50" s="2" t="str">
        <f t="shared" si="1"/>
        <v>[HURTRATE,UNHURTRATE,REFLECTION,ABSORPTION,ATKRATE]</v>
      </c>
      <c r="M50" s="2" t="str">
        <f>IF(F50=1,"["&amp;数值设计!$F$100*VLOOKUP(E50,数值设计!$J$118:$L$121,3,FALSE)&amp;","&amp;数值设计!$F$103*VLOOKUP(E50,数值设计!$J$118:$L$121,3,FALSE)&amp;","&amp;数值设计!$F$102*VLOOKUP(E50,数值设计!$J$118:$L$121,3,FALSE)&amp;","&amp;数值设计!$F$110*VLOOKUP(E50,数值设计!$J$118:$L$121,3,FALSE)&amp;","&amp;数值设计!$F$113*VLOOKUP(E50,数值设计!$J$118:$L$121,3,FALSE)&amp;"]",IF(F50=2,"["&amp;数值设计!$F$101*VLOOKUP(E50,数值设计!$J$118:$L$121,3,FALSE)&amp;","&amp;数值设计!$F$104*VLOOKUP(E50,数值设计!$J$118:$L$121,3,FALSE)&amp;","&amp;数值设计!$F$105*VLOOKUP(E50,数值设计!$J$118:$L$121,3,FALSE)&amp;","&amp;数值设计!$F$112*VLOOKUP(E50,数值设计!$J$118:$L$121,3,FALSE)&amp;"]","["&amp;数值设计!$F$106*VLOOKUP(E50,数值设计!$J$118:$L$121,3,FALSE)&amp;","&amp;数值设计!$F$107*VLOOKUP(E50,数值设计!$J$118:$L$121,3,FALSE)&amp;","&amp;数值设计!$F$108*VLOOKUP(E50,数值设计!$J$118:$L$121,3,FALSE)&amp;","&amp;数值设计!$F$109*VLOOKUP(E50,数值设计!$J$118:$L$121,3,FALSE)&amp;","&amp;数值设计!$F$111*VLOOKUP(E50,数值设计!$J$118:$L$121,3,FALSE)&amp;"]"))</f>
        <v>[0.016,0.016,0.016,0.016,0.04]</v>
      </c>
      <c r="N50" s="2">
        <f t="shared" si="20"/>
        <v>3</v>
      </c>
      <c r="O50" s="2" t="str">
        <f t="shared" si="18"/>
        <v>[1,1,1,1,1]</v>
      </c>
      <c r="P50" s="2" t="str">
        <f t="shared" si="19"/>
        <v>[1,1,1,1,1]</v>
      </c>
      <c r="Q50" s="2" t="s">
        <v>358</v>
      </c>
      <c r="R50" s="2" t="str">
        <f t="shared" si="21"/>
        <v>[20,20,20,20]</v>
      </c>
    </row>
    <row r="51" spans="2:18" x14ac:dyDescent="0.15">
      <c r="B51" s="2" t="s">
        <v>388</v>
      </c>
      <c r="C51" s="2" t="str">
        <f t="shared" si="0"/>
        <v>Gem3031</v>
      </c>
      <c r="D51" s="2" t="s">
        <v>244</v>
      </c>
      <c r="E51" s="2">
        <v>4</v>
      </c>
      <c r="F51" s="2">
        <v>1</v>
      </c>
      <c r="G51" s="2" t="str">
        <f>B174</f>
        <v>SuitUnblock_3</v>
      </c>
      <c r="I51" s="2" t="str">
        <f>VLOOKUP(F51,数值设计!$A$21:$I$23,9,FALSE)</f>
        <v>DEF</v>
      </c>
      <c r="J51" s="2">
        <f>INT(VLOOKUP(F51,数值设计!$B$97:$H$113,4,FALSE)*VLOOKUP(E51,数值设计!$J$118:$L$121,3,FALSE))</f>
        <v>1259</v>
      </c>
      <c r="K51" s="2">
        <f>INT(VLOOKUP(F51,数值设计!$B$97:$H$113,5,FALSE)*数值设计!$L$118*VLOOKUP(E51,数值设计!$J$118:$L$121,3,FALSE))</f>
        <v>62</v>
      </c>
      <c r="L51" s="2" t="str">
        <f t="shared" si="1"/>
        <v>[CRITRATE,BLOCKRATE,UNCRITRATE,SPEED,HPRATE]</v>
      </c>
      <c r="M51" s="2" t="str">
        <f>IF(F51=1,"["&amp;数值设计!$F$100*VLOOKUP(E51,数值设计!$J$118:$L$121,3,FALSE)&amp;","&amp;数值设计!$F$103*VLOOKUP(E51,数值设计!$J$118:$L$121,3,FALSE)&amp;","&amp;数值设计!$F$102*VLOOKUP(E51,数值设计!$J$118:$L$121,3,FALSE)&amp;","&amp;数值设计!$F$110*VLOOKUP(E51,数值设计!$J$118:$L$121,3,FALSE)&amp;","&amp;数值设计!$F$113*VLOOKUP(E51,数值设计!$J$118:$L$121,3,FALSE)&amp;"]",IF(F51=2,"["&amp;数值设计!$F$101*VLOOKUP(E51,数值设计!$J$118:$L$121,3,FALSE)&amp;","&amp;数值设计!$F$104*VLOOKUP(E51,数值设计!$J$118:$L$121,3,FALSE)&amp;","&amp;数值设计!$F$105*VLOOKUP(E51,数值设计!$J$118:$L$121,3,FALSE)&amp;","&amp;数值设计!$F$112*VLOOKUP(E51,数值设计!$J$118:$L$121,3,FALSE)&amp;"]","["&amp;数值设计!$F$106*VLOOKUP(E51,数值设计!$J$118:$L$121,3,FALSE)&amp;","&amp;数值设计!$F$107*VLOOKUP(E51,数值设计!$J$118:$L$121,3,FALSE)&amp;","&amp;数值设计!$F$108*VLOOKUP(E51,数值设计!$J$118:$L$121,3,FALSE)&amp;","&amp;数值设计!$F$109*VLOOKUP(E51,数值设计!$J$118:$L$121,3,FALSE)&amp;","&amp;数值设计!$F$111*VLOOKUP(E51,数值设计!$J$118:$L$121,3,FALSE)&amp;"]"))</f>
        <v>[0.02,0.016,0.016,120,0.04]</v>
      </c>
      <c r="N51" s="2">
        <f t="shared" si="20"/>
        <v>3</v>
      </c>
      <c r="O51" s="2" t="str">
        <f t="shared" si="18"/>
        <v>[1,1,1,1,1]</v>
      </c>
      <c r="P51" s="2" t="str">
        <f t="shared" si="19"/>
        <v>[1,1,1,1,1]</v>
      </c>
      <c r="Q51" s="2" t="s">
        <v>358</v>
      </c>
      <c r="R51" s="2" t="str">
        <f t="shared" si="21"/>
        <v>[20,20,20,20]</v>
      </c>
    </row>
    <row r="52" spans="2:18" x14ac:dyDescent="0.15">
      <c r="B52" s="2" t="s">
        <v>389</v>
      </c>
      <c r="C52" s="2" t="str">
        <f t="shared" si="0"/>
        <v>Gem3032</v>
      </c>
      <c r="D52" s="2" t="s">
        <v>245</v>
      </c>
      <c r="E52" s="2">
        <v>4</v>
      </c>
      <c r="F52" s="2">
        <v>2</v>
      </c>
      <c r="G52" s="2" t="str">
        <f>G51</f>
        <v>SuitUnblock_3</v>
      </c>
      <c r="I52" s="2" t="str">
        <f>VLOOKUP(F52,数值设计!$A$21:$I$23,9,FALSE)</f>
        <v>HP</v>
      </c>
      <c r="J52" s="2">
        <f>INT(VLOOKUP(F52,数值设计!$B$97:$H$113,4,FALSE)*VLOOKUP(E52,数值设计!$J$118:$L$121,3,FALSE))</f>
        <v>15448</v>
      </c>
      <c r="K52" s="2">
        <f>INT(VLOOKUP(F52,数值设计!$B$97:$H$113,5,FALSE)*数值设计!$L$118*VLOOKUP(E52,数值设计!$J$118:$L$121,3,FALSE))</f>
        <v>772</v>
      </c>
      <c r="L52" s="2" t="str">
        <f t="shared" si="1"/>
        <v>[CRITSTRG,BLOCKSTRG,UNBLOCKRATE,DEFRATE]</v>
      </c>
      <c r="M52" s="2" t="str">
        <f>IF(F52=1,"["&amp;数值设计!$F$100*VLOOKUP(E52,数值设计!$J$118:$L$121,3,FALSE)&amp;","&amp;数值设计!$F$103*VLOOKUP(E52,数值设计!$J$118:$L$121,3,FALSE)&amp;","&amp;数值设计!$F$102*VLOOKUP(E52,数值设计!$J$118:$L$121,3,FALSE)&amp;","&amp;数值设计!$F$110*VLOOKUP(E52,数值设计!$J$118:$L$121,3,FALSE)&amp;","&amp;数值设计!$F$113*VLOOKUP(E52,数值设计!$J$118:$L$121,3,FALSE)&amp;"]",IF(F52=2,"["&amp;数值设计!$F$101*VLOOKUP(E52,数值设计!$J$118:$L$121,3,FALSE)&amp;","&amp;数值设计!$F$104*VLOOKUP(E52,数值设计!$J$118:$L$121,3,FALSE)&amp;","&amp;数值设计!$F$105*VLOOKUP(E52,数值设计!$J$118:$L$121,3,FALSE)&amp;","&amp;数值设计!$F$112*VLOOKUP(E52,数值设计!$J$118:$L$121,3,FALSE)&amp;"]","["&amp;数值设计!$F$106*VLOOKUP(E52,数值设计!$J$118:$L$121,3,FALSE)&amp;","&amp;数值设计!$F$107*VLOOKUP(E52,数值设计!$J$118:$L$121,3,FALSE)&amp;","&amp;数值设计!$F$108*VLOOKUP(E52,数值设计!$J$118:$L$121,3,FALSE)&amp;","&amp;数值设计!$F$109*VLOOKUP(E52,数值设计!$J$118:$L$121,3,FALSE)&amp;","&amp;数值设计!$F$111*VLOOKUP(E52,数值设计!$J$118:$L$121,3,FALSE)&amp;"]"))</f>
        <v>[0.02,0.016,0.016,0.04]</v>
      </c>
      <c r="N52" s="2">
        <f t="shared" si="20"/>
        <v>3</v>
      </c>
      <c r="O52" s="2" t="str">
        <f t="shared" si="18"/>
        <v>[1,1,1,1,1]</v>
      </c>
      <c r="P52" s="2" t="str">
        <f t="shared" si="19"/>
        <v>[1,1,1,1,1]</v>
      </c>
      <c r="Q52" s="2" t="s">
        <v>358</v>
      </c>
      <c r="R52" s="2" t="str">
        <f t="shared" si="21"/>
        <v>[20,20,20,20]</v>
      </c>
    </row>
    <row r="53" spans="2:18" x14ac:dyDescent="0.15">
      <c r="B53" s="2" t="s">
        <v>390</v>
      </c>
      <c r="C53" s="2" t="str">
        <f t="shared" si="0"/>
        <v>Gem3033</v>
      </c>
      <c r="D53" s="2" t="s">
        <v>246</v>
      </c>
      <c r="E53" s="2">
        <v>4</v>
      </c>
      <c r="F53" s="2">
        <v>3</v>
      </c>
      <c r="G53" s="2" t="str">
        <f>G52</f>
        <v>SuitUnblock_3</v>
      </c>
      <c r="I53" s="2" t="str">
        <f>VLOOKUP(F53,数值设计!$A$21:$I$23,9,FALSE)</f>
        <v>ATK</v>
      </c>
      <c r="J53" s="2">
        <f>INT(VLOOKUP(F53,数值设计!$B$97:$H$113,4,FALSE)*VLOOKUP(E53,数值设计!$J$118:$L$121,3,FALSE))</f>
        <v>2520</v>
      </c>
      <c r="K53" s="2">
        <f>INT(VLOOKUP(F53,数值设计!$B$97:$H$113,5,FALSE)*数值设计!$L$118*VLOOKUP(E53,数值设计!$J$118:$L$121,3,FALSE))</f>
        <v>126</v>
      </c>
      <c r="L53" s="2" t="str">
        <f t="shared" si="1"/>
        <v>[HURTRATE,UNHURTRATE,REFLECTION,ABSORPTION,ATKRATE]</v>
      </c>
      <c r="M53" s="2" t="str">
        <f>IF(F53=1,"["&amp;数值设计!$F$100*VLOOKUP(E53,数值设计!$J$118:$L$121,3,FALSE)&amp;","&amp;数值设计!$F$103*VLOOKUP(E53,数值设计!$J$118:$L$121,3,FALSE)&amp;","&amp;数值设计!$F$102*VLOOKUP(E53,数值设计!$J$118:$L$121,3,FALSE)&amp;","&amp;数值设计!$F$110*VLOOKUP(E53,数值设计!$J$118:$L$121,3,FALSE)&amp;","&amp;数值设计!$F$113*VLOOKUP(E53,数值设计!$J$118:$L$121,3,FALSE)&amp;"]",IF(F53=2,"["&amp;数值设计!$F$101*VLOOKUP(E53,数值设计!$J$118:$L$121,3,FALSE)&amp;","&amp;数值设计!$F$104*VLOOKUP(E53,数值设计!$J$118:$L$121,3,FALSE)&amp;","&amp;数值设计!$F$105*VLOOKUP(E53,数值设计!$J$118:$L$121,3,FALSE)&amp;","&amp;数值设计!$F$112*VLOOKUP(E53,数值设计!$J$118:$L$121,3,FALSE)&amp;"]","["&amp;数值设计!$F$106*VLOOKUP(E53,数值设计!$J$118:$L$121,3,FALSE)&amp;","&amp;数值设计!$F$107*VLOOKUP(E53,数值设计!$J$118:$L$121,3,FALSE)&amp;","&amp;数值设计!$F$108*VLOOKUP(E53,数值设计!$J$118:$L$121,3,FALSE)&amp;","&amp;数值设计!$F$109*VLOOKUP(E53,数值设计!$J$118:$L$121,3,FALSE)&amp;","&amp;数值设计!$F$111*VLOOKUP(E53,数值设计!$J$118:$L$121,3,FALSE)&amp;"]"))</f>
        <v>[0.016,0.016,0.016,0.016,0.04]</v>
      </c>
      <c r="N53" s="2">
        <f t="shared" si="20"/>
        <v>3</v>
      </c>
      <c r="O53" s="2" t="str">
        <f t="shared" si="18"/>
        <v>[1,1,1,1,1]</v>
      </c>
      <c r="P53" s="2" t="str">
        <f t="shared" si="19"/>
        <v>[1,1,1,1,1]</v>
      </c>
      <c r="Q53" s="2" t="s">
        <v>358</v>
      </c>
      <c r="R53" s="2" t="str">
        <f t="shared" si="21"/>
        <v>[20,20,20,20]</v>
      </c>
    </row>
    <row r="54" spans="2:18" x14ac:dyDescent="0.15">
      <c r="B54" s="2" t="s">
        <v>391</v>
      </c>
      <c r="C54" s="2" t="str">
        <f t="shared" si="0"/>
        <v>Gem3041</v>
      </c>
      <c r="D54" s="2" t="s">
        <v>247</v>
      </c>
      <c r="E54" s="2">
        <v>4</v>
      </c>
      <c r="F54" s="2">
        <v>1</v>
      </c>
      <c r="G54" s="2" t="str">
        <f>B175</f>
        <v>SuitSpecial_3</v>
      </c>
      <c r="I54" s="2" t="str">
        <f>VLOOKUP(F54,数值设计!$A$21:$I$23,9,FALSE)</f>
        <v>DEF</v>
      </c>
      <c r="J54" s="2">
        <f>INT(VLOOKUP(F54,数值设计!$B$97:$H$113,4,FALSE)*VLOOKUP(E54,数值设计!$J$118:$L$121,3,FALSE))</f>
        <v>1259</v>
      </c>
      <c r="K54" s="2">
        <f>INT(VLOOKUP(F54,数值设计!$B$97:$H$113,5,FALSE)*数值设计!$L$118*VLOOKUP(E54,数值设计!$J$118:$L$121,3,FALSE))</f>
        <v>62</v>
      </c>
      <c r="L54" s="2" t="str">
        <f t="shared" si="1"/>
        <v>[CRITRATE,BLOCKRATE,UNCRITRATE,SPEED,HPRATE]</v>
      </c>
      <c r="M54" s="2" t="str">
        <f>IF(F54=1,"["&amp;数值设计!$F$100*VLOOKUP(E54,数值设计!$J$118:$L$121,3,FALSE)&amp;","&amp;数值设计!$F$103*VLOOKUP(E54,数值设计!$J$118:$L$121,3,FALSE)&amp;","&amp;数值设计!$F$102*VLOOKUP(E54,数值设计!$J$118:$L$121,3,FALSE)&amp;","&amp;数值设计!$F$110*VLOOKUP(E54,数值设计!$J$118:$L$121,3,FALSE)&amp;","&amp;数值设计!$F$113*VLOOKUP(E54,数值设计!$J$118:$L$121,3,FALSE)&amp;"]",IF(F54=2,"["&amp;数值设计!$F$101*VLOOKUP(E54,数值设计!$J$118:$L$121,3,FALSE)&amp;","&amp;数值设计!$F$104*VLOOKUP(E54,数值设计!$J$118:$L$121,3,FALSE)&amp;","&amp;数值设计!$F$105*VLOOKUP(E54,数值设计!$J$118:$L$121,3,FALSE)&amp;","&amp;数值设计!$F$112*VLOOKUP(E54,数值设计!$J$118:$L$121,3,FALSE)&amp;"]","["&amp;数值设计!$F$106*VLOOKUP(E54,数值设计!$J$118:$L$121,3,FALSE)&amp;","&amp;数值设计!$F$107*VLOOKUP(E54,数值设计!$J$118:$L$121,3,FALSE)&amp;","&amp;数值设计!$F$108*VLOOKUP(E54,数值设计!$J$118:$L$121,3,FALSE)&amp;","&amp;数值设计!$F$109*VLOOKUP(E54,数值设计!$J$118:$L$121,3,FALSE)&amp;","&amp;数值设计!$F$111*VLOOKUP(E54,数值设计!$J$118:$L$121,3,FALSE)&amp;"]"))</f>
        <v>[0.02,0.016,0.016,120,0.04]</v>
      </c>
      <c r="N54" s="2">
        <f t="shared" si="20"/>
        <v>3</v>
      </c>
      <c r="O54" s="2" t="str">
        <f t="shared" si="18"/>
        <v>[1,1,1,1,1]</v>
      </c>
      <c r="P54" s="2" t="str">
        <f t="shared" si="19"/>
        <v>[1,1,1,1,1]</v>
      </c>
      <c r="Q54" s="2" t="s">
        <v>358</v>
      </c>
      <c r="R54" s="2" t="str">
        <f t="shared" si="21"/>
        <v>[20,20,20,20]</v>
      </c>
    </row>
    <row r="55" spans="2:18" x14ac:dyDescent="0.15">
      <c r="B55" s="2" t="s">
        <v>392</v>
      </c>
      <c r="C55" s="2" t="str">
        <f t="shared" si="0"/>
        <v>Gem3042</v>
      </c>
      <c r="D55" s="2" t="s">
        <v>248</v>
      </c>
      <c r="E55" s="2">
        <v>4</v>
      </c>
      <c r="F55" s="2">
        <v>2</v>
      </c>
      <c r="G55" s="2" t="str">
        <f>G54</f>
        <v>SuitSpecial_3</v>
      </c>
      <c r="I55" s="2" t="str">
        <f>VLOOKUP(F55,数值设计!$A$21:$I$23,9,FALSE)</f>
        <v>HP</v>
      </c>
      <c r="J55" s="2">
        <f>INT(VLOOKUP(F55,数值设计!$B$97:$H$113,4,FALSE)*VLOOKUP(E55,数值设计!$J$118:$L$121,3,FALSE))</f>
        <v>15448</v>
      </c>
      <c r="K55" s="2">
        <f>INT(VLOOKUP(F55,数值设计!$B$97:$H$113,5,FALSE)*数值设计!$L$118*VLOOKUP(E55,数值设计!$J$118:$L$121,3,FALSE))</f>
        <v>772</v>
      </c>
      <c r="L55" s="2" t="str">
        <f t="shared" si="1"/>
        <v>[CRITSTRG,BLOCKSTRG,UNBLOCKRATE,DEFRATE]</v>
      </c>
      <c r="M55" s="2" t="str">
        <f>IF(F55=1,"["&amp;数值设计!$F$100*VLOOKUP(E55,数值设计!$J$118:$L$121,3,FALSE)&amp;","&amp;数值设计!$F$103*VLOOKUP(E55,数值设计!$J$118:$L$121,3,FALSE)&amp;","&amp;数值设计!$F$102*VLOOKUP(E55,数值设计!$J$118:$L$121,3,FALSE)&amp;","&amp;数值设计!$F$110*VLOOKUP(E55,数值设计!$J$118:$L$121,3,FALSE)&amp;","&amp;数值设计!$F$113*VLOOKUP(E55,数值设计!$J$118:$L$121,3,FALSE)&amp;"]",IF(F55=2,"["&amp;数值设计!$F$101*VLOOKUP(E55,数值设计!$J$118:$L$121,3,FALSE)&amp;","&amp;数值设计!$F$104*VLOOKUP(E55,数值设计!$J$118:$L$121,3,FALSE)&amp;","&amp;数值设计!$F$105*VLOOKUP(E55,数值设计!$J$118:$L$121,3,FALSE)&amp;","&amp;数值设计!$F$112*VLOOKUP(E55,数值设计!$J$118:$L$121,3,FALSE)&amp;"]","["&amp;数值设计!$F$106*VLOOKUP(E55,数值设计!$J$118:$L$121,3,FALSE)&amp;","&amp;数值设计!$F$107*VLOOKUP(E55,数值设计!$J$118:$L$121,3,FALSE)&amp;","&amp;数值设计!$F$108*VLOOKUP(E55,数值设计!$J$118:$L$121,3,FALSE)&amp;","&amp;数值设计!$F$109*VLOOKUP(E55,数值设计!$J$118:$L$121,3,FALSE)&amp;","&amp;数值设计!$F$111*VLOOKUP(E55,数值设计!$J$118:$L$121,3,FALSE)&amp;"]"))</f>
        <v>[0.02,0.016,0.016,0.04]</v>
      </c>
      <c r="N55" s="2">
        <f t="shared" si="20"/>
        <v>3</v>
      </c>
      <c r="O55" s="2" t="str">
        <f t="shared" si="18"/>
        <v>[1,1,1,1,1]</v>
      </c>
      <c r="P55" s="2" t="str">
        <f t="shared" si="19"/>
        <v>[1,1,1,1,1]</v>
      </c>
      <c r="Q55" s="2" t="s">
        <v>358</v>
      </c>
      <c r="R55" s="2" t="str">
        <f t="shared" si="21"/>
        <v>[20,20,20,20]</v>
      </c>
    </row>
    <row r="56" spans="2:18" x14ac:dyDescent="0.15">
      <c r="B56" s="2" t="s">
        <v>393</v>
      </c>
      <c r="C56" s="2" t="str">
        <f t="shared" si="0"/>
        <v>Gem3043</v>
      </c>
      <c r="D56" s="2" t="s">
        <v>249</v>
      </c>
      <c r="E56" s="2">
        <v>4</v>
      </c>
      <c r="F56" s="2">
        <v>3</v>
      </c>
      <c r="G56" s="2" t="str">
        <f>G55</f>
        <v>SuitSpecial_3</v>
      </c>
      <c r="I56" s="2" t="str">
        <f>VLOOKUP(F56,数值设计!$A$21:$I$23,9,FALSE)</f>
        <v>ATK</v>
      </c>
      <c r="J56" s="2">
        <f>INT(VLOOKUP(F56,数值设计!$B$97:$H$113,4,FALSE)*VLOOKUP(E56,数值设计!$J$118:$L$121,3,FALSE))</f>
        <v>2520</v>
      </c>
      <c r="K56" s="2">
        <f>INT(VLOOKUP(F56,数值设计!$B$97:$H$113,5,FALSE)*数值设计!$L$118*VLOOKUP(E56,数值设计!$J$118:$L$121,3,FALSE))</f>
        <v>126</v>
      </c>
      <c r="L56" s="2" t="str">
        <f t="shared" si="1"/>
        <v>[HURTRATE,UNHURTRATE,REFLECTION,ABSORPTION,ATKRATE]</v>
      </c>
      <c r="M56" s="2" t="str">
        <f>IF(F56=1,"["&amp;数值设计!$F$100*VLOOKUP(E56,数值设计!$J$118:$L$121,3,FALSE)&amp;","&amp;数值设计!$F$103*VLOOKUP(E56,数值设计!$J$118:$L$121,3,FALSE)&amp;","&amp;数值设计!$F$102*VLOOKUP(E56,数值设计!$J$118:$L$121,3,FALSE)&amp;","&amp;数值设计!$F$110*VLOOKUP(E56,数值设计!$J$118:$L$121,3,FALSE)&amp;","&amp;数值设计!$F$113*VLOOKUP(E56,数值设计!$J$118:$L$121,3,FALSE)&amp;"]",IF(F56=2,"["&amp;数值设计!$F$101*VLOOKUP(E56,数值设计!$J$118:$L$121,3,FALSE)&amp;","&amp;数值设计!$F$104*VLOOKUP(E56,数值设计!$J$118:$L$121,3,FALSE)&amp;","&amp;数值设计!$F$105*VLOOKUP(E56,数值设计!$J$118:$L$121,3,FALSE)&amp;","&amp;数值设计!$F$112*VLOOKUP(E56,数值设计!$J$118:$L$121,3,FALSE)&amp;"]","["&amp;数值设计!$F$106*VLOOKUP(E56,数值设计!$J$118:$L$121,3,FALSE)&amp;","&amp;数值设计!$F$107*VLOOKUP(E56,数值设计!$J$118:$L$121,3,FALSE)&amp;","&amp;数值设计!$F$108*VLOOKUP(E56,数值设计!$J$118:$L$121,3,FALSE)&amp;","&amp;数值设计!$F$109*VLOOKUP(E56,数值设计!$J$118:$L$121,3,FALSE)&amp;","&amp;数值设计!$F$111*VLOOKUP(E56,数值设计!$J$118:$L$121,3,FALSE)&amp;"]"))</f>
        <v>[0.016,0.016,0.016,0.016,0.04]</v>
      </c>
      <c r="N56" s="2">
        <f t="shared" si="20"/>
        <v>3</v>
      </c>
      <c r="O56" s="2" t="str">
        <f t="shared" si="18"/>
        <v>[1,1,1,1,1]</v>
      </c>
      <c r="P56" s="2" t="str">
        <f t="shared" si="19"/>
        <v>[1,1,1,1,1]</v>
      </c>
      <c r="Q56" s="2" t="s">
        <v>358</v>
      </c>
      <c r="R56" s="2" t="str">
        <f t="shared" si="21"/>
        <v>[20,20,20,20]</v>
      </c>
    </row>
    <row r="57" spans="2:18" x14ac:dyDescent="0.15">
      <c r="B57" s="2" t="s">
        <v>394</v>
      </c>
      <c r="C57" s="2" t="str">
        <f t="shared" si="0"/>
        <v>Gem3051</v>
      </c>
      <c r="D57" s="2" t="s">
        <v>250</v>
      </c>
      <c r="E57" s="2">
        <v>4</v>
      </c>
      <c r="F57" s="2">
        <v>1</v>
      </c>
      <c r="G57" s="2" t="str">
        <f>B176</f>
        <v>SuitAtk_3</v>
      </c>
      <c r="I57" s="2" t="str">
        <f>VLOOKUP(F57,数值设计!$A$21:$I$23,9,FALSE)</f>
        <v>DEF</v>
      </c>
      <c r="J57" s="2">
        <f>INT(VLOOKUP(F57,数值设计!$B$97:$H$113,4,FALSE)*VLOOKUP(E57,数值设计!$J$118:$L$121,3,FALSE))</f>
        <v>1259</v>
      </c>
      <c r="K57" s="2">
        <f>INT(VLOOKUP(F57,数值设计!$B$97:$H$113,5,FALSE)*数值设计!$L$118*VLOOKUP(E57,数值设计!$J$118:$L$121,3,FALSE))</f>
        <v>62</v>
      </c>
      <c r="L57" s="2" t="str">
        <f t="shared" si="1"/>
        <v>[CRITRATE,BLOCKRATE,UNCRITRATE,SPEED,HPRATE]</v>
      </c>
      <c r="M57" s="2" t="str">
        <f>IF(F57=1,"["&amp;数值设计!$F$100*VLOOKUP(E57,数值设计!$J$118:$L$121,3,FALSE)&amp;","&amp;数值设计!$F$103*VLOOKUP(E57,数值设计!$J$118:$L$121,3,FALSE)&amp;","&amp;数值设计!$F$102*VLOOKUP(E57,数值设计!$J$118:$L$121,3,FALSE)&amp;","&amp;数值设计!$F$110*VLOOKUP(E57,数值设计!$J$118:$L$121,3,FALSE)&amp;","&amp;数值设计!$F$113*VLOOKUP(E57,数值设计!$J$118:$L$121,3,FALSE)&amp;"]",IF(F57=2,"["&amp;数值设计!$F$101*VLOOKUP(E57,数值设计!$J$118:$L$121,3,FALSE)&amp;","&amp;数值设计!$F$104*VLOOKUP(E57,数值设计!$J$118:$L$121,3,FALSE)&amp;","&amp;数值设计!$F$105*VLOOKUP(E57,数值设计!$J$118:$L$121,3,FALSE)&amp;","&amp;数值设计!$F$112*VLOOKUP(E57,数值设计!$J$118:$L$121,3,FALSE)&amp;"]","["&amp;数值设计!$F$106*VLOOKUP(E57,数值设计!$J$118:$L$121,3,FALSE)&amp;","&amp;数值设计!$F$107*VLOOKUP(E57,数值设计!$J$118:$L$121,3,FALSE)&amp;","&amp;数值设计!$F$108*VLOOKUP(E57,数值设计!$J$118:$L$121,3,FALSE)&amp;","&amp;数值设计!$F$109*VLOOKUP(E57,数值设计!$J$118:$L$121,3,FALSE)&amp;","&amp;数值设计!$F$111*VLOOKUP(E57,数值设计!$J$118:$L$121,3,FALSE)&amp;"]"))</f>
        <v>[0.02,0.016,0.016,120,0.04]</v>
      </c>
      <c r="N57" s="2">
        <f t="shared" si="20"/>
        <v>3</v>
      </c>
      <c r="O57" s="2" t="str">
        <f t="shared" si="18"/>
        <v>[1,1,1,1,1]</v>
      </c>
      <c r="P57" s="2" t="str">
        <f t="shared" si="19"/>
        <v>[1,1,1,1,1]</v>
      </c>
      <c r="Q57" s="2" t="s">
        <v>358</v>
      </c>
      <c r="R57" s="2" t="str">
        <f t="shared" si="21"/>
        <v>[20,20,20,20]</v>
      </c>
    </row>
    <row r="58" spans="2:18" x14ac:dyDescent="0.15">
      <c r="B58" s="2" t="s">
        <v>395</v>
      </c>
      <c r="C58" s="2" t="str">
        <f t="shared" si="0"/>
        <v>Gem3052</v>
      </c>
      <c r="D58" s="2" t="s">
        <v>251</v>
      </c>
      <c r="E58" s="2">
        <v>4</v>
      </c>
      <c r="F58" s="2">
        <v>2</v>
      </c>
      <c r="G58" s="2" t="str">
        <f>G57</f>
        <v>SuitAtk_3</v>
      </c>
      <c r="I58" s="2" t="str">
        <f>VLOOKUP(F58,数值设计!$A$21:$I$23,9,FALSE)</f>
        <v>HP</v>
      </c>
      <c r="J58" s="2">
        <f>INT(VLOOKUP(F58,数值设计!$B$97:$H$113,4,FALSE)*VLOOKUP(E58,数值设计!$J$118:$L$121,3,FALSE))</f>
        <v>15448</v>
      </c>
      <c r="K58" s="2">
        <f>INT(VLOOKUP(F58,数值设计!$B$97:$H$113,5,FALSE)*数值设计!$L$118*VLOOKUP(E58,数值设计!$J$118:$L$121,3,FALSE))</f>
        <v>772</v>
      </c>
      <c r="L58" s="2" t="str">
        <f t="shared" si="1"/>
        <v>[CRITSTRG,BLOCKSTRG,UNBLOCKRATE,DEFRATE]</v>
      </c>
      <c r="M58" s="2" t="str">
        <f>IF(F58=1,"["&amp;数值设计!$F$100*VLOOKUP(E58,数值设计!$J$118:$L$121,3,FALSE)&amp;","&amp;数值设计!$F$103*VLOOKUP(E58,数值设计!$J$118:$L$121,3,FALSE)&amp;","&amp;数值设计!$F$102*VLOOKUP(E58,数值设计!$J$118:$L$121,3,FALSE)&amp;","&amp;数值设计!$F$110*VLOOKUP(E58,数值设计!$J$118:$L$121,3,FALSE)&amp;","&amp;数值设计!$F$113*VLOOKUP(E58,数值设计!$J$118:$L$121,3,FALSE)&amp;"]",IF(F58=2,"["&amp;数值设计!$F$101*VLOOKUP(E58,数值设计!$J$118:$L$121,3,FALSE)&amp;","&amp;数值设计!$F$104*VLOOKUP(E58,数值设计!$J$118:$L$121,3,FALSE)&amp;","&amp;数值设计!$F$105*VLOOKUP(E58,数值设计!$J$118:$L$121,3,FALSE)&amp;","&amp;数值设计!$F$112*VLOOKUP(E58,数值设计!$J$118:$L$121,3,FALSE)&amp;"]","["&amp;数值设计!$F$106*VLOOKUP(E58,数值设计!$J$118:$L$121,3,FALSE)&amp;","&amp;数值设计!$F$107*VLOOKUP(E58,数值设计!$J$118:$L$121,3,FALSE)&amp;","&amp;数值设计!$F$108*VLOOKUP(E58,数值设计!$J$118:$L$121,3,FALSE)&amp;","&amp;数值设计!$F$109*VLOOKUP(E58,数值设计!$J$118:$L$121,3,FALSE)&amp;","&amp;数值设计!$F$111*VLOOKUP(E58,数值设计!$J$118:$L$121,3,FALSE)&amp;"]"))</f>
        <v>[0.02,0.016,0.016,0.04]</v>
      </c>
      <c r="N58" s="2">
        <f t="shared" si="20"/>
        <v>3</v>
      </c>
      <c r="O58" s="2" t="str">
        <f t="shared" si="18"/>
        <v>[1,1,1,1,1]</v>
      </c>
      <c r="P58" s="2" t="str">
        <f t="shared" si="19"/>
        <v>[1,1,1,1,1]</v>
      </c>
      <c r="Q58" s="2" t="s">
        <v>358</v>
      </c>
      <c r="R58" s="2" t="str">
        <f t="shared" si="21"/>
        <v>[20,20,20,20]</v>
      </c>
    </row>
    <row r="59" spans="2:18" x14ac:dyDescent="0.15">
      <c r="B59" s="2" t="s">
        <v>396</v>
      </c>
      <c r="C59" s="2" t="str">
        <f t="shared" si="0"/>
        <v>Gem3053</v>
      </c>
      <c r="D59" s="2" t="s">
        <v>252</v>
      </c>
      <c r="E59" s="2">
        <v>4</v>
      </c>
      <c r="F59" s="2">
        <v>3</v>
      </c>
      <c r="G59" s="2" t="str">
        <f>G58</f>
        <v>SuitAtk_3</v>
      </c>
      <c r="I59" s="2" t="str">
        <f>VLOOKUP(F59,数值设计!$A$21:$I$23,9,FALSE)</f>
        <v>ATK</v>
      </c>
      <c r="J59" s="2">
        <f>INT(VLOOKUP(F59,数值设计!$B$97:$H$113,4,FALSE)*VLOOKUP(E59,数值设计!$J$118:$L$121,3,FALSE))</f>
        <v>2520</v>
      </c>
      <c r="K59" s="2">
        <f>INT(VLOOKUP(F59,数值设计!$B$97:$H$113,5,FALSE)*数值设计!$L$118*VLOOKUP(E59,数值设计!$J$118:$L$121,3,FALSE))</f>
        <v>126</v>
      </c>
      <c r="L59" s="2" t="str">
        <f t="shared" si="1"/>
        <v>[HURTRATE,UNHURTRATE,REFLECTION,ABSORPTION,ATKRATE]</v>
      </c>
      <c r="M59" s="2" t="str">
        <f>IF(F59=1,"["&amp;数值设计!$F$100*VLOOKUP(E59,数值设计!$J$118:$L$121,3,FALSE)&amp;","&amp;数值设计!$F$103*VLOOKUP(E59,数值设计!$J$118:$L$121,3,FALSE)&amp;","&amp;数值设计!$F$102*VLOOKUP(E59,数值设计!$J$118:$L$121,3,FALSE)&amp;","&amp;数值设计!$F$110*VLOOKUP(E59,数值设计!$J$118:$L$121,3,FALSE)&amp;","&amp;数值设计!$F$113*VLOOKUP(E59,数值设计!$J$118:$L$121,3,FALSE)&amp;"]",IF(F59=2,"["&amp;数值设计!$F$101*VLOOKUP(E59,数值设计!$J$118:$L$121,3,FALSE)&amp;","&amp;数值设计!$F$104*VLOOKUP(E59,数值设计!$J$118:$L$121,3,FALSE)&amp;","&amp;数值设计!$F$105*VLOOKUP(E59,数值设计!$J$118:$L$121,3,FALSE)&amp;","&amp;数值设计!$F$112*VLOOKUP(E59,数值设计!$J$118:$L$121,3,FALSE)&amp;"]","["&amp;数值设计!$F$106*VLOOKUP(E59,数值设计!$J$118:$L$121,3,FALSE)&amp;","&amp;数值设计!$F$107*VLOOKUP(E59,数值设计!$J$118:$L$121,3,FALSE)&amp;","&amp;数值设计!$F$108*VLOOKUP(E59,数值设计!$J$118:$L$121,3,FALSE)&amp;","&amp;数值设计!$F$109*VLOOKUP(E59,数值设计!$J$118:$L$121,3,FALSE)&amp;","&amp;数值设计!$F$111*VLOOKUP(E59,数值设计!$J$118:$L$121,3,FALSE)&amp;"]"))</f>
        <v>[0.016,0.016,0.016,0.016,0.04]</v>
      </c>
      <c r="N59" s="2">
        <f t="shared" si="20"/>
        <v>3</v>
      </c>
      <c r="O59" s="2" t="str">
        <f t="shared" si="18"/>
        <v>[1,1,1,1,1]</v>
      </c>
      <c r="P59" s="2" t="str">
        <f t="shared" si="19"/>
        <v>[1,1,1,1,1]</v>
      </c>
      <c r="Q59" s="2" t="s">
        <v>358</v>
      </c>
      <c r="R59" s="2" t="str">
        <f t="shared" si="21"/>
        <v>[20,20,20,20]</v>
      </c>
    </row>
    <row r="60" spans="2:18" x14ac:dyDescent="0.15">
      <c r="B60" s="2" t="s">
        <v>397</v>
      </c>
      <c r="C60" s="2" t="str">
        <f t="shared" si="0"/>
        <v>Gem4001</v>
      </c>
      <c r="D60" s="2" t="s">
        <v>261</v>
      </c>
      <c r="E60" s="2">
        <v>5</v>
      </c>
      <c r="F60" s="2">
        <v>1</v>
      </c>
      <c r="G60" s="2" t="str">
        <f>B177</f>
        <v>SuitCri_4</v>
      </c>
      <c r="I60" s="2" t="str">
        <f>VLOOKUP(F60,数值设计!$A$21:$I$23,9,FALSE)</f>
        <v>DEF</v>
      </c>
      <c r="J60" s="2">
        <f>INT(VLOOKUP(F60,数值设计!$B$97:$H$113,4,FALSE)*VLOOKUP(E60,数值设计!$J$118:$L$121,3,FALSE))</f>
        <v>1574</v>
      </c>
      <c r="K60" s="2">
        <f>INT(VLOOKUP(F60,数值设计!$B$97:$H$113,5,FALSE)*数值设计!$L$118*VLOOKUP(E60,数值设计!$J$118:$L$121,3,FALSE))</f>
        <v>78</v>
      </c>
      <c r="L60" s="2" t="str">
        <f t="shared" si="1"/>
        <v>[CRITRATE,BLOCKRATE,UNCRITRATE,SPEED,HPRATE]</v>
      </c>
      <c r="M60" s="2" t="str">
        <f>IF(F60=1,"["&amp;数值设计!$F$100*VLOOKUP(E60,数值设计!$J$118:$L$121,3,FALSE)&amp;","&amp;数值设计!$F$103*VLOOKUP(E60,数值设计!$J$118:$L$121,3,FALSE)&amp;","&amp;数值设计!$F$102*VLOOKUP(E60,数值设计!$J$118:$L$121,3,FALSE)&amp;","&amp;数值设计!$F$110*VLOOKUP(E60,数值设计!$J$118:$L$121,3,FALSE)&amp;","&amp;数值设计!$F$113*VLOOKUP(E60,数值设计!$J$118:$L$121,3,FALSE)&amp;"]",IF(F60=2,"["&amp;数值设计!$F$101*VLOOKUP(E60,数值设计!$J$118:$L$121,3,FALSE)&amp;","&amp;数值设计!$F$104*VLOOKUP(E60,数值设计!$J$118:$L$121,3,FALSE)&amp;","&amp;数值设计!$F$105*VLOOKUP(E60,数值设计!$J$118:$L$121,3,FALSE)&amp;","&amp;数值设计!$F$112*VLOOKUP(E60,数值设计!$J$118:$L$121,3,FALSE)&amp;"]","["&amp;数值设计!$F$106*VLOOKUP(E60,数值设计!$J$118:$L$121,3,FALSE)&amp;","&amp;数值设计!$F$107*VLOOKUP(E60,数值设计!$J$118:$L$121,3,FALSE)&amp;","&amp;数值设计!$F$108*VLOOKUP(E60,数值设计!$J$118:$L$121,3,FALSE)&amp;","&amp;数值设计!$F$109*VLOOKUP(E60,数值设计!$J$118:$L$121,3,FALSE)&amp;","&amp;数值设计!$F$111*VLOOKUP(E60,数值设计!$J$118:$L$121,3,FALSE)&amp;"]"))</f>
        <v>[0.025,0.02,0.02,150,0.05]</v>
      </c>
      <c r="N60" s="2">
        <f>N58</f>
        <v>3</v>
      </c>
      <c r="O60" s="2" t="s">
        <v>354</v>
      </c>
      <c r="P60" s="2" t="s">
        <v>354</v>
      </c>
      <c r="Q60" s="2" t="s">
        <v>358</v>
      </c>
      <c r="R60" s="2" t="s">
        <v>357</v>
      </c>
    </row>
    <row r="61" spans="2:18" x14ac:dyDescent="0.15">
      <c r="B61" s="2" t="s">
        <v>398</v>
      </c>
      <c r="C61" s="2" t="str">
        <f t="shared" si="0"/>
        <v>Gem4002</v>
      </c>
      <c r="D61" s="2" t="s">
        <v>262</v>
      </c>
      <c r="E61" s="2">
        <v>5</v>
      </c>
      <c r="F61" s="2">
        <v>2</v>
      </c>
      <c r="G61" s="2" t="str">
        <f>G60</f>
        <v>SuitCri_4</v>
      </c>
      <c r="I61" s="2" t="str">
        <f>VLOOKUP(F61,数值设计!$A$21:$I$23,9,FALSE)</f>
        <v>HP</v>
      </c>
      <c r="J61" s="2">
        <f>INT(VLOOKUP(F61,数值设计!$B$97:$H$113,4,FALSE)*VLOOKUP(E61,数值设计!$J$118:$L$121,3,FALSE))</f>
        <v>19310</v>
      </c>
      <c r="K61" s="2">
        <f>INT(VLOOKUP(F61,数值设计!$B$97:$H$113,5,FALSE)*数值设计!$L$118*VLOOKUP(E61,数值设计!$J$118:$L$121,3,FALSE))</f>
        <v>965</v>
      </c>
      <c r="L61" s="2" t="str">
        <f t="shared" si="1"/>
        <v>[CRITSTRG,BLOCKSTRG,UNBLOCKRATE,DEFRATE]</v>
      </c>
      <c r="M61" s="2" t="str">
        <f>IF(F61=1,"["&amp;数值设计!$F$100*VLOOKUP(E61,数值设计!$J$118:$L$121,3,FALSE)&amp;","&amp;数值设计!$F$103*VLOOKUP(E61,数值设计!$J$118:$L$121,3,FALSE)&amp;","&amp;数值设计!$F$102*VLOOKUP(E61,数值设计!$J$118:$L$121,3,FALSE)&amp;","&amp;数值设计!$F$110*VLOOKUP(E61,数值设计!$J$118:$L$121,3,FALSE)&amp;","&amp;数值设计!$F$113*VLOOKUP(E61,数值设计!$J$118:$L$121,3,FALSE)&amp;"]",IF(F61=2,"["&amp;数值设计!$F$101*VLOOKUP(E61,数值设计!$J$118:$L$121,3,FALSE)&amp;","&amp;数值设计!$F$104*VLOOKUP(E61,数值设计!$J$118:$L$121,3,FALSE)&amp;","&amp;数值设计!$F$105*VLOOKUP(E61,数值设计!$J$118:$L$121,3,FALSE)&amp;","&amp;数值设计!$F$112*VLOOKUP(E61,数值设计!$J$118:$L$121,3,FALSE)&amp;"]","["&amp;数值设计!$F$106*VLOOKUP(E61,数值设计!$J$118:$L$121,3,FALSE)&amp;","&amp;数值设计!$F$107*VLOOKUP(E61,数值设计!$J$118:$L$121,3,FALSE)&amp;","&amp;数值设计!$F$108*VLOOKUP(E61,数值设计!$J$118:$L$121,3,FALSE)&amp;","&amp;数值设计!$F$109*VLOOKUP(E61,数值设计!$J$118:$L$121,3,FALSE)&amp;","&amp;数值设计!$F$111*VLOOKUP(E61,数值设计!$J$118:$L$121,3,FALSE)&amp;"]"))</f>
        <v>[0.025,0.02,0.02,0.05]</v>
      </c>
      <c r="N61" s="2">
        <f>N59</f>
        <v>3</v>
      </c>
      <c r="O61" s="2" t="str">
        <f t="shared" si="18"/>
        <v>[1,1,1,1,1]</v>
      </c>
      <c r="P61" s="2" t="str">
        <f t="shared" si="19"/>
        <v>[1,1,1,1,1]</v>
      </c>
      <c r="Q61" s="2" t="s">
        <v>358</v>
      </c>
      <c r="R61" s="2" t="str">
        <f>R59</f>
        <v>[20,20,20,20]</v>
      </c>
    </row>
    <row r="62" spans="2:18" x14ac:dyDescent="0.15">
      <c r="B62" s="2" t="s">
        <v>399</v>
      </c>
      <c r="C62" s="2" t="str">
        <f t="shared" si="0"/>
        <v>Gem4003</v>
      </c>
      <c r="D62" s="2" t="s">
        <v>263</v>
      </c>
      <c r="E62" s="2">
        <v>5</v>
      </c>
      <c r="F62" s="2">
        <v>3</v>
      </c>
      <c r="G62" s="2" t="str">
        <f>G61</f>
        <v>SuitCri_4</v>
      </c>
      <c r="I62" s="2" t="str">
        <f>VLOOKUP(F62,数值设计!$A$21:$I$23,9,FALSE)</f>
        <v>ATK</v>
      </c>
      <c r="J62" s="2">
        <f>INT(VLOOKUP(F62,数值设计!$B$97:$H$113,4,FALSE)*VLOOKUP(E62,数值设计!$J$118:$L$121,3,FALSE))</f>
        <v>3150</v>
      </c>
      <c r="K62" s="2">
        <f>INT(VLOOKUP(F62,数值设计!$B$97:$H$113,5,FALSE)*数值设计!$L$118*VLOOKUP(E62,数值设计!$J$118:$L$121,3,FALSE))</f>
        <v>157</v>
      </c>
      <c r="L62" s="2" t="str">
        <f t="shared" si="1"/>
        <v>[HURTRATE,UNHURTRATE,REFLECTION,ABSORPTION,ATKRATE]</v>
      </c>
      <c r="M62" s="2" t="str">
        <f>IF(F62=1,"["&amp;数值设计!$F$100*VLOOKUP(E62,数值设计!$J$118:$L$121,3,FALSE)&amp;","&amp;数值设计!$F$103*VLOOKUP(E62,数值设计!$J$118:$L$121,3,FALSE)&amp;","&amp;数值设计!$F$102*VLOOKUP(E62,数值设计!$J$118:$L$121,3,FALSE)&amp;","&amp;数值设计!$F$110*VLOOKUP(E62,数值设计!$J$118:$L$121,3,FALSE)&amp;","&amp;数值设计!$F$113*VLOOKUP(E62,数值设计!$J$118:$L$121,3,FALSE)&amp;"]",IF(F62=2,"["&amp;数值设计!$F$101*VLOOKUP(E62,数值设计!$J$118:$L$121,3,FALSE)&amp;","&amp;数值设计!$F$104*VLOOKUP(E62,数值设计!$J$118:$L$121,3,FALSE)&amp;","&amp;数值设计!$F$105*VLOOKUP(E62,数值设计!$J$118:$L$121,3,FALSE)&amp;","&amp;数值设计!$F$112*VLOOKUP(E62,数值设计!$J$118:$L$121,3,FALSE)&amp;"]","["&amp;数值设计!$F$106*VLOOKUP(E62,数值设计!$J$118:$L$121,3,FALSE)&amp;","&amp;数值设计!$F$107*VLOOKUP(E62,数值设计!$J$118:$L$121,3,FALSE)&amp;","&amp;数值设计!$F$108*VLOOKUP(E62,数值设计!$J$118:$L$121,3,FALSE)&amp;","&amp;数值设计!$F$109*VLOOKUP(E62,数值设计!$J$118:$L$121,3,FALSE)&amp;","&amp;数值设计!$F$111*VLOOKUP(E62,数值设计!$J$118:$L$121,3,FALSE)&amp;"]"))</f>
        <v>[0.02,0.02,0.02,0.02,0.05]</v>
      </c>
      <c r="N62" s="2">
        <f t="shared" ref="N62:N77" si="22">N60</f>
        <v>3</v>
      </c>
      <c r="O62" s="2" t="str">
        <f t="shared" si="18"/>
        <v>[1,1,1,1,1]</v>
      </c>
      <c r="P62" s="2" t="str">
        <f t="shared" si="19"/>
        <v>[1,1,1,1,1]</v>
      </c>
      <c r="Q62" s="2" t="s">
        <v>358</v>
      </c>
      <c r="R62" s="2" t="str">
        <f t="shared" ref="R62:R77" si="23">R60</f>
        <v>[20,20,20,20]</v>
      </c>
    </row>
    <row r="63" spans="2:18" x14ac:dyDescent="0.15">
      <c r="B63" s="2" t="s">
        <v>400</v>
      </c>
      <c r="C63" s="2" t="str">
        <f t="shared" si="0"/>
        <v>Gem4011</v>
      </c>
      <c r="D63" s="2" t="s">
        <v>264</v>
      </c>
      <c r="E63" s="2">
        <v>5</v>
      </c>
      <c r="F63" s="2">
        <v>1</v>
      </c>
      <c r="G63" s="2" t="str">
        <f>B178</f>
        <v>SuitBlock_4</v>
      </c>
      <c r="I63" s="2" t="str">
        <f>VLOOKUP(F63,数值设计!$A$21:$I$23,9,FALSE)</f>
        <v>DEF</v>
      </c>
      <c r="J63" s="2">
        <f>INT(VLOOKUP(F63,数值设计!$B$97:$H$113,4,FALSE)*VLOOKUP(E63,数值设计!$J$118:$L$121,3,FALSE))</f>
        <v>1574</v>
      </c>
      <c r="K63" s="2">
        <f>INT(VLOOKUP(F63,数值设计!$B$97:$H$113,5,FALSE)*数值设计!$L$118*VLOOKUP(E63,数值设计!$J$118:$L$121,3,FALSE))</f>
        <v>78</v>
      </c>
      <c r="L63" s="2" t="str">
        <f t="shared" si="1"/>
        <v>[CRITRATE,BLOCKRATE,UNCRITRATE,SPEED,HPRATE]</v>
      </c>
      <c r="M63" s="2" t="str">
        <f>IF(F63=1,"["&amp;数值设计!$F$100*VLOOKUP(E63,数值设计!$J$118:$L$121,3,FALSE)&amp;","&amp;数值设计!$F$103*VLOOKUP(E63,数值设计!$J$118:$L$121,3,FALSE)&amp;","&amp;数值设计!$F$102*VLOOKUP(E63,数值设计!$J$118:$L$121,3,FALSE)&amp;","&amp;数值设计!$F$110*VLOOKUP(E63,数值设计!$J$118:$L$121,3,FALSE)&amp;","&amp;数值设计!$F$113*VLOOKUP(E63,数值设计!$J$118:$L$121,3,FALSE)&amp;"]",IF(F63=2,"["&amp;数值设计!$F$101*VLOOKUP(E63,数值设计!$J$118:$L$121,3,FALSE)&amp;","&amp;数值设计!$F$104*VLOOKUP(E63,数值设计!$J$118:$L$121,3,FALSE)&amp;","&amp;数值设计!$F$105*VLOOKUP(E63,数值设计!$J$118:$L$121,3,FALSE)&amp;","&amp;数值设计!$F$112*VLOOKUP(E63,数值设计!$J$118:$L$121,3,FALSE)&amp;"]","["&amp;数值设计!$F$106*VLOOKUP(E63,数值设计!$J$118:$L$121,3,FALSE)&amp;","&amp;数值设计!$F$107*VLOOKUP(E63,数值设计!$J$118:$L$121,3,FALSE)&amp;","&amp;数值设计!$F$108*VLOOKUP(E63,数值设计!$J$118:$L$121,3,FALSE)&amp;","&amp;数值设计!$F$109*VLOOKUP(E63,数值设计!$J$118:$L$121,3,FALSE)&amp;","&amp;数值设计!$F$111*VLOOKUP(E63,数值设计!$J$118:$L$121,3,FALSE)&amp;"]"))</f>
        <v>[0.025,0.02,0.02,150,0.05]</v>
      </c>
      <c r="N63" s="2">
        <f t="shared" si="22"/>
        <v>3</v>
      </c>
      <c r="O63" s="2" t="str">
        <f t="shared" si="18"/>
        <v>[1,1,1,1,1]</v>
      </c>
      <c r="P63" s="2" t="str">
        <f t="shared" si="19"/>
        <v>[1,1,1,1,1]</v>
      </c>
      <c r="Q63" s="2" t="s">
        <v>358</v>
      </c>
      <c r="R63" s="2" t="str">
        <f t="shared" si="23"/>
        <v>[20,20,20,20]</v>
      </c>
    </row>
    <row r="64" spans="2:18" x14ac:dyDescent="0.15">
      <c r="B64" s="2" t="s">
        <v>401</v>
      </c>
      <c r="C64" s="2" t="str">
        <f t="shared" si="0"/>
        <v>Gem4012</v>
      </c>
      <c r="D64" s="2" t="s">
        <v>265</v>
      </c>
      <c r="E64" s="2">
        <v>5</v>
      </c>
      <c r="F64" s="2">
        <v>2</v>
      </c>
      <c r="G64" s="2" t="str">
        <f>G63</f>
        <v>SuitBlock_4</v>
      </c>
      <c r="I64" s="2" t="str">
        <f>VLOOKUP(F64,数值设计!$A$21:$I$23,9,FALSE)</f>
        <v>HP</v>
      </c>
      <c r="J64" s="2">
        <f>INT(VLOOKUP(F64,数值设计!$B$97:$H$113,4,FALSE)*VLOOKUP(E64,数值设计!$J$118:$L$121,3,FALSE))</f>
        <v>19310</v>
      </c>
      <c r="K64" s="2">
        <f>INT(VLOOKUP(F64,数值设计!$B$97:$H$113,5,FALSE)*数值设计!$L$118*VLOOKUP(E64,数值设计!$J$118:$L$121,3,FALSE))</f>
        <v>965</v>
      </c>
      <c r="L64" s="2" t="str">
        <f t="shared" si="1"/>
        <v>[CRITSTRG,BLOCKSTRG,UNBLOCKRATE,DEFRATE]</v>
      </c>
      <c r="M64" s="2" t="str">
        <f>IF(F64=1,"["&amp;数值设计!$F$100*VLOOKUP(E64,数值设计!$J$118:$L$121,3,FALSE)&amp;","&amp;数值设计!$F$103*VLOOKUP(E64,数值设计!$J$118:$L$121,3,FALSE)&amp;","&amp;数值设计!$F$102*VLOOKUP(E64,数值设计!$J$118:$L$121,3,FALSE)&amp;","&amp;数值设计!$F$110*VLOOKUP(E64,数值设计!$J$118:$L$121,3,FALSE)&amp;","&amp;数值设计!$F$113*VLOOKUP(E64,数值设计!$J$118:$L$121,3,FALSE)&amp;"]",IF(F64=2,"["&amp;数值设计!$F$101*VLOOKUP(E64,数值设计!$J$118:$L$121,3,FALSE)&amp;","&amp;数值设计!$F$104*VLOOKUP(E64,数值设计!$J$118:$L$121,3,FALSE)&amp;","&amp;数值设计!$F$105*VLOOKUP(E64,数值设计!$J$118:$L$121,3,FALSE)&amp;","&amp;数值设计!$F$112*VLOOKUP(E64,数值设计!$J$118:$L$121,3,FALSE)&amp;"]","["&amp;数值设计!$F$106*VLOOKUP(E64,数值设计!$J$118:$L$121,3,FALSE)&amp;","&amp;数值设计!$F$107*VLOOKUP(E64,数值设计!$J$118:$L$121,3,FALSE)&amp;","&amp;数值设计!$F$108*VLOOKUP(E64,数值设计!$J$118:$L$121,3,FALSE)&amp;","&amp;数值设计!$F$109*VLOOKUP(E64,数值设计!$J$118:$L$121,3,FALSE)&amp;","&amp;数值设计!$F$111*VLOOKUP(E64,数值设计!$J$118:$L$121,3,FALSE)&amp;"]"))</f>
        <v>[0.025,0.02,0.02,0.05]</v>
      </c>
      <c r="N64" s="2">
        <f t="shared" si="22"/>
        <v>3</v>
      </c>
      <c r="O64" s="2" t="str">
        <f t="shared" si="18"/>
        <v>[1,1,1,1,1]</v>
      </c>
      <c r="P64" s="2" t="str">
        <f t="shared" si="19"/>
        <v>[1,1,1,1,1]</v>
      </c>
      <c r="Q64" s="2" t="s">
        <v>358</v>
      </c>
      <c r="R64" s="2" t="str">
        <f t="shared" si="23"/>
        <v>[20,20,20,20]</v>
      </c>
    </row>
    <row r="65" spans="1:18" x14ac:dyDescent="0.15">
      <c r="B65" s="2" t="s">
        <v>402</v>
      </c>
      <c r="C65" s="2" t="str">
        <f t="shared" si="0"/>
        <v>Gem4013</v>
      </c>
      <c r="D65" s="2" t="s">
        <v>266</v>
      </c>
      <c r="E65" s="2">
        <v>5</v>
      </c>
      <c r="F65" s="2">
        <v>3</v>
      </c>
      <c r="G65" s="2" t="str">
        <f>G64</f>
        <v>SuitBlock_4</v>
      </c>
      <c r="I65" s="2" t="str">
        <f>VLOOKUP(F65,数值设计!$A$21:$I$23,9,FALSE)</f>
        <v>ATK</v>
      </c>
      <c r="J65" s="2">
        <f>INT(VLOOKUP(F65,数值设计!$B$97:$H$113,4,FALSE)*VLOOKUP(E65,数值设计!$J$118:$L$121,3,FALSE))</f>
        <v>3150</v>
      </c>
      <c r="K65" s="2">
        <f>INT(VLOOKUP(F65,数值设计!$B$97:$H$113,5,FALSE)*数值设计!$L$118*VLOOKUP(E65,数值设计!$J$118:$L$121,3,FALSE))</f>
        <v>157</v>
      </c>
      <c r="L65" s="2" t="str">
        <f t="shared" si="1"/>
        <v>[HURTRATE,UNHURTRATE,REFLECTION,ABSORPTION,ATKRATE]</v>
      </c>
      <c r="M65" s="2" t="str">
        <f>IF(F65=1,"["&amp;数值设计!$F$100*VLOOKUP(E65,数值设计!$J$118:$L$121,3,FALSE)&amp;","&amp;数值设计!$F$103*VLOOKUP(E65,数值设计!$J$118:$L$121,3,FALSE)&amp;","&amp;数值设计!$F$102*VLOOKUP(E65,数值设计!$J$118:$L$121,3,FALSE)&amp;","&amp;数值设计!$F$110*VLOOKUP(E65,数值设计!$J$118:$L$121,3,FALSE)&amp;","&amp;数值设计!$F$113*VLOOKUP(E65,数值设计!$J$118:$L$121,3,FALSE)&amp;"]",IF(F65=2,"["&amp;数值设计!$F$101*VLOOKUP(E65,数值设计!$J$118:$L$121,3,FALSE)&amp;","&amp;数值设计!$F$104*VLOOKUP(E65,数值设计!$J$118:$L$121,3,FALSE)&amp;","&amp;数值设计!$F$105*VLOOKUP(E65,数值设计!$J$118:$L$121,3,FALSE)&amp;","&amp;数值设计!$F$112*VLOOKUP(E65,数值设计!$J$118:$L$121,3,FALSE)&amp;"]","["&amp;数值设计!$F$106*VLOOKUP(E65,数值设计!$J$118:$L$121,3,FALSE)&amp;","&amp;数值设计!$F$107*VLOOKUP(E65,数值设计!$J$118:$L$121,3,FALSE)&amp;","&amp;数值设计!$F$108*VLOOKUP(E65,数值设计!$J$118:$L$121,3,FALSE)&amp;","&amp;数值设计!$F$109*VLOOKUP(E65,数值设计!$J$118:$L$121,3,FALSE)&amp;","&amp;数值设计!$F$111*VLOOKUP(E65,数值设计!$J$118:$L$121,3,FALSE)&amp;"]"))</f>
        <v>[0.02,0.02,0.02,0.02,0.05]</v>
      </c>
      <c r="N65" s="2">
        <f t="shared" si="22"/>
        <v>3</v>
      </c>
      <c r="O65" s="2" t="str">
        <f t="shared" si="18"/>
        <v>[1,1,1,1,1]</v>
      </c>
      <c r="P65" s="2" t="str">
        <f t="shared" si="19"/>
        <v>[1,1,1,1,1]</v>
      </c>
      <c r="Q65" s="2" t="s">
        <v>358</v>
      </c>
      <c r="R65" s="2" t="str">
        <f t="shared" si="23"/>
        <v>[20,20,20,20]</v>
      </c>
    </row>
    <row r="66" spans="1:18" x14ac:dyDescent="0.15">
      <c r="B66" s="2" t="s">
        <v>403</v>
      </c>
      <c r="C66" s="2" t="str">
        <f t="shared" si="0"/>
        <v>Gem4021</v>
      </c>
      <c r="D66" s="2" t="s">
        <v>267</v>
      </c>
      <c r="E66" s="2">
        <v>5</v>
      </c>
      <c r="F66" s="2">
        <v>1</v>
      </c>
      <c r="G66" s="2" t="str">
        <f>B179</f>
        <v>SuitDef_4</v>
      </c>
      <c r="I66" s="2" t="str">
        <f>VLOOKUP(F66,数值设计!$A$21:$I$23,9,FALSE)</f>
        <v>DEF</v>
      </c>
      <c r="J66" s="2">
        <f>INT(VLOOKUP(F66,数值设计!$B$97:$H$113,4,FALSE)*VLOOKUP(E66,数值设计!$J$118:$L$121,3,FALSE))</f>
        <v>1574</v>
      </c>
      <c r="K66" s="2">
        <f>INT(VLOOKUP(F66,数值设计!$B$97:$H$113,5,FALSE)*数值设计!$L$118*VLOOKUP(E66,数值设计!$J$118:$L$121,3,FALSE))</f>
        <v>78</v>
      </c>
      <c r="L66" s="2" t="str">
        <f t="shared" si="1"/>
        <v>[CRITRATE,BLOCKRATE,UNCRITRATE,SPEED,HPRATE]</v>
      </c>
      <c r="M66" s="2" t="str">
        <f>IF(F66=1,"["&amp;数值设计!$F$100*VLOOKUP(E66,数值设计!$J$118:$L$121,3,FALSE)&amp;","&amp;数值设计!$F$103*VLOOKUP(E66,数值设计!$J$118:$L$121,3,FALSE)&amp;","&amp;数值设计!$F$102*VLOOKUP(E66,数值设计!$J$118:$L$121,3,FALSE)&amp;","&amp;数值设计!$F$110*VLOOKUP(E66,数值设计!$J$118:$L$121,3,FALSE)&amp;","&amp;数值设计!$F$113*VLOOKUP(E66,数值设计!$J$118:$L$121,3,FALSE)&amp;"]",IF(F66=2,"["&amp;数值设计!$F$101*VLOOKUP(E66,数值设计!$J$118:$L$121,3,FALSE)&amp;","&amp;数值设计!$F$104*VLOOKUP(E66,数值设计!$J$118:$L$121,3,FALSE)&amp;","&amp;数值设计!$F$105*VLOOKUP(E66,数值设计!$J$118:$L$121,3,FALSE)&amp;","&amp;数值设计!$F$112*VLOOKUP(E66,数值设计!$J$118:$L$121,3,FALSE)&amp;"]","["&amp;数值设计!$F$106*VLOOKUP(E66,数值设计!$J$118:$L$121,3,FALSE)&amp;","&amp;数值设计!$F$107*VLOOKUP(E66,数值设计!$J$118:$L$121,3,FALSE)&amp;","&amp;数值设计!$F$108*VLOOKUP(E66,数值设计!$J$118:$L$121,3,FALSE)&amp;","&amp;数值设计!$F$109*VLOOKUP(E66,数值设计!$J$118:$L$121,3,FALSE)&amp;","&amp;数值设计!$F$111*VLOOKUP(E66,数值设计!$J$118:$L$121,3,FALSE)&amp;"]"))</f>
        <v>[0.025,0.02,0.02,150,0.05]</v>
      </c>
      <c r="N66" s="2">
        <f t="shared" si="22"/>
        <v>3</v>
      </c>
      <c r="O66" s="2" t="str">
        <f t="shared" ref="O66:O77" si="24">O65</f>
        <v>[1,1,1,1,1]</v>
      </c>
      <c r="P66" s="2" t="str">
        <f t="shared" ref="P66:P77" si="25">P65</f>
        <v>[1,1,1,1,1]</v>
      </c>
      <c r="Q66" s="2" t="s">
        <v>358</v>
      </c>
      <c r="R66" s="2" t="str">
        <f t="shared" si="23"/>
        <v>[20,20,20,20]</v>
      </c>
    </row>
    <row r="67" spans="1:18" x14ac:dyDescent="0.15">
      <c r="B67" s="2" t="s">
        <v>404</v>
      </c>
      <c r="C67" s="2" t="str">
        <f t="shared" si="0"/>
        <v>Gem4022</v>
      </c>
      <c r="D67" s="2" t="s">
        <v>268</v>
      </c>
      <c r="E67" s="2">
        <v>5</v>
      </c>
      <c r="F67" s="2">
        <v>2</v>
      </c>
      <c r="G67" s="2" t="str">
        <f>G66</f>
        <v>SuitDef_4</v>
      </c>
      <c r="I67" s="2" t="str">
        <f>VLOOKUP(F67,数值设计!$A$21:$I$23,9,FALSE)</f>
        <v>HP</v>
      </c>
      <c r="J67" s="2">
        <f>INT(VLOOKUP(F67,数值设计!$B$97:$H$113,4,FALSE)*VLOOKUP(E67,数值设计!$J$118:$L$121,3,FALSE))</f>
        <v>19310</v>
      </c>
      <c r="K67" s="2">
        <f>INT(VLOOKUP(F67,数值设计!$B$97:$H$113,5,FALSE)*数值设计!$L$118*VLOOKUP(E67,数值设计!$J$118:$L$121,3,FALSE))</f>
        <v>965</v>
      </c>
      <c r="L67" s="2" t="str">
        <f t="shared" si="1"/>
        <v>[CRITSTRG,BLOCKSTRG,UNBLOCKRATE,DEFRATE]</v>
      </c>
      <c r="M67" s="2" t="str">
        <f>IF(F67=1,"["&amp;数值设计!$F$100*VLOOKUP(E67,数值设计!$J$118:$L$121,3,FALSE)&amp;","&amp;数值设计!$F$103*VLOOKUP(E67,数值设计!$J$118:$L$121,3,FALSE)&amp;","&amp;数值设计!$F$102*VLOOKUP(E67,数值设计!$J$118:$L$121,3,FALSE)&amp;","&amp;数值设计!$F$110*VLOOKUP(E67,数值设计!$J$118:$L$121,3,FALSE)&amp;","&amp;数值设计!$F$113*VLOOKUP(E67,数值设计!$J$118:$L$121,3,FALSE)&amp;"]",IF(F67=2,"["&amp;数值设计!$F$101*VLOOKUP(E67,数值设计!$J$118:$L$121,3,FALSE)&amp;","&amp;数值设计!$F$104*VLOOKUP(E67,数值设计!$J$118:$L$121,3,FALSE)&amp;","&amp;数值设计!$F$105*VLOOKUP(E67,数值设计!$J$118:$L$121,3,FALSE)&amp;","&amp;数值设计!$F$112*VLOOKUP(E67,数值设计!$J$118:$L$121,3,FALSE)&amp;"]","["&amp;数值设计!$F$106*VLOOKUP(E67,数值设计!$J$118:$L$121,3,FALSE)&amp;","&amp;数值设计!$F$107*VLOOKUP(E67,数值设计!$J$118:$L$121,3,FALSE)&amp;","&amp;数值设计!$F$108*VLOOKUP(E67,数值设计!$J$118:$L$121,3,FALSE)&amp;","&amp;数值设计!$F$109*VLOOKUP(E67,数值设计!$J$118:$L$121,3,FALSE)&amp;","&amp;数值设计!$F$111*VLOOKUP(E67,数值设计!$J$118:$L$121,3,FALSE)&amp;"]"))</f>
        <v>[0.025,0.02,0.02,0.05]</v>
      </c>
      <c r="N67" s="2">
        <f t="shared" si="22"/>
        <v>3</v>
      </c>
      <c r="O67" s="2" t="str">
        <f t="shared" si="24"/>
        <v>[1,1,1,1,1]</v>
      </c>
      <c r="P67" s="2" t="str">
        <f t="shared" si="25"/>
        <v>[1,1,1,1,1]</v>
      </c>
      <c r="Q67" s="2" t="s">
        <v>358</v>
      </c>
      <c r="R67" s="2" t="str">
        <f t="shared" si="23"/>
        <v>[20,20,20,20]</v>
      </c>
    </row>
    <row r="68" spans="1:18" x14ac:dyDescent="0.15">
      <c r="B68" s="2" t="s">
        <v>405</v>
      </c>
      <c r="C68" s="2" t="str">
        <f t="shared" si="0"/>
        <v>Gem4023</v>
      </c>
      <c r="D68" s="2" t="s">
        <v>269</v>
      </c>
      <c r="E68" s="2">
        <v>5</v>
      </c>
      <c r="F68" s="2">
        <v>3</v>
      </c>
      <c r="G68" s="2" t="str">
        <f>G67</f>
        <v>SuitDef_4</v>
      </c>
      <c r="I68" s="2" t="str">
        <f>VLOOKUP(F68,数值设计!$A$21:$I$23,9,FALSE)</f>
        <v>ATK</v>
      </c>
      <c r="J68" s="2">
        <f>INT(VLOOKUP(F68,数值设计!$B$97:$H$113,4,FALSE)*VLOOKUP(E68,数值设计!$J$118:$L$121,3,FALSE))</f>
        <v>3150</v>
      </c>
      <c r="K68" s="2">
        <f>INT(VLOOKUP(F68,数值设计!$B$97:$H$113,5,FALSE)*数值设计!$L$118*VLOOKUP(E68,数值设计!$J$118:$L$121,3,FALSE))</f>
        <v>157</v>
      </c>
      <c r="L68" s="2" t="str">
        <f t="shared" si="1"/>
        <v>[HURTRATE,UNHURTRATE,REFLECTION,ABSORPTION,ATKRATE]</v>
      </c>
      <c r="M68" s="2" t="str">
        <f>IF(F68=1,"["&amp;数值设计!$F$100*VLOOKUP(E68,数值设计!$J$118:$L$121,3,FALSE)&amp;","&amp;数值设计!$F$103*VLOOKUP(E68,数值设计!$J$118:$L$121,3,FALSE)&amp;","&amp;数值设计!$F$102*VLOOKUP(E68,数值设计!$J$118:$L$121,3,FALSE)&amp;","&amp;数值设计!$F$110*VLOOKUP(E68,数值设计!$J$118:$L$121,3,FALSE)&amp;","&amp;数值设计!$F$113*VLOOKUP(E68,数值设计!$J$118:$L$121,3,FALSE)&amp;"]",IF(F68=2,"["&amp;数值设计!$F$101*VLOOKUP(E68,数值设计!$J$118:$L$121,3,FALSE)&amp;","&amp;数值设计!$F$104*VLOOKUP(E68,数值设计!$J$118:$L$121,3,FALSE)&amp;","&amp;数值设计!$F$105*VLOOKUP(E68,数值设计!$J$118:$L$121,3,FALSE)&amp;","&amp;数值设计!$F$112*VLOOKUP(E68,数值设计!$J$118:$L$121,3,FALSE)&amp;"]","["&amp;数值设计!$F$106*VLOOKUP(E68,数值设计!$J$118:$L$121,3,FALSE)&amp;","&amp;数值设计!$F$107*VLOOKUP(E68,数值设计!$J$118:$L$121,3,FALSE)&amp;","&amp;数值设计!$F$108*VLOOKUP(E68,数值设计!$J$118:$L$121,3,FALSE)&amp;","&amp;数值设计!$F$109*VLOOKUP(E68,数值设计!$J$118:$L$121,3,FALSE)&amp;","&amp;数值设计!$F$111*VLOOKUP(E68,数值设计!$J$118:$L$121,3,FALSE)&amp;"]"))</f>
        <v>[0.02,0.02,0.02,0.02,0.05]</v>
      </c>
      <c r="N68" s="2">
        <f t="shared" si="22"/>
        <v>3</v>
      </c>
      <c r="O68" s="2" t="str">
        <f t="shared" si="24"/>
        <v>[1,1,1,1,1]</v>
      </c>
      <c r="P68" s="2" t="str">
        <f t="shared" si="25"/>
        <v>[1,1,1,1,1]</v>
      </c>
      <c r="Q68" s="2" t="s">
        <v>358</v>
      </c>
      <c r="R68" s="2" t="str">
        <f t="shared" si="23"/>
        <v>[20,20,20,20]</v>
      </c>
    </row>
    <row r="69" spans="1:18" x14ac:dyDescent="0.15">
      <c r="B69" s="2" t="s">
        <v>406</v>
      </c>
      <c r="C69" s="2" t="str">
        <f t="shared" si="0"/>
        <v>Gem4031</v>
      </c>
      <c r="D69" s="2" t="s">
        <v>270</v>
      </c>
      <c r="E69" s="2">
        <v>5</v>
      </c>
      <c r="F69" s="2">
        <v>1</v>
      </c>
      <c r="G69" s="2" t="str">
        <f>B180</f>
        <v>SuitUnblock_4</v>
      </c>
      <c r="I69" s="2" t="str">
        <f>VLOOKUP(F69,数值设计!$A$21:$I$23,9,FALSE)</f>
        <v>DEF</v>
      </c>
      <c r="J69" s="2">
        <f>INT(VLOOKUP(F69,数值设计!$B$97:$H$113,4,FALSE)*VLOOKUP(E69,数值设计!$J$118:$L$121,3,FALSE))</f>
        <v>1574</v>
      </c>
      <c r="K69" s="2">
        <f>INT(VLOOKUP(F69,数值设计!$B$97:$H$113,5,FALSE)*数值设计!$L$118*VLOOKUP(E69,数值设计!$J$118:$L$121,3,FALSE))</f>
        <v>78</v>
      </c>
      <c r="L69" s="2" t="str">
        <f t="shared" si="1"/>
        <v>[CRITRATE,BLOCKRATE,UNCRITRATE,SPEED,HPRATE]</v>
      </c>
      <c r="M69" s="2" t="str">
        <f>IF(F69=1,"["&amp;数值设计!$F$100*VLOOKUP(E69,数值设计!$J$118:$L$121,3,FALSE)&amp;","&amp;数值设计!$F$103*VLOOKUP(E69,数值设计!$J$118:$L$121,3,FALSE)&amp;","&amp;数值设计!$F$102*VLOOKUP(E69,数值设计!$J$118:$L$121,3,FALSE)&amp;","&amp;数值设计!$F$110*VLOOKUP(E69,数值设计!$J$118:$L$121,3,FALSE)&amp;","&amp;数值设计!$F$113*VLOOKUP(E69,数值设计!$J$118:$L$121,3,FALSE)&amp;"]",IF(F69=2,"["&amp;数值设计!$F$101*VLOOKUP(E69,数值设计!$J$118:$L$121,3,FALSE)&amp;","&amp;数值设计!$F$104*VLOOKUP(E69,数值设计!$J$118:$L$121,3,FALSE)&amp;","&amp;数值设计!$F$105*VLOOKUP(E69,数值设计!$J$118:$L$121,3,FALSE)&amp;","&amp;数值设计!$F$112*VLOOKUP(E69,数值设计!$J$118:$L$121,3,FALSE)&amp;"]","["&amp;数值设计!$F$106*VLOOKUP(E69,数值设计!$J$118:$L$121,3,FALSE)&amp;","&amp;数值设计!$F$107*VLOOKUP(E69,数值设计!$J$118:$L$121,3,FALSE)&amp;","&amp;数值设计!$F$108*VLOOKUP(E69,数值设计!$J$118:$L$121,3,FALSE)&amp;","&amp;数值设计!$F$109*VLOOKUP(E69,数值设计!$J$118:$L$121,3,FALSE)&amp;","&amp;数值设计!$F$111*VLOOKUP(E69,数值设计!$J$118:$L$121,3,FALSE)&amp;"]"))</f>
        <v>[0.025,0.02,0.02,150,0.05]</v>
      </c>
      <c r="N69" s="2">
        <f t="shared" si="22"/>
        <v>3</v>
      </c>
      <c r="O69" s="2" t="str">
        <f t="shared" si="24"/>
        <v>[1,1,1,1,1]</v>
      </c>
      <c r="P69" s="2" t="str">
        <f t="shared" si="25"/>
        <v>[1,1,1,1,1]</v>
      </c>
      <c r="Q69" s="2" t="s">
        <v>358</v>
      </c>
      <c r="R69" s="2" t="str">
        <f t="shared" si="23"/>
        <v>[20,20,20,20]</v>
      </c>
    </row>
    <row r="70" spans="1:18" x14ac:dyDescent="0.15">
      <c r="B70" s="2" t="s">
        <v>407</v>
      </c>
      <c r="C70" s="2" t="str">
        <f t="shared" si="0"/>
        <v>Gem4032</v>
      </c>
      <c r="D70" s="2" t="s">
        <v>271</v>
      </c>
      <c r="E70" s="2">
        <v>5</v>
      </c>
      <c r="F70" s="2">
        <v>2</v>
      </c>
      <c r="G70" s="2" t="str">
        <f>G69</f>
        <v>SuitUnblock_4</v>
      </c>
      <c r="I70" s="2" t="str">
        <f>VLOOKUP(F70,数值设计!$A$21:$I$23,9,FALSE)</f>
        <v>HP</v>
      </c>
      <c r="J70" s="2">
        <f>INT(VLOOKUP(F70,数值设计!$B$97:$H$113,4,FALSE)*VLOOKUP(E70,数值设计!$J$118:$L$121,3,FALSE))</f>
        <v>19310</v>
      </c>
      <c r="K70" s="2">
        <f>INT(VLOOKUP(F70,数值设计!$B$97:$H$113,5,FALSE)*数值设计!$L$118*VLOOKUP(E70,数值设计!$J$118:$L$121,3,FALSE))</f>
        <v>965</v>
      </c>
      <c r="L70" s="2" t="str">
        <f t="shared" si="1"/>
        <v>[CRITSTRG,BLOCKSTRG,UNBLOCKRATE,DEFRATE]</v>
      </c>
      <c r="M70" s="2" t="str">
        <f>IF(F70=1,"["&amp;数值设计!$F$100*VLOOKUP(E70,数值设计!$J$118:$L$121,3,FALSE)&amp;","&amp;数值设计!$F$103*VLOOKUP(E70,数值设计!$J$118:$L$121,3,FALSE)&amp;","&amp;数值设计!$F$102*VLOOKUP(E70,数值设计!$J$118:$L$121,3,FALSE)&amp;","&amp;数值设计!$F$110*VLOOKUP(E70,数值设计!$J$118:$L$121,3,FALSE)&amp;","&amp;数值设计!$F$113*VLOOKUP(E70,数值设计!$J$118:$L$121,3,FALSE)&amp;"]",IF(F70=2,"["&amp;数值设计!$F$101*VLOOKUP(E70,数值设计!$J$118:$L$121,3,FALSE)&amp;","&amp;数值设计!$F$104*VLOOKUP(E70,数值设计!$J$118:$L$121,3,FALSE)&amp;","&amp;数值设计!$F$105*VLOOKUP(E70,数值设计!$J$118:$L$121,3,FALSE)&amp;","&amp;数值设计!$F$112*VLOOKUP(E70,数值设计!$J$118:$L$121,3,FALSE)&amp;"]","["&amp;数值设计!$F$106*VLOOKUP(E70,数值设计!$J$118:$L$121,3,FALSE)&amp;","&amp;数值设计!$F$107*VLOOKUP(E70,数值设计!$J$118:$L$121,3,FALSE)&amp;","&amp;数值设计!$F$108*VLOOKUP(E70,数值设计!$J$118:$L$121,3,FALSE)&amp;","&amp;数值设计!$F$109*VLOOKUP(E70,数值设计!$J$118:$L$121,3,FALSE)&amp;","&amp;数值设计!$F$111*VLOOKUP(E70,数值设计!$J$118:$L$121,3,FALSE)&amp;"]"))</f>
        <v>[0.025,0.02,0.02,0.05]</v>
      </c>
      <c r="N70" s="2">
        <f t="shared" si="22"/>
        <v>3</v>
      </c>
      <c r="O70" s="2" t="str">
        <f t="shared" si="24"/>
        <v>[1,1,1,1,1]</v>
      </c>
      <c r="P70" s="2" t="str">
        <f t="shared" si="25"/>
        <v>[1,1,1,1,1]</v>
      </c>
      <c r="Q70" s="2" t="s">
        <v>358</v>
      </c>
      <c r="R70" s="2" t="str">
        <f t="shared" si="23"/>
        <v>[20,20,20,20]</v>
      </c>
    </row>
    <row r="71" spans="1:18" x14ac:dyDescent="0.15">
      <c r="B71" s="2" t="s">
        <v>408</v>
      </c>
      <c r="C71" s="2" t="str">
        <f t="shared" si="0"/>
        <v>Gem4033</v>
      </c>
      <c r="D71" s="2" t="s">
        <v>272</v>
      </c>
      <c r="E71" s="2">
        <v>5</v>
      </c>
      <c r="F71" s="2">
        <v>3</v>
      </c>
      <c r="G71" s="2" t="str">
        <f>G70</f>
        <v>SuitUnblock_4</v>
      </c>
      <c r="I71" s="2" t="str">
        <f>VLOOKUP(F71,数值设计!$A$21:$I$23,9,FALSE)</f>
        <v>ATK</v>
      </c>
      <c r="J71" s="2">
        <f>INT(VLOOKUP(F71,数值设计!$B$97:$H$113,4,FALSE)*VLOOKUP(E71,数值设计!$J$118:$L$121,3,FALSE))</f>
        <v>3150</v>
      </c>
      <c r="K71" s="2">
        <f>INT(VLOOKUP(F71,数值设计!$B$97:$H$113,5,FALSE)*数值设计!$L$118*VLOOKUP(E71,数值设计!$J$118:$L$121,3,FALSE))</f>
        <v>157</v>
      </c>
      <c r="L71" s="2" t="str">
        <f t="shared" si="1"/>
        <v>[HURTRATE,UNHURTRATE,REFLECTION,ABSORPTION,ATKRATE]</v>
      </c>
      <c r="M71" s="2" t="str">
        <f>IF(F71=1,"["&amp;数值设计!$F$100*VLOOKUP(E71,数值设计!$J$118:$L$121,3,FALSE)&amp;","&amp;数值设计!$F$103*VLOOKUP(E71,数值设计!$J$118:$L$121,3,FALSE)&amp;","&amp;数值设计!$F$102*VLOOKUP(E71,数值设计!$J$118:$L$121,3,FALSE)&amp;","&amp;数值设计!$F$110*VLOOKUP(E71,数值设计!$J$118:$L$121,3,FALSE)&amp;","&amp;数值设计!$F$113*VLOOKUP(E71,数值设计!$J$118:$L$121,3,FALSE)&amp;"]",IF(F71=2,"["&amp;数值设计!$F$101*VLOOKUP(E71,数值设计!$J$118:$L$121,3,FALSE)&amp;","&amp;数值设计!$F$104*VLOOKUP(E71,数值设计!$J$118:$L$121,3,FALSE)&amp;","&amp;数值设计!$F$105*VLOOKUP(E71,数值设计!$J$118:$L$121,3,FALSE)&amp;","&amp;数值设计!$F$112*VLOOKUP(E71,数值设计!$J$118:$L$121,3,FALSE)&amp;"]","["&amp;数值设计!$F$106*VLOOKUP(E71,数值设计!$J$118:$L$121,3,FALSE)&amp;","&amp;数值设计!$F$107*VLOOKUP(E71,数值设计!$J$118:$L$121,3,FALSE)&amp;","&amp;数值设计!$F$108*VLOOKUP(E71,数值设计!$J$118:$L$121,3,FALSE)&amp;","&amp;数值设计!$F$109*VLOOKUP(E71,数值设计!$J$118:$L$121,3,FALSE)&amp;","&amp;数值设计!$F$111*VLOOKUP(E71,数值设计!$J$118:$L$121,3,FALSE)&amp;"]"))</f>
        <v>[0.02,0.02,0.02,0.02,0.05]</v>
      </c>
      <c r="N71" s="2">
        <f t="shared" si="22"/>
        <v>3</v>
      </c>
      <c r="O71" s="2" t="str">
        <f t="shared" si="24"/>
        <v>[1,1,1,1,1]</v>
      </c>
      <c r="P71" s="2" t="str">
        <f t="shared" si="25"/>
        <v>[1,1,1,1,1]</v>
      </c>
      <c r="Q71" s="2" t="s">
        <v>358</v>
      </c>
      <c r="R71" s="2" t="str">
        <f t="shared" si="23"/>
        <v>[20,20,20,20]</v>
      </c>
    </row>
    <row r="72" spans="1:18" x14ac:dyDescent="0.15">
      <c r="B72" s="2" t="s">
        <v>409</v>
      </c>
      <c r="C72" s="2" t="str">
        <f t="shared" si="0"/>
        <v>Gem4041</v>
      </c>
      <c r="D72" s="2" t="s">
        <v>273</v>
      </c>
      <c r="E72" s="2">
        <v>5</v>
      </c>
      <c r="F72" s="2">
        <v>1</v>
      </c>
      <c r="G72" s="2" t="str">
        <f>B181</f>
        <v>SuitSpecial_4</v>
      </c>
      <c r="I72" s="2" t="str">
        <f>VLOOKUP(F72,数值设计!$A$21:$I$23,9,FALSE)</f>
        <v>DEF</v>
      </c>
      <c r="J72" s="2">
        <f>INT(VLOOKUP(F72,数值设计!$B$97:$H$113,4,FALSE)*VLOOKUP(E72,数值设计!$J$118:$L$121,3,FALSE))</f>
        <v>1574</v>
      </c>
      <c r="K72" s="2">
        <f>INT(VLOOKUP(F72,数值设计!$B$97:$H$113,5,FALSE)*数值设计!$L$118*VLOOKUP(E72,数值设计!$J$118:$L$121,3,FALSE))</f>
        <v>78</v>
      </c>
      <c r="L72" s="2" t="str">
        <f t="shared" si="1"/>
        <v>[CRITRATE,BLOCKRATE,UNCRITRATE,SPEED,HPRATE]</v>
      </c>
      <c r="M72" s="2" t="str">
        <f>IF(F72=1,"["&amp;数值设计!$F$100*VLOOKUP(E72,数值设计!$J$118:$L$121,3,FALSE)&amp;","&amp;数值设计!$F$103*VLOOKUP(E72,数值设计!$J$118:$L$121,3,FALSE)&amp;","&amp;数值设计!$F$102*VLOOKUP(E72,数值设计!$J$118:$L$121,3,FALSE)&amp;","&amp;数值设计!$F$110*VLOOKUP(E72,数值设计!$J$118:$L$121,3,FALSE)&amp;","&amp;数值设计!$F$113*VLOOKUP(E72,数值设计!$J$118:$L$121,3,FALSE)&amp;"]",IF(F72=2,"["&amp;数值设计!$F$101*VLOOKUP(E72,数值设计!$J$118:$L$121,3,FALSE)&amp;","&amp;数值设计!$F$104*VLOOKUP(E72,数值设计!$J$118:$L$121,3,FALSE)&amp;","&amp;数值设计!$F$105*VLOOKUP(E72,数值设计!$J$118:$L$121,3,FALSE)&amp;","&amp;数值设计!$F$112*VLOOKUP(E72,数值设计!$J$118:$L$121,3,FALSE)&amp;"]","["&amp;数值设计!$F$106*VLOOKUP(E72,数值设计!$J$118:$L$121,3,FALSE)&amp;","&amp;数值设计!$F$107*VLOOKUP(E72,数值设计!$J$118:$L$121,3,FALSE)&amp;","&amp;数值设计!$F$108*VLOOKUP(E72,数值设计!$J$118:$L$121,3,FALSE)&amp;","&amp;数值设计!$F$109*VLOOKUP(E72,数值设计!$J$118:$L$121,3,FALSE)&amp;","&amp;数值设计!$F$111*VLOOKUP(E72,数值设计!$J$118:$L$121,3,FALSE)&amp;"]"))</f>
        <v>[0.025,0.02,0.02,150,0.05]</v>
      </c>
      <c r="N72" s="2">
        <f t="shared" si="22"/>
        <v>3</v>
      </c>
      <c r="O72" s="2" t="str">
        <f t="shared" si="24"/>
        <v>[1,1,1,1,1]</v>
      </c>
      <c r="P72" s="2" t="str">
        <f t="shared" si="25"/>
        <v>[1,1,1,1,1]</v>
      </c>
      <c r="Q72" s="2" t="s">
        <v>358</v>
      </c>
      <c r="R72" s="2" t="str">
        <f t="shared" si="23"/>
        <v>[20,20,20,20]</v>
      </c>
    </row>
    <row r="73" spans="1:18" x14ac:dyDescent="0.15">
      <c r="B73" s="2" t="s">
        <v>410</v>
      </c>
      <c r="C73" s="2" t="str">
        <f t="shared" si="0"/>
        <v>Gem4042</v>
      </c>
      <c r="D73" s="2" t="s">
        <v>274</v>
      </c>
      <c r="E73" s="2">
        <v>5</v>
      </c>
      <c r="F73" s="2">
        <v>2</v>
      </c>
      <c r="G73" s="2" t="str">
        <f>G72</f>
        <v>SuitSpecial_4</v>
      </c>
      <c r="I73" s="2" t="str">
        <f>VLOOKUP(F73,数值设计!$A$21:$I$23,9,FALSE)</f>
        <v>HP</v>
      </c>
      <c r="J73" s="2">
        <f>INT(VLOOKUP(F73,数值设计!$B$97:$H$113,4,FALSE)*VLOOKUP(E73,数值设计!$J$118:$L$121,3,FALSE))</f>
        <v>19310</v>
      </c>
      <c r="K73" s="2">
        <f>INT(VLOOKUP(F73,数值设计!$B$97:$H$113,5,FALSE)*数值设计!$L$118*VLOOKUP(E73,数值设计!$J$118:$L$121,3,FALSE))</f>
        <v>965</v>
      </c>
      <c r="L73" s="2" t="str">
        <f t="shared" si="1"/>
        <v>[CRITSTRG,BLOCKSTRG,UNBLOCKRATE,DEFRATE]</v>
      </c>
      <c r="M73" s="2" t="str">
        <f>IF(F73=1,"["&amp;数值设计!$F$100*VLOOKUP(E73,数值设计!$J$118:$L$121,3,FALSE)&amp;","&amp;数值设计!$F$103*VLOOKUP(E73,数值设计!$J$118:$L$121,3,FALSE)&amp;","&amp;数值设计!$F$102*VLOOKUP(E73,数值设计!$J$118:$L$121,3,FALSE)&amp;","&amp;数值设计!$F$110*VLOOKUP(E73,数值设计!$J$118:$L$121,3,FALSE)&amp;","&amp;数值设计!$F$113*VLOOKUP(E73,数值设计!$J$118:$L$121,3,FALSE)&amp;"]",IF(F73=2,"["&amp;数值设计!$F$101*VLOOKUP(E73,数值设计!$J$118:$L$121,3,FALSE)&amp;","&amp;数值设计!$F$104*VLOOKUP(E73,数值设计!$J$118:$L$121,3,FALSE)&amp;","&amp;数值设计!$F$105*VLOOKUP(E73,数值设计!$J$118:$L$121,3,FALSE)&amp;","&amp;数值设计!$F$112*VLOOKUP(E73,数值设计!$J$118:$L$121,3,FALSE)&amp;"]","["&amp;数值设计!$F$106*VLOOKUP(E73,数值设计!$J$118:$L$121,3,FALSE)&amp;","&amp;数值设计!$F$107*VLOOKUP(E73,数值设计!$J$118:$L$121,3,FALSE)&amp;","&amp;数值设计!$F$108*VLOOKUP(E73,数值设计!$J$118:$L$121,3,FALSE)&amp;","&amp;数值设计!$F$109*VLOOKUP(E73,数值设计!$J$118:$L$121,3,FALSE)&amp;","&amp;数值设计!$F$111*VLOOKUP(E73,数值设计!$J$118:$L$121,3,FALSE)&amp;"]"))</f>
        <v>[0.025,0.02,0.02,0.05]</v>
      </c>
      <c r="N73" s="2">
        <f t="shared" si="22"/>
        <v>3</v>
      </c>
      <c r="O73" s="2" t="str">
        <f t="shared" si="24"/>
        <v>[1,1,1,1,1]</v>
      </c>
      <c r="P73" s="2" t="str">
        <f t="shared" si="25"/>
        <v>[1,1,1,1,1]</v>
      </c>
      <c r="Q73" s="2" t="s">
        <v>358</v>
      </c>
      <c r="R73" s="2" t="str">
        <f t="shared" si="23"/>
        <v>[20,20,20,20]</v>
      </c>
    </row>
    <row r="74" spans="1:18" x14ac:dyDescent="0.15">
      <c r="B74" s="2" t="s">
        <v>411</v>
      </c>
      <c r="C74" s="2" t="str">
        <f t="shared" si="0"/>
        <v>Gem4043</v>
      </c>
      <c r="D74" s="2" t="s">
        <v>275</v>
      </c>
      <c r="E74" s="2">
        <v>5</v>
      </c>
      <c r="F74" s="2">
        <v>3</v>
      </c>
      <c r="G74" s="2" t="str">
        <f>G73</f>
        <v>SuitSpecial_4</v>
      </c>
      <c r="I74" s="2" t="str">
        <f>VLOOKUP(F74,数值设计!$A$21:$I$23,9,FALSE)</f>
        <v>ATK</v>
      </c>
      <c r="J74" s="2">
        <f>INT(VLOOKUP(F74,数值设计!$B$97:$H$113,4,FALSE)*VLOOKUP(E74,数值设计!$J$118:$L$121,3,FALSE))</f>
        <v>3150</v>
      </c>
      <c r="K74" s="2">
        <f>INT(VLOOKUP(F74,数值设计!$B$97:$H$113,5,FALSE)*数值设计!$L$118*VLOOKUP(E74,数值设计!$J$118:$L$121,3,FALSE))</f>
        <v>157</v>
      </c>
      <c r="L74" s="2" t="str">
        <f t="shared" si="1"/>
        <v>[HURTRATE,UNHURTRATE,REFLECTION,ABSORPTION,ATKRATE]</v>
      </c>
      <c r="M74" s="2" t="str">
        <f>IF(F74=1,"["&amp;数值设计!$F$100*VLOOKUP(E74,数值设计!$J$118:$L$121,3,FALSE)&amp;","&amp;数值设计!$F$103*VLOOKUP(E74,数值设计!$J$118:$L$121,3,FALSE)&amp;","&amp;数值设计!$F$102*VLOOKUP(E74,数值设计!$J$118:$L$121,3,FALSE)&amp;","&amp;数值设计!$F$110*VLOOKUP(E74,数值设计!$J$118:$L$121,3,FALSE)&amp;","&amp;数值设计!$F$113*VLOOKUP(E74,数值设计!$J$118:$L$121,3,FALSE)&amp;"]",IF(F74=2,"["&amp;数值设计!$F$101*VLOOKUP(E74,数值设计!$J$118:$L$121,3,FALSE)&amp;","&amp;数值设计!$F$104*VLOOKUP(E74,数值设计!$J$118:$L$121,3,FALSE)&amp;","&amp;数值设计!$F$105*VLOOKUP(E74,数值设计!$J$118:$L$121,3,FALSE)&amp;","&amp;数值设计!$F$112*VLOOKUP(E74,数值设计!$J$118:$L$121,3,FALSE)&amp;"]","["&amp;数值设计!$F$106*VLOOKUP(E74,数值设计!$J$118:$L$121,3,FALSE)&amp;","&amp;数值设计!$F$107*VLOOKUP(E74,数值设计!$J$118:$L$121,3,FALSE)&amp;","&amp;数值设计!$F$108*VLOOKUP(E74,数值设计!$J$118:$L$121,3,FALSE)&amp;","&amp;数值设计!$F$109*VLOOKUP(E74,数值设计!$J$118:$L$121,3,FALSE)&amp;","&amp;数值设计!$F$111*VLOOKUP(E74,数值设计!$J$118:$L$121,3,FALSE)&amp;"]"))</f>
        <v>[0.02,0.02,0.02,0.02,0.05]</v>
      </c>
      <c r="N74" s="2">
        <f t="shared" si="22"/>
        <v>3</v>
      </c>
      <c r="O74" s="2" t="str">
        <f t="shared" si="24"/>
        <v>[1,1,1,1,1]</v>
      </c>
      <c r="P74" s="2" t="str">
        <f t="shared" si="25"/>
        <v>[1,1,1,1,1]</v>
      </c>
      <c r="Q74" s="2" t="s">
        <v>358</v>
      </c>
      <c r="R74" s="2" t="str">
        <f t="shared" si="23"/>
        <v>[20,20,20,20]</v>
      </c>
    </row>
    <row r="75" spans="1:18" x14ac:dyDescent="0.15">
      <c r="B75" s="2" t="s">
        <v>412</v>
      </c>
      <c r="C75" s="2" t="str">
        <f t="shared" si="0"/>
        <v>Gem4051</v>
      </c>
      <c r="D75" s="2" t="s">
        <v>276</v>
      </c>
      <c r="E75" s="2">
        <v>5</v>
      </c>
      <c r="F75" s="2">
        <v>1</v>
      </c>
      <c r="G75" s="2" t="str">
        <f>B182</f>
        <v>SuitAtk_4</v>
      </c>
      <c r="I75" s="2" t="str">
        <f>VLOOKUP(F75,数值设计!$A$21:$I$23,9,FALSE)</f>
        <v>DEF</v>
      </c>
      <c r="J75" s="2">
        <f>INT(VLOOKUP(F75,数值设计!$B$97:$H$113,4,FALSE)*VLOOKUP(E75,数值设计!$J$118:$L$121,3,FALSE))</f>
        <v>1574</v>
      </c>
      <c r="K75" s="2">
        <f>INT(VLOOKUP(F75,数值设计!$B$97:$H$113,5,FALSE)*数值设计!$L$118*VLOOKUP(E75,数值设计!$J$118:$L$121,3,FALSE))</f>
        <v>78</v>
      </c>
      <c r="L75" s="2" t="str">
        <f t="shared" si="1"/>
        <v>[CRITRATE,BLOCKRATE,UNCRITRATE,SPEED,HPRATE]</v>
      </c>
      <c r="M75" s="2" t="str">
        <f>IF(F75=1,"["&amp;数值设计!$F$100*VLOOKUP(E75,数值设计!$J$118:$L$121,3,FALSE)&amp;","&amp;数值设计!$F$103*VLOOKUP(E75,数值设计!$J$118:$L$121,3,FALSE)&amp;","&amp;数值设计!$F$102*VLOOKUP(E75,数值设计!$J$118:$L$121,3,FALSE)&amp;","&amp;数值设计!$F$110*VLOOKUP(E75,数值设计!$J$118:$L$121,3,FALSE)&amp;","&amp;数值设计!$F$113*VLOOKUP(E75,数值设计!$J$118:$L$121,3,FALSE)&amp;"]",IF(F75=2,"["&amp;数值设计!$F$101*VLOOKUP(E75,数值设计!$J$118:$L$121,3,FALSE)&amp;","&amp;数值设计!$F$104*VLOOKUP(E75,数值设计!$J$118:$L$121,3,FALSE)&amp;","&amp;数值设计!$F$105*VLOOKUP(E75,数值设计!$J$118:$L$121,3,FALSE)&amp;","&amp;数值设计!$F$112*VLOOKUP(E75,数值设计!$J$118:$L$121,3,FALSE)&amp;"]","["&amp;数值设计!$F$106*VLOOKUP(E75,数值设计!$J$118:$L$121,3,FALSE)&amp;","&amp;数值设计!$F$107*VLOOKUP(E75,数值设计!$J$118:$L$121,3,FALSE)&amp;","&amp;数值设计!$F$108*VLOOKUP(E75,数值设计!$J$118:$L$121,3,FALSE)&amp;","&amp;数值设计!$F$109*VLOOKUP(E75,数值设计!$J$118:$L$121,3,FALSE)&amp;","&amp;数值设计!$F$111*VLOOKUP(E75,数值设计!$J$118:$L$121,3,FALSE)&amp;"]"))</f>
        <v>[0.025,0.02,0.02,150,0.05]</v>
      </c>
      <c r="N75" s="2">
        <f t="shared" si="22"/>
        <v>3</v>
      </c>
      <c r="O75" s="2" t="str">
        <f t="shared" si="24"/>
        <v>[1,1,1,1,1]</v>
      </c>
      <c r="P75" s="2" t="str">
        <f t="shared" si="25"/>
        <v>[1,1,1,1,1]</v>
      </c>
      <c r="Q75" s="2" t="s">
        <v>358</v>
      </c>
      <c r="R75" s="2" t="str">
        <f t="shared" si="23"/>
        <v>[20,20,20,20]</v>
      </c>
    </row>
    <row r="76" spans="1:18" x14ac:dyDescent="0.15">
      <c r="B76" s="2" t="s">
        <v>413</v>
      </c>
      <c r="C76" s="2" t="str">
        <f t="shared" si="0"/>
        <v>Gem4052</v>
      </c>
      <c r="D76" s="2" t="s">
        <v>277</v>
      </c>
      <c r="E76" s="2">
        <v>5</v>
      </c>
      <c r="F76" s="2">
        <v>2</v>
      </c>
      <c r="G76" s="2" t="str">
        <f>G75</f>
        <v>SuitAtk_4</v>
      </c>
      <c r="I76" s="2" t="str">
        <f>VLOOKUP(F76,数值设计!$A$21:$I$23,9,FALSE)</f>
        <v>HP</v>
      </c>
      <c r="J76" s="2">
        <f>INT(VLOOKUP(F76,数值设计!$B$97:$H$113,4,FALSE)*VLOOKUP(E76,数值设计!$J$118:$L$121,3,FALSE))</f>
        <v>19310</v>
      </c>
      <c r="K76" s="2">
        <f>INT(VLOOKUP(F76,数值设计!$B$97:$H$113,5,FALSE)*数值设计!$L$118*VLOOKUP(E76,数值设计!$J$118:$L$121,3,FALSE))</f>
        <v>965</v>
      </c>
      <c r="L76" s="2" t="str">
        <f t="shared" si="1"/>
        <v>[CRITSTRG,BLOCKSTRG,UNBLOCKRATE,DEFRATE]</v>
      </c>
      <c r="M76" s="2" t="str">
        <f>IF(F76=1,"["&amp;数值设计!$F$100*VLOOKUP(E76,数值设计!$J$118:$L$121,3,FALSE)&amp;","&amp;数值设计!$F$103*VLOOKUP(E76,数值设计!$J$118:$L$121,3,FALSE)&amp;","&amp;数值设计!$F$102*VLOOKUP(E76,数值设计!$J$118:$L$121,3,FALSE)&amp;","&amp;数值设计!$F$110*VLOOKUP(E76,数值设计!$J$118:$L$121,3,FALSE)&amp;","&amp;数值设计!$F$113*VLOOKUP(E76,数值设计!$J$118:$L$121,3,FALSE)&amp;"]",IF(F76=2,"["&amp;数值设计!$F$101*VLOOKUP(E76,数值设计!$J$118:$L$121,3,FALSE)&amp;","&amp;数值设计!$F$104*VLOOKUP(E76,数值设计!$J$118:$L$121,3,FALSE)&amp;","&amp;数值设计!$F$105*VLOOKUP(E76,数值设计!$J$118:$L$121,3,FALSE)&amp;","&amp;数值设计!$F$112*VLOOKUP(E76,数值设计!$J$118:$L$121,3,FALSE)&amp;"]","["&amp;数值设计!$F$106*VLOOKUP(E76,数值设计!$J$118:$L$121,3,FALSE)&amp;","&amp;数值设计!$F$107*VLOOKUP(E76,数值设计!$J$118:$L$121,3,FALSE)&amp;","&amp;数值设计!$F$108*VLOOKUP(E76,数值设计!$J$118:$L$121,3,FALSE)&amp;","&amp;数值设计!$F$109*VLOOKUP(E76,数值设计!$J$118:$L$121,3,FALSE)&amp;","&amp;数值设计!$F$111*VLOOKUP(E76,数值设计!$J$118:$L$121,3,FALSE)&amp;"]"))</f>
        <v>[0.025,0.02,0.02,0.05]</v>
      </c>
      <c r="N76" s="2">
        <f t="shared" si="22"/>
        <v>3</v>
      </c>
      <c r="O76" s="2" t="str">
        <f t="shared" si="24"/>
        <v>[1,1,1,1,1]</v>
      </c>
      <c r="P76" s="2" t="str">
        <f t="shared" si="25"/>
        <v>[1,1,1,1,1]</v>
      </c>
      <c r="Q76" s="2" t="s">
        <v>358</v>
      </c>
      <c r="R76" s="2" t="str">
        <f t="shared" si="23"/>
        <v>[20,20,20,20]</v>
      </c>
    </row>
    <row r="77" spans="1:18" x14ac:dyDescent="0.15">
      <c r="B77" s="2" t="s">
        <v>414</v>
      </c>
      <c r="C77" s="2" t="str">
        <f t="shared" si="0"/>
        <v>Gem4053</v>
      </c>
      <c r="D77" s="2" t="s">
        <v>278</v>
      </c>
      <c r="E77" s="2">
        <v>5</v>
      </c>
      <c r="F77" s="2">
        <v>3</v>
      </c>
      <c r="G77" s="2" t="str">
        <f>G76</f>
        <v>SuitAtk_4</v>
      </c>
      <c r="I77" s="2" t="str">
        <f>VLOOKUP(F77,数值设计!$A$21:$I$23,9,FALSE)</f>
        <v>ATK</v>
      </c>
      <c r="J77" s="2">
        <f>INT(VLOOKUP(F77,数值设计!$B$97:$H$113,4,FALSE)*VLOOKUP(E77,数值设计!$J$118:$L$121,3,FALSE))</f>
        <v>3150</v>
      </c>
      <c r="K77" s="2">
        <f>INT(VLOOKUP(F77,数值设计!$B$97:$H$113,5,FALSE)*数值设计!$L$118*VLOOKUP(E77,数值设计!$J$118:$L$121,3,FALSE))</f>
        <v>157</v>
      </c>
      <c r="L77" s="2" t="str">
        <f t="shared" si="1"/>
        <v>[HURTRATE,UNHURTRATE,REFLECTION,ABSORPTION,ATKRATE]</v>
      </c>
      <c r="M77" s="2" t="str">
        <f>IF(F77=1,"["&amp;数值设计!$F$100*VLOOKUP(E77,数值设计!$J$118:$L$121,3,FALSE)&amp;","&amp;数值设计!$F$103*VLOOKUP(E77,数值设计!$J$118:$L$121,3,FALSE)&amp;","&amp;数值设计!$F$102*VLOOKUP(E77,数值设计!$J$118:$L$121,3,FALSE)&amp;","&amp;数值设计!$F$110*VLOOKUP(E77,数值设计!$J$118:$L$121,3,FALSE)&amp;","&amp;数值设计!$F$113*VLOOKUP(E77,数值设计!$J$118:$L$121,3,FALSE)&amp;"]",IF(F77=2,"["&amp;数值设计!$F$101*VLOOKUP(E77,数值设计!$J$118:$L$121,3,FALSE)&amp;","&amp;数值设计!$F$104*VLOOKUP(E77,数值设计!$J$118:$L$121,3,FALSE)&amp;","&amp;数值设计!$F$105*VLOOKUP(E77,数值设计!$J$118:$L$121,3,FALSE)&amp;","&amp;数值设计!$F$112*VLOOKUP(E77,数值设计!$J$118:$L$121,3,FALSE)&amp;"]","["&amp;数值设计!$F$106*VLOOKUP(E77,数值设计!$J$118:$L$121,3,FALSE)&amp;","&amp;数值设计!$F$107*VLOOKUP(E77,数值设计!$J$118:$L$121,3,FALSE)&amp;","&amp;数值设计!$F$108*VLOOKUP(E77,数值设计!$J$118:$L$121,3,FALSE)&amp;","&amp;数值设计!$F$109*VLOOKUP(E77,数值设计!$J$118:$L$121,3,FALSE)&amp;","&amp;数值设计!$F$111*VLOOKUP(E77,数值设计!$J$118:$L$121,3,FALSE)&amp;"]"))</f>
        <v>[0.02,0.02,0.02,0.02,0.05]</v>
      </c>
      <c r="N77" s="2">
        <f t="shared" si="22"/>
        <v>3</v>
      </c>
      <c r="O77" s="2" t="str">
        <f t="shared" si="24"/>
        <v>[1,1,1,1,1]</v>
      </c>
      <c r="P77" s="2" t="str">
        <f t="shared" si="25"/>
        <v>[1,1,1,1,1]</v>
      </c>
      <c r="Q77" s="2" t="s">
        <v>358</v>
      </c>
      <c r="R77" s="2" t="str">
        <f t="shared" si="23"/>
        <v>[20,20,20,20]</v>
      </c>
    </row>
    <row r="80" spans="1:18" x14ac:dyDescent="0.15">
      <c r="A80" s="2" t="s">
        <v>184</v>
      </c>
    </row>
    <row r="81" spans="1:9" x14ac:dyDescent="0.15">
      <c r="B81" s="19" t="s">
        <v>156</v>
      </c>
      <c r="C81" s="19" t="s">
        <v>169</v>
      </c>
      <c r="D81" s="19" t="s">
        <v>172</v>
      </c>
    </row>
    <row r="82" spans="1:9" x14ac:dyDescent="0.15">
      <c r="B82" s="20" t="s">
        <v>157</v>
      </c>
      <c r="C82" s="20" t="s">
        <v>157</v>
      </c>
      <c r="D82" s="20" t="s">
        <v>157</v>
      </c>
    </row>
    <row r="83" spans="1:9" x14ac:dyDescent="0.15">
      <c r="B83" s="21" t="s">
        <v>158</v>
      </c>
      <c r="C83" s="21" t="s">
        <v>165</v>
      </c>
      <c r="D83" s="21" t="s">
        <v>165</v>
      </c>
    </row>
    <row r="84" spans="1:9" x14ac:dyDescent="0.15">
      <c r="B84" s="20" t="s">
        <v>159</v>
      </c>
      <c r="C84" s="20" t="s">
        <v>167</v>
      </c>
      <c r="D84" s="20" t="s">
        <v>174</v>
      </c>
    </row>
    <row r="85" spans="1:9" x14ac:dyDescent="0.15">
      <c r="B85" s="2">
        <v>1</v>
      </c>
      <c r="C85" s="2">
        <v>1</v>
      </c>
      <c r="D85" s="2">
        <v>2</v>
      </c>
    </row>
    <row r="86" spans="1:9" x14ac:dyDescent="0.15">
      <c r="B86" s="2">
        <v>2</v>
      </c>
      <c r="C86" s="2">
        <v>2</v>
      </c>
      <c r="D86" s="2">
        <v>3</v>
      </c>
    </row>
    <row r="87" spans="1:9" x14ac:dyDescent="0.15">
      <c r="B87" s="2">
        <v>3</v>
      </c>
      <c r="C87" s="2">
        <v>3</v>
      </c>
      <c r="D87" s="2">
        <v>4</v>
      </c>
    </row>
    <row r="90" spans="1:9" x14ac:dyDescent="0.15">
      <c r="A90" s="2" t="s">
        <v>183</v>
      </c>
    </row>
    <row r="91" spans="1:9" x14ac:dyDescent="0.15">
      <c r="B91" s="19" t="s">
        <v>279</v>
      </c>
      <c r="C91" s="19" t="s">
        <v>280</v>
      </c>
      <c r="D91" s="19" t="s">
        <v>281</v>
      </c>
      <c r="E91" s="19" t="s">
        <v>168</v>
      </c>
      <c r="F91" s="19" t="s">
        <v>282</v>
      </c>
      <c r="G91" s="19" t="s">
        <v>283</v>
      </c>
      <c r="H91" s="30"/>
    </row>
    <row r="92" spans="1:9" x14ac:dyDescent="0.15">
      <c r="B92" s="23" t="s">
        <v>284</v>
      </c>
      <c r="C92" s="23" t="s">
        <v>284</v>
      </c>
      <c r="D92" s="23" t="s">
        <v>284</v>
      </c>
      <c r="E92" s="20" t="s">
        <v>157</v>
      </c>
      <c r="F92" s="23" t="s">
        <v>284</v>
      </c>
      <c r="G92" s="23" t="s">
        <v>284</v>
      </c>
      <c r="H92" s="23"/>
    </row>
    <row r="93" spans="1:9" x14ac:dyDescent="0.15">
      <c r="B93" s="21" t="s">
        <v>285</v>
      </c>
      <c r="C93" s="21" t="s">
        <v>285</v>
      </c>
      <c r="D93" s="24" t="s">
        <v>198</v>
      </c>
      <c r="E93" s="21" t="s">
        <v>165</v>
      </c>
      <c r="F93" s="24" t="s">
        <v>198</v>
      </c>
      <c r="G93" s="24" t="s">
        <v>198</v>
      </c>
      <c r="H93" s="24"/>
    </row>
    <row r="94" spans="1:9" x14ac:dyDescent="0.15">
      <c r="B94" s="20" t="s">
        <v>159</v>
      </c>
      <c r="C94" s="23" t="s">
        <v>286</v>
      </c>
      <c r="D94" s="23" t="s">
        <v>287</v>
      </c>
      <c r="E94" s="20" t="s">
        <v>166</v>
      </c>
      <c r="F94" s="23" t="s">
        <v>186</v>
      </c>
      <c r="G94" s="23" t="s">
        <v>288</v>
      </c>
      <c r="H94" s="23"/>
    </row>
    <row r="95" spans="1:9" x14ac:dyDescent="0.15">
      <c r="B95" s="2" t="s">
        <v>289</v>
      </c>
      <c r="C95" s="2" t="str">
        <f>B96</f>
        <v>Gem1_2</v>
      </c>
      <c r="D95" s="2">
        <v>1</v>
      </c>
      <c r="E95" s="2">
        <v>2</v>
      </c>
      <c r="F95" s="39">
        <f>CEILING(VLOOKUP(E95,数值设计!$M$62:$O$65,3,FALSE)*VLOOKUP(D95,数值设计!$Q$62:$S$75,2,FALSE),50)</f>
        <v>1400</v>
      </c>
      <c r="G95" s="2">
        <f>F95</f>
        <v>1400</v>
      </c>
      <c r="I95" s="2" t="s">
        <v>471</v>
      </c>
    </row>
    <row r="96" spans="1:9" x14ac:dyDescent="0.15">
      <c r="B96" s="2" t="s">
        <v>290</v>
      </c>
      <c r="C96" s="2" t="str">
        <f t="shared" ref="C96:C108" si="26">B97</f>
        <v>Gem1_3</v>
      </c>
      <c r="D96" s="2">
        <v>2</v>
      </c>
      <c r="E96" s="2">
        <v>2</v>
      </c>
      <c r="F96" s="2">
        <f>CEILING(VLOOKUP(E96,数值设计!$M$62:$O$65,3,FALSE)*VLOOKUP(D96,数值设计!$Q$62:$S$75,2,FALSE),50)</f>
        <v>2100</v>
      </c>
      <c r="G96" s="2">
        <f t="shared" ref="G96:G109" si="27">F96+G95</f>
        <v>3500</v>
      </c>
    </row>
    <row r="97" spans="2:7" x14ac:dyDescent="0.15">
      <c r="B97" s="2" t="s">
        <v>291</v>
      </c>
      <c r="C97" s="2" t="str">
        <f t="shared" si="26"/>
        <v>Gem1_4</v>
      </c>
      <c r="D97" s="2">
        <v>3</v>
      </c>
      <c r="E97" s="2">
        <v>2</v>
      </c>
      <c r="F97" s="2">
        <f>CEILING(VLOOKUP(E97,数值设计!$M$62:$O$65,3,FALSE)*VLOOKUP(D97,数值设计!$Q$62:$S$75,2,FALSE),50)</f>
        <v>2750</v>
      </c>
      <c r="G97" s="2">
        <f t="shared" si="27"/>
        <v>6250</v>
      </c>
    </row>
    <row r="98" spans="2:7" x14ac:dyDescent="0.15">
      <c r="B98" s="2" t="s">
        <v>292</v>
      </c>
      <c r="C98" s="2" t="str">
        <f t="shared" si="26"/>
        <v>Gem1_5</v>
      </c>
      <c r="D98" s="2">
        <v>4</v>
      </c>
      <c r="E98" s="2">
        <v>2</v>
      </c>
      <c r="F98" s="2">
        <f>CEILING(VLOOKUP(E98,数值设计!$M$62:$O$65,3,FALSE)*VLOOKUP(D98,数值设计!$Q$62:$S$75,2,FALSE),50)</f>
        <v>3450</v>
      </c>
      <c r="G98" s="2">
        <f t="shared" si="27"/>
        <v>9700</v>
      </c>
    </row>
    <row r="99" spans="2:7" x14ac:dyDescent="0.15">
      <c r="B99" s="2" t="s">
        <v>293</v>
      </c>
      <c r="C99" s="2" t="str">
        <f t="shared" si="26"/>
        <v>Gem1_6</v>
      </c>
      <c r="D99" s="2">
        <v>5</v>
      </c>
      <c r="E99" s="2">
        <v>2</v>
      </c>
      <c r="F99" s="2">
        <f>CEILING(VLOOKUP(E99,数值设计!$M$62:$O$65,3,FALSE)*VLOOKUP(D99,数值设计!$Q$62:$S$75,2,FALSE),50)</f>
        <v>4150</v>
      </c>
      <c r="G99" s="2">
        <f t="shared" si="27"/>
        <v>13850</v>
      </c>
    </row>
    <row r="100" spans="2:7" x14ac:dyDescent="0.15">
      <c r="B100" s="2" t="s">
        <v>294</v>
      </c>
      <c r="C100" s="2" t="str">
        <f t="shared" si="26"/>
        <v>Gem1_7</v>
      </c>
      <c r="D100" s="2">
        <v>6</v>
      </c>
      <c r="E100" s="2">
        <v>2</v>
      </c>
      <c r="F100" s="2">
        <f>CEILING(VLOOKUP(E100,数值设计!$M$62:$O$65,3,FALSE)*VLOOKUP(D100,数值设计!$Q$62:$S$75,2,FALSE),50)</f>
        <v>4850</v>
      </c>
      <c r="G100" s="2">
        <f t="shared" si="27"/>
        <v>18700</v>
      </c>
    </row>
    <row r="101" spans="2:7" x14ac:dyDescent="0.15">
      <c r="B101" s="2" t="s">
        <v>295</v>
      </c>
      <c r="C101" s="2" t="str">
        <f t="shared" si="26"/>
        <v>Gem1_8</v>
      </c>
      <c r="D101" s="2">
        <v>7</v>
      </c>
      <c r="E101" s="2">
        <v>2</v>
      </c>
      <c r="F101" s="2">
        <f>CEILING(VLOOKUP(E101,数值设计!$M$62:$O$65,3,FALSE)*VLOOKUP(D101,数值设计!$Q$62:$S$75,2,FALSE),50)</f>
        <v>5500</v>
      </c>
      <c r="G101" s="2">
        <f t="shared" si="27"/>
        <v>24200</v>
      </c>
    </row>
    <row r="102" spans="2:7" x14ac:dyDescent="0.15">
      <c r="B102" s="2" t="s">
        <v>296</v>
      </c>
      <c r="C102" s="2" t="str">
        <f t="shared" si="26"/>
        <v>Gem1_9</v>
      </c>
      <c r="D102" s="2">
        <v>8</v>
      </c>
      <c r="E102" s="2">
        <v>2</v>
      </c>
      <c r="F102" s="2">
        <f>CEILING(VLOOKUP(E102,数值设计!$M$62:$O$65,3,FALSE)*VLOOKUP(D102,数值设计!$Q$62:$S$75,2,FALSE),50)</f>
        <v>6200</v>
      </c>
      <c r="G102" s="2">
        <f t="shared" si="27"/>
        <v>30400</v>
      </c>
    </row>
    <row r="103" spans="2:7" x14ac:dyDescent="0.15">
      <c r="B103" s="2" t="s">
        <v>297</v>
      </c>
      <c r="C103" s="2" t="str">
        <f t="shared" si="26"/>
        <v>Gem1_10</v>
      </c>
      <c r="D103" s="2">
        <v>9</v>
      </c>
      <c r="E103" s="2">
        <v>2</v>
      </c>
      <c r="F103" s="2">
        <f>CEILING(VLOOKUP(E103,数值设计!$M$62:$O$65,3,FALSE)*VLOOKUP(D103,数值设计!$Q$62:$S$75,2,FALSE),50)</f>
        <v>6900</v>
      </c>
      <c r="G103" s="2">
        <f t="shared" si="27"/>
        <v>37300</v>
      </c>
    </row>
    <row r="104" spans="2:7" x14ac:dyDescent="0.15">
      <c r="B104" s="2" t="s">
        <v>298</v>
      </c>
      <c r="C104" s="2" t="str">
        <f t="shared" si="26"/>
        <v>Gem1_11</v>
      </c>
      <c r="D104" s="2">
        <v>10</v>
      </c>
      <c r="E104" s="2">
        <v>2</v>
      </c>
      <c r="F104" s="2">
        <f>CEILING(VLOOKUP(E104,数值设计!$M$62:$O$65,3,FALSE)*VLOOKUP(D104,数值设计!$Q$62:$S$75,2,FALSE),50)</f>
        <v>7600</v>
      </c>
      <c r="G104" s="2">
        <f t="shared" si="27"/>
        <v>44900</v>
      </c>
    </row>
    <row r="105" spans="2:7" x14ac:dyDescent="0.15">
      <c r="B105" s="2" t="s">
        <v>299</v>
      </c>
      <c r="C105" s="2" t="str">
        <f t="shared" si="26"/>
        <v>Gem1_12</v>
      </c>
      <c r="D105" s="2">
        <v>11</v>
      </c>
      <c r="E105" s="2">
        <v>2</v>
      </c>
      <c r="F105" s="2">
        <f>CEILING(VLOOKUP(E105,数值设计!$M$62:$O$65,3,FALSE)*VLOOKUP(D105,数值设计!$Q$62:$S$75,2,FALSE),50)</f>
        <v>8250</v>
      </c>
      <c r="G105" s="2">
        <f t="shared" si="27"/>
        <v>53150</v>
      </c>
    </row>
    <row r="106" spans="2:7" x14ac:dyDescent="0.15">
      <c r="B106" s="2" t="s">
        <v>300</v>
      </c>
      <c r="C106" s="2" t="str">
        <f t="shared" si="26"/>
        <v>Gem1_13</v>
      </c>
      <c r="D106" s="2">
        <v>12</v>
      </c>
      <c r="E106" s="2">
        <v>2</v>
      </c>
      <c r="F106" s="2">
        <f>CEILING(VLOOKUP(E106,数值设计!$M$62:$O$65,3,FALSE)*VLOOKUP(D106,数值设计!$Q$62:$S$75,2,FALSE),50)</f>
        <v>8950</v>
      </c>
      <c r="G106" s="2">
        <f t="shared" si="27"/>
        <v>62100</v>
      </c>
    </row>
    <row r="107" spans="2:7" x14ac:dyDescent="0.15">
      <c r="B107" s="2" t="s">
        <v>301</v>
      </c>
      <c r="C107" s="2" t="str">
        <f t="shared" si="26"/>
        <v>Gem1_14</v>
      </c>
      <c r="D107" s="2">
        <v>13</v>
      </c>
      <c r="E107" s="2">
        <v>2</v>
      </c>
      <c r="F107" s="2">
        <f>CEILING(VLOOKUP(E107,数值设计!$M$62:$O$65,3,FALSE)*VLOOKUP(D107,数值设计!$Q$62:$S$75,2,FALSE),50)</f>
        <v>9650</v>
      </c>
      <c r="G107" s="2">
        <f t="shared" si="27"/>
        <v>71750</v>
      </c>
    </row>
    <row r="108" spans="2:7" x14ac:dyDescent="0.15">
      <c r="B108" s="2" t="s">
        <v>302</v>
      </c>
      <c r="C108" s="2" t="str">
        <f t="shared" si="26"/>
        <v>Gem1_15</v>
      </c>
      <c r="D108" s="2">
        <v>14</v>
      </c>
      <c r="E108" s="2">
        <v>2</v>
      </c>
      <c r="F108" s="2">
        <f>CEILING(VLOOKUP(E108,数值设计!$M$62:$O$65,3,FALSE)*VLOOKUP(D108,数值设计!$Q$62:$S$75,2,FALSE),50)</f>
        <v>10350</v>
      </c>
      <c r="G108" s="2">
        <f t="shared" si="27"/>
        <v>82100</v>
      </c>
    </row>
    <row r="109" spans="2:7" x14ac:dyDescent="0.15">
      <c r="B109" s="2" t="s">
        <v>303</v>
      </c>
      <c r="D109" s="2">
        <v>15</v>
      </c>
      <c r="E109" s="2">
        <v>2</v>
      </c>
      <c r="F109" s="2">
        <f>F108+(F108-F107)</f>
        <v>11050</v>
      </c>
      <c r="G109" s="2">
        <f t="shared" si="27"/>
        <v>93150</v>
      </c>
    </row>
    <row r="110" spans="2:7" x14ac:dyDescent="0.15">
      <c r="B110" s="2" t="s">
        <v>304</v>
      </c>
      <c r="C110" s="2" t="str">
        <f>B111</f>
        <v>Gem2_2</v>
      </c>
      <c r="D110" s="2">
        <v>1</v>
      </c>
      <c r="E110" s="2">
        <f>E95+1</f>
        <v>3</v>
      </c>
      <c r="F110" s="2">
        <f>CEILING(VLOOKUP(E110,数值设计!$M$62:$O$65,3,FALSE)*VLOOKUP(D110,数值设计!$Q$62:$S$75,2,FALSE),50)</f>
        <v>1750</v>
      </c>
      <c r="G110" s="2">
        <f>F110</f>
        <v>1750</v>
      </c>
    </row>
    <row r="111" spans="2:7" x14ac:dyDescent="0.15">
      <c r="B111" s="2" t="s">
        <v>305</v>
      </c>
      <c r="C111" s="2" t="str">
        <f t="shared" ref="C111:C154" si="28">B112</f>
        <v>Gem2_3</v>
      </c>
      <c r="D111" s="2">
        <v>2</v>
      </c>
      <c r="E111" s="2">
        <f t="shared" ref="E111:E154" si="29">E96+1</f>
        <v>3</v>
      </c>
      <c r="F111" s="2">
        <f>CEILING(VLOOKUP(E111,数值设计!$M$62:$O$65,3,FALSE)*VLOOKUP(D111,数值设计!$Q$62:$S$75,2,FALSE),50)</f>
        <v>2650</v>
      </c>
      <c r="G111" s="2">
        <f t="shared" ref="G111:G124" si="30">F111+G110</f>
        <v>4400</v>
      </c>
    </row>
    <row r="112" spans="2:7" x14ac:dyDescent="0.15">
      <c r="B112" s="2" t="s">
        <v>306</v>
      </c>
      <c r="C112" s="2" t="str">
        <f t="shared" si="28"/>
        <v>Gem2_4</v>
      </c>
      <c r="D112" s="2">
        <v>3</v>
      </c>
      <c r="E112" s="2">
        <f t="shared" si="29"/>
        <v>3</v>
      </c>
      <c r="F112" s="2">
        <f>CEILING(VLOOKUP(E112,数值设计!$M$62:$O$65,3,FALSE)*VLOOKUP(D112,数值设计!$Q$62:$S$75,2,FALSE),50)</f>
        <v>3500</v>
      </c>
      <c r="G112" s="2">
        <f t="shared" si="30"/>
        <v>7900</v>
      </c>
    </row>
    <row r="113" spans="2:7" x14ac:dyDescent="0.15">
      <c r="B113" s="2" t="s">
        <v>307</v>
      </c>
      <c r="C113" s="2" t="str">
        <f t="shared" si="28"/>
        <v>Gem2_5</v>
      </c>
      <c r="D113" s="2">
        <v>4</v>
      </c>
      <c r="E113" s="2">
        <f t="shared" si="29"/>
        <v>3</v>
      </c>
      <c r="F113" s="2">
        <f>CEILING(VLOOKUP(E113,数值设计!$M$62:$O$65,3,FALSE)*VLOOKUP(D113,数值设计!$Q$62:$S$75,2,FALSE),50)</f>
        <v>4400</v>
      </c>
      <c r="G113" s="2">
        <f t="shared" si="30"/>
        <v>12300</v>
      </c>
    </row>
    <row r="114" spans="2:7" x14ac:dyDescent="0.15">
      <c r="B114" s="2" t="s">
        <v>308</v>
      </c>
      <c r="C114" s="2" t="str">
        <f t="shared" si="28"/>
        <v>Gem2_6</v>
      </c>
      <c r="D114" s="2">
        <v>5</v>
      </c>
      <c r="E114" s="2">
        <f t="shared" si="29"/>
        <v>3</v>
      </c>
      <c r="F114" s="2">
        <f>CEILING(VLOOKUP(E114,数值设计!$M$62:$O$65,3,FALSE)*VLOOKUP(D114,数值设计!$Q$62:$S$75,2,FALSE),50)</f>
        <v>5250</v>
      </c>
      <c r="G114" s="2">
        <f t="shared" si="30"/>
        <v>17550</v>
      </c>
    </row>
    <row r="115" spans="2:7" x14ac:dyDescent="0.15">
      <c r="B115" s="2" t="s">
        <v>309</v>
      </c>
      <c r="C115" s="2" t="str">
        <f t="shared" si="28"/>
        <v>Gem2_7</v>
      </c>
      <c r="D115" s="2">
        <v>6</v>
      </c>
      <c r="E115" s="2">
        <f t="shared" si="29"/>
        <v>3</v>
      </c>
      <c r="F115" s="2">
        <f>CEILING(VLOOKUP(E115,数值设计!$M$62:$O$65,3,FALSE)*VLOOKUP(D115,数值设计!$Q$62:$S$75,2,FALSE),50)</f>
        <v>6150</v>
      </c>
      <c r="G115" s="2">
        <f t="shared" si="30"/>
        <v>23700</v>
      </c>
    </row>
    <row r="116" spans="2:7" x14ac:dyDescent="0.15">
      <c r="B116" s="2" t="s">
        <v>310</v>
      </c>
      <c r="C116" s="2" t="str">
        <f t="shared" si="28"/>
        <v>Gem2_8</v>
      </c>
      <c r="D116" s="2">
        <v>7</v>
      </c>
      <c r="E116" s="2">
        <f t="shared" si="29"/>
        <v>3</v>
      </c>
      <c r="F116" s="2">
        <f>CEILING(VLOOKUP(E116,数值设计!$M$62:$O$65,3,FALSE)*VLOOKUP(D116,数值设计!$Q$62:$S$75,2,FALSE),50)</f>
        <v>7000</v>
      </c>
      <c r="G116" s="2">
        <f t="shared" si="30"/>
        <v>30700</v>
      </c>
    </row>
    <row r="117" spans="2:7" x14ac:dyDescent="0.15">
      <c r="B117" s="2" t="s">
        <v>311</v>
      </c>
      <c r="C117" s="2" t="str">
        <f t="shared" si="28"/>
        <v>Gem2_9</v>
      </c>
      <c r="D117" s="2">
        <v>8</v>
      </c>
      <c r="E117" s="2">
        <f t="shared" si="29"/>
        <v>3</v>
      </c>
      <c r="F117" s="2">
        <f>CEILING(VLOOKUP(E117,数值设计!$M$62:$O$65,3,FALSE)*VLOOKUP(D117,数值设计!$Q$62:$S$75,2,FALSE),50)</f>
        <v>7900</v>
      </c>
      <c r="G117" s="2">
        <f t="shared" si="30"/>
        <v>38600</v>
      </c>
    </row>
    <row r="118" spans="2:7" x14ac:dyDescent="0.15">
      <c r="B118" s="2" t="s">
        <v>312</v>
      </c>
      <c r="C118" s="2" t="str">
        <f t="shared" si="28"/>
        <v>Gem2_10</v>
      </c>
      <c r="D118" s="2">
        <v>9</v>
      </c>
      <c r="E118" s="2">
        <f t="shared" si="29"/>
        <v>3</v>
      </c>
      <c r="F118" s="2">
        <f>CEILING(VLOOKUP(E118,数值设计!$M$62:$O$65,3,FALSE)*VLOOKUP(D118,数值设计!$Q$62:$S$75,2,FALSE),50)</f>
        <v>8750</v>
      </c>
      <c r="G118" s="2">
        <f t="shared" si="30"/>
        <v>47350</v>
      </c>
    </row>
    <row r="119" spans="2:7" x14ac:dyDescent="0.15">
      <c r="B119" s="2" t="s">
        <v>313</v>
      </c>
      <c r="C119" s="2" t="str">
        <f t="shared" si="28"/>
        <v>Gem2_11</v>
      </c>
      <c r="D119" s="2">
        <v>10</v>
      </c>
      <c r="E119" s="2">
        <f t="shared" si="29"/>
        <v>3</v>
      </c>
      <c r="F119" s="2">
        <f>CEILING(VLOOKUP(E119,数值设计!$M$62:$O$65,3,FALSE)*VLOOKUP(D119,数值设计!$Q$62:$S$75,2,FALSE),50)</f>
        <v>9650</v>
      </c>
      <c r="G119" s="2">
        <f t="shared" si="30"/>
        <v>57000</v>
      </c>
    </row>
    <row r="120" spans="2:7" x14ac:dyDescent="0.15">
      <c r="B120" s="2" t="s">
        <v>314</v>
      </c>
      <c r="C120" s="2" t="str">
        <f t="shared" si="28"/>
        <v>Gem2_12</v>
      </c>
      <c r="D120" s="2">
        <v>11</v>
      </c>
      <c r="E120" s="2">
        <f t="shared" si="29"/>
        <v>3</v>
      </c>
      <c r="F120" s="2">
        <f>CEILING(VLOOKUP(E120,数值设计!$M$62:$O$65,3,FALSE)*VLOOKUP(D120,数值设计!$Q$62:$S$75,2,FALSE),50)</f>
        <v>10500</v>
      </c>
      <c r="G120" s="2">
        <f t="shared" si="30"/>
        <v>67500</v>
      </c>
    </row>
    <row r="121" spans="2:7" x14ac:dyDescent="0.15">
      <c r="B121" s="2" t="s">
        <v>315</v>
      </c>
      <c r="C121" s="2" t="str">
        <f t="shared" si="28"/>
        <v>Gem2_13</v>
      </c>
      <c r="D121" s="2">
        <v>12</v>
      </c>
      <c r="E121" s="2">
        <f t="shared" si="29"/>
        <v>3</v>
      </c>
      <c r="F121" s="2">
        <f>CEILING(VLOOKUP(E121,数值设计!$M$62:$O$65,3,FALSE)*VLOOKUP(D121,数值设计!$Q$62:$S$75,2,FALSE),50)</f>
        <v>11400</v>
      </c>
      <c r="G121" s="2">
        <f t="shared" si="30"/>
        <v>78900</v>
      </c>
    </row>
    <row r="122" spans="2:7" x14ac:dyDescent="0.15">
      <c r="B122" s="2" t="s">
        <v>316</v>
      </c>
      <c r="C122" s="2" t="str">
        <f t="shared" si="28"/>
        <v>Gem2_14</v>
      </c>
      <c r="D122" s="2">
        <v>13</v>
      </c>
      <c r="E122" s="2">
        <f t="shared" si="29"/>
        <v>3</v>
      </c>
      <c r="F122" s="2">
        <f>CEILING(VLOOKUP(E122,数值设计!$M$62:$O$65,3,FALSE)*VLOOKUP(D122,数值设计!$Q$62:$S$75,2,FALSE),50)</f>
        <v>12250</v>
      </c>
      <c r="G122" s="2">
        <f t="shared" si="30"/>
        <v>91150</v>
      </c>
    </row>
    <row r="123" spans="2:7" x14ac:dyDescent="0.15">
      <c r="B123" s="2" t="s">
        <v>317</v>
      </c>
      <c r="C123" s="2" t="str">
        <f t="shared" si="28"/>
        <v>Gem2_15</v>
      </c>
      <c r="D123" s="2">
        <v>14</v>
      </c>
      <c r="E123" s="2">
        <f t="shared" si="29"/>
        <v>3</v>
      </c>
      <c r="F123" s="2">
        <f>CEILING(VLOOKUP(E123,数值设计!$M$62:$O$65,3,FALSE)*VLOOKUP(D123,数值设计!$Q$62:$S$75,2,FALSE),50)</f>
        <v>13150</v>
      </c>
      <c r="G123" s="2">
        <f t="shared" si="30"/>
        <v>104300</v>
      </c>
    </row>
    <row r="124" spans="2:7" x14ac:dyDescent="0.15">
      <c r="B124" s="2" t="s">
        <v>318</v>
      </c>
      <c r="D124" s="2">
        <v>15</v>
      </c>
      <c r="E124" s="2">
        <f t="shared" si="29"/>
        <v>3</v>
      </c>
      <c r="F124" s="2">
        <f>F123+(F123-F122)</f>
        <v>14050</v>
      </c>
      <c r="G124" s="2">
        <f t="shared" si="30"/>
        <v>118350</v>
      </c>
    </row>
    <row r="125" spans="2:7" x14ac:dyDescent="0.15">
      <c r="B125" s="2" t="s">
        <v>319</v>
      </c>
      <c r="C125" s="2" t="str">
        <f t="shared" si="28"/>
        <v>Gem3_2</v>
      </c>
      <c r="D125" s="2">
        <v>1</v>
      </c>
      <c r="E125" s="2">
        <f t="shared" si="29"/>
        <v>4</v>
      </c>
      <c r="F125" s="2">
        <f>CEILING(VLOOKUP(E125,数值设计!$M$62:$O$65,3,FALSE)*VLOOKUP(D125,数值设计!$Q$62:$S$75,2,FALSE),50)</f>
        <v>2150</v>
      </c>
      <c r="G125" s="2">
        <f>F125</f>
        <v>2150</v>
      </c>
    </row>
    <row r="126" spans="2:7" x14ac:dyDescent="0.15">
      <c r="B126" s="2" t="s">
        <v>320</v>
      </c>
      <c r="C126" s="2" t="str">
        <f t="shared" si="28"/>
        <v>Gem3_3</v>
      </c>
      <c r="D126" s="2">
        <v>2</v>
      </c>
      <c r="E126" s="2">
        <f t="shared" si="29"/>
        <v>4</v>
      </c>
      <c r="F126" s="2">
        <f>CEILING(VLOOKUP(E126,数值设计!$M$62:$O$65,3,FALSE)*VLOOKUP(D126,数值设计!$Q$62:$S$75,2,FALSE),50)</f>
        <v>3200</v>
      </c>
      <c r="G126" s="2">
        <f t="shared" ref="G126:G139" si="31">F126+G125</f>
        <v>5350</v>
      </c>
    </row>
    <row r="127" spans="2:7" x14ac:dyDescent="0.15">
      <c r="B127" s="2" t="s">
        <v>321</v>
      </c>
      <c r="C127" s="2" t="str">
        <f t="shared" si="28"/>
        <v>Gem3_4</v>
      </c>
      <c r="D127" s="2">
        <v>3</v>
      </c>
      <c r="E127" s="2">
        <f t="shared" si="29"/>
        <v>4</v>
      </c>
      <c r="F127" s="2">
        <f>CEILING(VLOOKUP(E127,数值设计!$M$62:$O$65,3,FALSE)*VLOOKUP(D127,数值设计!$Q$62:$S$75,2,FALSE),50)</f>
        <v>4250</v>
      </c>
      <c r="G127" s="2">
        <f t="shared" si="31"/>
        <v>9600</v>
      </c>
    </row>
    <row r="128" spans="2:7" x14ac:dyDescent="0.15">
      <c r="B128" s="2" t="s">
        <v>322</v>
      </c>
      <c r="C128" s="2" t="str">
        <f t="shared" si="28"/>
        <v>Gem3_5</v>
      </c>
      <c r="D128" s="2">
        <v>4</v>
      </c>
      <c r="E128" s="2">
        <f t="shared" si="29"/>
        <v>4</v>
      </c>
      <c r="F128" s="2">
        <f>CEILING(VLOOKUP(E128,数值设计!$M$62:$O$65,3,FALSE)*VLOOKUP(D128,数值设计!$Q$62:$S$75,2,FALSE),50)</f>
        <v>5350</v>
      </c>
      <c r="G128" s="2">
        <f t="shared" si="31"/>
        <v>14950</v>
      </c>
    </row>
    <row r="129" spans="2:7" x14ac:dyDescent="0.15">
      <c r="B129" s="2" t="s">
        <v>323</v>
      </c>
      <c r="C129" s="2" t="str">
        <f t="shared" si="28"/>
        <v>Gem3_6</v>
      </c>
      <c r="D129" s="2">
        <v>5</v>
      </c>
      <c r="E129" s="2">
        <f t="shared" si="29"/>
        <v>4</v>
      </c>
      <c r="F129" s="2">
        <f>CEILING(VLOOKUP(E129,数值设计!$M$62:$O$65,3,FALSE)*VLOOKUP(D129,数值设计!$Q$62:$S$75,2,FALSE),50)</f>
        <v>6400</v>
      </c>
      <c r="G129" s="2">
        <f t="shared" si="31"/>
        <v>21350</v>
      </c>
    </row>
    <row r="130" spans="2:7" x14ac:dyDescent="0.15">
      <c r="B130" s="2" t="s">
        <v>324</v>
      </c>
      <c r="C130" s="2" t="str">
        <f t="shared" si="28"/>
        <v>Gem3_7</v>
      </c>
      <c r="D130" s="2">
        <v>6</v>
      </c>
      <c r="E130" s="2">
        <f t="shared" si="29"/>
        <v>4</v>
      </c>
      <c r="F130" s="2">
        <f>CEILING(VLOOKUP(E130,数值设计!$M$62:$O$65,3,FALSE)*VLOOKUP(D130,数值设计!$Q$62:$S$75,2,FALSE),50)</f>
        <v>7450</v>
      </c>
      <c r="G130" s="2">
        <f t="shared" si="31"/>
        <v>28800</v>
      </c>
    </row>
    <row r="131" spans="2:7" x14ac:dyDescent="0.15">
      <c r="B131" s="2" t="s">
        <v>325</v>
      </c>
      <c r="C131" s="2" t="str">
        <f t="shared" si="28"/>
        <v>Gem3_8</v>
      </c>
      <c r="D131" s="2">
        <v>7</v>
      </c>
      <c r="E131" s="2">
        <f t="shared" si="29"/>
        <v>4</v>
      </c>
      <c r="F131" s="2">
        <f>CEILING(VLOOKUP(E131,数值设计!$M$62:$O$65,3,FALSE)*VLOOKUP(D131,数值设计!$Q$62:$S$75,2,FALSE),50)</f>
        <v>8500</v>
      </c>
      <c r="G131" s="2">
        <f t="shared" si="31"/>
        <v>37300</v>
      </c>
    </row>
    <row r="132" spans="2:7" x14ac:dyDescent="0.15">
      <c r="B132" s="2" t="s">
        <v>326</v>
      </c>
      <c r="C132" s="2" t="str">
        <f t="shared" si="28"/>
        <v>Gem3_9</v>
      </c>
      <c r="D132" s="2">
        <v>8</v>
      </c>
      <c r="E132" s="2">
        <f t="shared" si="29"/>
        <v>4</v>
      </c>
      <c r="F132" s="2">
        <f>CEILING(VLOOKUP(E132,数值设计!$M$62:$O$65,3,FALSE)*VLOOKUP(D132,数值设计!$Q$62:$S$75,2,FALSE),50)</f>
        <v>9600</v>
      </c>
      <c r="G132" s="2">
        <f t="shared" si="31"/>
        <v>46900</v>
      </c>
    </row>
    <row r="133" spans="2:7" x14ac:dyDescent="0.15">
      <c r="B133" s="2" t="s">
        <v>327</v>
      </c>
      <c r="C133" s="2" t="str">
        <f t="shared" si="28"/>
        <v>Gem3_10</v>
      </c>
      <c r="D133" s="2">
        <v>9</v>
      </c>
      <c r="E133" s="2">
        <f t="shared" si="29"/>
        <v>4</v>
      </c>
      <c r="F133" s="2">
        <f>CEILING(VLOOKUP(E133,数值设计!$M$62:$O$65,3,FALSE)*VLOOKUP(D133,数值设计!$Q$62:$S$75,2,FALSE),50)</f>
        <v>10650</v>
      </c>
      <c r="G133" s="2">
        <f t="shared" si="31"/>
        <v>57550</v>
      </c>
    </row>
    <row r="134" spans="2:7" x14ac:dyDescent="0.15">
      <c r="B134" s="2" t="s">
        <v>328</v>
      </c>
      <c r="C134" s="2" t="str">
        <f t="shared" si="28"/>
        <v>Gem3_11</v>
      </c>
      <c r="D134" s="2">
        <v>10</v>
      </c>
      <c r="E134" s="2">
        <f t="shared" si="29"/>
        <v>4</v>
      </c>
      <c r="F134" s="2">
        <f>CEILING(VLOOKUP(E134,数值设计!$M$62:$O$65,3,FALSE)*VLOOKUP(D134,数值设计!$Q$62:$S$75,2,FALSE),50)</f>
        <v>11700</v>
      </c>
      <c r="G134" s="2">
        <f t="shared" si="31"/>
        <v>69250</v>
      </c>
    </row>
    <row r="135" spans="2:7" x14ac:dyDescent="0.15">
      <c r="B135" s="2" t="s">
        <v>329</v>
      </c>
      <c r="C135" s="2" t="str">
        <f t="shared" si="28"/>
        <v>Gem3_12</v>
      </c>
      <c r="D135" s="2">
        <v>11</v>
      </c>
      <c r="E135" s="2">
        <f t="shared" si="29"/>
        <v>4</v>
      </c>
      <c r="F135" s="2">
        <f>CEILING(VLOOKUP(E135,数值设计!$M$62:$O$65,3,FALSE)*VLOOKUP(D135,数值设计!$Q$62:$S$75,2,FALSE),50)</f>
        <v>12750</v>
      </c>
      <c r="G135" s="2">
        <f t="shared" si="31"/>
        <v>82000</v>
      </c>
    </row>
    <row r="136" spans="2:7" x14ac:dyDescent="0.15">
      <c r="B136" s="2" t="s">
        <v>330</v>
      </c>
      <c r="C136" s="2" t="str">
        <f t="shared" si="28"/>
        <v>Gem3_13</v>
      </c>
      <c r="D136" s="2">
        <v>12</v>
      </c>
      <c r="E136" s="2">
        <f t="shared" si="29"/>
        <v>4</v>
      </c>
      <c r="F136" s="2">
        <f>CEILING(VLOOKUP(E136,数值设计!$M$62:$O$65,3,FALSE)*VLOOKUP(D136,数值设计!$Q$62:$S$75,2,FALSE),50)</f>
        <v>13850</v>
      </c>
      <c r="G136" s="2">
        <f t="shared" si="31"/>
        <v>95850</v>
      </c>
    </row>
    <row r="137" spans="2:7" x14ac:dyDescent="0.15">
      <c r="B137" s="2" t="s">
        <v>331</v>
      </c>
      <c r="C137" s="2" t="str">
        <f t="shared" si="28"/>
        <v>Gem3_14</v>
      </c>
      <c r="D137" s="2">
        <v>13</v>
      </c>
      <c r="E137" s="2">
        <f t="shared" si="29"/>
        <v>4</v>
      </c>
      <c r="F137" s="2">
        <f>CEILING(VLOOKUP(E137,数值设计!$M$62:$O$65,3,FALSE)*VLOOKUP(D137,数值设计!$Q$62:$S$75,2,FALSE),50)</f>
        <v>14900</v>
      </c>
      <c r="G137" s="2">
        <f t="shared" si="31"/>
        <v>110750</v>
      </c>
    </row>
    <row r="138" spans="2:7" x14ac:dyDescent="0.15">
      <c r="B138" s="2" t="s">
        <v>332</v>
      </c>
      <c r="C138" s="2" t="str">
        <f t="shared" si="28"/>
        <v>Gem3_15</v>
      </c>
      <c r="D138" s="2">
        <v>14</v>
      </c>
      <c r="E138" s="2">
        <f t="shared" si="29"/>
        <v>4</v>
      </c>
      <c r="F138" s="2">
        <f>CEILING(VLOOKUP(E138,数值设计!$M$62:$O$65,3,FALSE)*VLOOKUP(D138,数值设计!$Q$62:$S$75,2,FALSE),50)</f>
        <v>15950</v>
      </c>
      <c r="G138" s="2">
        <f t="shared" si="31"/>
        <v>126700</v>
      </c>
    </row>
    <row r="139" spans="2:7" x14ac:dyDescent="0.15">
      <c r="B139" s="2" t="s">
        <v>333</v>
      </c>
      <c r="D139" s="2">
        <v>15</v>
      </c>
      <c r="E139" s="2">
        <f t="shared" si="29"/>
        <v>4</v>
      </c>
      <c r="F139" s="2">
        <f>F138+(F138-F137)</f>
        <v>17000</v>
      </c>
      <c r="G139" s="2">
        <f t="shared" si="31"/>
        <v>143700</v>
      </c>
    </row>
    <row r="140" spans="2:7" x14ac:dyDescent="0.15">
      <c r="B140" s="2" t="s">
        <v>334</v>
      </c>
      <c r="C140" s="2" t="str">
        <f t="shared" si="28"/>
        <v>Gem4_2</v>
      </c>
      <c r="D140" s="2">
        <v>1</v>
      </c>
      <c r="E140" s="2">
        <f t="shared" si="29"/>
        <v>5</v>
      </c>
      <c r="F140" s="2">
        <f>CEILING(VLOOKUP(E140,数值设计!$M$62:$O$65,3,FALSE)*VLOOKUP(D140,数值设计!$Q$62:$S$75,2,FALSE),50)</f>
        <v>2500</v>
      </c>
      <c r="G140" s="2">
        <f>F140</f>
        <v>2500</v>
      </c>
    </row>
    <row r="141" spans="2:7" x14ac:dyDescent="0.15">
      <c r="B141" s="2" t="s">
        <v>335</v>
      </c>
      <c r="C141" s="2" t="str">
        <f t="shared" si="28"/>
        <v>Gem4_3</v>
      </c>
      <c r="D141" s="2">
        <v>2</v>
      </c>
      <c r="E141" s="2">
        <f t="shared" si="29"/>
        <v>5</v>
      </c>
      <c r="F141" s="2">
        <f>CEILING(VLOOKUP(E141,数值设计!$M$62:$O$65,3,FALSE)*VLOOKUP(D141,数值设计!$Q$62:$S$75,2,FALSE),50)</f>
        <v>3750</v>
      </c>
      <c r="G141" s="2">
        <f t="shared" ref="G141:G154" si="32">F141+G140</f>
        <v>6250</v>
      </c>
    </row>
    <row r="142" spans="2:7" x14ac:dyDescent="0.15">
      <c r="B142" s="2" t="s">
        <v>336</v>
      </c>
      <c r="C142" s="2" t="str">
        <f t="shared" si="28"/>
        <v>Gem4_4</v>
      </c>
      <c r="D142" s="2">
        <v>3</v>
      </c>
      <c r="E142" s="2">
        <f t="shared" si="29"/>
        <v>5</v>
      </c>
      <c r="F142" s="2">
        <f>CEILING(VLOOKUP(E142,数值设计!$M$62:$O$65,3,FALSE)*VLOOKUP(D142,数值设计!$Q$62:$S$75,2,FALSE),50)</f>
        <v>5000</v>
      </c>
      <c r="G142" s="2">
        <f t="shared" si="32"/>
        <v>11250</v>
      </c>
    </row>
    <row r="143" spans="2:7" x14ac:dyDescent="0.15">
      <c r="B143" s="2" t="s">
        <v>337</v>
      </c>
      <c r="C143" s="2" t="str">
        <f t="shared" si="28"/>
        <v>Gem4_5</v>
      </c>
      <c r="D143" s="2">
        <v>4</v>
      </c>
      <c r="E143" s="2">
        <f t="shared" si="29"/>
        <v>5</v>
      </c>
      <c r="F143" s="2">
        <f>CEILING(VLOOKUP(E143,数值设计!$M$62:$O$65,3,FALSE)*VLOOKUP(D143,数值设计!$Q$62:$S$75,2,FALSE),50)</f>
        <v>6250</v>
      </c>
      <c r="G143" s="2">
        <f t="shared" si="32"/>
        <v>17500</v>
      </c>
    </row>
    <row r="144" spans="2:7" x14ac:dyDescent="0.15">
      <c r="B144" s="2" t="s">
        <v>338</v>
      </c>
      <c r="C144" s="2" t="str">
        <f t="shared" si="28"/>
        <v>Gem4_6</v>
      </c>
      <c r="D144" s="2">
        <v>5</v>
      </c>
      <c r="E144" s="2">
        <f t="shared" si="29"/>
        <v>5</v>
      </c>
      <c r="F144" s="2">
        <f>CEILING(VLOOKUP(E144,数值设计!$M$62:$O$65,3,FALSE)*VLOOKUP(D144,数值设计!$Q$62:$S$75,2,FALSE),50)</f>
        <v>7500</v>
      </c>
      <c r="G144" s="2">
        <f t="shared" si="32"/>
        <v>25000</v>
      </c>
    </row>
    <row r="145" spans="1:8" x14ac:dyDescent="0.15">
      <c r="B145" s="2" t="s">
        <v>339</v>
      </c>
      <c r="C145" s="2" t="str">
        <f t="shared" si="28"/>
        <v>Gem4_7</v>
      </c>
      <c r="D145" s="2">
        <v>6</v>
      </c>
      <c r="E145" s="2">
        <f t="shared" si="29"/>
        <v>5</v>
      </c>
      <c r="F145" s="2">
        <f>CEILING(VLOOKUP(E145,数值设计!$M$62:$O$65,3,FALSE)*VLOOKUP(D145,数值设计!$Q$62:$S$75,2,FALSE),50)</f>
        <v>8750</v>
      </c>
      <c r="G145" s="2">
        <f t="shared" si="32"/>
        <v>33750</v>
      </c>
    </row>
    <row r="146" spans="1:8" x14ac:dyDescent="0.15">
      <c r="B146" s="2" t="s">
        <v>340</v>
      </c>
      <c r="C146" s="2" t="str">
        <f t="shared" si="28"/>
        <v>Gem4_8</v>
      </c>
      <c r="D146" s="2">
        <v>7</v>
      </c>
      <c r="E146" s="2">
        <f t="shared" si="29"/>
        <v>5</v>
      </c>
      <c r="F146" s="2">
        <f>CEILING(VLOOKUP(E146,数值设计!$M$62:$O$65,3,FALSE)*VLOOKUP(D146,数值设计!$Q$62:$S$75,2,FALSE),50)</f>
        <v>10000</v>
      </c>
      <c r="G146" s="2">
        <f t="shared" si="32"/>
        <v>43750</v>
      </c>
    </row>
    <row r="147" spans="1:8" x14ac:dyDescent="0.15">
      <c r="B147" s="2" t="s">
        <v>341</v>
      </c>
      <c r="C147" s="2" t="str">
        <f t="shared" si="28"/>
        <v>Gem4_9</v>
      </c>
      <c r="D147" s="2">
        <v>8</v>
      </c>
      <c r="E147" s="2">
        <f t="shared" si="29"/>
        <v>5</v>
      </c>
      <c r="F147" s="2">
        <f>CEILING(VLOOKUP(E147,数值设计!$M$62:$O$65,3,FALSE)*VLOOKUP(D147,数值设计!$Q$62:$S$75,2,FALSE),50)</f>
        <v>11250</v>
      </c>
      <c r="G147" s="2">
        <f t="shared" si="32"/>
        <v>55000</v>
      </c>
    </row>
    <row r="148" spans="1:8" x14ac:dyDescent="0.15">
      <c r="B148" s="2" t="s">
        <v>342</v>
      </c>
      <c r="C148" s="2" t="str">
        <f t="shared" si="28"/>
        <v>Gem4_10</v>
      </c>
      <c r="D148" s="2">
        <v>9</v>
      </c>
      <c r="E148" s="2">
        <f t="shared" si="29"/>
        <v>5</v>
      </c>
      <c r="F148" s="2">
        <f>CEILING(VLOOKUP(E148,数值设计!$M$62:$O$65,3,FALSE)*VLOOKUP(D148,数值设计!$Q$62:$S$75,2,FALSE),50)</f>
        <v>12500</v>
      </c>
      <c r="G148" s="2">
        <f t="shared" si="32"/>
        <v>67500</v>
      </c>
    </row>
    <row r="149" spans="1:8" x14ac:dyDescent="0.15">
      <c r="B149" s="2" t="s">
        <v>343</v>
      </c>
      <c r="C149" s="2" t="str">
        <f t="shared" si="28"/>
        <v>Gem4_11</v>
      </c>
      <c r="D149" s="2">
        <v>10</v>
      </c>
      <c r="E149" s="2">
        <f t="shared" si="29"/>
        <v>5</v>
      </c>
      <c r="F149" s="2">
        <f>CEILING(VLOOKUP(E149,数值设计!$M$62:$O$65,3,FALSE)*VLOOKUP(D149,数值设计!$Q$62:$S$75,2,FALSE),50)</f>
        <v>13750</v>
      </c>
      <c r="G149" s="2">
        <f t="shared" si="32"/>
        <v>81250</v>
      </c>
    </row>
    <row r="150" spans="1:8" x14ac:dyDescent="0.15">
      <c r="B150" s="2" t="s">
        <v>344</v>
      </c>
      <c r="C150" s="2" t="str">
        <f t="shared" si="28"/>
        <v>Gem4_12</v>
      </c>
      <c r="D150" s="2">
        <v>11</v>
      </c>
      <c r="E150" s="2">
        <f t="shared" si="29"/>
        <v>5</v>
      </c>
      <c r="F150" s="2">
        <f>CEILING(VLOOKUP(E150,数值设计!$M$62:$O$65,3,FALSE)*VLOOKUP(D150,数值设计!$Q$62:$S$75,2,FALSE),50)</f>
        <v>15000</v>
      </c>
      <c r="G150" s="2">
        <f t="shared" si="32"/>
        <v>96250</v>
      </c>
    </row>
    <row r="151" spans="1:8" x14ac:dyDescent="0.15">
      <c r="B151" s="2" t="s">
        <v>345</v>
      </c>
      <c r="C151" s="2" t="str">
        <f t="shared" si="28"/>
        <v>Gem4_13</v>
      </c>
      <c r="D151" s="2">
        <v>12</v>
      </c>
      <c r="E151" s="2">
        <f t="shared" si="29"/>
        <v>5</v>
      </c>
      <c r="F151" s="2">
        <f>CEILING(VLOOKUP(E151,数值设计!$M$62:$O$65,3,FALSE)*VLOOKUP(D151,数值设计!$Q$62:$S$75,2,FALSE),50)</f>
        <v>16250</v>
      </c>
      <c r="G151" s="2">
        <f t="shared" si="32"/>
        <v>112500</v>
      </c>
    </row>
    <row r="152" spans="1:8" x14ac:dyDescent="0.15">
      <c r="B152" s="2" t="s">
        <v>346</v>
      </c>
      <c r="C152" s="2" t="str">
        <f t="shared" si="28"/>
        <v>Gem4_14</v>
      </c>
      <c r="D152" s="2">
        <v>13</v>
      </c>
      <c r="E152" s="2">
        <f t="shared" si="29"/>
        <v>5</v>
      </c>
      <c r="F152" s="2">
        <f>CEILING(VLOOKUP(E152,数值设计!$M$62:$O$65,3,FALSE)*VLOOKUP(D152,数值设计!$Q$62:$S$75,2,FALSE),50)</f>
        <v>17500</v>
      </c>
      <c r="G152" s="2">
        <f t="shared" si="32"/>
        <v>130000</v>
      </c>
    </row>
    <row r="153" spans="1:8" x14ac:dyDescent="0.15">
      <c r="B153" s="2" t="s">
        <v>347</v>
      </c>
      <c r="C153" s="2" t="str">
        <f t="shared" si="28"/>
        <v>Gem4_15</v>
      </c>
      <c r="D153" s="2">
        <v>14</v>
      </c>
      <c r="E153" s="2">
        <f t="shared" si="29"/>
        <v>5</v>
      </c>
      <c r="F153" s="2">
        <f>CEILING(VLOOKUP(E153,数值设计!$M$62:$O$65,3,FALSE)*VLOOKUP(D153,数值设计!$Q$62:$S$75,2,FALSE),50)</f>
        <v>18750</v>
      </c>
      <c r="G153" s="2">
        <f t="shared" si="32"/>
        <v>148750</v>
      </c>
    </row>
    <row r="154" spans="1:8" x14ac:dyDescent="0.15">
      <c r="B154" s="2" t="s">
        <v>348</v>
      </c>
      <c r="C154" s="2">
        <f t="shared" si="28"/>
        <v>0</v>
      </c>
      <c r="D154" s="2">
        <v>15</v>
      </c>
      <c r="E154" s="2">
        <f t="shared" si="29"/>
        <v>5</v>
      </c>
      <c r="F154" s="2">
        <f>F153+(F153-F152)</f>
        <v>20000</v>
      </c>
      <c r="G154" s="2">
        <f t="shared" si="32"/>
        <v>168750</v>
      </c>
    </row>
    <row r="156" spans="1:8" x14ac:dyDescent="0.15">
      <c r="A156" s="2" t="s">
        <v>187</v>
      </c>
    </row>
    <row r="157" spans="1:8" x14ac:dyDescent="0.15">
      <c r="B157" s="19" t="s">
        <v>156</v>
      </c>
      <c r="C157" s="38" t="s">
        <v>188</v>
      </c>
      <c r="D157" s="38" t="s">
        <v>189</v>
      </c>
      <c r="E157" s="19" t="s">
        <v>190</v>
      </c>
      <c r="H157" s="34" t="s">
        <v>472</v>
      </c>
    </row>
    <row r="158" spans="1:8" x14ac:dyDescent="0.15">
      <c r="B158" s="23" t="s">
        <v>157</v>
      </c>
      <c r="C158" s="23" t="s">
        <v>157</v>
      </c>
      <c r="D158" s="23" t="s">
        <v>157</v>
      </c>
      <c r="E158" s="23" t="s">
        <v>162</v>
      </c>
    </row>
    <row r="159" spans="1:8" x14ac:dyDescent="0.15">
      <c r="B159" s="24" t="s">
        <v>158</v>
      </c>
      <c r="C159" s="24" t="s">
        <v>191</v>
      </c>
      <c r="D159" s="24" t="s">
        <v>350</v>
      </c>
      <c r="E159" s="24" t="s">
        <v>162</v>
      </c>
    </row>
    <row r="160" spans="1:8" x14ac:dyDescent="0.15">
      <c r="B160" s="23" t="s">
        <v>159</v>
      </c>
      <c r="C160" s="23" t="s">
        <v>192</v>
      </c>
      <c r="D160" s="23" t="s">
        <v>193</v>
      </c>
      <c r="E160" s="23" t="s">
        <v>194</v>
      </c>
    </row>
    <row r="161" spans="1:12" x14ac:dyDescent="0.15">
      <c r="B161" s="24" t="s">
        <v>195</v>
      </c>
      <c r="C161" s="24"/>
      <c r="D161" s="24"/>
      <c r="E161" s="24"/>
    </row>
    <row r="162" spans="1:12" x14ac:dyDescent="0.15">
      <c r="B162" s="2" t="s">
        <v>197</v>
      </c>
      <c r="C162" s="2" t="s">
        <v>351</v>
      </c>
      <c r="D162" s="2" t="s">
        <v>260</v>
      </c>
      <c r="E162" s="2" t="s">
        <v>199</v>
      </c>
    </row>
    <row r="163" spans="1:12" x14ac:dyDescent="0.15">
      <c r="B163" s="2" t="s">
        <v>349</v>
      </c>
      <c r="C163" s="2" t="s">
        <v>352</v>
      </c>
      <c r="D163" s="2" t="s">
        <v>260</v>
      </c>
      <c r="E163" s="2" t="s">
        <v>353</v>
      </c>
    </row>
    <row r="165" spans="1:12" x14ac:dyDescent="0.15">
      <c r="A165" s="2" t="s">
        <v>204</v>
      </c>
    </row>
    <row r="166" spans="1:12" x14ac:dyDescent="0.15">
      <c r="B166" s="19" t="s">
        <v>156</v>
      </c>
      <c r="C166" s="22" t="s">
        <v>160</v>
      </c>
      <c r="D166" s="19" t="s">
        <v>163</v>
      </c>
      <c r="E166" s="19" t="s">
        <v>207</v>
      </c>
      <c r="F166" s="19" t="s">
        <v>359</v>
      </c>
      <c r="G166" s="19" t="s">
        <v>360</v>
      </c>
      <c r="H166" s="19"/>
      <c r="I166" s="19" t="s">
        <v>130</v>
      </c>
      <c r="J166" s="19" t="s">
        <v>361</v>
      </c>
      <c r="K166" s="19" t="s">
        <v>362</v>
      </c>
      <c r="L166" s="19" t="s">
        <v>363</v>
      </c>
    </row>
    <row r="167" spans="1:12" x14ac:dyDescent="0.15">
      <c r="B167" s="23" t="s">
        <v>157</v>
      </c>
      <c r="C167" s="20" t="s">
        <v>157</v>
      </c>
      <c r="D167" s="20" t="s">
        <v>162</v>
      </c>
      <c r="E167" s="20" t="s">
        <v>157</v>
      </c>
      <c r="F167" s="20" t="s">
        <v>157</v>
      </c>
      <c r="G167" s="20" t="s">
        <v>364</v>
      </c>
      <c r="H167" s="20"/>
      <c r="I167" s="20" t="s">
        <v>157</v>
      </c>
      <c r="J167" s="20" t="s">
        <v>157</v>
      </c>
      <c r="K167" s="20" t="s">
        <v>364</v>
      </c>
      <c r="L167" s="20" t="s">
        <v>157</v>
      </c>
    </row>
    <row r="168" spans="1:12" x14ac:dyDescent="0.15">
      <c r="B168" s="24" t="s">
        <v>158</v>
      </c>
      <c r="C168" s="21" t="s">
        <v>158</v>
      </c>
      <c r="D168" s="21" t="s">
        <v>162</v>
      </c>
      <c r="E168" s="21" t="s">
        <v>260</v>
      </c>
      <c r="F168" s="21" t="s">
        <v>260</v>
      </c>
      <c r="G168" s="21" t="s">
        <v>260</v>
      </c>
      <c r="H168" s="21"/>
      <c r="I168" s="21" t="s">
        <v>260</v>
      </c>
      <c r="J168" s="21" t="s">
        <v>365</v>
      </c>
      <c r="K168" s="21" t="s">
        <v>260</v>
      </c>
      <c r="L168" s="21" t="s">
        <v>260</v>
      </c>
    </row>
    <row r="169" spans="1:12" x14ac:dyDescent="0.15">
      <c r="B169" s="23" t="s">
        <v>159</v>
      </c>
      <c r="C169" s="20" t="s">
        <v>161</v>
      </c>
      <c r="D169" s="20" t="s">
        <v>164</v>
      </c>
      <c r="E169" s="20" t="s">
        <v>210</v>
      </c>
      <c r="F169" s="20" t="s">
        <v>366</v>
      </c>
      <c r="G169" s="20" t="s">
        <v>367</v>
      </c>
      <c r="H169" s="20"/>
      <c r="I169" s="20" t="s">
        <v>211</v>
      </c>
      <c r="J169" s="20" t="s">
        <v>368</v>
      </c>
      <c r="K169" s="20" t="s">
        <v>369</v>
      </c>
      <c r="L169" s="20" t="s">
        <v>370</v>
      </c>
    </row>
    <row r="170" spans="1:12" x14ac:dyDescent="0.15">
      <c r="B170" s="24" t="s">
        <v>195</v>
      </c>
      <c r="C170" s="24" t="s">
        <v>371</v>
      </c>
      <c r="D170" s="24"/>
      <c r="E170" s="24"/>
      <c r="F170" s="24"/>
      <c r="G170" s="24"/>
      <c r="H170" s="24"/>
      <c r="I170" s="24"/>
      <c r="J170" s="24"/>
      <c r="K170" s="24"/>
      <c r="L170" s="24"/>
    </row>
    <row r="171" spans="1:12" x14ac:dyDescent="0.15">
      <c r="B171" s="2" t="s">
        <v>506</v>
      </c>
      <c r="C171" s="2" t="str">
        <f>B171</f>
        <v>SuitCri_3</v>
      </c>
      <c r="D171" s="2" t="str">
        <f>"紫品"&amp;数值设计!C125</f>
        <v>紫品暴击套装</v>
      </c>
      <c r="E171" s="2" t="str">
        <f>"["&amp;B42&amp;","&amp;B43&amp;","&amp;B44&amp;"]"</f>
        <v>[Gem3001,Gem3002,Gem3003]</v>
      </c>
      <c r="F171" s="28" t="s">
        <v>372</v>
      </c>
      <c r="G171" s="29" t="str">
        <f>"["&amp;数值设计!E126&amp;","&amp;数值设计!E127&amp;"]"</f>
        <v>[CRITRATE,CRITSTRG]</v>
      </c>
      <c r="H171" s="29"/>
      <c r="I171" s="29" t="str">
        <f>"["&amp;数值设计!G100*数值设计!L120&amp;","&amp;数值设计!G101*数值设计!L120&amp;"]"</f>
        <v>[0.0296,0.0296]</v>
      </c>
      <c r="J171" s="2">
        <v>3</v>
      </c>
      <c r="K171" s="2" t="str">
        <f>"["&amp;数值设计!E128&amp;"]"</f>
        <v>[CRITRATE]</v>
      </c>
      <c r="L171" s="2" t="str">
        <f>"["&amp;数值设计!H100*数值设计!$L$120&amp;"]"</f>
        <v>[0.0296]</v>
      </c>
    </row>
    <row r="172" spans="1:12" x14ac:dyDescent="0.15">
      <c r="B172" s="2" t="s">
        <v>507</v>
      </c>
      <c r="C172" s="2" t="str">
        <f t="shared" ref="C172:C182" si="33">B172</f>
        <v>SuitBlock_3</v>
      </c>
      <c r="D172" s="2" t="str">
        <f>"紫品"&amp;数值设计!C130</f>
        <v>紫品格挡套装</v>
      </c>
      <c r="E172" s="2" t="str">
        <f>"["&amp;B45&amp;","&amp;B46&amp;","&amp;B47&amp;"]"</f>
        <v>[Gem3011,Gem3012,Gem3013]</v>
      </c>
      <c r="F172" s="28" t="s">
        <v>372</v>
      </c>
      <c r="G172" s="29" t="str">
        <f>"["&amp;数值设计!E131&amp;","&amp;数值设计!E132&amp;"]"</f>
        <v>[BLOCKRATE,BLOCKSTRG]</v>
      </c>
      <c r="H172" s="29"/>
      <c r="I172" s="29" t="str">
        <f>"["&amp;数值设计!G103*数值设计!L120&amp;","&amp;数值设计!G104*数值设计!L120&amp;"]"</f>
        <v>[0.024,0.024]</v>
      </c>
      <c r="J172" s="2">
        <v>3</v>
      </c>
      <c r="K172" s="2" t="str">
        <f>"["&amp;数值设计!E133&amp;"]"</f>
        <v>[BLOCKRATE]</v>
      </c>
      <c r="L172" s="2" t="str">
        <f>"["&amp;数值设计!H103*数值设计!$L$120&amp;"]"</f>
        <v>[0.024]</v>
      </c>
    </row>
    <row r="173" spans="1:12" x14ac:dyDescent="0.15">
      <c r="B173" s="2" t="s">
        <v>508</v>
      </c>
      <c r="C173" s="2" t="str">
        <f t="shared" si="33"/>
        <v>SuitDef_3</v>
      </c>
      <c r="D173" s="2" t="str">
        <f>"紫品"&amp;数值设计!C135</f>
        <v>紫品抵抗套装</v>
      </c>
      <c r="E173" s="2" t="str">
        <f>"["&amp;B48&amp;","&amp;B49&amp;","&amp;B50&amp;"]"</f>
        <v>[Gem3021,Gem3022,Gem3023]</v>
      </c>
      <c r="F173" s="28" t="s">
        <v>372</v>
      </c>
      <c r="G173" s="29" t="str">
        <f>"["&amp;数值设计!E136&amp;","&amp;数值设计!E137&amp;"]"</f>
        <v>[UNCRITRATE,UNHURTRATE]</v>
      </c>
      <c r="H173" s="29"/>
      <c r="I173" s="29" t="str">
        <f>"["&amp;数值设计!G102*数值设计!L120&amp;","&amp;数值设计!G107*数值设计!L120&amp;"]"</f>
        <v>[0.024,0.024]</v>
      </c>
      <c r="J173" s="2">
        <v>3</v>
      </c>
      <c r="K173" s="2" t="str">
        <f>"["&amp;数值设计!E138&amp;"]"</f>
        <v>[UNCRITRATE]</v>
      </c>
      <c r="L173" s="2" t="str">
        <f>"["&amp;数值设计!H102*数值设计!$L$120&amp;"]"</f>
        <v>[0.024]</v>
      </c>
    </row>
    <row r="174" spans="1:12" x14ac:dyDescent="0.15">
      <c r="B174" s="2" t="s">
        <v>509</v>
      </c>
      <c r="C174" s="2" t="str">
        <f t="shared" si="33"/>
        <v>SuitUnblock_3</v>
      </c>
      <c r="D174" s="2" t="str">
        <f>"紫品"&amp;数值设计!C140</f>
        <v>紫品穿透套装</v>
      </c>
      <c r="E174" s="2" t="str">
        <f>"["&amp;B51&amp;","&amp;B52&amp;","&amp;B53&amp;"]"</f>
        <v>[Gem3031,Gem3032,Gem3033]</v>
      </c>
      <c r="F174" s="28" t="s">
        <v>372</v>
      </c>
      <c r="G174" s="29" t="str">
        <f>"["&amp;数值设计!E141&amp;","&amp;数值设计!E142&amp;"]"</f>
        <v>[UNBLOCKRATE,HURTRATE]</v>
      </c>
      <c r="H174" s="29"/>
      <c r="I174" s="29" t="str">
        <f>"["&amp;数值设计!G105*数值设计!L120&amp;","&amp;数值设计!G106*数值设计!L120&amp;"]"</f>
        <v>[0.024,0.024]</v>
      </c>
      <c r="J174" s="2">
        <v>3</v>
      </c>
      <c r="K174" s="2" t="str">
        <f>"["&amp;数值设计!E143&amp;"]"</f>
        <v>[UNBLOCKRATE]</v>
      </c>
      <c r="L174" s="2" t="str">
        <f>"["&amp;数值设计!H105*数值设计!$L$120&amp;"]"</f>
        <v>[0.024]</v>
      </c>
    </row>
    <row r="175" spans="1:12" x14ac:dyDescent="0.15">
      <c r="B175" s="2" t="s">
        <v>510</v>
      </c>
      <c r="C175" s="2" t="str">
        <f t="shared" si="33"/>
        <v>SuitSpecial_3</v>
      </c>
      <c r="D175" s="2" t="str">
        <f>"紫品"&amp;数值设计!C145</f>
        <v>紫品特殊套装</v>
      </c>
      <c r="E175" s="2" t="str">
        <f>"["&amp;B54&amp;","&amp;B55&amp;","&amp;B56&amp;"]"</f>
        <v>[Gem3041,Gem3042,Gem3043]</v>
      </c>
      <c r="F175" s="28" t="s">
        <v>372</v>
      </c>
      <c r="G175" s="29" t="str">
        <f>"["&amp;数值设计!E146&amp;","&amp;数值设计!E147&amp;"]"</f>
        <v>[REFLECTION,ABSORPTION]</v>
      </c>
      <c r="H175" s="29"/>
      <c r="I175" s="29" t="str">
        <f>"["&amp;数值设计!G108*数值设计!L120&amp;","&amp;数值设计!G109*数值设计!L120&amp;"]"</f>
        <v>[0.024,0.024]</v>
      </c>
      <c r="J175" s="2">
        <v>3</v>
      </c>
      <c r="K175" s="2" t="str">
        <f>"["&amp;数值设计!E148&amp;"]"</f>
        <v>[REFLECTION]</v>
      </c>
      <c r="L175" s="2" t="str">
        <f>"["&amp;数值设计!H108*数值设计!$L$120&amp;"]"</f>
        <v>[0.024]</v>
      </c>
    </row>
    <row r="176" spans="1:12" x14ac:dyDescent="0.15">
      <c r="B176" s="2" t="s">
        <v>511</v>
      </c>
      <c r="C176" s="2" t="str">
        <f t="shared" si="33"/>
        <v>SuitAtk_3</v>
      </c>
      <c r="D176" s="2" t="str">
        <f>"紫品"&amp;数值设计!C150</f>
        <v>紫品输出套装</v>
      </c>
      <c r="E176" s="2" t="str">
        <f>"["&amp;B57&amp;","&amp;B58&amp;","&amp;B59&amp;"]"</f>
        <v>[Gem3051,Gem3052,Gem3053]</v>
      </c>
      <c r="F176" s="28" t="s">
        <v>372</v>
      </c>
      <c r="G176" s="29" t="str">
        <f>"["&amp;数值设计!E151&amp;","&amp;数值设计!E152&amp;"]"</f>
        <v>[DEF_RATE,HP_RATE]</v>
      </c>
      <c r="H176" s="29"/>
      <c r="I176" s="29" t="str">
        <f>"["&amp;数值设计!G112*数值设计!L120&amp;","&amp;数值设计!G113*数值设计!L120&amp;"]"</f>
        <v>[0.06,0.06]</v>
      </c>
      <c r="J176" s="2">
        <v>3</v>
      </c>
      <c r="K176" s="2" t="str">
        <f>"["&amp;数值设计!E153&amp;"]"</f>
        <v>[ATK_RATE]</v>
      </c>
      <c r="L176" s="2" t="str">
        <f>"["&amp;数值设计!H111*数值设计!$L$120&amp;"]"</f>
        <v>[0.06]</v>
      </c>
    </row>
    <row r="177" spans="2:12" x14ac:dyDescent="0.15">
      <c r="B177" s="2" t="s">
        <v>512</v>
      </c>
      <c r="C177" s="2" t="str">
        <f t="shared" si="33"/>
        <v>SuitCri_4</v>
      </c>
      <c r="D177" s="2" t="str">
        <f>"橙品"&amp;数值设计!C125</f>
        <v>橙品暴击套装</v>
      </c>
      <c r="E177" s="2" t="str">
        <f>"["&amp;B60&amp;","&amp;B61&amp;","&amp;B62&amp;"]"</f>
        <v>[Gem4001,Gem4002,Gem4003]</v>
      </c>
      <c r="F177" s="28" t="s">
        <v>453</v>
      </c>
      <c r="G177" s="2" t="str">
        <f>G171</f>
        <v>[CRITRATE,CRITSTRG]</v>
      </c>
      <c r="I177" s="2" t="str">
        <f>"["&amp;数值设计!G100*数值设计!L120&amp;","&amp;数值设计!G101*数值设计!L121&amp;"]"</f>
        <v>[0.0296,0.037]</v>
      </c>
      <c r="J177" s="2">
        <v>3</v>
      </c>
      <c r="K177" s="2" t="str">
        <f>K171</f>
        <v>[CRITRATE]</v>
      </c>
      <c r="L177" s="2" t="str">
        <f>"["&amp;数值设计!H100*数值设计!$L$121&amp;"]"</f>
        <v>[0.037]</v>
      </c>
    </row>
    <row r="178" spans="2:12" x14ac:dyDescent="0.15">
      <c r="B178" s="2" t="s">
        <v>513</v>
      </c>
      <c r="C178" s="2" t="str">
        <f t="shared" si="33"/>
        <v>SuitBlock_4</v>
      </c>
      <c r="D178" s="2" t="str">
        <f>"橙品"&amp;数值设计!C130</f>
        <v>橙品格挡套装</v>
      </c>
      <c r="E178" s="2" t="str">
        <f>"["&amp;B63&amp;","&amp;B64&amp;","&amp;B65&amp;"]"</f>
        <v>[Gem4011,Gem4012,Gem4013]</v>
      </c>
      <c r="F178" s="28" t="s">
        <v>453</v>
      </c>
      <c r="G178" s="2" t="str">
        <f t="shared" ref="G178:G194" si="34">G172</f>
        <v>[BLOCKRATE,BLOCKSTRG]</v>
      </c>
      <c r="I178" s="2" t="str">
        <f>"["&amp;数值设计!G103*数值设计!L120&amp;","&amp;数值设计!G104*数值设计!L121&amp;"]"</f>
        <v>[0.024,0.03]</v>
      </c>
      <c r="J178" s="2">
        <v>3</v>
      </c>
      <c r="K178" s="2" t="str">
        <f t="shared" ref="K178:K194" si="35">K172</f>
        <v>[BLOCKRATE]</v>
      </c>
      <c r="L178" s="2" t="str">
        <f>"["&amp;数值设计!H103*数值设计!$L$121&amp;"]"</f>
        <v>[0.03]</v>
      </c>
    </row>
    <row r="179" spans="2:12" x14ac:dyDescent="0.15">
      <c r="B179" s="2" t="s">
        <v>514</v>
      </c>
      <c r="C179" s="2" t="str">
        <f t="shared" si="33"/>
        <v>SuitDef_4</v>
      </c>
      <c r="D179" s="2" t="str">
        <f>"橙品"&amp;数值设计!C135</f>
        <v>橙品抵抗套装</v>
      </c>
      <c r="E179" s="2" t="str">
        <f>"["&amp;B66&amp;","&amp;B67&amp;","&amp;B68&amp;"]"</f>
        <v>[Gem4021,Gem4022,Gem4023]</v>
      </c>
      <c r="F179" s="28" t="s">
        <v>453</v>
      </c>
      <c r="G179" s="2" t="str">
        <f t="shared" si="34"/>
        <v>[UNCRITRATE,UNHURTRATE]</v>
      </c>
      <c r="I179" s="2" t="str">
        <f>"["&amp;数值设计!G102*数值设计!L120&amp;","&amp;数值设计!G107*数值设计!L121&amp;"]"</f>
        <v>[0.024,0.03]</v>
      </c>
      <c r="J179" s="2">
        <v>3</v>
      </c>
      <c r="K179" s="2" t="str">
        <f t="shared" si="35"/>
        <v>[UNCRITRATE]</v>
      </c>
      <c r="L179" s="2" t="str">
        <f>"["&amp;数值设计!H102*数值设计!$L$121&amp;"]"</f>
        <v>[0.03]</v>
      </c>
    </row>
    <row r="180" spans="2:12" x14ac:dyDescent="0.15">
      <c r="B180" s="2" t="s">
        <v>515</v>
      </c>
      <c r="C180" s="2" t="str">
        <f t="shared" si="33"/>
        <v>SuitUnblock_4</v>
      </c>
      <c r="D180" s="2" t="str">
        <f>"橙品"&amp;数值设计!C140</f>
        <v>橙品穿透套装</v>
      </c>
      <c r="E180" s="2" t="str">
        <f>"["&amp;B69&amp;","&amp;B70&amp;","&amp;B71&amp;"]"</f>
        <v>[Gem4031,Gem4032,Gem4033]</v>
      </c>
      <c r="F180" s="28" t="s">
        <v>453</v>
      </c>
      <c r="G180" s="2" t="str">
        <f t="shared" si="34"/>
        <v>[UNBLOCKRATE,HURTRATE]</v>
      </c>
      <c r="I180" s="2" t="str">
        <f>"["&amp;数值设计!G105*数值设计!L120&amp;","&amp;数值设计!G106*数值设计!L121&amp;"]"</f>
        <v>[0.024,0.03]</v>
      </c>
      <c r="J180" s="2">
        <v>3</v>
      </c>
      <c r="K180" s="2" t="str">
        <f t="shared" si="35"/>
        <v>[UNBLOCKRATE]</v>
      </c>
      <c r="L180" s="2" t="str">
        <f>"["&amp;数值设计!H105*数值设计!$L$121&amp;"]"</f>
        <v>[0.03]</v>
      </c>
    </row>
    <row r="181" spans="2:12" x14ac:dyDescent="0.15">
      <c r="B181" s="2" t="s">
        <v>516</v>
      </c>
      <c r="C181" s="2" t="str">
        <f t="shared" si="33"/>
        <v>SuitSpecial_4</v>
      </c>
      <c r="D181" s="2" t="str">
        <f>"橙品"&amp;数值设计!C145</f>
        <v>橙品特殊套装</v>
      </c>
      <c r="E181" s="2" t="str">
        <f>"["&amp;B72&amp;","&amp;B73&amp;","&amp;B74&amp;"]"</f>
        <v>[Gem4041,Gem4042,Gem4043]</v>
      </c>
      <c r="F181" s="28" t="s">
        <v>453</v>
      </c>
      <c r="G181" s="2" t="str">
        <f t="shared" si="34"/>
        <v>[REFLECTION,ABSORPTION]</v>
      </c>
      <c r="I181" s="2" t="str">
        <f>"["&amp;数值设计!G108*数值设计!L120&amp;","&amp;数值设计!G109*数值设计!L121&amp;"]"</f>
        <v>[0.024,0.03]</v>
      </c>
      <c r="J181" s="2">
        <v>3</v>
      </c>
      <c r="K181" s="2" t="str">
        <f t="shared" si="35"/>
        <v>[REFLECTION]</v>
      </c>
      <c r="L181" s="2" t="str">
        <f>"["&amp;数值设计!H108*数值设计!$L$121&amp;"]"</f>
        <v>[0.03]</v>
      </c>
    </row>
    <row r="182" spans="2:12" x14ac:dyDescent="0.15">
      <c r="B182" s="2" t="s">
        <v>517</v>
      </c>
      <c r="C182" s="2" t="str">
        <f t="shared" si="33"/>
        <v>SuitAtk_4</v>
      </c>
      <c r="D182" s="2" t="str">
        <f>"橙品"&amp;数值设计!C150</f>
        <v>橙品输出套装</v>
      </c>
      <c r="E182" s="2" t="str">
        <f>"["&amp;B75&amp;","&amp;B76&amp;","&amp;B77&amp;"]"</f>
        <v>[Gem4051,Gem4052,Gem4053]</v>
      </c>
      <c r="F182" s="28" t="s">
        <v>453</v>
      </c>
      <c r="G182" s="2" t="str">
        <f t="shared" si="34"/>
        <v>[DEF_RATE,HP_RATE]</v>
      </c>
      <c r="I182" s="2" t="str">
        <f>"["&amp;数值设计!G112*数值设计!L120&amp;","&amp;数值设计!G113*数值设计!L121&amp;"]"</f>
        <v>[0.06,0.075]</v>
      </c>
      <c r="J182" s="2">
        <v>3</v>
      </c>
      <c r="K182" s="2" t="str">
        <f t="shared" si="35"/>
        <v>[ATK_RATE]</v>
      </c>
      <c r="L182" s="2" t="str">
        <f>"["&amp;数值设计!H111*数值设计!$L$121&amp;"]"</f>
        <v>[0.075]</v>
      </c>
    </row>
    <row r="183" spans="2:12" x14ac:dyDescent="0.15">
      <c r="B183" s="2" t="s">
        <v>446</v>
      </c>
      <c r="C183" s="2" t="str">
        <f t="shared" ref="C183:C188" si="36">B183</f>
        <v>SuitCri_1</v>
      </c>
      <c r="D183" s="2" t="str">
        <f>"绿品"&amp;数值设计!C125</f>
        <v>绿品暴击套装</v>
      </c>
      <c r="E183" s="2" t="str">
        <f>"["&amp;B6&amp;","&amp;B7&amp;","&amp;B8&amp;"]"</f>
        <v>[Gem1001,Gem1002,Gem1003]</v>
      </c>
      <c r="F183" s="2" t="s">
        <v>453</v>
      </c>
      <c r="G183" s="2" t="str">
        <f>G177</f>
        <v>[CRITRATE,CRITSTRG]</v>
      </c>
      <c r="I183" s="2" t="str">
        <f>"["&amp;数值设计!G100*数值设计!L118&amp;","&amp;数值设计!H100*数值设计!L118&amp;"]"</f>
        <v>[0.0111,0.0111]</v>
      </c>
      <c r="J183" s="2">
        <v>3</v>
      </c>
      <c r="K183" s="2" t="str">
        <f>K177</f>
        <v>[CRITRATE]</v>
      </c>
      <c r="L183" s="2" t="str">
        <f>"["&amp;数值设计!H100*数值设计!$L$118&amp;"]"</f>
        <v>[0.0111]</v>
      </c>
    </row>
    <row r="184" spans="2:12" x14ac:dyDescent="0.15">
      <c r="B184" s="2" t="s">
        <v>447</v>
      </c>
      <c r="C184" s="2" t="str">
        <f t="shared" si="36"/>
        <v>SuitBlock_1</v>
      </c>
      <c r="D184" s="2" t="str">
        <f>"绿品"&amp;数值设计!C130</f>
        <v>绿品格挡套装</v>
      </c>
      <c r="E184" s="2" t="str">
        <f>"["&amp;B9&amp;","&amp;B10&amp;","&amp;B11&amp;"]"</f>
        <v>[Gem1011,Gem1012,Gem1013]</v>
      </c>
      <c r="F184" s="2" t="s">
        <v>453</v>
      </c>
      <c r="G184" s="2" t="str">
        <f t="shared" si="34"/>
        <v>[BLOCKRATE,BLOCKSTRG]</v>
      </c>
      <c r="I184" s="2" t="str">
        <f>"["&amp;数值设计!G103*数值设计!L118&amp;","&amp;数值设计!G104*数值设计!L118&amp;"]"</f>
        <v>[0.009,0.009]</v>
      </c>
      <c r="J184" s="2">
        <v>3</v>
      </c>
      <c r="K184" s="2" t="str">
        <f t="shared" si="35"/>
        <v>[BLOCKRATE]</v>
      </c>
      <c r="L184" s="2" t="str">
        <f>"["&amp;数值设计!H103*数值设计!$L$118&amp;"]"</f>
        <v>[0.009]</v>
      </c>
    </row>
    <row r="185" spans="2:12" x14ac:dyDescent="0.15">
      <c r="B185" s="2" t="s">
        <v>518</v>
      </c>
      <c r="C185" s="2" t="str">
        <f t="shared" si="36"/>
        <v>SuitDef_1</v>
      </c>
      <c r="D185" s="2" t="str">
        <f>"绿品"&amp;数值设计!C135</f>
        <v>绿品抵抗套装</v>
      </c>
      <c r="E185" s="2" t="str">
        <f>"["&amp;B12&amp;","&amp;B13&amp;","&amp;B14&amp;"]"</f>
        <v>[Gem1021,Gem1022,Gem1023]</v>
      </c>
      <c r="F185" s="2" t="s">
        <v>453</v>
      </c>
      <c r="G185" s="2" t="str">
        <f t="shared" si="34"/>
        <v>[UNCRITRATE,UNHURTRATE]</v>
      </c>
      <c r="I185" s="2" t="str">
        <f>"["&amp;数值设计!G102*数值设计!L118&amp;","&amp;数值设计!G107*数值设计!L118&amp;"]"</f>
        <v>[0.009,0.009]</v>
      </c>
      <c r="J185" s="2">
        <v>3</v>
      </c>
      <c r="K185" s="2" t="str">
        <f t="shared" si="35"/>
        <v>[UNCRITRATE]</v>
      </c>
      <c r="L185" s="2" t="str">
        <f>"["&amp;数值设计!H102*数值设计!$L$118&amp;"]"</f>
        <v>[0.009]</v>
      </c>
    </row>
    <row r="186" spans="2:12" x14ac:dyDescent="0.15">
      <c r="B186" s="2" t="s">
        <v>519</v>
      </c>
      <c r="C186" s="2" t="str">
        <f t="shared" si="36"/>
        <v>SuitUnblock_1</v>
      </c>
      <c r="D186" s="2" t="str">
        <f>"绿品"&amp;数值设计!C140</f>
        <v>绿品穿透套装</v>
      </c>
      <c r="E186" s="2" t="str">
        <f>"["&amp;B15&amp;","&amp;B16&amp;","&amp;B17&amp;"]"</f>
        <v>[Gem1031,Gem1032,Gem1033]</v>
      </c>
      <c r="F186" s="2" t="s">
        <v>453</v>
      </c>
      <c r="G186" s="2" t="str">
        <f t="shared" si="34"/>
        <v>[UNBLOCKRATE,HURTRATE]</v>
      </c>
      <c r="I186" s="2" t="str">
        <f>"["&amp;数值设计!G105*数值设计!L118&amp;","&amp;数值设计!G106*数值设计!L118&amp;"]"</f>
        <v>[0.009,0.009]</v>
      </c>
      <c r="J186" s="2">
        <v>3</v>
      </c>
      <c r="K186" s="2" t="str">
        <f t="shared" si="35"/>
        <v>[UNBLOCKRATE]</v>
      </c>
      <c r="L186" s="2" t="str">
        <f>"["&amp;数值设计!H105*数值设计!$L$118&amp;"]"</f>
        <v>[0.009]</v>
      </c>
    </row>
    <row r="187" spans="2:12" x14ac:dyDescent="0.15">
      <c r="B187" s="2" t="s">
        <v>520</v>
      </c>
      <c r="C187" s="2" t="str">
        <f t="shared" si="36"/>
        <v>SuitSpecial_1</v>
      </c>
      <c r="D187" s="2" t="str">
        <f>"绿品"&amp;数值设计!C145</f>
        <v>绿品特殊套装</v>
      </c>
      <c r="E187" s="2" t="str">
        <f>"["&amp;B18&amp;","&amp;B19&amp;","&amp;B20&amp;"]"</f>
        <v>[Gem1041,Gem1042,Gem1043]</v>
      </c>
      <c r="F187" s="2" t="s">
        <v>453</v>
      </c>
      <c r="G187" s="2" t="str">
        <f t="shared" si="34"/>
        <v>[REFLECTION,ABSORPTION]</v>
      </c>
      <c r="I187" s="2" t="str">
        <f>"["&amp;数值设计!G108*数值设计!L118&amp;","&amp;数值设计!G109*数值设计!L118&amp;"]"</f>
        <v>[0.009,0.009]</v>
      </c>
      <c r="J187" s="2">
        <v>3</v>
      </c>
      <c r="K187" s="2" t="str">
        <f t="shared" si="35"/>
        <v>[REFLECTION]</v>
      </c>
      <c r="L187" s="2" t="str">
        <f>"["&amp;数值设计!H108*数值设计!$L$118&amp;"]"</f>
        <v>[0.009]</v>
      </c>
    </row>
    <row r="188" spans="2:12" x14ac:dyDescent="0.15">
      <c r="B188" s="2" t="s">
        <v>521</v>
      </c>
      <c r="C188" s="2" t="str">
        <f t="shared" si="36"/>
        <v>SuitAtk_1</v>
      </c>
      <c r="D188" s="2" t="str">
        <f>"绿品"&amp;数值设计!C150</f>
        <v>绿品输出套装</v>
      </c>
      <c r="E188" s="2" t="str">
        <f>"["&amp;B21&amp;","&amp;B22&amp;","&amp;B23&amp;"]"</f>
        <v>[Gem1051,Gem1052,Gem1053]</v>
      </c>
      <c r="F188" s="2" t="s">
        <v>453</v>
      </c>
      <c r="G188" s="2" t="str">
        <f t="shared" si="34"/>
        <v>[DEF_RATE,HP_RATE]</v>
      </c>
      <c r="I188" s="2" t="str">
        <f>"["&amp;数值设计!G112*数值设计!L118&amp;","&amp;数值设计!G113*数值设计!L118&amp;"]"</f>
        <v>[0.0225,0.0225]</v>
      </c>
      <c r="J188" s="2">
        <v>3</v>
      </c>
      <c r="K188" s="2" t="str">
        <f t="shared" si="35"/>
        <v>[ATK_RATE]</v>
      </c>
      <c r="L188" s="2" t="str">
        <f>"["&amp;数值设计!H111*数值设计!$L$118&amp;"]"</f>
        <v>[0.0225]</v>
      </c>
    </row>
    <row r="189" spans="2:12" x14ac:dyDescent="0.15">
      <c r="B189" s="2" t="s">
        <v>448</v>
      </c>
      <c r="C189" s="2" t="str">
        <f t="shared" ref="C189:C194" si="37">B189</f>
        <v>SuitCri_2</v>
      </c>
      <c r="D189" s="2" t="str">
        <f>"蓝品"&amp;数值设计!C125</f>
        <v>蓝品暴击套装</v>
      </c>
      <c r="E189" s="2" t="str">
        <f>"["&amp;B24&amp;","&amp;B25&amp;","&amp;B26&amp;"]"</f>
        <v>[Gem2001,Gem2002,Gem2003]</v>
      </c>
      <c r="F189" s="2" t="s">
        <v>453</v>
      </c>
      <c r="G189" s="2" t="str">
        <f>G183</f>
        <v>[CRITRATE,CRITSTRG]</v>
      </c>
      <c r="I189" s="2" t="str">
        <f>"["&amp;数值设计!G100*数值设计!L119&amp;","&amp;数值设计!H100*数值设计!L119&amp;"]"</f>
        <v>[0.02035,0.02035]</v>
      </c>
      <c r="J189" s="2">
        <v>3</v>
      </c>
      <c r="K189" s="2" t="str">
        <f>K183</f>
        <v>[CRITRATE]</v>
      </c>
      <c r="L189" s="2" t="str">
        <f>"["&amp;数值设计!H100*数值设计!$L$119&amp;"]"</f>
        <v>[0.02035]</v>
      </c>
    </row>
    <row r="190" spans="2:12" x14ac:dyDescent="0.15">
      <c r="B190" s="2" t="s">
        <v>505</v>
      </c>
      <c r="C190" s="2" t="str">
        <f t="shared" si="37"/>
        <v>SuitBlock_2</v>
      </c>
      <c r="D190" s="2" t="str">
        <f>"蓝品"&amp;数值设计!C130</f>
        <v>蓝品格挡套装</v>
      </c>
      <c r="E190" s="2" t="str">
        <f>"["&amp;B27&amp;","&amp;B28&amp;","&amp;B29&amp;"]"</f>
        <v>[Gem2011,Gem2012,Gem2013]</v>
      </c>
      <c r="F190" s="2" t="s">
        <v>453</v>
      </c>
      <c r="G190" s="2" t="str">
        <f t="shared" si="34"/>
        <v>[BLOCKRATE,BLOCKSTRG]</v>
      </c>
      <c r="I190" s="2" t="str">
        <f>"["&amp;数值设计!G103*数值设计!L119&amp;","&amp;数值设计!G104*数值设计!L119&amp;"]"</f>
        <v>[0.0165,0.0165]</v>
      </c>
      <c r="J190" s="2">
        <v>3</v>
      </c>
      <c r="K190" s="2" t="str">
        <f t="shared" si="35"/>
        <v>[BLOCKRATE]</v>
      </c>
      <c r="L190" s="2" t="str">
        <f>"["&amp;数值设计!H103*数值设计!$L$119&amp;"]"</f>
        <v>[0.0165]</v>
      </c>
    </row>
    <row r="191" spans="2:12" x14ac:dyDescent="0.15">
      <c r="B191" s="2" t="s">
        <v>449</v>
      </c>
      <c r="C191" s="2" t="str">
        <f t="shared" si="37"/>
        <v>SuitDef_2</v>
      </c>
      <c r="D191" s="2" t="str">
        <f>"蓝品"&amp;数值设计!C135</f>
        <v>蓝品抵抗套装</v>
      </c>
      <c r="E191" s="2" t="str">
        <f>"["&amp;B29&amp;","&amp;B30&amp;","&amp;B31&amp;"]"</f>
        <v>[Gem2013,Gem2021,Gem2022]</v>
      </c>
      <c r="F191" s="2" t="s">
        <v>453</v>
      </c>
      <c r="G191" s="2" t="str">
        <f t="shared" si="34"/>
        <v>[UNCRITRATE,UNHURTRATE]</v>
      </c>
      <c r="I191" s="2" t="str">
        <f>"["&amp;数值设计!G102*数值设计!L119&amp;","&amp;数值设计!G107*数值设计!L119&amp;"]"</f>
        <v>[0.0165,0.0165]</v>
      </c>
      <c r="J191" s="2">
        <v>3</v>
      </c>
      <c r="K191" s="2" t="str">
        <f t="shared" si="35"/>
        <v>[UNCRITRATE]</v>
      </c>
      <c r="L191" s="2" t="str">
        <f>"["&amp;数值设计!H102*数值设计!$L$119&amp;"]"</f>
        <v>[0.0165]</v>
      </c>
    </row>
    <row r="192" spans="2:12" x14ac:dyDescent="0.15">
      <c r="B192" s="2" t="s">
        <v>450</v>
      </c>
      <c r="C192" s="2" t="str">
        <f t="shared" si="37"/>
        <v>SuitUnblock_2</v>
      </c>
      <c r="D192" s="2" t="str">
        <f>"蓝品"&amp;数值设计!C140</f>
        <v>蓝品穿透套装</v>
      </c>
      <c r="E192" s="2" t="str">
        <f>"["&amp;B32&amp;","&amp;B33&amp;","&amp;B34&amp;"]"</f>
        <v>[Gem2023,Gem2031,Gem2032]</v>
      </c>
      <c r="F192" s="2" t="s">
        <v>453</v>
      </c>
      <c r="G192" s="2" t="str">
        <f t="shared" si="34"/>
        <v>[UNBLOCKRATE,HURTRATE]</v>
      </c>
      <c r="I192" s="2" t="str">
        <f>"["&amp;数值设计!G105*数值设计!L119&amp;","&amp;数值设计!G106*数值设计!L119&amp;"]"</f>
        <v>[0.0165,0.0165]</v>
      </c>
      <c r="J192" s="2">
        <v>3</v>
      </c>
      <c r="K192" s="2" t="str">
        <f t="shared" si="35"/>
        <v>[UNBLOCKRATE]</v>
      </c>
      <c r="L192" s="2" t="str">
        <f>"["&amp;数值设计!H105*数值设计!$L$119&amp;"]"</f>
        <v>[0.0165]</v>
      </c>
    </row>
    <row r="193" spans="2:12" x14ac:dyDescent="0.15">
      <c r="B193" s="2" t="s">
        <v>451</v>
      </c>
      <c r="C193" s="2" t="str">
        <f t="shared" si="37"/>
        <v>SuitSpecial_2</v>
      </c>
      <c r="D193" s="2" t="str">
        <f>"蓝品"&amp;数值设计!C145</f>
        <v>蓝品特殊套装</v>
      </c>
      <c r="E193" s="2" t="str">
        <f>"["&amp;B35&amp;","&amp;B36&amp;","&amp;B37&amp;"]"</f>
        <v>[Gem2033,Gem2041,Gem2042]</v>
      </c>
      <c r="F193" s="2" t="s">
        <v>453</v>
      </c>
      <c r="G193" s="2" t="str">
        <f t="shared" si="34"/>
        <v>[REFLECTION,ABSORPTION]</v>
      </c>
      <c r="I193" s="2" t="str">
        <f>"["&amp;数值设计!G108*数值设计!L119&amp;","&amp;数值设计!G109*数值设计!L119&amp;"]"</f>
        <v>[0.0165,0.0165]</v>
      </c>
      <c r="J193" s="2">
        <v>3</v>
      </c>
      <c r="K193" s="2" t="str">
        <f t="shared" si="35"/>
        <v>[REFLECTION]</v>
      </c>
      <c r="L193" s="2" t="str">
        <f>"["&amp;数值设计!H108*数值设计!$L$119&amp;"]"</f>
        <v>[0.0165]</v>
      </c>
    </row>
    <row r="194" spans="2:12" x14ac:dyDescent="0.15">
      <c r="B194" s="2" t="s">
        <v>452</v>
      </c>
      <c r="C194" s="2" t="str">
        <f t="shared" si="37"/>
        <v>SuitAtk_2</v>
      </c>
      <c r="D194" s="2" t="str">
        <f>"蓝品"&amp;数值设计!C150</f>
        <v>蓝品输出套装</v>
      </c>
      <c r="E194" s="2" t="str">
        <f>"["&amp;B38&amp;","&amp;B39&amp;","&amp;B40&amp;"]"</f>
        <v>[Gem2043,Gem2051,Gem2052]</v>
      </c>
      <c r="F194" s="2" t="s">
        <v>453</v>
      </c>
      <c r="G194" s="2" t="str">
        <f t="shared" si="34"/>
        <v>[DEF_RATE,HP_RATE]</v>
      </c>
      <c r="I194" s="2" t="str">
        <f>"["&amp;数值设计!G112*数值设计!L119&amp;","&amp;数值设计!G113*数值设计!L119&amp;"]"</f>
        <v>[0.04125,0.04125]</v>
      </c>
      <c r="J194" s="2">
        <v>3</v>
      </c>
      <c r="K194" s="2" t="str">
        <f t="shared" si="35"/>
        <v>[ATK_RATE]</v>
      </c>
      <c r="L194" s="2" t="str">
        <f>"["&amp;数值设计!H111*数值设计!$L$119&amp;"]"</f>
        <v>[0.04125]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数值设计</vt:lpstr>
      <vt:lpstr>配置表头</vt:lpstr>
      <vt:lpstr>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dpstorm</dc:creator>
  <cp:lastModifiedBy>徐宇斌</cp:lastModifiedBy>
  <dcterms:created xsi:type="dcterms:W3CDTF">2015-06-05T18:19:34Z</dcterms:created>
  <dcterms:modified xsi:type="dcterms:W3CDTF">2021-12-09T09:48:06Z</dcterms:modified>
</cp:coreProperties>
</file>