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Simon pc1\Desktop\Speciale 3d model\"/>
    </mc:Choice>
  </mc:AlternateContent>
  <xr:revisionPtr revIDLastSave="0" documentId="13_ncr:1_{BE714658-2DC6-4D5E-A84E-FF9FF6DC31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 dag" sheetId="4" r:id="rId1"/>
    <sheet name="3 dage" sheetId="3" r:id="rId2"/>
    <sheet name="7 dage" sheetId="6" r:id="rId3"/>
    <sheet name="pH" sheetId="8" r:id="rId4"/>
    <sheet name="1 dag (2)" sheetId="9" r:id="rId5"/>
    <sheet name="3 dage (2)" sheetId="10" r:id="rId6"/>
    <sheet name="7 dage (2)" sheetId="11" r:id="rId7"/>
    <sheet name="1 dag (3)" sheetId="13" r:id="rId8"/>
    <sheet name="3 dage (3)" sheetId="14" r:id="rId9"/>
    <sheet name="7 dage (3)" sheetId="1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0" i="15"/>
  <c r="H11" i="15"/>
  <c r="H12" i="15"/>
  <c r="H13" i="15"/>
  <c r="H2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5" i="14"/>
  <c r="D6" i="14"/>
  <c r="D7" i="14"/>
  <c r="D8" i="14"/>
  <c r="D9" i="14"/>
  <c r="D10" i="14"/>
  <c r="D11" i="14"/>
  <c r="D12" i="14"/>
  <c r="D13" i="14"/>
  <c r="D2" i="14"/>
  <c r="H3" i="14"/>
  <c r="H4" i="14"/>
  <c r="H5" i="14"/>
  <c r="H6" i="14"/>
  <c r="H7" i="14"/>
  <c r="H8" i="14"/>
  <c r="H9" i="14"/>
  <c r="H10" i="14"/>
  <c r="H11" i="14"/>
  <c r="H12" i="14"/>
  <c r="H13" i="14"/>
  <c r="H2" i="14"/>
  <c r="H3" i="13"/>
  <c r="H4" i="13"/>
  <c r="H5" i="13"/>
  <c r="H6" i="13"/>
  <c r="H7" i="13"/>
  <c r="H8" i="13"/>
  <c r="H9" i="13"/>
  <c r="H10" i="13"/>
  <c r="H11" i="13"/>
  <c r="H12" i="13"/>
  <c r="H13" i="13"/>
  <c r="H2" i="13"/>
  <c r="D2" i="13"/>
  <c r="D3" i="13"/>
  <c r="D4" i="13"/>
  <c r="D5" i="13"/>
  <c r="D6" i="13"/>
  <c r="D7" i="13"/>
  <c r="D8" i="13"/>
  <c r="D9" i="13"/>
  <c r="D10" i="13"/>
  <c r="D11" i="13"/>
  <c r="D12" i="13"/>
  <c r="D13" i="13"/>
  <c r="A2" i="13"/>
  <c r="G2" i="13"/>
  <c r="B24" i="15"/>
  <c r="E13" i="15"/>
  <c r="E12" i="15"/>
  <c r="A12" i="15"/>
  <c r="E11" i="15"/>
  <c r="A11" i="15"/>
  <c r="E10" i="15"/>
  <c r="A10" i="15"/>
  <c r="E9" i="15"/>
  <c r="A9" i="15"/>
  <c r="E8" i="15"/>
  <c r="A8" i="15"/>
  <c r="E7" i="15"/>
  <c r="A7" i="15"/>
  <c r="E6" i="15"/>
  <c r="A6" i="15"/>
  <c r="E5" i="15"/>
  <c r="A5" i="15"/>
  <c r="A4" i="15"/>
  <c r="N3" i="15"/>
  <c r="C13" i="15" s="1"/>
  <c r="M3" i="15"/>
  <c r="C2" i="15" s="1"/>
  <c r="E3" i="15"/>
  <c r="A3" i="15"/>
  <c r="E2" i="15"/>
  <c r="A2" i="15"/>
  <c r="C16" i="14"/>
  <c r="C13" i="14"/>
  <c r="C12" i="14"/>
  <c r="C11" i="14"/>
  <c r="C10" i="14"/>
  <c r="C9" i="14"/>
  <c r="C8" i="14"/>
  <c r="C7" i="14"/>
  <c r="C6" i="14"/>
  <c r="C5" i="14"/>
  <c r="C4" i="14"/>
  <c r="N3" i="14"/>
  <c r="C18" i="14" s="1"/>
  <c r="M3" i="14"/>
  <c r="G3" i="14"/>
  <c r="G2" i="14"/>
  <c r="B24" i="13"/>
  <c r="N3" i="13"/>
  <c r="C16" i="13" s="1"/>
  <c r="M3" i="13"/>
  <c r="C3" i="13"/>
  <c r="C2" i="13"/>
  <c r="D2" i="3"/>
  <c r="H2" i="6"/>
  <c r="G2" i="6"/>
  <c r="G3" i="6"/>
  <c r="D11" i="3"/>
  <c r="D12" i="3"/>
  <c r="D13" i="3"/>
  <c r="C11" i="3"/>
  <c r="C12" i="3"/>
  <c r="C13" i="3"/>
  <c r="C2" i="3"/>
  <c r="C4" i="9"/>
  <c r="C3" i="9"/>
  <c r="G3" i="9"/>
  <c r="G4" i="9"/>
  <c r="H3" i="11"/>
  <c r="H4" i="11"/>
  <c r="H5" i="11"/>
  <c r="H6" i="11"/>
  <c r="H7" i="11"/>
  <c r="H2" i="11"/>
  <c r="G3" i="11"/>
  <c r="G4" i="11"/>
  <c r="G5" i="11"/>
  <c r="G6" i="11"/>
  <c r="G7" i="11"/>
  <c r="G2" i="11"/>
  <c r="D2" i="11"/>
  <c r="D3" i="11"/>
  <c r="D4" i="11"/>
  <c r="D5" i="11"/>
  <c r="D6" i="11"/>
  <c r="D7" i="11"/>
  <c r="C18" i="11"/>
  <c r="C16" i="11"/>
  <c r="C17" i="11"/>
  <c r="C18" i="9"/>
  <c r="C16" i="9"/>
  <c r="C17" i="9"/>
  <c r="G2" i="9"/>
  <c r="C2" i="9"/>
  <c r="G3" i="10"/>
  <c r="G4" i="10"/>
  <c r="G2" i="10"/>
  <c r="C3" i="10"/>
  <c r="C4" i="10"/>
  <c r="C2" i="10"/>
  <c r="C2" i="11"/>
  <c r="C3" i="11"/>
  <c r="C4" i="11"/>
  <c r="C5" i="11"/>
  <c r="C6" i="11"/>
  <c r="C7" i="11"/>
  <c r="H3" i="10"/>
  <c r="H4" i="10"/>
  <c r="H2" i="10"/>
  <c r="D3" i="10"/>
  <c r="D4" i="10"/>
  <c r="D2" i="10"/>
  <c r="C6" i="6"/>
  <c r="C2" i="6"/>
  <c r="C10" i="3"/>
  <c r="C4" i="3"/>
  <c r="D4" i="3" s="1"/>
  <c r="C3" i="3"/>
  <c r="C5" i="3"/>
  <c r="C6" i="3"/>
  <c r="C7" i="3"/>
  <c r="C8" i="3"/>
  <c r="C9" i="3"/>
  <c r="C4" i="4"/>
  <c r="B24" i="11"/>
  <c r="N3" i="11"/>
  <c r="M3" i="11"/>
  <c r="N3" i="10"/>
  <c r="M3" i="10"/>
  <c r="N3" i="9"/>
  <c r="M3" i="9"/>
  <c r="C2" i="8"/>
  <c r="H3" i="4"/>
  <c r="H4" i="4"/>
  <c r="H5" i="4"/>
  <c r="H6" i="4"/>
  <c r="H7" i="4"/>
  <c r="H8" i="4"/>
  <c r="H9" i="4"/>
  <c r="H10" i="4"/>
  <c r="H11" i="4"/>
  <c r="H12" i="4"/>
  <c r="H13" i="4"/>
  <c r="H2" i="4"/>
  <c r="D3" i="4"/>
  <c r="D4" i="4"/>
  <c r="D5" i="4"/>
  <c r="D6" i="4"/>
  <c r="D7" i="4"/>
  <c r="D8" i="4"/>
  <c r="D9" i="4"/>
  <c r="D10" i="4"/>
  <c r="D11" i="4"/>
  <c r="D12" i="4"/>
  <c r="D13" i="4"/>
  <c r="D2" i="4"/>
  <c r="H3" i="3"/>
  <c r="H4" i="3"/>
  <c r="H5" i="3"/>
  <c r="H6" i="3"/>
  <c r="H7" i="3"/>
  <c r="H8" i="3"/>
  <c r="H9" i="3"/>
  <c r="H10" i="3"/>
  <c r="H11" i="3"/>
  <c r="H12" i="3"/>
  <c r="H13" i="3"/>
  <c r="D3" i="3"/>
  <c r="D5" i="3"/>
  <c r="D6" i="3"/>
  <c r="D7" i="3"/>
  <c r="D8" i="3"/>
  <c r="D9" i="3"/>
  <c r="D10" i="3"/>
  <c r="D2" i="6"/>
  <c r="D5" i="6"/>
  <c r="D6" i="6"/>
  <c r="D7" i="6"/>
  <c r="D8" i="6"/>
  <c r="D9" i="6"/>
  <c r="D10" i="6"/>
  <c r="D11" i="6"/>
  <c r="D12" i="6"/>
  <c r="D13" i="6"/>
  <c r="H4" i="6"/>
  <c r="H5" i="6"/>
  <c r="H6" i="6"/>
  <c r="H7" i="6"/>
  <c r="H8" i="6"/>
  <c r="H9" i="6"/>
  <c r="H10" i="6"/>
  <c r="H11" i="6"/>
  <c r="H12" i="6"/>
  <c r="H13" i="6"/>
  <c r="H3" i="6"/>
  <c r="H2" i="8"/>
  <c r="H3" i="8"/>
  <c r="H4" i="8"/>
  <c r="H5" i="8"/>
  <c r="H6" i="8"/>
  <c r="H7" i="8"/>
  <c r="H8" i="8"/>
  <c r="H9" i="8"/>
  <c r="H10" i="8"/>
  <c r="D2" i="8"/>
  <c r="D3" i="8"/>
  <c r="D4" i="8"/>
  <c r="D5" i="8"/>
  <c r="D6" i="8"/>
  <c r="D7" i="8"/>
  <c r="D8" i="8"/>
  <c r="D9" i="8"/>
  <c r="D10" i="8"/>
  <c r="G4" i="6"/>
  <c r="E13" i="6"/>
  <c r="E12" i="6"/>
  <c r="E11" i="6"/>
  <c r="E10" i="6"/>
  <c r="E9" i="6"/>
  <c r="E8" i="6"/>
  <c r="E7" i="6"/>
  <c r="E6" i="6"/>
  <c r="E5" i="6"/>
  <c r="E3" i="6"/>
  <c r="E2" i="6"/>
  <c r="A12" i="6"/>
  <c r="A11" i="6"/>
  <c r="A10" i="6"/>
  <c r="A9" i="6"/>
  <c r="A8" i="6"/>
  <c r="A7" i="6"/>
  <c r="A6" i="6"/>
  <c r="A5" i="6"/>
  <c r="A4" i="6"/>
  <c r="A3" i="6"/>
  <c r="A2" i="6"/>
  <c r="N3" i="8"/>
  <c r="C17" i="8" s="1"/>
  <c r="M3" i="8"/>
  <c r="B24" i="6"/>
  <c r="N3" i="6"/>
  <c r="C17" i="6" s="1"/>
  <c r="M3" i="6"/>
  <c r="B24" i="4"/>
  <c r="N3" i="4"/>
  <c r="C17" i="4" s="1"/>
  <c r="M3" i="4"/>
  <c r="C5" i="15" l="1"/>
  <c r="C7" i="15"/>
  <c r="C9" i="15"/>
  <c r="C11" i="15"/>
  <c r="C16" i="15"/>
  <c r="G2" i="15"/>
  <c r="G4" i="15"/>
  <c r="G6" i="15"/>
  <c r="G8" i="15"/>
  <c r="G10" i="15"/>
  <c r="G12" i="15"/>
  <c r="C17" i="15"/>
  <c r="G3" i="15"/>
  <c r="C6" i="15"/>
  <c r="C8" i="15"/>
  <c r="C10" i="15"/>
  <c r="C12" i="15"/>
  <c r="G13" i="15"/>
  <c r="C18" i="15"/>
  <c r="C3" i="15"/>
  <c r="C4" i="15"/>
  <c r="G5" i="15"/>
  <c r="G7" i="15"/>
  <c r="G9" i="15"/>
  <c r="G11" i="15"/>
  <c r="C2" i="14"/>
  <c r="C3" i="14"/>
  <c r="G4" i="14"/>
  <c r="G5" i="14"/>
  <c r="G6" i="14"/>
  <c r="G7" i="14"/>
  <c r="G8" i="14"/>
  <c r="G9" i="14"/>
  <c r="G10" i="14"/>
  <c r="G11" i="14"/>
  <c r="G12" i="14"/>
  <c r="G13" i="14"/>
  <c r="C17" i="14"/>
  <c r="D16" i="14" s="1"/>
  <c r="G4" i="13"/>
  <c r="G5" i="13"/>
  <c r="G6" i="13"/>
  <c r="G7" i="13"/>
  <c r="G8" i="13"/>
  <c r="G9" i="13"/>
  <c r="G10" i="13"/>
  <c r="G11" i="13"/>
  <c r="G12" i="13"/>
  <c r="G13" i="13"/>
  <c r="C17" i="13"/>
  <c r="D16" i="13" s="1"/>
  <c r="C18" i="13"/>
  <c r="G3" i="13"/>
  <c r="C4" i="13"/>
  <c r="C5" i="13"/>
  <c r="C6" i="13"/>
  <c r="C7" i="13"/>
  <c r="C8" i="13"/>
  <c r="C9" i="13"/>
  <c r="C10" i="13"/>
  <c r="C11" i="13"/>
  <c r="C12" i="13"/>
  <c r="C13" i="13"/>
  <c r="C18" i="10"/>
  <c r="D16" i="9"/>
  <c r="C16" i="10"/>
  <c r="C17" i="10"/>
  <c r="G4" i="8"/>
  <c r="N3" i="3"/>
  <c r="M3" i="3"/>
  <c r="G9" i="8"/>
  <c r="C5" i="8"/>
  <c r="C7" i="8"/>
  <c r="C9" i="8"/>
  <c r="G5" i="8"/>
  <c r="G6" i="8"/>
  <c r="G7" i="8"/>
  <c r="C18" i="8"/>
  <c r="G8" i="8"/>
  <c r="G10" i="8"/>
  <c r="G2" i="8"/>
  <c r="G3" i="8"/>
  <c r="C3" i="8"/>
  <c r="C4" i="8"/>
  <c r="C6" i="8"/>
  <c r="C8" i="8"/>
  <c r="C10" i="8"/>
  <c r="C16" i="8"/>
  <c r="G8" i="6"/>
  <c r="G9" i="6"/>
  <c r="G10" i="6"/>
  <c r="C5" i="6"/>
  <c r="C7" i="6"/>
  <c r="C9" i="6"/>
  <c r="C11" i="6"/>
  <c r="C13" i="6"/>
  <c r="G5" i="6"/>
  <c r="G6" i="6"/>
  <c r="G7" i="6"/>
  <c r="G11" i="6"/>
  <c r="G12" i="6"/>
  <c r="G13" i="6"/>
  <c r="C18" i="6"/>
  <c r="C3" i="6"/>
  <c r="D3" i="6" s="1"/>
  <c r="C4" i="6"/>
  <c r="D4" i="6" s="1"/>
  <c r="C8" i="6"/>
  <c r="C10" i="6"/>
  <c r="C12" i="6"/>
  <c r="C16" i="6"/>
  <c r="C2" i="4"/>
  <c r="G2" i="4"/>
  <c r="G4" i="4"/>
  <c r="G8" i="4"/>
  <c r="G9" i="4"/>
  <c r="G10" i="4"/>
  <c r="C5" i="4"/>
  <c r="C7" i="4"/>
  <c r="C9" i="4"/>
  <c r="C11" i="4"/>
  <c r="C13" i="4"/>
  <c r="G5" i="4"/>
  <c r="G6" i="4"/>
  <c r="G7" i="4"/>
  <c r="G11" i="4"/>
  <c r="G12" i="4"/>
  <c r="G13" i="4"/>
  <c r="C18" i="4"/>
  <c r="G3" i="4"/>
  <c r="C3" i="4"/>
  <c r="C6" i="4"/>
  <c r="C8" i="4"/>
  <c r="C10" i="4"/>
  <c r="C12" i="4"/>
  <c r="C16" i="4"/>
  <c r="H2" i="9" l="1"/>
  <c r="H14" i="9"/>
  <c r="D2" i="9"/>
  <c r="H3" i="9"/>
  <c r="D4" i="9"/>
  <c r="D3" i="9"/>
  <c r="H4" i="9"/>
  <c r="G7" i="3"/>
  <c r="G13" i="3"/>
  <c r="G8" i="3"/>
  <c r="G11" i="3"/>
  <c r="G9" i="3"/>
  <c r="G2" i="3"/>
  <c r="H2" i="3" s="1"/>
  <c r="G10" i="3"/>
  <c r="G4" i="3"/>
  <c r="G6" i="3"/>
  <c r="G3" i="3"/>
  <c r="G12" i="3"/>
  <c r="G5" i="3"/>
  <c r="D16" i="4"/>
  <c r="C16" i="3"/>
  <c r="C18" i="3"/>
  <c r="C17" i="3"/>
  <c r="D16" i="3" l="1"/>
</calcChain>
</file>

<file path=xl/sharedStrings.xml><?xml version="1.0" encoding="utf-8"?>
<sst xmlns="http://schemas.openxmlformats.org/spreadsheetml/2006/main" count="235" uniqueCount="28">
  <si>
    <t>Abs</t>
  </si>
  <si>
    <t>mg/L</t>
  </si>
  <si>
    <t>Std kurve</t>
  </si>
  <si>
    <t>Molarmass</t>
  </si>
  <si>
    <t>Slope</t>
  </si>
  <si>
    <t>Intercept</t>
  </si>
  <si>
    <t>Kontrol</t>
  </si>
  <si>
    <t>average</t>
  </si>
  <si>
    <t>KH2PO4</t>
  </si>
  <si>
    <t>PH</t>
  </si>
  <si>
    <t>FF</t>
  </si>
  <si>
    <t>Absorbance</t>
  </si>
  <si>
    <t xml:space="preserve">Average </t>
  </si>
  <si>
    <t xml:space="preserve">Absorbance </t>
  </si>
  <si>
    <t>µmol/L</t>
  </si>
  <si>
    <t>0,525/2L</t>
  </si>
  <si>
    <t>CFH12(g)</t>
  </si>
  <si>
    <t>PF(g)</t>
  </si>
  <si>
    <t>mg/g</t>
  </si>
  <si>
    <t>CFH12(pH)</t>
  </si>
  <si>
    <t>PF(pH)</t>
  </si>
  <si>
    <t>%removal</t>
  </si>
  <si>
    <t>mikrog/L</t>
  </si>
  <si>
    <t>FE:P</t>
  </si>
  <si>
    <t>AL:P</t>
  </si>
  <si>
    <t xml:space="preserve">Molarmass P </t>
  </si>
  <si>
    <t>Molarmass Fe</t>
  </si>
  <si>
    <t>Molarmass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</si>
</sst>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AF2D0"/>
        <bgColor rgb="FFDAF2D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rgb="FF8ED973"/>
      </left>
      <right style="thin">
        <color rgb="FF8ED973"/>
      </right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5" xfId="0" applyNumberFormat="1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0" fontId="1" fillId="2" borderId="0" xfId="0" applyFont="1" applyFill="1" applyAlignment="1">
      <alignment horizontal="center"/>
    </xf>
    <xf numFmtId="2" fontId="0" fillId="0" borderId="0" xfId="0" applyNumberFormat="1"/>
    <xf numFmtId="2" fontId="1" fillId="2" borderId="0" xfId="0" applyNumberFormat="1" applyFont="1" applyFill="1"/>
    <xf numFmtId="0" fontId="3" fillId="3" borderId="10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0">
    <dxf>
      <numFmt numFmtId="2" formatCode="0.0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166" formatCode="0.0"/>
    </dxf>
    <dxf>
      <numFmt numFmtId="2" formatCode="0.00"/>
      <alignment horizontal="center" vertical="center" textRotation="0" wrapText="0" indent="0" justifyLastLine="0" shrinkToFit="0" readingOrder="0"/>
    </dxf>
    <dxf>
      <numFmt numFmtId="166" formatCode="0.0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6" formatCode="0.0"/>
    </dxf>
    <dxf>
      <numFmt numFmtId="2" formatCode="0.00"/>
    </dxf>
    <dxf>
      <numFmt numFmtId="166" formatCode="0.0"/>
    </dxf>
    <dxf>
      <numFmt numFmtId="2" formatCode="0.00"/>
    </dxf>
    <dxf>
      <numFmt numFmtId="166" formatCode="0.0"/>
    </dxf>
    <dxf>
      <numFmt numFmtId="2" formatCode="0.00"/>
      <alignment horizontal="center" vertical="center" textRotation="0" wrapText="0" indent="0" justifyLastLine="0" shrinkToFit="0" readingOrder="0"/>
    </dxf>
    <dxf>
      <numFmt numFmtId="166" formatCode="0.0"/>
    </dxf>
    <dxf>
      <numFmt numFmtId="2" formatCode="0.00"/>
      <alignment horizontal="center" vertical="center" textRotation="0" wrapText="0" indent="0" justifyLastLine="0" shrinkToFit="0" readingOrder="0"/>
    </dxf>
    <dxf>
      <numFmt numFmtId="166" formatCode="0.0"/>
    </dxf>
    <dxf>
      <numFmt numFmtId="2" formatCode="0.00"/>
      <alignment horizontal="center" vertical="center" textRotation="0" wrapText="0" indent="0" justifyLastLine="0" shrinkToFit="0" readingOrder="0"/>
    </dxf>
    <dxf>
      <numFmt numFmtId="166" formatCode="0.0"/>
    </dxf>
    <dxf>
      <numFmt numFmtId="2" formatCode="0.0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166" formatCode="0.0"/>
    </dxf>
    <dxf>
      <numFmt numFmtId="2" formatCode="0.00"/>
      <alignment horizontal="center" vertical="center" textRotation="0" wrapText="0" indent="0" justifyLastLine="0" shrinkToFit="0" readingOrder="0"/>
    </dxf>
    <dxf>
      <numFmt numFmtId="166" formatCode="0.0"/>
    </dxf>
  </dxfs>
  <tableStyles count="1" defaultTableStyle="TableStyleMedium2" defaultPivotStyle="PivotStyleMedium9">
    <tableStyle name="Invisible" pivot="0" table="0" count="0" xr9:uid="{EBB1558E-00A5-4CC0-879E-7DF9CD3590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dag'!$K$1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'1 dag'!$J$2:$J$11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'1 dag'!$K$2:$K$11</c:f>
              <c:numCache>
                <c:formatCode>General</c:formatCode>
                <c:ptCount val="10"/>
                <c:pt idx="0">
                  <c:v>0.09</c:v>
                </c:pt>
                <c:pt idx="1">
                  <c:v>0.111</c:v>
                </c:pt>
                <c:pt idx="2">
                  <c:v>0.10100000000000001</c:v>
                </c:pt>
                <c:pt idx="3">
                  <c:v>0.129</c:v>
                </c:pt>
                <c:pt idx="4">
                  <c:v>0.19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0.29899999999999999</c:v>
                </c:pt>
                <c:pt idx="8">
                  <c:v>0.52800000000000002</c:v>
                </c:pt>
                <c:pt idx="9">
                  <c:v>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1-8643-AC63-B6C49F2E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 dage (3)'!$K$1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'7 dage (3)'!$J$2:$J$11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'7 dage (3)'!$K$2:$K$11</c:f>
              <c:numCache>
                <c:formatCode>General</c:formatCode>
                <c:ptCount val="10"/>
                <c:pt idx="0">
                  <c:v>0.09</c:v>
                </c:pt>
                <c:pt idx="1">
                  <c:v>0.111</c:v>
                </c:pt>
                <c:pt idx="2">
                  <c:v>0.10100000000000001</c:v>
                </c:pt>
                <c:pt idx="3">
                  <c:v>0.129</c:v>
                </c:pt>
                <c:pt idx="4">
                  <c:v>0.19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0.29899999999999999</c:v>
                </c:pt>
                <c:pt idx="8">
                  <c:v>0.52800000000000002</c:v>
                </c:pt>
                <c:pt idx="9">
                  <c:v>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8-9546-98FE-E7DA5311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dage'!$K$1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'3 dage'!$J$2:$J$11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'3 dage'!$K$2:$K$11</c:f>
              <c:numCache>
                <c:formatCode>General</c:formatCode>
                <c:ptCount val="10"/>
                <c:pt idx="0">
                  <c:v>0.09</c:v>
                </c:pt>
                <c:pt idx="1">
                  <c:v>0.111</c:v>
                </c:pt>
                <c:pt idx="2">
                  <c:v>0.10100000000000001</c:v>
                </c:pt>
                <c:pt idx="3">
                  <c:v>0.129</c:v>
                </c:pt>
                <c:pt idx="4">
                  <c:v>0.19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0.29899999999999999</c:v>
                </c:pt>
                <c:pt idx="8">
                  <c:v>0.52800000000000002</c:v>
                </c:pt>
                <c:pt idx="9">
                  <c:v>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9-554A-97C5-BC82DD1D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 dage'!$K$1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'7 dage'!$J$2:$J$11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'7 dage'!$K$2:$K$11</c:f>
              <c:numCache>
                <c:formatCode>General</c:formatCode>
                <c:ptCount val="10"/>
                <c:pt idx="0">
                  <c:v>0.09</c:v>
                </c:pt>
                <c:pt idx="1">
                  <c:v>0.111</c:v>
                </c:pt>
                <c:pt idx="2">
                  <c:v>0.10100000000000001</c:v>
                </c:pt>
                <c:pt idx="3">
                  <c:v>0.129</c:v>
                </c:pt>
                <c:pt idx="4">
                  <c:v>0.19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0.29899999999999999</c:v>
                </c:pt>
                <c:pt idx="8">
                  <c:v>0.52800000000000002</c:v>
                </c:pt>
                <c:pt idx="9">
                  <c:v>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2-3242-A2FF-D84D58E1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pH!$J$2:$J$11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pH!$K$2:$K$11</c:f>
              <c:numCache>
                <c:formatCode>General</c:formatCode>
                <c:ptCount val="10"/>
                <c:pt idx="0">
                  <c:v>0.09</c:v>
                </c:pt>
                <c:pt idx="1">
                  <c:v>0.111</c:v>
                </c:pt>
                <c:pt idx="2">
                  <c:v>0.10100000000000001</c:v>
                </c:pt>
                <c:pt idx="3">
                  <c:v>0.129</c:v>
                </c:pt>
                <c:pt idx="4">
                  <c:v>0.19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0.29899999999999999</c:v>
                </c:pt>
                <c:pt idx="8">
                  <c:v>0.52800000000000002</c:v>
                </c:pt>
                <c:pt idx="9">
                  <c:v>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0-9D4D-B56E-D1D0F5ED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dag (2)'!$K$1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'1 dag (2)'!$J$2:$J$11</c:f>
              <c:numCache>
                <c:formatCode>General</c:formatCode>
                <c:ptCount val="10"/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'1 dag (2)'!$K$2:$K$11</c:f>
              <c:numCache>
                <c:formatCode>General</c:formatCode>
                <c:ptCount val="10"/>
                <c:pt idx="1">
                  <c:v>0.09</c:v>
                </c:pt>
                <c:pt idx="2">
                  <c:v>0.1</c:v>
                </c:pt>
                <c:pt idx="3">
                  <c:v>0.121</c:v>
                </c:pt>
                <c:pt idx="4">
                  <c:v>0.14599999999999999</c:v>
                </c:pt>
                <c:pt idx="5">
                  <c:v>0.16500000000000001</c:v>
                </c:pt>
                <c:pt idx="6">
                  <c:v>0.192</c:v>
                </c:pt>
                <c:pt idx="7">
                  <c:v>0.30499999999999999</c:v>
                </c:pt>
                <c:pt idx="8">
                  <c:v>0.53</c:v>
                </c:pt>
                <c:pt idx="9">
                  <c:v>0.623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D-374D-821E-10B2F9E5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dage (2)'!$K$1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'3 dage (2)'!$J$2:$J$11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'3 dage (2)'!$K$2:$K$11</c:f>
              <c:numCache>
                <c:formatCode>General</c:formatCode>
                <c:ptCount val="10"/>
                <c:pt idx="1">
                  <c:v>9.1999999999999998E-2</c:v>
                </c:pt>
                <c:pt idx="3">
                  <c:v>0.12</c:v>
                </c:pt>
                <c:pt idx="6">
                  <c:v>0.191</c:v>
                </c:pt>
                <c:pt idx="7">
                  <c:v>0.30199999999999999</c:v>
                </c:pt>
                <c:pt idx="8">
                  <c:v>0.54</c:v>
                </c:pt>
                <c:pt idx="9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B-CA4E-981D-1B005369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 dage (2)'!$K$1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'7 dage (2)'!$J$2:$J$11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'7 dage (2)'!$K$2:$K$11</c:f>
              <c:numCache>
                <c:formatCode>General</c:formatCode>
                <c:ptCount val="10"/>
                <c:pt idx="0">
                  <c:v>7.2999999999999995E-2</c:v>
                </c:pt>
                <c:pt idx="1">
                  <c:v>0.09</c:v>
                </c:pt>
                <c:pt idx="2">
                  <c:v>0.1</c:v>
                </c:pt>
                <c:pt idx="3">
                  <c:v>0.121</c:v>
                </c:pt>
                <c:pt idx="4">
                  <c:v>0.14099999999999999</c:v>
                </c:pt>
                <c:pt idx="5">
                  <c:v>0.16500000000000001</c:v>
                </c:pt>
                <c:pt idx="6">
                  <c:v>0.19</c:v>
                </c:pt>
                <c:pt idx="7">
                  <c:v>0.30099999999999999</c:v>
                </c:pt>
                <c:pt idx="8">
                  <c:v>0.53100000000000003</c:v>
                </c:pt>
                <c:pt idx="9">
                  <c:v>0.63800000000000001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A-3F45-9010-2884A65A1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dag (3)'!$K$1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'1 dag (3)'!$J$2:$J$11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'1 dag (3)'!$K$2:$K$11</c:f>
              <c:numCache>
                <c:formatCode>General</c:formatCode>
                <c:ptCount val="10"/>
                <c:pt idx="0">
                  <c:v>0.09</c:v>
                </c:pt>
                <c:pt idx="1">
                  <c:v>0.111</c:v>
                </c:pt>
                <c:pt idx="2">
                  <c:v>0.10100000000000001</c:v>
                </c:pt>
                <c:pt idx="3">
                  <c:v>0.129</c:v>
                </c:pt>
                <c:pt idx="4">
                  <c:v>0.19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0.29899999999999999</c:v>
                </c:pt>
                <c:pt idx="8">
                  <c:v>0.52800000000000002</c:v>
                </c:pt>
                <c:pt idx="9">
                  <c:v>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0-084B-BB02-A0134C88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dage (3)'!$K$1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'3 dage (3)'!$J$2:$J$11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'3 dage (3)'!$K$2:$K$11</c:f>
              <c:numCache>
                <c:formatCode>General</c:formatCode>
                <c:ptCount val="10"/>
                <c:pt idx="0">
                  <c:v>0.09</c:v>
                </c:pt>
                <c:pt idx="1">
                  <c:v>0.111</c:v>
                </c:pt>
                <c:pt idx="2">
                  <c:v>0.10100000000000001</c:v>
                </c:pt>
                <c:pt idx="3">
                  <c:v>0.129</c:v>
                </c:pt>
                <c:pt idx="4">
                  <c:v>0.19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0.29899999999999999</c:v>
                </c:pt>
                <c:pt idx="8">
                  <c:v>0.52800000000000002</c:v>
                </c:pt>
                <c:pt idx="9">
                  <c:v>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0-2545-AF5E-B4B62388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89232"/>
        <c:axId val="975791032"/>
      </c:scatterChart>
      <c:valAx>
        <c:axId val="975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91032"/>
        <c:crosses val="autoZero"/>
        <c:crossBetween val="midCat"/>
      </c:valAx>
      <c:valAx>
        <c:axId val="975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5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4762</xdr:rowOff>
    </xdr:from>
    <xdr:to>
      <xdr:col>18</xdr:col>
      <xdr:colOff>323850</xdr:colOff>
      <xdr:row>27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B0374F57-1BDF-274A-B447-140832037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13</xdr:row>
      <xdr:rowOff>0</xdr:rowOff>
    </xdr:from>
    <xdr:to>
      <xdr:col>16</xdr:col>
      <xdr:colOff>323850</xdr:colOff>
      <xdr:row>26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FBC87F3B-6EB6-3C42-BE63-997D377ED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13</xdr:row>
      <xdr:rowOff>4762</xdr:rowOff>
    </xdr:from>
    <xdr:to>
      <xdr:col>16</xdr:col>
      <xdr:colOff>323850</xdr:colOff>
      <xdr:row>27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0C6FA53B-18DF-E44D-A5E0-3D6A04A43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13</xdr:row>
      <xdr:rowOff>0</xdr:rowOff>
    </xdr:from>
    <xdr:to>
      <xdr:col>16</xdr:col>
      <xdr:colOff>323850</xdr:colOff>
      <xdr:row>26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22699CA9-4256-8845-A091-12244E665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13</xdr:row>
      <xdr:rowOff>4762</xdr:rowOff>
    </xdr:from>
    <xdr:to>
      <xdr:col>16</xdr:col>
      <xdr:colOff>323850</xdr:colOff>
      <xdr:row>27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B3111CC5-305C-E442-8CB3-5221AC6B1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4762</xdr:rowOff>
    </xdr:from>
    <xdr:to>
      <xdr:col>18</xdr:col>
      <xdr:colOff>323850</xdr:colOff>
      <xdr:row>27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5E75BFD6-6AAB-794B-B0BF-7CB5539F5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13</xdr:row>
      <xdr:rowOff>4762</xdr:rowOff>
    </xdr:from>
    <xdr:to>
      <xdr:col>16</xdr:col>
      <xdr:colOff>323850</xdr:colOff>
      <xdr:row>27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FCD0CB0E-AB5E-0649-AC68-0B5E377B0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13</xdr:row>
      <xdr:rowOff>0</xdr:rowOff>
    </xdr:from>
    <xdr:to>
      <xdr:col>16</xdr:col>
      <xdr:colOff>323850</xdr:colOff>
      <xdr:row>26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99B68C01-CBEC-2340-B66A-A09AA89AB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4762</xdr:rowOff>
    </xdr:from>
    <xdr:to>
      <xdr:col>18</xdr:col>
      <xdr:colOff>323850</xdr:colOff>
      <xdr:row>27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A1478960-C892-5643-A734-D7DC4C75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13</xdr:row>
      <xdr:rowOff>4762</xdr:rowOff>
    </xdr:from>
    <xdr:to>
      <xdr:col>16</xdr:col>
      <xdr:colOff>323850</xdr:colOff>
      <xdr:row>27</xdr:row>
      <xdr:rowOff>80962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74C58002-7133-5440-B9AD-9FEEB4854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8A7144-C0A2-2E40-BCD2-6DC081808B04}" name="Tabel428" displayName="Tabel428" ref="A1:D13" totalsRowShown="0">
  <autoFilter ref="A1:D13" xr:uid="{A0091446-850E-439E-9DE4-12E4139DADCB}"/>
  <tableColumns count="4">
    <tableColumn id="1" xr3:uid="{2D967340-3686-9E43-9884-848DE795AE00}" name="CFH12(g)"/>
    <tableColumn id="2" xr3:uid="{0BD0CADB-A860-7A4B-AF28-63BA65263128}" name="Absorbance"/>
    <tableColumn id="4" xr3:uid="{23D495BA-575B-664D-913D-D959E2627AA7}" name="mg/L" dataDxfId="39">
      <calculatedColumnFormula>(((B2-$N$3)/$M$3)*$P$2)*193.8/1000</calculatedColumnFormula>
    </tableColumn>
    <tableColumn id="5" xr3:uid="{E74FFC0F-ADC2-9B4A-A829-4E17A75B6D02}" name="mg/g" dataDxfId="38">
      <calculatedColumnFormula>(($D$16-Tabel428[[#This Row],[mg/L]])*0.04)/Tabel428[[#This Row],[CFH12(g)]]</calculatedColumnFormula>
    </tableColumn>
  </tableColumns>
  <tableStyleInfo name="TableStyleMedium2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5901C-01B7-9A46-AD2B-B169D7F1313B}" name="Tabel5794" displayName="Tabel5794" ref="E1:H14" totalsRowShown="0">
  <autoFilter ref="E1:H14" xr:uid="{D6F1AAAF-AEDC-409E-9ECC-771F850258D4}"/>
  <tableColumns count="4">
    <tableColumn id="1" xr3:uid="{51DBF61F-861E-E946-AA17-377074853B63}" name="PF(g)"/>
    <tableColumn id="2" xr3:uid="{0011EF07-FC5E-D545-805C-2CDE651AD581}" name="Absorbance "/>
    <tableColumn id="4" xr3:uid="{0DF5DD6E-8FA1-DA40-92C4-AFF13767DE55}" name="mikrog/L" dataDxfId="21">
      <calculatedColumnFormula>(((F2-$N$3)/$M$3)*$P$2)*10/1000</calculatedColumnFormula>
    </tableColumn>
    <tableColumn id="3" xr3:uid="{CF90872B-F6F6-D344-AAD9-6F014989334C}" name="%removal" dataDxfId="20">
      <calculatedColumnFormula>Tabel426[[#This Row],[mikrog/L]]/$D$16*100</calculatedColumnFormula>
    </tableColumn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FF0555-A04A-CB4D-891D-08AF47B2A8B9}" name="Tabel575" displayName="Tabel575" ref="E1:H14" totalsRowShown="0">
  <autoFilter ref="E1:H14" xr:uid="{D6F1AAAF-AEDC-409E-9ECC-771F850258D4}"/>
  <tableColumns count="4">
    <tableColumn id="1" xr3:uid="{CC545BEC-B955-1746-ACA1-D84CE4AF27FF}" name="PF(g)"/>
    <tableColumn id="2" xr3:uid="{B922EF77-15E7-784B-BCDD-0868BA03A5EA}" name="Absorbance "/>
    <tableColumn id="4" xr3:uid="{917546C9-A7F5-544A-BC81-B9E1D6599EB0}" name="mikrog/L" dataDxfId="19">
      <calculatedColumnFormula>(((#REF!-$N$3)/$M$3)*$P$2)*10/1000</calculatedColumnFormula>
    </tableColumn>
    <tableColumn id="3" xr3:uid="{049A71A4-85B5-384D-8938-A24C8C3A284C}" name="%removal" dataDxfId="18">
      <calculatedColumnFormula>100-Tabel575[[#This Row],[mikrog/L]]/$D$16*100</calculatedColumnFormula>
    </tableColumn>
  </tableColumns>
  <tableStyleInfo name="TableStyleMedium2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6C7DA6-86DB-5744-93E6-841BAC934C52}" name="Tabel426" displayName="Tabel426" ref="A1:D13" totalsRowShown="0">
  <autoFilter ref="A1:D13" xr:uid="{A0091446-850E-439E-9DE4-12E4139DADCB}"/>
  <tableColumns count="4">
    <tableColumn id="1" xr3:uid="{FBC6D52C-D859-4542-A5D9-A18F4A83EB4A}" name="CFH12(g)"/>
    <tableColumn id="2" xr3:uid="{548DCCCD-06CC-FA45-ABF7-0D34A686CCF8}" name="Absorbance"/>
    <tableColumn id="4" xr3:uid="{4F3E1E79-6F62-E348-9476-C9E45EE25718}" name="mikrog/L" dataDxfId="17">
      <calculatedColumnFormula>(((F2-$N$3)/$M$3)*$P$2)*193.8/1000</calculatedColumnFormula>
    </tableColumn>
    <tableColumn id="3" xr3:uid="{98962E5E-56D4-5042-97CC-F2D75A9BAFE0}" name="%removal" dataDxfId="16">
      <calculatedColumnFormula>Tabel426[[#This Row],[mikrog/L]]/$D$16*100</calculatedColumnFormula>
    </tableColumn>
  </tableColumns>
  <tableStyleInfo name="TableStyleMedium2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76A173-D968-6A4B-A0C2-3D8575D7CF19}" name="Tabel4281014" displayName="Tabel4281014" ref="A1:D13" totalsRowShown="0">
  <autoFilter ref="A1:D13" xr:uid="{A0091446-850E-439E-9DE4-12E4139DADCB}"/>
  <tableColumns count="4">
    <tableColumn id="1" xr3:uid="{0760DBF3-3047-6347-A882-7E9CBE55AA47}" name="CFH12(g)"/>
    <tableColumn id="2" xr3:uid="{FFE031D4-76FB-1645-B471-0DFC437ADD04}" name="Absorbance"/>
    <tableColumn id="4" xr3:uid="{5E2EF7E5-AB40-B345-8BF4-67C6DF0F785D}" name="mikrog/L" dataDxfId="15">
      <calculatedColumnFormula>(((Tabel4281014[[#This Row],[Absorbance]]-$N$3)/$M$3)*$P$2)*$B$22</calculatedColumnFormula>
    </tableColumn>
    <tableColumn id="3" xr3:uid="{8F14CD65-58E5-CD4E-86C6-DFE1BCB3D08E}" name="%removal" dataDxfId="14">
      <calculatedColumnFormula>100-Tabel4281014[[#This Row],[mikrog/L]]/$D$16*100</calculatedColumnFormula>
    </tableColumn>
  </tableColumns>
  <tableStyleInfo name="TableStyleMedium2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FE0977-8112-2240-8460-572E7629EA14}" name="Tabel5791115" displayName="Tabel5791115" ref="E1:H13" totalsRowShown="0">
  <autoFilter ref="E1:H13" xr:uid="{D6F1AAAF-AEDC-409E-9ECC-771F850258D4}"/>
  <tableColumns count="4">
    <tableColumn id="1" xr3:uid="{6607C753-D32A-8B43-876E-C0ACF92AAE00}" name="PF(g)"/>
    <tableColumn id="2" xr3:uid="{F90588E9-E4B4-6444-9EC7-7360C303CBE8}" name="Absorbance "/>
    <tableColumn id="4" xr3:uid="{2C344B34-4586-D141-9161-F749C34DA0A2}" name="mikrog/L" dataDxfId="13">
      <calculatedColumnFormula>(((Tabel4281014[[#This Row],[Absorbance]]-$N$3)/$M$3)*$P$2)*$B$22</calculatedColumnFormula>
    </tableColumn>
    <tableColumn id="3" xr3:uid="{C3A73B7E-7311-6646-9DEE-553C83FE1B64}" name="%removal" dataDxfId="12">
      <calculatedColumnFormula>(($D$16-Tabel5791115[[#This Row],[mikrog/L]])*0.025)/Tabel5791115[[#This Row],[PF(g)]]</calculatedColumnFormula>
    </tableColumn>
  </tableColumns>
  <tableStyleInfo name="TableStyleMedium2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9D6276-18FC-8A42-BB52-AF6C56FC6279}" name="Tabel42816" displayName="Tabel42816" ref="A1:D13" totalsRowShown="0">
  <autoFilter ref="A1:D13" xr:uid="{A0091446-850E-439E-9DE4-12E4139DADCB}"/>
  <tableColumns count="4">
    <tableColumn id="1" xr3:uid="{2BE5B678-F680-9D40-83FD-D0255F7C0F4B}" name="CFH12(g)"/>
    <tableColumn id="2" xr3:uid="{4999216A-AD04-ED40-BBC6-7CB4B8CDC262}" name="Absorbance"/>
    <tableColumn id="4" xr3:uid="{75615872-BCD3-3D43-A090-6716FAE76742}" name="mg/L" dataDxfId="11">
      <calculatedColumnFormula>(((B2-$N$3)/$M$3)*$P$2)*193.8/1000</calculatedColumnFormula>
    </tableColumn>
    <tableColumn id="5" xr3:uid="{AC4D03B3-A983-6840-B1C2-FA13BC229A2E}" name="FE:P" dataDxfId="10">
      <calculatedColumnFormula>((44/100)*(((Tabel42816[[#This Row],[CFH12(g)]]*1000)))/$Q$2)/((C2/$P$2)*0.04)</calculatedColumnFormula>
    </tableColumn>
  </tableColumns>
  <tableStyleInfo name="TableStyleMedium2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51052F5-2459-FD48-AD28-0D5CFAACFA32}" name="Tabel57917" displayName="Tabel57917" ref="E1:H14" totalsRowShown="0">
  <autoFilter ref="E1:H14" xr:uid="{D6F1AAAF-AEDC-409E-9ECC-771F850258D4}"/>
  <tableColumns count="4">
    <tableColumn id="1" xr3:uid="{A8EEC6FA-50B5-9745-BD26-A6AC4BA97183}" name="PF(g)"/>
    <tableColumn id="2" xr3:uid="{8CB2657A-1BCC-7C42-954A-FA36C365AFB5}" name="Absorbance "/>
    <tableColumn id="4" xr3:uid="{BEA3632E-AE64-FB4C-AB41-5809EA3C210C}" name="mg/L" dataDxfId="9">
      <calculatedColumnFormula>(((F2-$N$3)/$M$3)*$P$2)*10/1000</calculatedColumnFormula>
    </tableColumn>
    <tableColumn id="3" xr3:uid="{C59997FD-65FD-A149-A9E5-DCCC192DC1BC}" name="AL:P" dataDxfId="8">
      <calculatedColumnFormula>(($D$16-Tabel57917[[#This Row],[mg/L]])*0.025)/Tabel57917[[#This Row],[PF(g)]]</calculatedColumnFormula>
    </tableColumn>
  </tableColumns>
  <tableStyleInfo name="TableStyleMedium2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2B1E7ED-D8D0-124C-A36C-148583AB6B5E}" name="Tabel5718" displayName="Tabel5718" ref="E1:H14" totalsRowShown="0">
  <autoFilter ref="E1:H14" xr:uid="{D6F1AAAF-AEDC-409E-9ECC-771F850258D4}"/>
  <tableColumns count="4">
    <tableColumn id="1" xr3:uid="{48CA5967-5F2F-534B-999E-A94E13795573}" name="PF(g)"/>
    <tableColumn id="2" xr3:uid="{F0F12127-5AEE-F54E-9348-8C0CF5DD56A1}" name="Absorbance "/>
    <tableColumn id="4" xr3:uid="{C3E97EED-372C-E549-90EF-BE4AF9F1111F}" name="mg/L" dataDxfId="7">
      <calculatedColumnFormula>(((#REF!-$N$3)/$M$3)*$P$2)*10/1000</calculatedColumnFormula>
    </tableColumn>
    <tableColumn id="3" xr3:uid="{8942B4E9-99B7-1541-8749-F991CD93E27D}" name="AL:P" dataDxfId="6"/>
  </tableColumns>
  <tableStyleInfo name="TableStyleMedium2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C5D7CC-F6D4-BA43-9E85-B53FA422F429}" name="Tabel4219" displayName="Tabel4219" ref="A1:D13" totalsRowShown="0">
  <autoFilter ref="A1:D13" xr:uid="{A0091446-850E-439E-9DE4-12E4139DADCB}"/>
  <tableColumns count="4">
    <tableColumn id="1" xr3:uid="{FA9A293F-B35E-AD41-91B5-6A6171F307A8}" name="CFH12(g)"/>
    <tableColumn id="2" xr3:uid="{DE05347B-B851-A842-9E3C-45A434A0BEC9}" name="Absorbance"/>
    <tableColumn id="4" xr3:uid="{CACD28CE-C929-584C-9A26-A2C3F2AAECDA}" name="mg/L" dataDxfId="5">
      <calculatedColumnFormula>(((B2-$N$3)/$M$3)*$P$2)*$B$22/1000</calculatedColumnFormula>
    </tableColumn>
    <tableColumn id="3" xr3:uid="{F1C2ACD7-B4CB-3541-8396-B41FACC6988A}" name="FE:P" dataDxfId="4">
      <calculatedColumnFormula>((44/100)*(( Tabel4219[[#This Row],[CFH12(g)]]*1000)/$Q$2))/(C2/$P$2*0.04)</calculatedColumnFormula>
    </tableColumn>
  </tableColumns>
  <tableStyleInfo name="TableStyleMedium2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997E926-27D3-B04F-9963-F4DB90E69073}" name="Tabel4281020" displayName="Tabel4281020" ref="A1:D13" totalsRowShown="0">
  <autoFilter ref="A1:D13" xr:uid="{A0091446-850E-439E-9DE4-12E4139DADCB}"/>
  <tableColumns count="4">
    <tableColumn id="1" xr3:uid="{43988A8A-E47C-E542-982A-E5E2A496C3CA}" name="CFH12(g)"/>
    <tableColumn id="2" xr3:uid="{75B3329C-70FB-4A47-BE0D-5A2A94C69D46}" name="Absorbance"/>
    <tableColumn id="4" xr3:uid="{D44EB1FD-59D3-AB47-A98C-59CFC928C14C}" name="mg/L" dataDxfId="3">
      <calculatedColumnFormula>(((B2-$N$3)/$M$3)*$P$2)*193.8/1000</calculatedColumnFormula>
    </tableColumn>
    <tableColumn id="3" xr3:uid="{CB4B9CE2-B189-BA46-B8D1-EE9460E23AF9}" name="FE:P" dataDxfId="2">
      <calculatedColumnFormula>((44/100)*((Tabel4281020[[#This Row],[CFH12(g)]]*1000)/$Q$2))/(C2/$P$2*0.04)</calculatedColumnFormula>
    </tableColumn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11650F-EF99-4F4C-83E9-A9A9AEAF9C7A}" name="Tabel579" displayName="Tabel579" ref="E1:H14" totalsRowShown="0">
  <autoFilter ref="E1:H14" xr:uid="{D6F1AAAF-AEDC-409E-9ECC-771F850258D4}"/>
  <tableColumns count="4">
    <tableColumn id="1" xr3:uid="{2250BD53-2386-FF48-A599-01A189DF248C}" name="PF(g)"/>
    <tableColumn id="2" xr3:uid="{AF378112-CC79-6641-AC08-1B9DE1419AB2}" name="Absorbance "/>
    <tableColumn id="4" xr3:uid="{931FF8EF-46A4-F14F-91C3-65FA00A0D004}" name="mg/L" dataDxfId="37">
      <calculatedColumnFormula>(((F2-$N$3)/$M$3)*$P$2)*10/1000</calculatedColumnFormula>
    </tableColumn>
    <tableColumn id="3" xr3:uid="{A63195AD-2A49-4694-95A4-91D1E1C6431D}" name="mg/g" dataDxfId="36">
      <calculatedColumnFormula>(($D$16-Tabel579[[#This Row],[mg/L]])*0.025)/Tabel579[[#This Row],[PF(g)]]</calculatedColumnFormula>
    </tableColumn>
  </tableColumns>
  <tableStyleInfo name="TableStyleMedium2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1456BD-01BB-1540-AC46-7B8626D817D7}" name="Tabel5791121" displayName="Tabel5791121" ref="E1:H13" totalsRowShown="0">
  <autoFilter ref="E1:H13" xr:uid="{D6F1AAAF-AEDC-409E-9ECC-771F850258D4}"/>
  <tableColumns count="4">
    <tableColumn id="1" xr3:uid="{7A2F023B-FAD5-8E40-98F3-555C4495DE0E}" name="PF(g)"/>
    <tableColumn id="2" xr3:uid="{78191F91-647F-D746-9BFD-78EB8457D271}" name="Absorbance "/>
    <tableColumn id="4" xr3:uid="{58986380-EA5A-7E42-BEC3-E00B1E2229C0}" name="mg/L" dataDxfId="1">
      <calculatedColumnFormula>(((F2-$N$3)/$M$3)*$P$2)*$B$22/1000</calculatedColumnFormula>
    </tableColumn>
    <tableColumn id="3" xr3:uid="{6C60ADE4-92A4-8646-A483-2C3BA7B2589F}" name="AL:P" dataDxfId="0">
      <calculatedColumnFormula>((80/100)*((Tabel5791121[[#This Row],[PF(g)]]*1000)/$R$2))/(G2/$P$2*0.04)</calculatedColumnFormula>
    </tableColumn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3603B-701E-B446-8137-66B252467979}" name="Tabel57" displayName="Tabel57" ref="E1:H14" totalsRowShown="0">
  <autoFilter ref="E1:H14" xr:uid="{D6F1AAAF-AEDC-409E-9ECC-771F850258D4}"/>
  <tableColumns count="4">
    <tableColumn id="1" xr3:uid="{BA1F897D-0409-2642-A8D2-F726C5527668}" name="PF(g)"/>
    <tableColumn id="2" xr3:uid="{94D2735F-EE02-034F-B5A6-FAD86E197B93}" name="Absorbance "/>
    <tableColumn id="4" xr3:uid="{C7067FEF-3619-3949-92B0-075374F556DA}" name="mg/L" dataDxfId="35">
      <calculatedColumnFormula>(((#REF!-$N$3)/$M$3)*$P$2)*10/1000</calculatedColumnFormula>
    </tableColumn>
    <tableColumn id="3" xr3:uid="{C49BB085-7B6B-4B36-8D8D-7423AA4CE13D}" name="mg/g" dataDxfId="34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F9659-B27C-3845-8E0D-DF217E03F649}" name="Tabel42" displayName="Tabel42" ref="A1:D13" totalsRowShown="0">
  <autoFilter ref="A1:D13" xr:uid="{A0091446-850E-439E-9DE4-12E4139DADCB}"/>
  <tableColumns count="4">
    <tableColumn id="1" xr3:uid="{C11EB527-47B8-0445-807A-1525CA4F2E24}" name="CFH12(g)"/>
    <tableColumn id="2" xr3:uid="{601ED7A5-17B4-1547-B94D-60C140CE3C7A}" name="Absorbance"/>
    <tableColumn id="4" xr3:uid="{2635D7FF-6754-1045-B9FF-65DB6F51D725}" name="mg/L" dataDxfId="33">
      <calculatedColumnFormula>(((F2-$N$3)/$M$3)*$P$2)*193.8/1000</calculatedColumnFormula>
    </tableColumn>
    <tableColumn id="3" xr3:uid="{1604E255-21C0-419A-A741-A080794E094E}" name="mg/g" dataDxfId="32">
      <calculatedColumnFormula>(($D$16-Tabel42810[[#This Row],[mg/L]])*0.025)/Tabel42810[[#This Row],[CFH12(g)]]</calculatedColumnFormula>
    </tableColumn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975FDB-1307-804F-8CD3-B7225D7D6C4E}" name="Tabel42810" displayName="Tabel42810" ref="A1:D13" totalsRowShown="0">
  <autoFilter ref="A1:D13" xr:uid="{A0091446-850E-439E-9DE4-12E4139DADCB}"/>
  <tableColumns count="4">
    <tableColumn id="1" xr3:uid="{59C33DAF-A28A-5A47-8115-555C731BADBE}" name="CFH12(g)"/>
    <tableColumn id="2" xr3:uid="{B0D48766-B6E6-4F40-A212-6B3357C2061D}" name="Absorbance"/>
    <tableColumn id="4" xr3:uid="{9A701C01-F213-0644-8225-C76C2D93CC6D}" name="mg/L" dataDxfId="31">
      <calculatedColumnFormula>(((B2-$N$3)/$M$3)*$P$2)*193.8/1000</calculatedColumnFormula>
    </tableColumn>
    <tableColumn id="3" xr3:uid="{A9FCE9FF-C231-48BA-99DC-44C623D974C5}" name="mg/g" dataDxfId="30">
      <calculatedColumnFormula>(($D$16-Tabel42810[[#This Row],[mg/L]])*0.04)/Tabel42810[[#This Row],[CFH12(g)]]</calculatedColumnFormula>
    </tableColumn>
  </tableColumns>
  <tableStyleInfo name="TableStyleMedium2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4C966C-8BE2-5344-B73D-FBBF64A4679A}" name="Tabel57911" displayName="Tabel57911" ref="E1:H13" totalsRowShown="0">
  <autoFilter ref="E1:H13" xr:uid="{D6F1AAAF-AEDC-409E-9ECC-771F850258D4}"/>
  <tableColumns count="4">
    <tableColumn id="1" xr3:uid="{69390EEA-F82C-B74D-B12E-4F4D35E6E7B0}" name="PF(g)"/>
    <tableColumn id="2" xr3:uid="{06661187-44FF-584F-839B-C7B4627A21E0}" name="Absorbance "/>
    <tableColumn id="4" xr3:uid="{B22AFA46-5F4C-F84D-AA01-F7ACED7DE256}" name="mg/L" dataDxfId="29">
      <calculatedColumnFormula>(((F2-$N$3)/$M$3)*$P$2)*10/1000</calculatedColumnFormula>
    </tableColumn>
    <tableColumn id="3" xr3:uid="{6686DEB3-C432-4055-A7A5-C49366F0173F}" name="mg/g" dataDxfId="28">
      <calculatedColumnFormula>(($D$16-Tabel57911[[#This Row],[mg/L]])*0.025)/Tabel57911[[#This Row],[PF(g)]]</calculatedColumnFormula>
    </tableColumn>
  </tableColumns>
  <tableStyleInfo name="TableStyleMedium2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69DEB6-E793-8D43-93AC-74BB772EF086}" name="Tabel42812" displayName="Tabel42812" ref="A1:D10" totalsRowShown="0">
  <autoFilter ref="A1:D10" xr:uid="{A0091446-850E-439E-9DE4-12E4139DADCB}"/>
  <tableColumns count="4">
    <tableColumn id="1" xr3:uid="{FE77C560-B2CB-314C-B33C-8FFC94C1D82B}" name="CFH12(pH)"/>
    <tableColumn id="2" xr3:uid="{011C29E6-B4D7-474D-B45E-62E629681E61}" name="Absorbance"/>
    <tableColumn id="4" xr3:uid="{198D1354-F4EE-8040-9A20-87A515A7FF76}" name="mg/L" dataDxfId="27">
      <calculatedColumnFormula>(((B2-$N$3)/$M$3)*$P$2)*193.8/1000</calculatedColumnFormula>
    </tableColumn>
    <tableColumn id="5" xr3:uid="{65E7377F-B1EE-8744-90AF-C2A2BBA3520A}" name="mg/g" dataDxfId="26">
      <calculatedColumnFormula>(($D$16-Tabel42812[[#This Row],[mg/L]])*0.04)/0.03</calculatedColumnFormula>
    </tableColumn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2E264E-EA8C-1E4A-A980-4A186B8B2512}" name="Tabel57913" displayName="Tabel57913" ref="E1:H10" totalsRowShown="0">
  <autoFilter ref="E1:H10" xr:uid="{D6F1AAAF-AEDC-409E-9ECC-771F850258D4}"/>
  <tableColumns count="4">
    <tableColumn id="1" xr3:uid="{0F4D88C0-E7C2-3D41-9706-8AC7AB19C7DA}" name="PF(pH)"/>
    <tableColumn id="2" xr3:uid="{AF7E6CCC-9A92-1448-A75A-977A26AC7662}" name="Absorbance "/>
    <tableColumn id="4" xr3:uid="{C8BC10AE-19C0-4E4D-B270-502BCBADBADB}" name="mg/L" dataDxfId="25">
      <calculatedColumnFormula>(((F2-$N$3)/$M$3)*$P$2)*10/1000</calculatedColumnFormula>
    </tableColumn>
    <tableColumn id="5" xr3:uid="{23011072-8B79-294E-BE03-C4DC47B2CE24}" name="mg/g" dataDxfId="24">
      <calculatedColumnFormula>(($D$16-Tabel57913[[#This Row],[mg/L]])*0.04)/0.03</calculatedColumnFormula>
    </tableColumn>
  </tableColumns>
  <tableStyleInfo name="TableStyleMedium2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15672-E45B-7448-A9AC-C219AFF07551}" name="Tabel4283" displayName="Tabel4283" ref="A1:D13" totalsRowShown="0">
  <autoFilter ref="A1:D13" xr:uid="{A0091446-850E-439E-9DE4-12E4139DADCB}"/>
  <tableColumns count="4">
    <tableColumn id="1" xr3:uid="{840C8919-EFFA-CF49-8659-24F2118320CF}" name="CFH12(g)"/>
    <tableColumn id="2" xr3:uid="{94B770BF-8DD7-394F-BDA6-E4E7E6B941EE}" name="Absorbance"/>
    <tableColumn id="4" xr3:uid="{A2C3A9D1-067D-A548-9275-A28878EFA25B}" name="mikrog/L" dataDxfId="23">
      <calculatedColumnFormula>(((B2-$N$3)/$M$3)*$P$2)*193.8/1000</calculatedColumnFormula>
    </tableColumn>
    <tableColumn id="5" xr3:uid="{34E3CEB6-63CB-9B43-92B6-FB4213A99964}" name="%removal" dataDxfId="22">
      <calculatedColumnFormula>100-Tabel4283[[#This Row],[mikrog/L]]/$D$16*100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8124-F3A9-1240-AA57-84132AD3ABF0}">
  <dimension ref="A1:P24"/>
  <sheetViews>
    <sheetView workbookViewId="0">
      <selection activeCell="F20" sqref="F20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3" width="10.42578125" customWidth="1"/>
    <col min="6" max="6" width="14.140625" customWidth="1"/>
    <col min="7" max="8" width="12.140625" customWidth="1"/>
    <col min="9" max="9" width="11.42578125" customWidth="1"/>
    <col min="10" max="10" width="8.85546875" bestFit="1" customWidth="1"/>
    <col min="18" max="18" width="11" bestFit="1" customWidth="1"/>
  </cols>
  <sheetData>
    <row r="1" spans="1:16" x14ac:dyDescent="0.25">
      <c r="A1" t="s">
        <v>16</v>
      </c>
      <c r="B1" t="s">
        <v>11</v>
      </c>
      <c r="C1" t="s">
        <v>1</v>
      </c>
      <c r="D1" t="s">
        <v>18</v>
      </c>
      <c r="E1" t="s">
        <v>17</v>
      </c>
      <c r="F1" t="s">
        <v>13</v>
      </c>
      <c r="G1" t="s">
        <v>1</v>
      </c>
      <c r="H1" t="s">
        <v>18</v>
      </c>
      <c r="J1" s="1" t="s">
        <v>2</v>
      </c>
      <c r="K1" s="2" t="s">
        <v>0</v>
      </c>
      <c r="P1" s="8" t="s">
        <v>3</v>
      </c>
    </row>
    <row r="2" spans="1:16" x14ac:dyDescent="0.25">
      <c r="A2">
        <v>1.9400000000000001E-2</v>
      </c>
      <c r="B2">
        <v>0.28899999999999998</v>
      </c>
      <c r="C2" s="15">
        <f t="shared" ref="C2:C13" si="0">(((B2-$N$3)/$M$3)*$P$2)*193.8/1000</f>
        <v>56.194585384848367</v>
      </c>
      <c r="D2" s="17">
        <f>(($D$16-Tabel428[[#This Row],[mg/L]])*0.04)/Tabel428[[#This Row],[CFH12(g)]]</f>
        <v>16.114749303802512</v>
      </c>
      <c r="E2">
        <v>1.78E-2</v>
      </c>
      <c r="F2">
        <v>0.28799999999999998</v>
      </c>
      <c r="G2" s="12">
        <f t="shared" ref="G2:G13" si="1">(((F2-$N$3)/$M$3)*$P$2)*$B$22/1000</f>
        <v>55.90864684537236</v>
      </c>
      <c r="H2" s="17">
        <f>(($D$16-Tabel579[[#This Row],[mg/L]])*0.04)/Tabel579[[#This Row],[PF(g)]]</f>
        <v>18.205824610831968</v>
      </c>
      <c r="J2" s="3">
        <v>0.25</v>
      </c>
      <c r="K2" s="4">
        <v>0.09</v>
      </c>
      <c r="M2" s="1" t="s">
        <v>4</v>
      </c>
      <c r="N2" s="2" t="s">
        <v>5</v>
      </c>
      <c r="P2" s="9">
        <v>30.974</v>
      </c>
    </row>
    <row r="3" spans="1:16" x14ac:dyDescent="0.25">
      <c r="A3">
        <v>2.0400000000000001E-2</v>
      </c>
      <c r="B3">
        <v>0.27100000000000002</v>
      </c>
      <c r="C3" s="15">
        <f t="shared" si="0"/>
        <v>51.047691674280237</v>
      </c>
      <c r="D3" s="17">
        <f>(($D$16-Tabel428[[#This Row],[mg/L]])*0.04)/Tabel428[[#This Row],[CFH12(g)]]</f>
        <v>25.416759064534016</v>
      </c>
      <c r="E3">
        <v>2.29E-2</v>
      </c>
      <c r="F3">
        <v>0.26800000000000002</v>
      </c>
      <c r="G3" s="12">
        <f t="shared" si="1"/>
        <v>50.189876055852203</v>
      </c>
      <c r="H3" s="17">
        <f>(($D$16-Tabel579[[#This Row],[mg/L]])*0.04)/Tabel579[[#This Row],[PF(g)]]</f>
        <v>24.140371600594555</v>
      </c>
      <c r="J3" s="3">
        <v>0.5</v>
      </c>
      <c r="K3" s="4">
        <v>0.111</v>
      </c>
      <c r="M3" s="7">
        <f>SLOPE(K2:K11,J2:J11)</f>
        <v>2.0993186896038102E-2</v>
      </c>
      <c r="N3" s="10">
        <f>INTERCEPT(K2:K11,J2:J11)</f>
        <v>9.2473202710530444E-2</v>
      </c>
    </row>
    <row r="4" spans="1:16" x14ac:dyDescent="0.25">
      <c r="A4">
        <v>1.9900000000000001E-2</v>
      </c>
      <c r="B4">
        <v>0.27</v>
      </c>
      <c r="C4" s="15">
        <f>(((B4-$N$3)/$M$3)*$P$2)*193.8/1000</f>
        <v>50.761753134804231</v>
      </c>
      <c r="D4" s="17">
        <f>(($D$16-Tabel428[[#This Row],[mg/L]])*0.04)/Tabel428[[#This Row],[CFH12(g)]]</f>
        <v>26.630121934448951</v>
      </c>
      <c r="E4">
        <v>2.2499999999999999E-2</v>
      </c>
      <c r="F4">
        <v>0.28199999999999997</v>
      </c>
      <c r="G4" s="12">
        <f t="shared" si="1"/>
        <v>54.193015608516312</v>
      </c>
      <c r="H4" s="17">
        <f>(($D$16-Tabel579[[#This Row],[mg/L]])*0.04)/Tabel579[[#This Row],[PF(g)]]</f>
        <v>17.452841224313374</v>
      </c>
      <c r="J4" s="3">
        <v>1</v>
      </c>
      <c r="K4" s="4">
        <v>0.10100000000000001</v>
      </c>
    </row>
    <row r="5" spans="1:16" x14ac:dyDescent="0.25">
      <c r="A5">
        <v>3.0599999999999999E-2</v>
      </c>
      <c r="B5">
        <v>0.28199999999999997</v>
      </c>
      <c r="C5" s="12">
        <f t="shared" si="0"/>
        <v>54.193015608516312</v>
      </c>
      <c r="D5" s="17">
        <f>(($D$16-Tabel428[[#This Row],[mg/L]])*0.04)/Tabel428[[#This Row],[CFH12(g)]]</f>
        <v>12.832971488465716</v>
      </c>
      <c r="E5">
        <v>3.27E-2</v>
      </c>
      <c r="F5">
        <v>0.24199999999999999</v>
      </c>
      <c r="G5" s="12">
        <f t="shared" si="1"/>
        <v>42.755474029476005</v>
      </c>
      <c r="H5" s="17">
        <f>(($D$16-Tabel579[[#This Row],[mg/L]])*0.04)/Tabel579[[#This Row],[PF(g)]]</f>
        <v>25.999712254087559</v>
      </c>
      <c r="J5" s="3">
        <v>2</v>
      </c>
      <c r="K5" s="4">
        <v>0.129</v>
      </c>
    </row>
    <row r="6" spans="1:16" x14ac:dyDescent="0.25">
      <c r="A6">
        <v>3.2099999999999997E-2</v>
      </c>
      <c r="B6">
        <v>0.25800000000000001</v>
      </c>
      <c r="C6" s="12">
        <f t="shared" si="0"/>
        <v>47.330490661092128</v>
      </c>
      <c r="D6" s="17">
        <f>(($D$16-Tabel428[[#This Row],[mg/L]])*0.04)/Tabel428[[#This Row],[CFH12(g)]]</f>
        <v>20.784732879875964</v>
      </c>
      <c r="E6">
        <v>3.0499999999999999E-2</v>
      </c>
      <c r="F6">
        <v>0.28299999999999997</v>
      </c>
      <c r="G6" s="12">
        <f t="shared" si="1"/>
        <v>54.478954147992319</v>
      </c>
      <c r="H6" s="17">
        <f>(($D$16-Tabel579[[#This Row],[mg/L]])*0.04)/Tabel579[[#This Row],[PF(g)]]</f>
        <v>12.500045441574121</v>
      </c>
      <c r="J6" s="3">
        <v>3</v>
      </c>
      <c r="K6" s="4">
        <v>0.19</v>
      </c>
    </row>
    <row r="7" spans="1:16" x14ac:dyDescent="0.25">
      <c r="A7">
        <v>3.1099999999999999E-2</v>
      </c>
      <c r="B7">
        <v>0.27500000000000002</v>
      </c>
      <c r="C7" s="12">
        <f t="shared" si="0"/>
        <v>52.191445832184279</v>
      </c>
      <c r="D7" s="17">
        <f>(($D$16-Tabel428[[#This Row],[mg/L]])*0.04)/Tabel428[[#This Row],[CFH12(g)]]</f>
        <v>15.201019890685926</v>
      </c>
      <c r="E7">
        <v>3.27E-2</v>
      </c>
      <c r="F7">
        <v>0.24399999999999999</v>
      </c>
      <c r="G7" s="12">
        <f t="shared" si="1"/>
        <v>43.327351108428026</v>
      </c>
      <c r="H7" s="17">
        <f>(($D$16-Tabel579[[#This Row],[mg/L]])*0.04)/Tabel579[[#This Row],[PF(g)]]</f>
        <v>25.300168426623316</v>
      </c>
      <c r="J7" s="3">
        <v>4</v>
      </c>
      <c r="K7" s="4">
        <v>0.16600000000000001</v>
      </c>
    </row>
    <row r="8" spans="1:16" x14ac:dyDescent="0.25">
      <c r="A8">
        <v>4.0599999999999997E-2</v>
      </c>
      <c r="B8">
        <v>0.27400000000000002</v>
      </c>
      <c r="C8" s="12">
        <f t="shared" si="0"/>
        <v>51.905507292708265</v>
      </c>
      <c r="D8" s="17">
        <f>(($D$16-Tabel428[[#This Row],[mg/L]])*0.04)/Tabel428[[#This Row],[CFH12(g)]]</f>
        <v>11.925843846782582</v>
      </c>
      <c r="E8">
        <v>4.3499999999999997E-2</v>
      </c>
      <c r="F8">
        <v>0.28799999999999998</v>
      </c>
      <c r="G8" s="12">
        <f t="shared" si="1"/>
        <v>55.90864684537236</v>
      </c>
      <c r="H8" s="17">
        <f>(($D$16-Tabel579[[#This Row],[mg/L]])*0.04)/Tabel579[[#This Row],[PF(g)]]</f>
        <v>7.4497397258117015</v>
      </c>
      <c r="J8" s="3">
        <v>5</v>
      </c>
      <c r="K8" s="4">
        <v>0.19</v>
      </c>
    </row>
    <row r="9" spans="1:16" x14ac:dyDescent="0.25">
      <c r="A9">
        <v>3.95E-2</v>
      </c>
      <c r="B9">
        <v>0.27</v>
      </c>
      <c r="C9" s="12">
        <f t="shared" si="0"/>
        <v>50.761753134804231</v>
      </c>
      <c r="D9" s="17">
        <f>(($D$16-Tabel428[[#This Row],[mg/L]])*0.04)/Tabel428[[#This Row],[CFH12(g)]]</f>
        <v>13.416188012545168</v>
      </c>
      <c r="E9">
        <v>4.1300000000000003E-2</v>
      </c>
      <c r="F9">
        <v>0.307</v>
      </c>
      <c r="G9" s="12">
        <f t="shared" si="1"/>
        <v>61.341479095416517</v>
      </c>
      <c r="H9" s="17">
        <f>(($D$16-Tabel579[[#This Row],[mg/L]])*0.04)/Tabel579[[#This Row],[PF(g)]]</f>
        <v>2.5847551591051507</v>
      </c>
      <c r="J9" s="3">
        <v>10</v>
      </c>
      <c r="K9" s="4">
        <v>0.29899999999999999</v>
      </c>
    </row>
    <row r="10" spans="1:16" x14ac:dyDescent="0.25">
      <c r="A10">
        <v>4.1000000000000002E-2</v>
      </c>
      <c r="B10">
        <v>0.26100000000000001</v>
      </c>
      <c r="C10" s="12">
        <f t="shared" si="0"/>
        <v>48.188306279520155</v>
      </c>
      <c r="D10" s="17">
        <f>(($D$16-Tabel428[[#This Row],[mg/L]])*0.04)/Tabel428[[#This Row],[CFH12(g)]]</f>
        <v>15.436031724558466</v>
      </c>
      <c r="E10">
        <v>4.36E-2</v>
      </c>
      <c r="F10">
        <v>0.26500000000000001</v>
      </c>
      <c r="G10" s="12">
        <f t="shared" si="1"/>
        <v>49.33206043742419</v>
      </c>
      <c r="H10" s="17">
        <f>(($D$16-Tabel579[[#This Row],[mg/L]])*0.04)/Tabel579[[#This Row],[PF(g)]]</f>
        <v>13.466218678686602</v>
      </c>
      <c r="J10" s="3">
        <v>20</v>
      </c>
      <c r="K10" s="4">
        <v>0.52800000000000002</v>
      </c>
    </row>
    <row r="11" spans="1:16" x14ac:dyDescent="0.25">
      <c r="A11">
        <v>5.1299999999999998E-2</v>
      </c>
      <c r="B11">
        <v>0.26200000000000001</v>
      </c>
      <c r="C11" s="12">
        <f t="shared" si="0"/>
        <v>48.474244818996162</v>
      </c>
      <c r="D11" s="17">
        <f>(($D$16-Tabel428[[#This Row],[mg/L]])*0.04)/Tabel428[[#This Row],[CFH12(g)]]</f>
        <v>12.113835460582008</v>
      </c>
      <c r="E11">
        <v>5.11E-2</v>
      </c>
      <c r="F11">
        <v>0.29099999999999998</v>
      </c>
      <c r="G11" s="12">
        <f t="shared" si="1"/>
        <v>56.766462463800387</v>
      </c>
      <c r="H11" s="17">
        <f>(($D$16-Tabel579[[#This Row],[mg/L]])*0.04)/Tabel579[[#This Row],[PF(g)]]</f>
        <v>5.6702750163539708</v>
      </c>
      <c r="J11" s="3">
        <v>25</v>
      </c>
      <c r="K11" s="4">
        <v>0.60599999999999998</v>
      </c>
    </row>
    <row r="12" spans="1:16" x14ac:dyDescent="0.25">
      <c r="A12">
        <v>5.04E-2</v>
      </c>
      <c r="B12">
        <v>0.27100000000000002</v>
      </c>
      <c r="C12" s="12">
        <f t="shared" si="0"/>
        <v>51.047691674280237</v>
      </c>
      <c r="D12" s="17">
        <f>(($D$16-Tabel428[[#This Row],[mg/L]])*0.04)/Tabel428[[#This Row],[CFH12(g)]]</f>
        <v>10.287735811835198</v>
      </c>
      <c r="E12">
        <v>5.2999999999999999E-2</v>
      </c>
      <c r="F12">
        <v>0.29399999999999998</v>
      </c>
      <c r="G12" s="12">
        <f t="shared" si="1"/>
        <v>57.6242780822284</v>
      </c>
      <c r="H12" s="17">
        <f>(($D$16-Tabel579[[#This Row],[mg/L]])*0.04)/Tabel579[[#This Row],[PF(g)]]</f>
        <v>4.8195929924258003</v>
      </c>
      <c r="J12" s="5"/>
      <c r="K12" s="6"/>
    </row>
    <row r="13" spans="1:16" x14ac:dyDescent="0.25">
      <c r="A13">
        <v>5.0599999999999999E-2</v>
      </c>
      <c r="B13">
        <v>0.26600000000000001</v>
      </c>
      <c r="C13" s="12">
        <f t="shared" si="0"/>
        <v>49.617998976900196</v>
      </c>
      <c r="D13" s="17">
        <f>(($D$16-Tabel428[[#This Row],[mg/L]])*0.04)/Tabel428[[#This Row],[CFH12(g)]]</f>
        <v>11.377264680073035</v>
      </c>
      <c r="E13">
        <v>5.2299999999999999E-2</v>
      </c>
      <c r="F13">
        <v>0.308</v>
      </c>
      <c r="G13" s="12">
        <f t="shared" si="1"/>
        <v>61.627417634892524</v>
      </c>
      <c r="H13" s="17">
        <f>(($D$16-Tabel579[[#This Row],[mg/L]])*0.04)/Tabel579[[#This Row],[PF(g)]]</f>
        <v>1.8224253631358021</v>
      </c>
    </row>
    <row r="14" spans="1:16" x14ac:dyDescent="0.25">
      <c r="F14" s="14"/>
      <c r="G14" s="14"/>
      <c r="H14" s="18"/>
    </row>
    <row r="15" spans="1:16" x14ac:dyDescent="0.25">
      <c r="A15" s="14" t="s">
        <v>6</v>
      </c>
      <c r="B15" s="14" t="s">
        <v>7</v>
      </c>
      <c r="C15" s="14" t="s">
        <v>1</v>
      </c>
      <c r="D15" s="14" t="s">
        <v>12</v>
      </c>
      <c r="F15" s="20"/>
      <c r="G15" s="21"/>
      <c r="H15" s="16"/>
    </row>
    <row r="16" spans="1:16" x14ac:dyDescent="0.25">
      <c r="A16">
        <v>0.318</v>
      </c>
      <c r="C16" s="12">
        <f>(((A16-$N$3)/$M$3)*$P$2)*193.8/1000</f>
        <v>64.486803029652592</v>
      </c>
      <c r="D16" s="22">
        <f>AVERAGE(C16:C18)</f>
        <v>64.010238797192585</v>
      </c>
      <c r="F16" s="12"/>
      <c r="G16" s="12"/>
      <c r="H16" s="12"/>
    </row>
    <row r="17" spans="1:8" x14ac:dyDescent="0.25">
      <c r="A17">
        <v>0.317</v>
      </c>
      <c r="C17" s="12">
        <f>(((A17-$N$3)/$M$3)*$P$2)*193.8/1000</f>
        <v>64.200864490176585</v>
      </c>
      <c r="D17" s="22"/>
      <c r="F17" s="12"/>
      <c r="G17" s="12"/>
      <c r="H17" s="12"/>
    </row>
    <row r="18" spans="1:8" x14ac:dyDescent="0.25">
      <c r="A18" s="15">
        <v>0.314</v>
      </c>
      <c r="C18" s="12">
        <f>(((A18-$N$3)/$M$3)*$P$2)*193.8/1000</f>
        <v>63.343048871748572</v>
      </c>
      <c r="D18" s="22"/>
      <c r="F18" s="12"/>
      <c r="G18" s="12"/>
      <c r="H18" s="12"/>
    </row>
    <row r="19" spans="1:8" x14ac:dyDescent="0.25">
      <c r="F19" s="12"/>
      <c r="G19" s="12"/>
      <c r="H19" s="12"/>
    </row>
    <row r="20" spans="1:8" x14ac:dyDescent="0.25">
      <c r="A20" t="s">
        <v>8</v>
      </c>
      <c r="B20" s="11" t="s">
        <v>15</v>
      </c>
    </row>
    <row r="21" spans="1:8" x14ac:dyDescent="0.25">
      <c r="A21" t="s">
        <v>9</v>
      </c>
      <c r="B21" s="11">
        <v>6.98</v>
      </c>
    </row>
    <row r="22" spans="1:8" x14ac:dyDescent="0.25">
      <c r="A22" t="s">
        <v>10</v>
      </c>
      <c r="B22" s="11">
        <v>193.8</v>
      </c>
    </row>
    <row r="23" spans="1:8" x14ac:dyDescent="0.25">
      <c r="A23" t="s">
        <v>14</v>
      </c>
      <c r="B23" s="11"/>
    </row>
    <row r="24" spans="1:8" x14ac:dyDescent="0.25">
      <c r="A24" t="s">
        <v>1</v>
      </c>
      <c r="B24" s="12">
        <f>64.01</f>
        <v>64.010000000000005</v>
      </c>
    </row>
  </sheetData>
  <mergeCells count="2">
    <mergeCell ref="F15:G15"/>
    <mergeCell ref="D16:D1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2806-35C4-CD4B-9D12-7700591339AE}">
  <dimension ref="A1:R24"/>
  <sheetViews>
    <sheetView workbookViewId="0">
      <selection activeCell="G18" sqref="G18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4" width="10.42578125" customWidth="1"/>
    <col min="6" max="6" width="14.140625" customWidth="1"/>
    <col min="7" max="8" width="12.140625" customWidth="1"/>
    <col min="16" max="16" width="11" bestFit="1" customWidth="1"/>
  </cols>
  <sheetData>
    <row r="1" spans="1:18" x14ac:dyDescent="0.25">
      <c r="A1" t="s">
        <v>16</v>
      </c>
      <c r="B1" t="s">
        <v>11</v>
      </c>
      <c r="C1" t="s">
        <v>1</v>
      </c>
      <c r="D1" t="s">
        <v>23</v>
      </c>
      <c r="E1" t="s">
        <v>17</v>
      </c>
      <c r="F1" t="s">
        <v>13</v>
      </c>
      <c r="G1" t="s">
        <v>1</v>
      </c>
      <c r="H1" t="s">
        <v>24</v>
      </c>
      <c r="J1" s="1" t="s">
        <v>2</v>
      </c>
      <c r="K1" s="2" t="s">
        <v>0</v>
      </c>
      <c r="P1" s="8" t="s">
        <v>25</v>
      </c>
      <c r="Q1" t="s">
        <v>26</v>
      </c>
      <c r="R1" t="s">
        <v>27</v>
      </c>
    </row>
    <row r="2" spans="1:18" x14ac:dyDescent="0.25">
      <c r="A2">
        <f>0.0194</f>
        <v>1.9400000000000001E-2</v>
      </c>
      <c r="B2">
        <v>0.27600000000000002</v>
      </c>
      <c r="C2" s="17">
        <f>(((B2-$N$3)/$M$3)*$P$2)*193.8/1000</f>
        <v>52.477384371660285</v>
      </c>
      <c r="D2" s="17">
        <f>((44/100)*((Tabel4281020[[#This Row],[CFH12(g)]]*1000)/$Q$2))/(C2/$P$2*0.04)</f>
        <v>2.2552586190792603</v>
      </c>
      <c r="E2">
        <f>23/1000</f>
        <v>2.3E-2</v>
      </c>
      <c r="F2">
        <v>0.26800000000000002</v>
      </c>
      <c r="G2" s="12">
        <f t="shared" ref="G2:G13" si="0">(((F2-$N$3)/$M$3)*$P$2)*$B$22/1000</f>
        <v>50.189876055852203</v>
      </c>
      <c r="H2" s="17">
        <f>((80/100)*((Tabel5791121[[#This Row],[PF(g)]]*1000)/$R$2))/(G2/$P$2*0.04)</f>
        <v>10.521969950515272</v>
      </c>
      <c r="J2" s="3">
        <v>0.25</v>
      </c>
      <c r="K2" s="4">
        <v>0.09</v>
      </c>
      <c r="M2" s="1" t="s">
        <v>4</v>
      </c>
      <c r="N2" s="2" t="s">
        <v>5</v>
      </c>
      <c r="P2" s="9">
        <v>30.974</v>
      </c>
      <c r="Q2">
        <v>55.85</v>
      </c>
      <c r="R2">
        <v>26.98</v>
      </c>
    </row>
    <row r="3" spans="1:18" x14ac:dyDescent="0.25">
      <c r="A3">
        <f>0.0204</f>
        <v>2.0400000000000001E-2</v>
      </c>
      <c r="B3">
        <v>0.27100000000000002</v>
      </c>
      <c r="C3" s="17">
        <f t="shared" ref="C3:C13" si="1">(((B3-$N$3)/$M$3)*$P$2)*193.8/1000</f>
        <v>51.047691674280237</v>
      </c>
      <c r="D3" s="17">
        <f>((44/100)*((Tabel4281020[[#This Row],[CFH12(g)]]*1000)/$Q$2))/(C3/$P$2*0.04)</f>
        <v>2.4379279175440312</v>
      </c>
      <c r="E3">
        <f>22/1000</f>
        <v>2.1999999999999999E-2</v>
      </c>
      <c r="F3">
        <v>0.26400000000000001</v>
      </c>
      <c r="G3" s="12">
        <f t="shared" si="0"/>
        <v>49.046121897948176</v>
      </c>
      <c r="H3" s="17">
        <f>((80/100)*((Tabel5791121[[#This Row],[PF(g)]]*1000)/$R$2))/(G3/$P$2*0.04)</f>
        <v>10.299196684552635</v>
      </c>
      <c r="J3" s="3">
        <v>0.5</v>
      </c>
      <c r="K3" s="4">
        <v>0.111</v>
      </c>
      <c r="M3" s="7">
        <f>SLOPE(K2:K11,J2:J11)</f>
        <v>2.0993186896038102E-2</v>
      </c>
      <c r="N3" s="10">
        <f>INTERCEPT(K2:K11,J2:J11)</f>
        <v>9.2473202710530444E-2</v>
      </c>
    </row>
    <row r="4" spans="1:18" x14ac:dyDescent="0.25">
      <c r="A4">
        <f>0.0199</f>
        <v>1.9900000000000001E-2</v>
      </c>
      <c r="B4">
        <v>0.27500000000000002</v>
      </c>
      <c r="C4" s="17">
        <f t="shared" si="1"/>
        <v>52.191445832184279</v>
      </c>
      <c r="D4" s="17">
        <f>((44/100)*((Tabel4281020[[#This Row],[CFH12(g)]]*1000)/$Q$2))/(C4/$P$2*0.04)</f>
        <v>2.3260580560512554</v>
      </c>
      <c r="E4">
        <v>2.01E-2</v>
      </c>
      <c r="F4">
        <v>0.27100000000000002</v>
      </c>
      <c r="G4" s="12">
        <f t="shared" si="0"/>
        <v>51.047691674280237</v>
      </c>
      <c r="H4" s="17">
        <f>((80/100)*((Tabel5791121[[#This Row],[PF(g)]]*1000)/$R$2))/(G4/$P$2*0.04)</f>
        <v>9.0407673450465253</v>
      </c>
      <c r="J4" s="3">
        <v>1</v>
      </c>
      <c r="K4" s="4">
        <v>0.10100000000000001</v>
      </c>
    </row>
    <row r="5" spans="1:18" x14ac:dyDescent="0.25">
      <c r="A5">
        <f>0.0306</f>
        <v>3.0599999999999999E-2</v>
      </c>
      <c r="B5">
        <v>0.253</v>
      </c>
      <c r="C5" s="17">
        <f t="shared" si="1"/>
        <v>45.900797963712094</v>
      </c>
      <c r="D5" s="17">
        <f>((44/100)*((Tabel4281020[[#This Row],[CFH12(g)]]*1000)/$Q$2))/(C5/$P$2*0.04)</f>
        <v>4.0669421288915828</v>
      </c>
      <c r="E5">
        <f>30.5/1000</f>
        <v>3.0499999999999999E-2</v>
      </c>
      <c r="F5">
        <v>0.26500000000000001</v>
      </c>
      <c r="G5" s="12">
        <f t="shared" si="0"/>
        <v>49.33206043742419</v>
      </c>
      <c r="H5" s="17">
        <f>((80/100)*((Tabel5791121[[#This Row],[PF(g)]]*1000)/$R$2))/(G5/$P$2*0.04)</f>
        <v>14.195671106317315</v>
      </c>
      <c r="J5" s="3">
        <v>2</v>
      </c>
      <c r="K5" s="4">
        <v>0.129</v>
      </c>
    </row>
    <row r="6" spans="1:18" x14ac:dyDescent="0.25">
      <c r="A6">
        <f>0.0311</f>
        <v>3.1099999999999999E-2</v>
      </c>
      <c r="B6">
        <v>0.251</v>
      </c>
      <c r="C6" s="17">
        <f>(((B6-$N$3)/$M$3)*$P$2)*193.8/1000</f>
        <v>45.328920884760073</v>
      </c>
      <c r="D6" s="17">
        <f>((44/100)*((Tabel4281020[[#This Row],[CFH12(g)]]*1000)/$Q$2))/(C6/$P$2*0.04)</f>
        <v>4.1855430243904586</v>
      </c>
      <c r="E6">
        <f>29.5/1000</f>
        <v>2.9499999999999998E-2</v>
      </c>
      <c r="F6">
        <v>0.28299999999999997</v>
      </c>
      <c r="G6" s="12">
        <f t="shared" si="0"/>
        <v>54.478954147992319</v>
      </c>
      <c r="H6" s="17">
        <f>((80/100)*((Tabel5791121[[#This Row],[PF(g)]]*1000)/$R$2))/(G6/$P$2*0.04)</f>
        <v>12.433076293799468</v>
      </c>
      <c r="J6" s="3">
        <v>3</v>
      </c>
      <c r="K6" s="4">
        <v>0.19</v>
      </c>
    </row>
    <row r="7" spans="1:18" x14ac:dyDescent="0.25">
      <c r="A7">
        <f>0.0321</f>
        <v>3.2099999999999997E-2</v>
      </c>
      <c r="B7">
        <v>0.252</v>
      </c>
      <c r="C7" s="17">
        <f t="shared" si="1"/>
        <v>45.614859424236087</v>
      </c>
      <c r="D7" s="17">
        <f>((44/100)*((Tabel4281020[[#This Row],[CFH12(g)]]*1000)/$Q$2))/(C7/$P$2*0.04)</f>
        <v>4.2930455192040666</v>
      </c>
      <c r="E7">
        <f>31.5/1000</f>
        <v>3.15E-2</v>
      </c>
      <c r="F7">
        <v>0.26600000000000001</v>
      </c>
      <c r="G7" s="12">
        <f t="shared" si="0"/>
        <v>49.617998976900196</v>
      </c>
      <c r="H7" s="17">
        <f>((80/100)*((Tabel5791121[[#This Row],[PF(g)]]*1000)/$R$2))/(G7/$P$2*0.04)</f>
        <v>14.576613961026712</v>
      </c>
      <c r="J7" s="3">
        <v>4</v>
      </c>
      <c r="K7" s="4">
        <v>0.16600000000000001</v>
      </c>
    </row>
    <row r="8" spans="1:18" x14ac:dyDescent="0.25">
      <c r="A8">
        <f>0.0406</f>
        <v>4.0599999999999997E-2</v>
      </c>
      <c r="B8">
        <v>0.252</v>
      </c>
      <c r="C8" s="17">
        <f t="shared" si="1"/>
        <v>45.614859424236087</v>
      </c>
      <c r="D8" s="17">
        <f>((44/100)*((Tabel4281020[[#This Row],[CFH12(g)]]*1000)/$Q$2))/(C8/$P$2*0.04)</f>
        <v>5.4298332735104404</v>
      </c>
      <c r="E8">
        <f>38.5/1000</f>
        <v>3.85E-2</v>
      </c>
      <c r="F8">
        <v>0.28000000000000003</v>
      </c>
      <c r="G8" s="12">
        <f t="shared" si="0"/>
        <v>53.621138529564313</v>
      </c>
      <c r="H8" s="17">
        <f>((80/100)*((Tabel5791121[[#This Row],[PF(g)]]*1000)/$R$2))/(G8/$P$2*0.04)</f>
        <v>16.485800606140714</v>
      </c>
      <c r="J8" s="3">
        <v>5</v>
      </c>
      <c r="K8" s="4">
        <v>0.19</v>
      </c>
    </row>
    <row r="9" spans="1:18" x14ac:dyDescent="0.25">
      <c r="A9">
        <f>0.0395</f>
        <v>3.95E-2</v>
      </c>
      <c r="B9">
        <v>0.25</v>
      </c>
      <c r="C9" s="17">
        <f t="shared" si="1"/>
        <v>45.042982345284074</v>
      </c>
      <c r="D9" s="17">
        <f>((44/100)*((Tabel4281020[[#This Row],[CFH12(g)]]*1000)/$Q$2))/(C9/$P$2*0.04)</f>
        <v>5.3497903058069465</v>
      </c>
      <c r="E9">
        <f>40.5/1000</f>
        <v>4.0500000000000001E-2</v>
      </c>
      <c r="F9">
        <v>0.27800000000000002</v>
      </c>
      <c r="G9" s="12">
        <f t="shared" si="0"/>
        <v>53.049261450612292</v>
      </c>
      <c r="H9" s="17">
        <f>((80/100)*((Tabel5791121[[#This Row],[PF(g)]]*1000)/$R$2))/(G9/$P$2*0.04)</f>
        <v>17.529156785997337</v>
      </c>
      <c r="J9" s="3">
        <v>10</v>
      </c>
      <c r="K9" s="4">
        <v>0.29899999999999999</v>
      </c>
    </row>
    <row r="10" spans="1:18" x14ac:dyDescent="0.25">
      <c r="A10">
        <f>0.041</f>
        <v>4.1000000000000002E-2</v>
      </c>
      <c r="B10">
        <v>0.252</v>
      </c>
      <c r="C10" s="17">
        <f t="shared" si="1"/>
        <v>45.614859424236087</v>
      </c>
      <c r="D10" s="17">
        <f>((44/100)*((Tabel4281020[[#This Row],[CFH12(g)]]*1000)/$Q$2))/(C10/$P$2*0.04)</f>
        <v>5.4833291678307408</v>
      </c>
      <c r="E10">
        <f>41.4/1000</f>
        <v>4.1399999999999999E-2</v>
      </c>
      <c r="F10">
        <v>0.25900000000000001</v>
      </c>
      <c r="G10" s="12">
        <f t="shared" si="0"/>
        <v>47.616429200568142</v>
      </c>
      <c r="H10" s="17">
        <f>((80/100)*((Tabel5791121[[#This Row],[PF(g)]]*1000)/$R$2))/(G10/$P$2*0.04)</f>
        <v>19.963140407265797</v>
      </c>
      <c r="J10" s="3">
        <v>20</v>
      </c>
      <c r="K10" s="4">
        <v>0.52800000000000002</v>
      </c>
    </row>
    <row r="11" spans="1:18" x14ac:dyDescent="0.25">
      <c r="A11">
        <f>0.0513</f>
        <v>5.1299999999999998E-2</v>
      </c>
      <c r="B11">
        <v>0.219</v>
      </c>
      <c r="C11" s="17">
        <f t="shared" si="1"/>
        <v>36.178887621527821</v>
      </c>
      <c r="D11" s="17">
        <f>((44/100)*((Tabel4281020[[#This Row],[CFH12(g)]]*1000)/$Q$2))/(C11/$P$2*0.04)</f>
        <v>8.650255936433048</v>
      </c>
      <c r="E11">
        <f>51.3/1000</f>
        <v>5.1299999999999998E-2</v>
      </c>
      <c r="F11">
        <v>0.25600000000000001</v>
      </c>
      <c r="G11" s="12">
        <f t="shared" si="0"/>
        <v>46.758613582140121</v>
      </c>
      <c r="H11" s="17">
        <f>((80/100)*((Tabel5791121[[#This Row],[PF(g)]]*1000)/$R$2))/(G11/$P$2*0.04)</f>
        <v>25.190749186202503</v>
      </c>
      <c r="J11" s="3">
        <v>25</v>
      </c>
      <c r="K11" s="4">
        <v>0.60599999999999998</v>
      </c>
    </row>
    <row r="12" spans="1:18" x14ac:dyDescent="0.25">
      <c r="A12">
        <f>0.0504</f>
        <v>5.04E-2</v>
      </c>
      <c r="B12">
        <v>0.22</v>
      </c>
      <c r="C12" s="17">
        <f t="shared" si="1"/>
        <v>36.464826161003835</v>
      </c>
      <c r="D12" s="17">
        <f>((44/100)*((Tabel4281020[[#This Row],[CFH12(g)]]*1000)/$Q$2))/(C12/$P$2*0.04)</f>
        <v>8.4318561876839038</v>
      </c>
      <c r="E12">
        <f>53.3/1000</f>
        <v>5.33E-2</v>
      </c>
      <c r="F12">
        <v>0.254</v>
      </c>
      <c r="G12" s="12">
        <f t="shared" si="0"/>
        <v>46.186736503188101</v>
      </c>
      <c r="H12" s="17">
        <f>((80/100)*((Tabel5791121[[#This Row],[PF(g)]]*1000)/$R$2))/(G12/$P$2*0.04)</f>
        <v>26.49691281466227</v>
      </c>
      <c r="J12" s="5"/>
      <c r="K12" s="6"/>
    </row>
    <row r="13" spans="1:18" x14ac:dyDescent="0.25">
      <c r="A13">
        <v>5.0599999999999999E-2</v>
      </c>
      <c r="B13">
        <v>0.217</v>
      </c>
      <c r="C13" s="17">
        <f t="shared" si="1"/>
        <v>35.607010542575807</v>
      </c>
      <c r="D13" s="17">
        <f>((44/100)*((Tabel4281020[[#This Row],[CFH12(g)]]*1000)/$Q$2))/(C13/$P$2*0.04)</f>
        <v>8.6692555551377914</v>
      </c>
      <c r="E13">
        <f>50.6/1000</f>
        <v>5.0599999999999999E-2</v>
      </c>
      <c r="F13">
        <v>0.26400000000000001</v>
      </c>
      <c r="G13" s="12">
        <f t="shared" si="0"/>
        <v>49.046121897948176</v>
      </c>
      <c r="H13" s="17">
        <f>((80/100)*((Tabel5791121[[#This Row],[PF(g)]]*1000)/$R$2))/(G13/$P$2*0.04)</f>
        <v>23.688152374471063</v>
      </c>
    </row>
    <row r="14" spans="1:18" x14ac:dyDescent="0.25">
      <c r="F14" s="23"/>
      <c r="G14" s="23"/>
    </row>
    <row r="15" spans="1:18" x14ac:dyDescent="0.25">
      <c r="A15" s="14" t="s">
        <v>6</v>
      </c>
      <c r="B15" s="14" t="s">
        <v>7</v>
      </c>
      <c r="C15" s="14" t="s">
        <v>1</v>
      </c>
      <c r="D15" s="14" t="s">
        <v>12</v>
      </c>
      <c r="F15" s="12"/>
      <c r="G15" s="12"/>
      <c r="H15" s="12"/>
    </row>
    <row r="16" spans="1:18" x14ac:dyDescent="0.25">
      <c r="A16">
        <v>0.29799999999999999</v>
      </c>
      <c r="C16" s="12">
        <f>(((A16-$N$3)/$M$3)*$P$2)*193.8/1000</f>
        <v>58.768032240132435</v>
      </c>
      <c r="D16" s="13">
        <v>64</v>
      </c>
      <c r="F16" s="12"/>
      <c r="G16" s="12"/>
      <c r="H16" s="12"/>
    </row>
    <row r="17" spans="1:8" x14ac:dyDescent="0.25">
      <c r="A17">
        <v>0.28799999999999998</v>
      </c>
      <c r="C17" s="12">
        <f>(((A17-$N$3)/$M$3)*$P$2)*193.8/1000</f>
        <v>55.90864684537236</v>
      </c>
      <c r="D17" s="13"/>
      <c r="F17" s="12"/>
      <c r="G17" s="12"/>
      <c r="H17" s="12"/>
    </row>
    <row r="18" spans="1:8" x14ac:dyDescent="0.25">
      <c r="A18" s="15">
        <v>0.29499999999999998</v>
      </c>
      <c r="C18" s="12">
        <f>(((A18-$N$3)/$M$3)*$P$2)*193.8/1000</f>
        <v>57.910216621704414</v>
      </c>
      <c r="D18" s="13"/>
      <c r="F18" s="12"/>
      <c r="G18" s="12"/>
      <c r="H18" s="12"/>
    </row>
    <row r="20" spans="1:8" x14ac:dyDescent="0.25">
      <c r="A20" t="s">
        <v>8</v>
      </c>
      <c r="B20" s="11" t="s">
        <v>15</v>
      </c>
    </row>
    <row r="21" spans="1:8" x14ac:dyDescent="0.25">
      <c r="A21" t="s">
        <v>9</v>
      </c>
      <c r="B21" s="11">
        <v>6.98</v>
      </c>
    </row>
    <row r="22" spans="1:8" x14ac:dyDescent="0.25">
      <c r="A22" t="s">
        <v>10</v>
      </c>
      <c r="B22" s="11">
        <v>193.8</v>
      </c>
    </row>
    <row r="23" spans="1:8" x14ac:dyDescent="0.25">
      <c r="A23" t="s">
        <v>14</v>
      </c>
      <c r="B23" s="11"/>
    </row>
    <row r="24" spans="1:8" x14ac:dyDescent="0.25">
      <c r="A24" t="s">
        <v>1</v>
      </c>
      <c r="B24" s="12">
        <f>57.53</f>
        <v>57.53</v>
      </c>
    </row>
  </sheetData>
  <mergeCells count="1">
    <mergeCell ref="F14:G1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B721-C689-6340-81F5-A194F15776EA}">
  <dimension ref="A1:P24"/>
  <sheetViews>
    <sheetView tabSelected="1" workbookViewId="0">
      <selection activeCell="I31" sqref="I31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4" width="10.42578125" customWidth="1"/>
    <col min="6" max="6" width="14.140625" customWidth="1"/>
    <col min="7" max="8" width="12.140625" customWidth="1"/>
    <col min="16" max="16" width="11" bestFit="1" customWidth="1"/>
  </cols>
  <sheetData>
    <row r="1" spans="1:16" x14ac:dyDescent="0.25">
      <c r="A1" t="s">
        <v>16</v>
      </c>
      <c r="B1" t="s">
        <v>11</v>
      </c>
      <c r="C1" t="s">
        <v>1</v>
      </c>
      <c r="D1" t="s">
        <v>18</v>
      </c>
      <c r="E1" t="s">
        <v>17</v>
      </c>
      <c r="F1" t="s">
        <v>13</v>
      </c>
      <c r="G1" t="s">
        <v>1</v>
      </c>
      <c r="H1" t="s">
        <v>18</v>
      </c>
      <c r="J1" s="1" t="s">
        <v>2</v>
      </c>
      <c r="K1" s="2" t="s">
        <v>0</v>
      </c>
      <c r="P1" s="8" t="s">
        <v>3</v>
      </c>
    </row>
    <row r="2" spans="1:16" x14ac:dyDescent="0.25">
      <c r="A2">
        <v>0.02</v>
      </c>
      <c r="B2">
        <v>0.25700000000000001</v>
      </c>
      <c r="C2" s="15">
        <f>(((B2-$N$3)/$M$3)*$P$2)*$B$22/1000</f>
        <v>46.680430201170182</v>
      </c>
      <c r="D2" s="17">
        <f>(($D$16-Tabel42[[#This Row],[mg/L]])*0.04)/Tabel42[[#This Row],[CFH12(g)]]</f>
        <v>34.659617192044806</v>
      </c>
      <c r="E2">
        <v>2.2100000000000002E-2</v>
      </c>
      <c r="F2">
        <v>0.27500000000000002</v>
      </c>
      <c r="G2" s="12">
        <f>(((Tabel57[[#This Row],[Absorbance ]]-$N$3)/$M$3)*$P$2)*$B$22/1000</f>
        <v>51.787487273111644</v>
      </c>
      <c r="H2" s="17">
        <f>(($D$16-Tabel57[[#This Row],[mg/L]])*0.04)/Tabel57[[#This Row],[PF(g)]]</f>
        <v>22.12262719290668</v>
      </c>
      <c r="J2" s="3">
        <v>0.25</v>
      </c>
      <c r="K2" s="4">
        <v>0.09</v>
      </c>
      <c r="M2" s="1" t="s">
        <v>4</v>
      </c>
      <c r="N2" s="2" t="s">
        <v>5</v>
      </c>
      <c r="P2" s="9">
        <v>30.974</v>
      </c>
    </row>
    <row r="3" spans="1:16" x14ac:dyDescent="0.25">
      <c r="A3">
        <v>0.02</v>
      </c>
      <c r="B3">
        <v>0.254</v>
      </c>
      <c r="C3" s="15">
        <f t="shared" ref="C3:C9" si="0">(((B3-$N$3)/$M$3)*$P$2)*$B$22/1000</f>
        <v>45.829254022513268</v>
      </c>
      <c r="D3" s="17">
        <f>(($D$16-Tabel42[[#This Row],[mg/L]])*0.04)/Tabel42[[#This Row],[CFH12(g)]]</f>
        <v>36.361969549358633</v>
      </c>
      <c r="E3">
        <v>2.0299999999999999E-2</v>
      </c>
      <c r="F3">
        <v>0.27100000000000002</v>
      </c>
      <c r="G3" s="12">
        <f>(((Tabel57[[#This Row],[Absorbance ]]-$N$3)/$M$3)*$P$2)*$B$22/1000</f>
        <v>50.652585701569087</v>
      </c>
      <c r="H3" s="17">
        <f>(($D$16-Tabel57[[#This Row],[mg/L]])*0.04)/Tabel57[[#This Row],[PF(g)]]</f>
        <v>26.320498710588176</v>
      </c>
      <c r="J3" s="3">
        <v>0.5</v>
      </c>
      <c r="K3" s="4">
        <v>0.111</v>
      </c>
      <c r="M3" s="7">
        <f>SLOPE(K2:K11,J2:J11)</f>
        <v>2.0993186896038102E-2</v>
      </c>
      <c r="N3" s="10">
        <f>INTERCEPT(K2:K11,J2:J11)</f>
        <v>9.2473202710530444E-2</v>
      </c>
    </row>
    <row r="4" spans="1:16" x14ac:dyDescent="0.25">
      <c r="A4">
        <v>0.02</v>
      </c>
      <c r="B4">
        <v>0.251</v>
      </c>
      <c r="C4" s="15">
        <f>(((B4-$N$3)/$M$3)*$P$2)*$B$22/1000</f>
        <v>44.978077843856354</v>
      </c>
      <c r="D4" s="17">
        <f>(($D$16-Tabel42[[#This Row],[mg/L]])*0.04)/Tabel42[[#This Row],[CFH12(g)]]</f>
        <v>38.064321906672461</v>
      </c>
      <c r="E4">
        <v>2.1100000000000001E-2</v>
      </c>
      <c r="F4">
        <v>0.27800000000000002</v>
      </c>
      <c r="G4" s="12">
        <f>(((Tabel57[[#This Row],[Absorbance ]]-$N$3)/$M$3)*$P$2)*$B$22/1000</f>
        <v>52.638663451768544</v>
      </c>
      <c r="H4" s="17">
        <f>(($D$16-Tabel57[[#This Row],[mg/L]])*0.04)/Tabel57[[#This Row],[PF(g)]]</f>
        <v>21.557488806491072</v>
      </c>
      <c r="J4" s="3">
        <v>1</v>
      </c>
      <c r="K4" s="4">
        <v>0.10100000000000001</v>
      </c>
    </row>
    <row r="5" spans="1:16" x14ac:dyDescent="0.25">
      <c r="A5">
        <v>0.03</v>
      </c>
      <c r="B5">
        <v>0.23400000000000001</v>
      </c>
      <c r="C5" s="15">
        <f t="shared" si="0"/>
        <v>40.154746164800557</v>
      </c>
      <c r="D5" s="17">
        <f>(($D$16-Tabel42[[#This Row],[mg/L]])*0.04)/Tabel42[[#This Row],[CFH12(g)]]</f>
        <v>31.807323509856037</v>
      </c>
      <c r="E5">
        <v>3.1399999999999997E-2</v>
      </c>
      <c r="F5">
        <v>0.24399999999999999</v>
      </c>
      <c r="G5" s="12">
        <f>(((Tabel57[[#This Row],[Absorbance ]]-$N$3)/$M$3)*$P$2)*$B$22/1000</f>
        <v>42.992000093656905</v>
      </c>
      <c r="H5" s="17">
        <f>(($D$16-Tabel57[[#This Row],[mg/L]])*0.04)/Tabel57[[#This Row],[PF(g)]]</f>
        <v>26.774826373930804</v>
      </c>
      <c r="J5" s="3">
        <v>2</v>
      </c>
      <c r="K5" s="4">
        <v>0.129</v>
      </c>
    </row>
    <row r="6" spans="1:16" x14ac:dyDescent="0.25">
      <c r="A6">
        <v>0.03</v>
      </c>
      <c r="B6">
        <v>0.23499999999999999</v>
      </c>
      <c r="C6" s="15">
        <f t="shared" si="0"/>
        <v>40.438471557686171</v>
      </c>
      <c r="D6" s="17">
        <f>(($D$16-Tabel42[[#This Row],[mg/L]])*0.04)/Tabel42[[#This Row],[CFH12(g)]]</f>
        <v>31.429022986008551</v>
      </c>
      <c r="E6">
        <v>3.04E-2</v>
      </c>
      <c r="F6">
        <v>0.251</v>
      </c>
      <c r="G6" s="12">
        <f>(((Tabel57[[#This Row],[Absorbance ]]-$N$3)/$M$3)*$P$2)*$B$22/1000</f>
        <v>44.978077843856354</v>
      </c>
      <c r="H6" s="17">
        <f>(($D$16-Tabel57[[#This Row],[mg/L]])*0.04)/Tabel57[[#This Row],[PF(g)]]</f>
        <v>25.042317043863459</v>
      </c>
      <c r="J6" s="3">
        <v>3</v>
      </c>
      <c r="K6" s="4">
        <v>0.19</v>
      </c>
    </row>
    <row r="7" spans="1:16" x14ac:dyDescent="0.25">
      <c r="A7">
        <v>0.03</v>
      </c>
      <c r="B7">
        <v>0.25700000000000001</v>
      </c>
      <c r="C7" s="15">
        <f t="shared" si="0"/>
        <v>46.680430201170182</v>
      </c>
      <c r="D7" s="17">
        <f>(($D$16-Tabel42[[#This Row],[mg/L]])*0.04)/Tabel42[[#This Row],[CFH12(g)]]</f>
        <v>23.106411461363205</v>
      </c>
      <c r="E7">
        <v>3.1199999999999999E-2</v>
      </c>
      <c r="F7">
        <v>0.27200000000000002</v>
      </c>
      <c r="G7" s="12">
        <f>(((Tabel57[[#This Row],[Absorbance ]]-$N$3)/$M$3)*$P$2)*$B$22/1000</f>
        <v>50.936311094454723</v>
      </c>
      <c r="H7" s="17">
        <f>(($D$16-Tabel57[[#This Row],[mg/L]])*0.04)/Tabel57[[#This Row],[PF(g)]]</f>
        <v>16.761445772740849</v>
      </c>
      <c r="J7" s="3">
        <v>4</v>
      </c>
      <c r="K7" s="4">
        <v>0.16600000000000001</v>
      </c>
    </row>
    <row r="8" spans="1:16" x14ac:dyDescent="0.25">
      <c r="A8">
        <v>0.04</v>
      </c>
      <c r="B8">
        <v>0.25700000000000001</v>
      </c>
      <c r="C8" s="15">
        <f t="shared" si="0"/>
        <v>46.680430201170182</v>
      </c>
      <c r="D8" s="17">
        <f>(($D$16-Tabel42[[#This Row],[mg/L]])*0.04)/Tabel42[[#This Row],[CFH12(g)]]</f>
        <v>17.329808596022403</v>
      </c>
      <c r="E8">
        <v>4.1099999999999998E-2</v>
      </c>
      <c r="F8">
        <v>0.24</v>
      </c>
      <c r="G8" s="12">
        <f>(((Tabel57[[#This Row],[Absorbance ]]-$N$3)/$M$3)*$P$2)*$B$22/1000</f>
        <v>41.857098522114356</v>
      </c>
      <c r="H8" s="17">
        <f>(($D$16-Tabel57[[#This Row],[mg/L]])*0.04)/Tabel57[[#This Row],[PF(g)]]</f>
        <v>21.560233844358375</v>
      </c>
      <c r="J8" s="3">
        <v>5</v>
      </c>
      <c r="K8" s="4">
        <v>0.19</v>
      </c>
    </row>
    <row r="9" spans="1:16" x14ac:dyDescent="0.25">
      <c r="A9">
        <v>0.04</v>
      </c>
      <c r="B9">
        <v>0.23100000000000001</v>
      </c>
      <c r="C9" s="15">
        <f t="shared" si="0"/>
        <v>39.303569986143643</v>
      </c>
      <c r="D9" s="17">
        <f>(($D$16-Tabel42[[#This Row],[mg/L]])*0.04)/Tabel42[[#This Row],[CFH12(g)]]</f>
        <v>24.706668811048942</v>
      </c>
      <c r="E9">
        <v>4.07E-2</v>
      </c>
      <c r="F9">
        <v>0.28799999999999998</v>
      </c>
      <c r="G9" s="12">
        <f>(((Tabel57[[#This Row],[Absorbance ]]-$N$3)/$M$3)*$P$2)*$B$22/1000</f>
        <v>55.475917380624892</v>
      </c>
      <c r="H9" s="17">
        <f>(($D$16-Tabel57[[#This Row],[mg/L]])*0.04)/Tabel57[[#This Row],[PF(g)]]</f>
        <v>8.387539475742205</v>
      </c>
      <c r="J9" s="3">
        <v>10</v>
      </c>
      <c r="K9" s="4">
        <v>0.29899999999999999</v>
      </c>
    </row>
    <row r="10" spans="1:16" x14ac:dyDescent="0.25">
      <c r="A10">
        <v>0.04</v>
      </c>
      <c r="B10">
        <v>0.26100000000000001</v>
      </c>
      <c r="C10" s="15">
        <f>(((B10-$N$3)/$M$3)*$P$2)*$B$22/1000</f>
        <v>47.815331772712725</v>
      </c>
      <c r="D10" s="17">
        <f>(($D$16-Tabel42[[#This Row],[mg/L]])*0.04)/Tabel42[[#This Row],[CFH12(g)]]</f>
        <v>16.194907024479861</v>
      </c>
      <c r="E10">
        <v>4.1300000000000003E-2</v>
      </c>
      <c r="F10">
        <v>0.251</v>
      </c>
      <c r="G10" s="12">
        <f>(((Tabel57[[#This Row],[Absorbance ]]-$N$3)/$M$3)*$P$2)*$B$22/1000</f>
        <v>44.978077843856354</v>
      </c>
      <c r="H10" s="17">
        <f>(($D$16-Tabel57[[#This Row],[mg/L]])*0.04)/Tabel57[[#This Row],[PF(g)]]</f>
        <v>18.433085669090779</v>
      </c>
      <c r="J10" s="3">
        <v>20</v>
      </c>
      <c r="K10" s="4">
        <v>0.52800000000000002</v>
      </c>
    </row>
    <row r="11" spans="1:16" x14ac:dyDescent="0.25">
      <c r="A11">
        <v>0.05</v>
      </c>
      <c r="B11">
        <v>0.22900000000000001</v>
      </c>
      <c r="C11" s="15">
        <f t="shared" ref="C11:C13" si="1">(((B11-$N$3)/$M$3)*$P$2)*$B$22/1000</f>
        <v>38.736119200372364</v>
      </c>
      <c r="D11" s="17">
        <f>(($D$16-Tabel42[[#This Row],[mg/L]])*0.04)/Tabel42[[#This Row],[CFH12(g)]]</f>
        <v>20.219295677456177</v>
      </c>
      <c r="E11">
        <v>5.1999999999999998E-2</v>
      </c>
      <c r="F11">
        <v>0.22</v>
      </c>
      <c r="G11" s="12">
        <f>(((Tabel57[[#This Row],[Absorbance ]]-$N$3)/$M$3)*$P$2)*$B$22/1000</f>
        <v>36.182590664401637</v>
      </c>
      <c r="H11" s="17">
        <f>(($D$16-Tabel57[[#This Row],[mg/L]])*0.04)/Tabel57[[#This Row],[PF(g)]]</f>
        <v>21.405883179069964</v>
      </c>
      <c r="J11" s="3">
        <v>25</v>
      </c>
      <c r="K11" s="4">
        <v>0.60599999999999998</v>
      </c>
    </row>
    <row r="12" spans="1:16" x14ac:dyDescent="0.25">
      <c r="A12">
        <v>0.05</v>
      </c>
      <c r="B12">
        <v>0.23100000000000001</v>
      </c>
      <c r="C12" s="15">
        <f t="shared" si="1"/>
        <v>39.303569986143643</v>
      </c>
      <c r="D12" s="17">
        <f>(($D$16-Tabel42[[#This Row],[mg/L]])*0.04)/Tabel42[[#This Row],[CFH12(g)]]</f>
        <v>19.765335048839152</v>
      </c>
      <c r="E12">
        <v>5.1400000000000001E-2</v>
      </c>
      <c r="F12">
        <v>0.218</v>
      </c>
      <c r="G12" s="12">
        <f>(((Tabel57[[#This Row],[Absorbance ]]-$N$3)/$M$3)*$P$2)*$B$22/1000</f>
        <v>35.615139878630366</v>
      </c>
      <c r="H12" s="17">
        <f>(($D$16-Tabel57[[#This Row],[mg/L]])*0.04)/Tabel57[[#This Row],[PF(g)]]</f>
        <v>22.097353244017288</v>
      </c>
      <c r="J12" s="5"/>
      <c r="K12" s="6"/>
    </row>
    <row r="13" spans="1:16" x14ac:dyDescent="0.25">
      <c r="A13">
        <v>0.05</v>
      </c>
      <c r="B13">
        <v>0.23200000000000001</v>
      </c>
      <c r="C13" s="15">
        <f t="shared" si="1"/>
        <v>39.587295379029271</v>
      </c>
      <c r="D13" s="17">
        <f>(($D$16-Tabel42[[#This Row],[mg/L]])*0.04)/Tabel42[[#This Row],[CFH12(g)]]</f>
        <v>19.53835473453065</v>
      </c>
      <c r="E13">
        <v>5.11E-2</v>
      </c>
      <c r="F13">
        <v>0.23300000000000001</v>
      </c>
      <c r="G13" s="12">
        <f>(((Tabel57[[#This Row],[Absorbance ]]-$N$3)/$M$3)*$P$2)*$B$22/1000</f>
        <v>39.871020771914914</v>
      </c>
      <c r="H13" s="17">
        <f>(($D$16-Tabel57[[#This Row],[mg/L]])*0.04)/Tabel57[[#This Row],[PF(g)]]</f>
        <v>18.895669687105812</v>
      </c>
    </row>
    <row r="15" spans="1:16" x14ac:dyDescent="0.25">
      <c r="A15" s="14" t="s">
        <v>6</v>
      </c>
      <c r="B15" s="14" t="s">
        <v>7</v>
      </c>
      <c r="C15" s="14" t="s">
        <v>1</v>
      </c>
      <c r="D15" s="14" t="s">
        <v>12</v>
      </c>
      <c r="F15" s="23"/>
      <c r="G15" s="23"/>
    </row>
    <row r="16" spans="1:16" x14ac:dyDescent="0.25">
      <c r="A16">
        <v>0.318</v>
      </c>
      <c r="C16" s="12">
        <f>(((A16-$N$3)/$M$3)*$P$2)*193.8/1000</f>
        <v>64.486803029652592</v>
      </c>
      <c r="D16" s="22">
        <f>AVERAGE(C16:C18)</f>
        <v>64.010238797192585</v>
      </c>
      <c r="F16" s="12"/>
      <c r="G16" s="12"/>
      <c r="H16" s="12"/>
    </row>
    <row r="17" spans="1:8" x14ac:dyDescent="0.25">
      <c r="A17">
        <v>0.317</v>
      </c>
      <c r="C17" s="12">
        <f>(((A17-$N$3)/$M$3)*$P$2)*193.8/1000</f>
        <v>64.200864490176585</v>
      </c>
      <c r="D17" s="22"/>
      <c r="F17" s="12"/>
      <c r="G17" s="12"/>
      <c r="H17" s="12"/>
    </row>
    <row r="18" spans="1:8" x14ac:dyDescent="0.25">
      <c r="A18" s="15">
        <v>0.314</v>
      </c>
      <c r="C18" s="12">
        <f>(((A18-$N$3)/$M$3)*$P$2)*193.8/1000</f>
        <v>63.343048871748572</v>
      </c>
      <c r="D18" s="22"/>
      <c r="F18" s="12"/>
      <c r="G18" s="12"/>
      <c r="H18" s="12"/>
    </row>
    <row r="19" spans="1:8" x14ac:dyDescent="0.25">
      <c r="F19" s="12"/>
      <c r="G19" s="12"/>
      <c r="H19" s="12"/>
    </row>
    <row r="20" spans="1:8" x14ac:dyDescent="0.25">
      <c r="A20" t="s">
        <v>8</v>
      </c>
      <c r="B20" s="11" t="s">
        <v>15</v>
      </c>
    </row>
    <row r="21" spans="1:8" x14ac:dyDescent="0.25">
      <c r="A21" t="s">
        <v>9</v>
      </c>
      <c r="B21" s="11">
        <v>6.98</v>
      </c>
    </row>
    <row r="22" spans="1:8" x14ac:dyDescent="0.25">
      <c r="A22" t="s">
        <v>10</v>
      </c>
      <c r="B22" s="11">
        <v>192.3</v>
      </c>
    </row>
    <row r="23" spans="1:8" x14ac:dyDescent="0.25">
      <c r="A23" t="s">
        <v>14</v>
      </c>
      <c r="B23" s="11"/>
    </row>
    <row r="24" spans="1:8" x14ac:dyDescent="0.25">
      <c r="A24" t="s">
        <v>1</v>
      </c>
      <c r="B24" s="12">
        <v>60.01</v>
      </c>
    </row>
  </sheetData>
  <mergeCells count="2">
    <mergeCell ref="F15:G15"/>
    <mergeCell ref="D16:D1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3670-2B1A-EB47-BA41-7987E2365D50}">
  <dimension ref="A1:P24"/>
  <sheetViews>
    <sheetView workbookViewId="0">
      <selection activeCell="H21" sqref="H21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4" width="10.42578125" customWidth="1"/>
    <col min="6" max="6" width="14.140625" customWidth="1"/>
    <col min="7" max="8" width="12.140625" customWidth="1"/>
    <col min="16" max="16" width="11" bestFit="1" customWidth="1"/>
  </cols>
  <sheetData>
    <row r="1" spans="1:16" x14ac:dyDescent="0.25">
      <c r="A1" t="s">
        <v>16</v>
      </c>
      <c r="B1" t="s">
        <v>11</v>
      </c>
      <c r="C1" t="s">
        <v>1</v>
      </c>
      <c r="D1" t="s">
        <v>18</v>
      </c>
      <c r="E1" t="s">
        <v>17</v>
      </c>
      <c r="F1" t="s">
        <v>13</v>
      </c>
      <c r="G1" t="s">
        <v>1</v>
      </c>
      <c r="H1" t="s">
        <v>18</v>
      </c>
      <c r="J1" s="1" t="s">
        <v>2</v>
      </c>
      <c r="K1" s="2" t="s">
        <v>0</v>
      </c>
      <c r="P1" s="8" t="s">
        <v>3</v>
      </c>
    </row>
    <row r="2" spans="1:16" x14ac:dyDescent="0.25">
      <c r="A2">
        <f>0.0194</f>
        <v>1.9400000000000001E-2</v>
      </c>
      <c r="B2">
        <v>0.27600000000000002</v>
      </c>
      <c r="C2" s="17">
        <f>(((B2-$N$3)/$M$3)*$P$2)*193.8/1000</f>
        <v>52.477384371660285</v>
      </c>
      <c r="D2" s="17">
        <f>(($D$16-Tabel42810[[#This Row],[mg/L]])*0.04)/Tabel42810[[#This Row],[CFH12(g)]]</f>
        <v>23.757970367710751</v>
      </c>
      <c r="E2">
        <f>23/1000</f>
        <v>2.3E-2</v>
      </c>
      <c r="F2">
        <v>0.26800000000000002</v>
      </c>
      <c r="G2" s="12">
        <f t="shared" ref="G2:G13" si="0">(((F2-$N$3)/$M$3)*$P$2)*$B$22/1000</f>
        <v>50.189876055852203</v>
      </c>
      <c r="H2" s="17">
        <f>(($D$16-Tabel57911[[#This Row],[mg/L]])*0.04)/Tabel57911[[#This Row],[PF(g)]]</f>
        <v>24.017606859387474</v>
      </c>
      <c r="J2" s="3">
        <v>0.25</v>
      </c>
      <c r="K2" s="4">
        <v>0.09</v>
      </c>
      <c r="M2" s="1" t="s">
        <v>4</v>
      </c>
      <c r="N2" s="2" t="s">
        <v>5</v>
      </c>
      <c r="P2" s="9">
        <v>30.974</v>
      </c>
    </row>
    <row r="3" spans="1:16" x14ac:dyDescent="0.25">
      <c r="A3">
        <f>0.0204</f>
        <v>2.0400000000000001E-2</v>
      </c>
      <c r="B3">
        <v>0.27100000000000002</v>
      </c>
      <c r="C3" s="17">
        <f t="shared" ref="C3:C13" si="1">(((B3-$N$3)/$M$3)*$P$2)*193.8/1000</f>
        <v>51.047691674280237</v>
      </c>
      <c r="D3" s="17">
        <f>(($D$16-Tabel42810[[#This Row],[mg/L]])*0.04)/Tabel42810[[#This Row],[CFH12(g)]]</f>
        <v>25.396682991607378</v>
      </c>
      <c r="E3">
        <f>22/1000</f>
        <v>2.1999999999999999E-2</v>
      </c>
      <c r="F3">
        <v>0.26400000000000001</v>
      </c>
      <c r="G3" s="12">
        <f t="shared" si="0"/>
        <v>49.046121897948176</v>
      </c>
      <c r="H3" s="17">
        <f>(($D$16-Tabel57911[[#This Row],[mg/L]])*0.04)/Tabel57911[[#This Row],[PF(g)]]</f>
        <v>27.188869276457861</v>
      </c>
      <c r="J3" s="3">
        <v>0.5</v>
      </c>
      <c r="K3" s="4">
        <v>0.111</v>
      </c>
      <c r="M3" s="7">
        <f>SLOPE(K2:K11,J2:J11)</f>
        <v>2.0993186896038102E-2</v>
      </c>
      <c r="N3" s="10">
        <f>INTERCEPT(K2:K11,J2:J11)</f>
        <v>9.2473202710530444E-2</v>
      </c>
    </row>
    <row r="4" spans="1:16" x14ac:dyDescent="0.25">
      <c r="A4">
        <f>0.0199</f>
        <v>1.9900000000000001E-2</v>
      </c>
      <c r="B4">
        <v>0.27500000000000002</v>
      </c>
      <c r="C4" s="17">
        <f t="shared" si="1"/>
        <v>52.191445832184279</v>
      </c>
      <c r="D4" s="17">
        <f>(($D$16-Tabel42810[[#This Row],[mg/L]])*0.04)/Tabel42810[[#This Row],[CFH12(g)]]</f>
        <v>23.735787271991398</v>
      </c>
      <c r="E4">
        <v>2.01E-2</v>
      </c>
      <c r="F4">
        <v>0.27100000000000002</v>
      </c>
      <c r="G4" s="12">
        <f t="shared" si="0"/>
        <v>51.047691674280237</v>
      </c>
      <c r="H4" s="17">
        <f>(($D$16-Tabel57911[[#This Row],[mg/L]])*0.04)/Tabel57911[[#This Row],[PF(g)]]</f>
        <v>25.775737961631371</v>
      </c>
      <c r="J4" s="3">
        <v>1</v>
      </c>
      <c r="K4" s="4">
        <v>0.10100000000000001</v>
      </c>
    </row>
    <row r="5" spans="1:16" x14ac:dyDescent="0.25">
      <c r="A5">
        <f>0.0306</f>
        <v>3.0599999999999999E-2</v>
      </c>
      <c r="B5">
        <v>0.253</v>
      </c>
      <c r="C5" s="17">
        <f t="shared" si="1"/>
        <v>45.900797963712094</v>
      </c>
      <c r="D5" s="17">
        <f>(($D$16-Tabel42810[[#This Row],[mg/L]])*0.04)/Tabel42810[[#This Row],[CFH12(g)]]</f>
        <v>23.659087629134518</v>
      </c>
      <c r="E5">
        <f>30.5/1000</f>
        <v>3.0499999999999999E-2</v>
      </c>
      <c r="F5">
        <v>0.26500000000000001</v>
      </c>
      <c r="G5" s="12">
        <f t="shared" si="0"/>
        <v>49.33206043742419</v>
      </c>
      <c r="H5" s="17">
        <f>(($D$16-Tabel57911[[#This Row],[mg/L]])*0.04)/Tabel57911[[#This Row],[PF(g)]]</f>
        <v>19.236642049279752</v>
      </c>
      <c r="J5" s="3">
        <v>2</v>
      </c>
      <c r="K5" s="4">
        <v>0.129</v>
      </c>
    </row>
    <row r="6" spans="1:16" x14ac:dyDescent="0.25">
      <c r="A6">
        <f>0.0311</f>
        <v>3.1099999999999999E-2</v>
      </c>
      <c r="B6">
        <v>0.251</v>
      </c>
      <c r="C6" s="17">
        <f>(((B6-$N$3)/$M$3)*$P$2)*193.8/1000</f>
        <v>45.328920884760073</v>
      </c>
      <c r="D6" s="17">
        <f>(($D$16-Tabel42810[[#This Row],[mg/L]])*0.04)/Tabel42810[[#This Row],[CFH12(g)]]</f>
        <v>24.014249665903446</v>
      </c>
      <c r="E6">
        <f>29.5/1000</f>
        <v>2.9499999999999998E-2</v>
      </c>
      <c r="F6">
        <v>0.28299999999999997</v>
      </c>
      <c r="G6" s="12">
        <f t="shared" si="0"/>
        <v>54.478954147992319</v>
      </c>
      <c r="H6" s="17">
        <f>(($D$16-Tabel57911[[#This Row],[mg/L]])*0.04)/Tabel57911[[#This Row],[PF(g)]]</f>
        <v>12.909892680688381</v>
      </c>
      <c r="J6" s="3">
        <v>3</v>
      </c>
      <c r="K6" s="4">
        <v>0.19</v>
      </c>
    </row>
    <row r="7" spans="1:16" x14ac:dyDescent="0.25">
      <c r="A7">
        <f>0.0321</f>
        <v>3.2099999999999997E-2</v>
      </c>
      <c r="B7">
        <v>0.252</v>
      </c>
      <c r="C7" s="17">
        <f t="shared" si="1"/>
        <v>45.614859424236087</v>
      </c>
      <c r="D7" s="17">
        <f>(($D$16-Tabel42810[[#This Row],[mg/L]])*0.04)/Tabel42810[[#This Row],[CFH12(g)]]</f>
        <v>22.909832493163758</v>
      </c>
      <c r="E7">
        <f>31.5/1000</f>
        <v>3.15E-2</v>
      </c>
      <c r="F7">
        <v>0.26600000000000001</v>
      </c>
      <c r="G7" s="12">
        <f t="shared" si="0"/>
        <v>49.617998976900196</v>
      </c>
      <c r="H7" s="17">
        <f>(($D$16-Tabel57911[[#This Row],[mg/L]])*0.04)/Tabel57911[[#This Row],[PF(g)]]</f>
        <v>18.262858442031497</v>
      </c>
      <c r="J7" s="3">
        <v>4</v>
      </c>
      <c r="K7" s="4">
        <v>0.16600000000000001</v>
      </c>
    </row>
    <row r="8" spans="1:16" x14ac:dyDescent="0.25">
      <c r="A8">
        <f>0.0406</f>
        <v>4.0599999999999997E-2</v>
      </c>
      <c r="B8">
        <v>0.252</v>
      </c>
      <c r="C8" s="17">
        <f t="shared" si="1"/>
        <v>45.614859424236087</v>
      </c>
      <c r="D8" s="17">
        <f>(($D$16-Tabel42810[[#This Row],[mg/L]])*0.04)/Tabel42810[[#This Row],[CFH12(g)]]</f>
        <v>18.113438990900409</v>
      </c>
      <c r="E8">
        <f>38.5/1000</f>
        <v>3.85E-2</v>
      </c>
      <c r="F8">
        <v>0.28000000000000003</v>
      </c>
      <c r="G8" s="12">
        <f t="shared" si="0"/>
        <v>53.621138529564313</v>
      </c>
      <c r="H8" s="17">
        <f>(($D$16-Tabel57911[[#This Row],[mg/L]])*0.04)/Tabel57911[[#This Row],[PF(g)]]</f>
        <v>10.78323269655656</v>
      </c>
      <c r="J8" s="3">
        <v>5</v>
      </c>
      <c r="K8" s="4">
        <v>0.19</v>
      </c>
    </row>
    <row r="9" spans="1:16" x14ac:dyDescent="0.25">
      <c r="A9">
        <f>0.0395</f>
        <v>3.95E-2</v>
      </c>
      <c r="B9">
        <v>0.25</v>
      </c>
      <c r="C9" s="17">
        <f t="shared" si="1"/>
        <v>45.042982345284074</v>
      </c>
      <c r="D9" s="17">
        <f>(($D$16-Tabel42810[[#This Row],[mg/L]])*0.04)/Tabel42810[[#This Row],[CFH12(g)]]</f>
        <v>19.196979903509799</v>
      </c>
      <c r="E9">
        <f>40.5/1000</f>
        <v>4.0500000000000001E-2</v>
      </c>
      <c r="F9">
        <v>0.27800000000000002</v>
      </c>
      <c r="G9" s="12">
        <f t="shared" si="0"/>
        <v>53.049261450612292</v>
      </c>
      <c r="H9" s="17">
        <f>(($D$16-Tabel57911[[#This Row],[mg/L]])*0.04)/Tabel57911[[#This Row],[PF(g)]]</f>
        <v>10.815544246308846</v>
      </c>
      <c r="J9" s="3">
        <v>10</v>
      </c>
      <c r="K9" s="4">
        <v>0.29899999999999999</v>
      </c>
    </row>
    <row r="10" spans="1:16" x14ac:dyDescent="0.25">
      <c r="A10">
        <f>0.041</f>
        <v>4.1000000000000002E-2</v>
      </c>
      <c r="B10">
        <v>0.252</v>
      </c>
      <c r="C10" s="17">
        <f t="shared" si="1"/>
        <v>45.614859424236087</v>
      </c>
      <c r="D10" s="17">
        <f>(($D$16-Tabel42810[[#This Row],[mg/L]])*0.04)/Tabel42810[[#This Row],[CFH12(g)]]</f>
        <v>17.936722512940403</v>
      </c>
      <c r="E10">
        <f>41.4/1000</f>
        <v>4.1399999999999999E-2</v>
      </c>
      <c r="F10">
        <v>0.25900000000000001</v>
      </c>
      <c r="G10" s="12">
        <f t="shared" si="0"/>
        <v>47.616429200568142</v>
      </c>
      <c r="H10" s="17">
        <f>(($D$16-Tabel57911[[#This Row],[mg/L]])*0.04)/Tabel57911[[#This Row],[PF(g)]]</f>
        <v>15.82953700428199</v>
      </c>
      <c r="J10" s="3">
        <v>20</v>
      </c>
      <c r="K10" s="4">
        <v>0.52800000000000002</v>
      </c>
    </row>
    <row r="11" spans="1:16" x14ac:dyDescent="0.25">
      <c r="A11">
        <f>0.0513</f>
        <v>5.1299999999999998E-2</v>
      </c>
      <c r="B11">
        <v>0.219</v>
      </c>
      <c r="C11" s="17">
        <f t="shared" si="1"/>
        <v>36.178887621527821</v>
      </c>
      <c r="D11" s="17">
        <f>(($D$16-Tabel42810[[#This Row],[mg/L]])*0.04)/Tabel42810[[#This Row],[CFH12(g)]]</f>
        <v>21.692875148906182</v>
      </c>
      <c r="E11">
        <f>51.3/1000</f>
        <v>5.1299999999999998E-2</v>
      </c>
      <c r="F11">
        <v>0.25600000000000001</v>
      </c>
      <c r="G11" s="12">
        <f t="shared" si="0"/>
        <v>46.758613582140121</v>
      </c>
      <c r="H11" s="17">
        <f>(($D$16-Tabel57911[[#This Row],[mg/L]])*0.04)/Tabel57911[[#This Row],[PF(g)]]</f>
        <v>13.443576154276711</v>
      </c>
      <c r="J11" s="3">
        <v>25</v>
      </c>
      <c r="K11" s="4">
        <v>0.60599999999999998</v>
      </c>
    </row>
    <row r="12" spans="1:16" x14ac:dyDescent="0.25">
      <c r="A12">
        <f>0.0504</f>
        <v>5.04E-2</v>
      </c>
      <c r="B12">
        <v>0.22</v>
      </c>
      <c r="C12" s="17">
        <f t="shared" si="1"/>
        <v>36.464826161003835</v>
      </c>
      <c r="D12" s="17">
        <f>(($D$16-Tabel42810[[#This Row],[mg/L]])*0.04)/Tabel42810[[#This Row],[CFH12(g)]]</f>
        <v>21.853312570631878</v>
      </c>
      <c r="E12">
        <f>53.3/1000</f>
        <v>5.33E-2</v>
      </c>
      <c r="F12">
        <v>0.254</v>
      </c>
      <c r="G12" s="12">
        <f t="shared" si="0"/>
        <v>46.186736503188101</v>
      </c>
      <c r="H12" s="17">
        <f>(($D$16-Tabel57911[[#This Row],[mg/L]])*0.04)/Tabel57911[[#This Row],[PF(g)]]</f>
        <v>13.368302811866341</v>
      </c>
      <c r="J12" s="5"/>
      <c r="K12" s="6"/>
    </row>
    <row r="13" spans="1:16" x14ac:dyDescent="0.25">
      <c r="A13">
        <v>5.0599999999999999E-2</v>
      </c>
      <c r="B13">
        <v>0.217</v>
      </c>
      <c r="C13" s="17">
        <f t="shared" si="1"/>
        <v>35.607010542575807</v>
      </c>
      <c r="D13" s="17">
        <f>(($D$16-Tabel42810[[#This Row],[mg/L]])*0.04)/Tabel42810[[#This Row],[CFH12(g)]]</f>
        <v>22.445050954485531</v>
      </c>
      <c r="E13">
        <f>50.6/1000</f>
        <v>5.0599999999999999E-2</v>
      </c>
      <c r="F13">
        <v>0.26400000000000001</v>
      </c>
      <c r="G13" s="12">
        <f t="shared" si="0"/>
        <v>49.046121897948176</v>
      </c>
      <c r="H13" s="17">
        <f>(($D$16-Tabel57911[[#This Row],[mg/L]])*0.04)/Tabel57911[[#This Row],[PF(g)]]</f>
        <v>11.821247511503419</v>
      </c>
    </row>
    <row r="14" spans="1:16" x14ac:dyDescent="0.25">
      <c r="F14" s="23"/>
      <c r="G14" s="23"/>
    </row>
    <row r="15" spans="1:16" x14ac:dyDescent="0.25">
      <c r="A15" s="14" t="s">
        <v>6</v>
      </c>
      <c r="B15" s="14" t="s">
        <v>7</v>
      </c>
      <c r="C15" s="14" t="s">
        <v>1</v>
      </c>
      <c r="D15" s="14" t="s">
        <v>12</v>
      </c>
      <c r="F15" s="12"/>
      <c r="G15" s="12"/>
      <c r="H15" s="12"/>
    </row>
    <row r="16" spans="1:16" x14ac:dyDescent="0.25">
      <c r="A16">
        <v>0.29799999999999999</v>
      </c>
      <c r="C16" s="12">
        <f>(((A16-$N$3)/$M$3)*$P$2)*193.8/1000</f>
        <v>58.768032240132435</v>
      </c>
      <c r="D16" s="13">
        <v>64</v>
      </c>
      <c r="F16" s="12"/>
      <c r="G16" s="12"/>
      <c r="H16" s="12"/>
    </row>
    <row r="17" spans="1:8" x14ac:dyDescent="0.25">
      <c r="A17">
        <v>0.28799999999999998</v>
      </c>
      <c r="C17" s="12">
        <f>(((A17-$N$3)/$M$3)*$P$2)*193.8/1000</f>
        <v>55.90864684537236</v>
      </c>
      <c r="D17" s="13"/>
      <c r="F17" s="12"/>
      <c r="G17" s="12"/>
      <c r="H17" s="12"/>
    </row>
    <row r="18" spans="1:8" x14ac:dyDescent="0.25">
      <c r="A18" s="15">
        <v>0.29499999999999998</v>
      </c>
      <c r="C18" s="12">
        <f>(((A18-$N$3)/$M$3)*$P$2)*193.8/1000</f>
        <v>57.910216621704414</v>
      </c>
      <c r="D18" s="13"/>
      <c r="F18" s="12"/>
      <c r="G18" s="12"/>
      <c r="H18" s="12"/>
    </row>
    <row r="20" spans="1:8" x14ac:dyDescent="0.25">
      <c r="A20" t="s">
        <v>8</v>
      </c>
      <c r="B20" s="11" t="s">
        <v>15</v>
      </c>
    </row>
    <row r="21" spans="1:8" x14ac:dyDescent="0.25">
      <c r="A21" t="s">
        <v>9</v>
      </c>
      <c r="B21" s="11">
        <v>6.98</v>
      </c>
    </row>
    <row r="22" spans="1:8" x14ac:dyDescent="0.25">
      <c r="A22" t="s">
        <v>10</v>
      </c>
      <c r="B22" s="11">
        <v>193.8</v>
      </c>
    </row>
    <row r="23" spans="1:8" x14ac:dyDescent="0.25">
      <c r="A23" t="s">
        <v>14</v>
      </c>
      <c r="B23" s="11"/>
    </row>
    <row r="24" spans="1:8" x14ac:dyDescent="0.25">
      <c r="A24" t="s">
        <v>1</v>
      </c>
      <c r="B24" s="12">
        <f>57.53</f>
        <v>57.53</v>
      </c>
    </row>
  </sheetData>
  <mergeCells count="1">
    <mergeCell ref="F14:G1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3762-8CB0-1B47-B95A-D80C79AB0750}">
  <dimension ref="A1:P24"/>
  <sheetViews>
    <sheetView workbookViewId="0">
      <selection activeCell="C7" sqref="C7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3" width="10.42578125" customWidth="1"/>
    <col min="6" max="6" width="14.140625" customWidth="1"/>
    <col min="7" max="7" width="12.140625" customWidth="1"/>
    <col min="8" max="8" width="11.42578125" customWidth="1"/>
    <col min="16" max="16" width="11" bestFit="1" customWidth="1"/>
  </cols>
  <sheetData>
    <row r="1" spans="1:16" x14ac:dyDescent="0.25">
      <c r="A1" t="s">
        <v>19</v>
      </c>
      <c r="B1" t="s">
        <v>11</v>
      </c>
      <c r="C1" t="s">
        <v>1</v>
      </c>
      <c r="D1" t="s">
        <v>18</v>
      </c>
      <c r="E1" t="s">
        <v>20</v>
      </c>
      <c r="F1" t="s">
        <v>13</v>
      </c>
      <c r="G1" t="s">
        <v>1</v>
      </c>
      <c r="H1" t="s">
        <v>18</v>
      </c>
      <c r="J1" s="1" t="s">
        <v>2</v>
      </c>
      <c r="K1" s="2" t="s">
        <v>0</v>
      </c>
      <c r="P1" s="8" t="s">
        <v>3</v>
      </c>
    </row>
    <row r="2" spans="1:16" x14ac:dyDescent="0.25">
      <c r="A2">
        <v>6</v>
      </c>
      <c r="B2">
        <v>0.23599999999999999</v>
      </c>
      <c r="C2" s="15">
        <f>(((B2-$N$3)/$M$3)*$P$2)*193.8/1000</f>
        <v>41.03984279261995</v>
      </c>
      <c r="D2" s="17">
        <f>(($D$16-Tabel42812[[#This Row],[mg/L]])*0.04)/0.03</f>
        <v>30.6135429431734</v>
      </c>
      <c r="E2">
        <v>6</v>
      </c>
      <c r="F2">
        <v>0.27600000000000002</v>
      </c>
      <c r="G2" s="12">
        <f t="shared" ref="G2:G10" si="0">(((F2-$N$3)/$M$3)*$P$2)*$B$22/1000</f>
        <v>52.477384371660285</v>
      </c>
      <c r="H2" s="17">
        <f>(($D$16-Tabel57913[[#This Row],[mg/L]])*0.04)/0.03</f>
        <v>15.363487504452953</v>
      </c>
      <c r="J2" s="3">
        <v>0.25</v>
      </c>
      <c r="K2" s="4">
        <v>0.09</v>
      </c>
      <c r="M2" s="1" t="s">
        <v>4</v>
      </c>
      <c r="N2" s="2" t="s">
        <v>5</v>
      </c>
      <c r="P2" s="9">
        <v>30.974</v>
      </c>
    </row>
    <row r="3" spans="1:16" x14ac:dyDescent="0.25">
      <c r="A3">
        <v>6</v>
      </c>
      <c r="B3">
        <v>0.255</v>
      </c>
      <c r="C3" s="15">
        <f t="shared" ref="C3:C10" si="1">(((B3-$N$3)/$M$3)*$P$2)*193.8/1000</f>
        <v>46.472675042664108</v>
      </c>
      <c r="D3" s="17">
        <f>(($D$16-Tabel42812[[#This Row],[mg/L]])*0.04)/0.03</f>
        <v>23.369766609781191</v>
      </c>
      <c r="E3">
        <v>6</v>
      </c>
      <c r="F3">
        <v>0.26200000000000001</v>
      </c>
      <c r="G3" s="12">
        <f t="shared" si="0"/>
        <v>48.474244818996162</v>
      </c>
      <c r="H3" s="17">
        <f>(($D$16-Tabel57913[[#This Row],[mg/L]])*0.04)/0.03</f>
        <v>20.70100690800512</v>
      </c>
      <c r="J3" s="3">
        <v>0.5</v>
      </c>
      <c r="K3" s="4">
        <v>0.111</v>
      </c>
      <c r="M3" s="7">
        <f>SLOPE(K2:K11,J2:J11)</f>
        <v>2.0993186896038102E-2</v>
      </c>
      <c r="N3" s="10">
        <f>INTERCEPT(K2:K11,J2:J11)</f>
        <v>9.2473202710530444E-2</v>
      </c>
    </row>
    <row r="4" spans="1:16" x14ac:dyDescent="0.25">
      <c r="A4">
        <v>6</v>
      </c>
      <c r="B4">
        <v>0.25800000000000001</v>
      </c>
      <c r="C4" s="15">
        <f t="shared" si="1"/>
        <v>47.330490661092128</v>
      </c>
      <c r="D4" s="17">
        <f>(($D$16-Tabel42812[[#This Row],[mg/L]])*0.04)/0.03</f>
        <v>22.226012451877164</v>
      </c>
      <c r="E4">
        <v>6</v>
      </c>
      <c r="F4">
        <v>0.23899999999999999</v>
      </c>
      <c r="G4" s="12">
        <f t="shared" si="0"/>
        <v>41.897658411047985</v>
      </c>
      <c r="H4" s="17">
        <f>(($D$16-Tabel57913[[#This Row],[mg/L]])*0.04)/0.03</f>
        <v>29.469788785269355</v>
      </c>
      <c r="J4" s="3">
        <v>1</v>
      </c>
      <c r="K4" s="4">
        <v>0.10100000000000001</v>
      </c>
    </row>
    <row r="5" spans="1:16" x14ac:dyDescent="0.25">
      <c r="A5">
        <v>7</v>
      </c>
      <c r="B5">
        <v>0.247</v>
      </c>
      <c r="C5" s="12">
        <f t="shared" si="1"/>
        <v>44.185166726856046</v>
      </c>
      <c r="D5" s="17">
        <f>(($D$16-Tabel42812[[#This Row],[mg/L]])*0.04)/0.03</f>
        <v>26.419777697525273</v>
      </c>
      <c r="E5">
        <v>7</v>
      </c>
      <c r="F5">
        <v>0.27700000000000002</v>
      </c>
      <c r="G5" s="12">
        <f t="shared" si="0"/>
        <v>52.763322911136285</v>
      </c>
      <c r="H5" s="17">
        <f>(($D$16-Tabel57913[[#This Row],[mg/L]])*0.04)/0.03</f>
        <v>14.982236118484954</v>
      </c>
      <c r="J5" s="3">
        <v>2</v>
      </c>
      <c r="K5" s="4">
        <v>0.129</v>
      </c>
    </row>
    <row r="6" spans="1:16" x14ac:dyDescent="0.25">
      <c r="A6">
        <v>7</v>
      </c>
      <c r="B6">
        <v>0.253</v>
      </c>
      <c r="C6" s="12">
        <f t="shared" si="1"/>
        <v>45.900797963712094</v>
      </c>
      <c r="D6" s="17">
        <f>(($D$16-Tabel42812[[#This Row],[mg/L]])*0.04)/0.03</f>
        <v>24.132269381717208</v>
      </c>
      <c r="E6">
        <v>7</v>
      </c>
      <c r="F6">
        <v>0.23899999999999999</v>
      </c>
      <c r="G6" s="12">
        <f t="shared" si="0"/>
        <v>41.897658411047985</v>
      </c>
      <c r="H6" s="17">
        <f>(($D$16-Tabel57913[[#This Row],[mg/L]])*0.04)/0.03</f>
        <v>29.469788785269355</v>
      </c>
      <c r="J6" s="3">
        <v>3</v>
      </c>
      <c r="K6" s="4">
        <v>0.19</v>
      </c>
    </row>
    <row r="7" spans="1:16" x14ac:dyDescent="0.25">
      <c r="A7">
        <v>7</v>
      </c>
      <c r="B7">
        <v>0.23799999999999999</v>
      </c>
      <c r="C7" s="12">
        <f t="shared" si="1"/>
        <v>41.611719871571971</v>
      </c>
      <c r="D7" s="17">
        <f>(($D$16-Tabel42812[[#This Row],[mg/L]])*0.04)/0.03</f>
        <v>29.851040171237372</v>
      </c>
      <c r="E7">
        <v>7</v>
      </c>
      <c r="F7">
        <v>0.25800000000000001</v>
      </c>
      <c r="G7" s="12">
        <f t="shared" si="0"/>
        <v>47.330490661092128</v>
      </c>
      <c r="H7" s="17">
        <f>(($D$16-Tabel57913[[#This Row],[mg/L]])*0.04)/0.03</f>
        <v>22.226012451877164</v>
      </c>
      <c r="J7" s="3">
        <v>4</v>
      </c>
      <c r="K7" s="4">
        <v>0.16600000000000001</v>
      </c>
    </row>
    <row r="8" spans="1:16" x14ac:dyDescent="0.25">
      <c r="A8">
        <v>8</v>
      </c>
      <c r="B8">
        <v>0.17499999999999999</v>
      </c>
      <c r="C8" s="12">
        <f t="shared" si="1"/>
        <v>23.597591884583483</v>
      </c>
      <c r="D8" s="17">
        <f>(($D$16-Tabel42812[[#This Row],[mg/L]])*0.04)/0.03</f>
        <v>53.869877487222034</v>
      </c>
      <c r="E8">
        <v>8</v>
      </c>
      <c r="F8">
        <v>0.17799999999999999</v>
      </c>
      <c r="G8" s="12">
        <f t="shared" si="0"/>
        <v>24.455407503011511</v>
      </c>
      <c r="H8" s="17">
        <f>(($D$16-Tabel57913[[#This Row],[mg/L]])*0.04)/0.03</f>
        <v>52.726123329317979</v>
      </c>
      <c r="J8" s="3">
        <v>5</v>
      </c>
      <c r="K8" s="4">
        <v>0.19</v>
      </c>
    </row>
    <row r="9" spans="1:16" x14ac:dyDescent="0.25">
      <c r="A9">
        <v>8</v>
      </c>
      <c r="B9">
        <v>0.17100000000000001</v>
      </c>
      <c r="C9" s="12">
        <f t="shared" si="1"/>
        <v>22.453837726679456</v>
      </c>
      <c r="D9" s="17">
        <f>(($D$16-Tabel42812[[#This Row],[mg/L]])*0.04)/0.03</f>
        <v>55.394883031094068</v>
      </c>
      <c r="E9">
        <v>8</v>
      </c>
      <c r="F9">
        <v>0.193</v>
      </c>
      <c r="G9" s="12">
        <f t="shared" si="0"/>
        <v>28.74448559515163</v>
      </c>
      <c r="H9" s="17">
        <f>(($D$16-Tabel57913[[#This Row],[mg/L]])*0.04)/0.03</f>
        <v>47.007352539797829</v>
      </c>
      <c r="J9" s="3">
        <v>10</v>
      </c>
      <c r="K9" s="4">
        <v>0.29899999999999999</v>
      </c>
    </row>
    <row r="10" spans="1:16" x14ac:dyDescent="0.25">
      <c r="A10">
        <v>8</v>
      </c>
      <c r="B10">
        <v>0.16700000000000001</v>
      </c>
      <c r="C10" s="12">
        <f t="shared" si="1"/>
        <v>21.310083568775426</v>
      </c>
      <c r="D10" s="17">
        <f>(($D$16-Tabel42812[[#This Row],[mg/L]])*0.04)/0.03</f>
        <v>56.919888574966102</v>
      </c>
      <c r="E10">
        <v>8</v>
      </c>
      <c r="F10">
        <v>0.217</v>
      </c>
      <c r="G10" s="12">
        <f t="shared" si="0"/>
        <v>35.607010542575807</v>
      </c>
      <c r="H10" s="17">
        <f>(($D$16-Tabel57913[[#This Row],[mg/L]])*0.04)/0.03</f>
        <v>37.857319276565597</v>
      </c>
      <c r="J10" s="3">
        <v>20</v>
      </c>
      <c r="K10" s="4">
        <v>0.52800000000000002</v>
      </c>
    </row>
    <row r="11" spans="1:16" x14ac:dyDescent="0.25">
      <c r="C11" s="12"/>
      <c r="D11" s="13"/>
      <c r="G11" s="12"/>
      <c r="H11" s="13"/>
      <c r="J11" s="3">
        <v>25</v>
      </c>
      <c r="K11" s="4">
        <v>0.60599999999999998</v>
      </c>
    </row>
    <row r="12" spans="1:16" x14ac:dyDescent="0.25">
      <c r="C12" s="12"/>
      <c r="D12" s="13"/>
      <c r="G12" s="12"/>
      <c r="H12" s="13"/>
      <c r="J12" s="5"/>
      <c r="K12" s="6"/>
    </row>
    <row r="13" spans="1:16" x14ac:dyDescent="0.25">
      <c r="C13" s="12"/>
      <c r="D13" s="13"/>
      <c r="G13" s="12"/>
      <c r="H13" s="13"/>
    </row>
    <row r="15" spans="1:16" x14ac:dyDescent="0.25">
      <c r="A15" s="14" t="s">
        <v>6</v>
      </c>
      <c r="B15" s="14" t="s">
        <v>7</v>
      </c>
      <c r="C15" s="14" t="s">
        <v>1</v>
      </c>
      <c r="D15" s="14" t="s">
        <v>12</v>
      </c>
    </row>
    <row r="16" spans="1:16" x14ac:dyDescent="0.25">
      <c r="A16">
        <v>0.29799999999999999</v>
      </c>
      <c r="C16" s="12">
        <f>(((A16-$N$3)/$M$3)*$P$2)*193.8/1000</f>
        <v>58.768032240132435</v>
      </c>
      <c r="D16" s="22">
        <v>64</v>
      </c>
    </row>
    <row r="17" spans="1:7" x14ac:dyDescent="0.25">
      <c r="A17">
        <v>0.28799999999999998</v>
      </c>
      <c r="C17" s="12">
        <f>(((A17-$N$3)/$M$3)*$P$2)*193.8/1000</f>
        <v>55.90864684537236</v>
      </c>
      <c r="D17" s="22"/>
      <c r="F17" s="12"/>
      <c r="G17" s="12"/>
    </row>
    <row r="18" spans="1:7" x14ac:dyDescent="0.25">
      <c r="A18" s="15">
        <v>0.29499999999999998</v>
      </c>
      <c r="C18" s="12">
        <f>(((A18-$N$3)/$M$3)*$P$2)*193.8/1000</f>
        <v>57.910216621704414</v>
      </c>
      <c r="D18" s="22"/>
      <c r="F18" s="12"/>
      <c r="G18" s="12"/>
    </row>
    <row r="19" spans="1:7" x14ac:dyDescent="0.25">
      <c r="F19" s="12"/>
      <c r="G19" s="12"/>
    </row>
    <row r="20" spans="1:7" x14ac:dyDescent="0.25">
      <c r="A20" t="s">
        <v>8</v>
      </c>
      <c r="B20" s="11" t="s">
        <v>15</v>
      </c>
    </row>
    <row r="21" spans="1:7" x14ac:dyDescent="0.25">
      <c r="A21" t="s">
        <v>9</v>
      </c>
      <c r="B21" s="11">
        <v>6.98</v>
      </c>
    </row>
    <row r="22" spans="1:7" x14ac:dyDescent="0.25">
      <c r="A22" t="s">
        <v>10</v>
      </c>
      <c r="B22" s="11">
        <v>193.8</v>
      </c>
    </row>
    <row r="23" spans="1:7" x14ac:dyDescent="0.25">
      <c r="A23" t="s">
        <v>14</v>
      </c>
      <c r="B23" s="11"/>
    </row>
    <row r="24" spans="1:7" x14ac:dyDescent="0.25">
      <c r="A24" t="s">
        <v>1</v>
      </c>
      <c r="B24" s="12">
        <v>57.53</v>
      </c>
    </row>
  </sheetData>
  <mergeCells count="1">
    <mergeCell ref="D16:D1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800D-2D78-4048-93D0-49DA209A25B9}">
  <dimension ref="A1:P24"/>
  <sheetViews>
    <sheetView workbookViewId="0">
      <selection sqref="A1:H1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3" width="10.42578125" customWidth="1"/>
    <col min="6" max="6" width="14.140625" customWidth="1"/>
    <col min="7" max="8" width="12.140625" customWidth="1"/>
    <col min="9" max="9" width="11.42578125" customWidth="1"/>
    <col min="10" max="10" width="8.85546875" bestFit="1" customWidth="1"/>
    <col min="18" max="18" width="11" bestFit="1" customWidth="1"/>
  </cols>
  <sheetData>
    <row r="1" spans="1:16" x14ac:dyDescent="0.25">
      <c r="A1" t="s">
        <v>16</v>
      </c>
      <c r="B1" t="s">
        <v>11</v>
      </c>
      <c r="C1" s="19" t="s">
        <v>22</v>
      </c>
      <c r="D1" t="s">
        <v>21</v>
      </c>
      <c r="E1" t="s">
        <v>17</v>
      </c>
      <c r="F1" t="s">
        <v>13</v>
      </c>
      <c r="G1" s="19" t="s">
        <v>22</v>
      </c>
      <c r="H1" t="s">
        <v>21</v>
      </c>
      <c r="J1" s="1" t="s">
        <v>2</v>
      </c>
      <c r="K1" s="2" t="s">
        <v>0</v>
      </c>
      <c r="P1" s="8" t="s">
        <v>3</v>
      </c>
    </row>
    <row r="2" spans="1:16" x14ac:dyDescent="0.25">
      <c r="A2">
        <v>1</v>
      </c>
      <c r="B2">
        <v>0.13800000000000001</v>
      </c>
      <c r="C2" s="15">
        <f>(((B2-$N$3)/$M$3)*$P$2)*5</f>
        <v>410.80230677431223</v>
      </c>
      <c r="D2" s="17">
        <f>100-Tabel4283[[#This Row],[mikrog/L]]/$D$16*100</f>
        <v>4.4301441412841598</v>
      </c>
      <c r="E2">
        <v>1</v>
      </c>
      <c r="F2">
        <v>0.13800000000000001</v>
      </c>
      <c r="G2" s="15">
        <f>(((F2-$N$3)/$M$3)*$P$2)*$B$22</f>
        <v>410.80230677431223</v>
      </c>
      <c r="H2" s="17">
        <f>100-Tabel5794[[#This Row],[mikrog/L]]/$D$16*100</f>
        <v>4.4301441412841598</v>
      </c>
      <c r="J2" s="3"/>
      <c r="K2" s="4"/>
      <c r="M2" s="1" t="s">
        <v>4</v>
      </c>
      <c r="N2" s="2" t="s">
        <v>5</v>
      </c>
      <c r="P2" s="9">
        <v>30.974</v>
      </c>
    </row>
    <row r="3" spans="1:16" x14ac:dyDescent="0.25">
      <c r="A3">
        <v>1</v>
      </c>
      <c r="B3">
        <v>0.13900000000000001</v>
      </c>
      <c r="C3" s="15">
        <f>(((B3-$N$3)/$M$3)*$P$2)*5</f>
        <v>417.81309729764348</v>
      </c>
      <c r="D3" s="17">
        <f>100-Tabel4283[[#This Row],[mikrog/L]]/$D$16*100</f>
        <v>2.7991400580025214</v>
      </c>
      <c r="E3">
        <v>1</v>
      </c>
      <c r="F3">
        <v>0.13800000000000001</v>
      </c>
      <c r="G3" s="15">
        <f>(((F3-$N$3)/$M$3)*$P$2)*$B$22</f>
        <v>410.80230677431223</v>
      </c>
      <c r="H3" s="17">
        <f>100-Tabel5794[[#This Row],[mikrog/L]]/$D$16*100</f>
        <v>4.4301441412841598</v>
      </c>
      <c r="J3" s="3">
        <v>0.5</v>
      </c>
      <c r="K3">
        <v>0.09</v>
      </c>
      <c r="M3" s="7">
        <f>SLOPE(K2:K11,J2:J11)</f>
        <v>2.2090233545647559E-2</v>
      </c>
      <c r="N3" s="10">
        <f>INTERCEPT(K2:K11,J2:J11)</f>
        <v>7.9404281670205273E-2</v>
      </c>
    </row>
    <row r="4" spans="1:16" x14ac:dyDescent="0.25">
      <c r="A4">
        <v>1</v>
      </c>
      <c r="B4">
        <v>0.13800000000000001</v>
      </c>
      <c r="C4" s="15">
        <f>(((B4-$N$3)/$M$3)*$P$2)*5</f>
        <v>410.80230677431223</v>
      </c>
      <c r="D4" s="17">
        <f>100-Tabel4283[[#This Row],[mikrog/L]]/$D$16*100</f>
        <v>4.4301441412841598</v>
      </c>
      <c r="E4">
        <v>1</v>
      </c>
      <c r="F4">
        <v>0.14099999999999999</v>
      </c>
      <c r="G4" s="15">
        <f>(((F4-$N$3)/$M$3)*$P$2)*$B$22</f>
        <v>431.83467834430581</v>
      </c>
      <c r="H4" s="17">
        <f>100-Tabel5794[[#This Row],[mikrog/L]]/$D$16*100</f>
        <v>-0.4628681085607127</v>
      </c>
      <c r="J4" s="3">
        <v>1</v>
      </c>
      <c r="K4" s="4">
        <v>0.1</v>
      </c>
    </row>
    <row r="5" spans="1:16" x14ac:dyDescent="0.25">
      <c r="C5" s="12"/>
      <c r="D5" s="17"/>
      <c r="G5" s="12"/>
      <c r="H5" s="17"/>
      <c r="J5" s="3">
        <v>2</v>
      </c>
      <c r="K5" s="4">
        <v>0.121</v>
      </c>
    </row>
    <row r="6" spans="1:16" x14ac:dyDescent="0.25">
      <c r="C6" s="12"/>
      <c r="D6" s="17"/>
      <c r="G6" s="12"/>
      <c r="H6" s="17"/>
      <c r="J6" s="3">
        <v>3</v>
      </c>
      <c r="K6" s="4">
        <v>0.14599999999999999</v>
      </c>
    </row>
    <row r="7" spans="1:16" x14ac:dyDescent="0.25">
      <c r="C7" s="12"/>
      <c r="D7" s="17"/>
      <c r="G7" s="12"/>
      <c r="H7" s="17"/>
      <c r="J7" s="3">
        <v>4</v>
      </c>
      <c r="K7" s="4">
        <v>0.16500000000000001</v>
      </c>
    </row>
    <row r="8" spans="1:16" x14ac:dyDescent="0.25">
      <c r="C8" s="12"/>
      <c r="D8" s="17"/>
      <c r="G8" s="12"/>
      <c r="H8" s="17"/>
      <c r="J8" s="3">
        <v>5</v>
      </c>
      <c r="K8" s="4">
        <v>0.192</v>
      </c>
    </row>
    <row r="9" spans="1:16" x14ac:dyDescent="0.25">
      <c r="C9" s="12"/>
      <c r="D9" s="17"/>
      <c r="G9" s="12"/>
      <c r="H9" s="17"/>
      <c r="J9" s="3">
        <v>10</v>
      </c>
      <c r="K9" s="4">
        <v>0.30499999999999999</v>
      </c>
    </row>
    <row r="10" spans="1:16" x14ac:dyDescent="0.25">
      <c r="C10" s="12"/>
      <c r="D10" s="17"/>
      <c r="G10" s="12"/>
      <c r="H10" s="17"/>
      <c r="J10" s="3">
        <v>20</v>
      </c>
      <c r="K10" s="4">
        <v>0.53</v>
      </c>
    </row>
    <row r="11" spans="1:16" x14ac:dyDescent="0.25">
      <c r="C11" s="12"/>
      <c r="D11" s="17"/>
      <c r="G11" s="12"/>
      <c r="H11" s="17"/>
      <c r="J11" s="3">
        <v>25</v>
      </c>
      <c r="K11" s="4">
        <v>0.623</v>
      </c>
    </row>
    <row r="12" spans="1:16" x14ac:dyDescent="0.25">
      <c r="C12" s="12"/>
      <c r="D12" s="17"/>
      <c r="G12" s="12"/>
      <c r="H12" s="17"/>
      <c r="J12" s="5"/>
      <c r="K12" s="6"/>
    </row>
    <row r="13" spans="1:16" x14ac:dyDescent="0.25">
      <c r="C13" s="12"/>
      <c r="D13" s="17"/>
      <c r="G13" s="12"/>
      <c r="H13" s="17"/>
    </row>
    <row r="14" spans="1:16" x14ac:dyDescent="0.25">
      <c r="F14" s="14"/>
      <c r="G14" s="14"/>
      <c r="H14" s="18" t="e">
        <f>Tabel426[[#This Row],[mikrog/L]]/$D$16*100</f>
        <v>#VALUE!</v>
      </c>
    </row>
    <row r="15" spans="1:16" x14ac:dyDescent="0.25">
      <c r="A15" s="14" t="s">
        <v>6</v>
      </c>
      <c r="B15" s="14" t="s">
        <v>7</v>
      </c>
      <c r="C15" s="14" t="s">
        <v>1</v>
      </c>
      <c r="D15" s="14" t="s">
        <v>12</v>
      </c>
      <c r="F15" s="20"/>
      <c r="G15" s="21"/>
      <c r="H15" s="16"/>
    </row>
    <row r="16" spans="1:16" x14ac:dyDescent="0.25">
      <c r="A16">
        <v>9.0999999999999998E-2</v>
      </c>
      <c r="C16" s="15">
        <f>(((A16-$N$3)/$M$3)*$P$2)*25</f>
        <v>406.47576088871665</v>
      </c>
      <c r="D16" s="24">
        <f>AVERAGE(C16:C18)</f>
        <v>429.84506263315416</v>
      </c>
      <c r="F16" s="12"/>
      <c r="G16" s="12"/>
      <c r="H16" s="12"/>
    </row>
    <row r="17" spans="1:8" x14ac:dyDescent="0.25">
      <c r="A17">
        <v>9.1999999999999998E-2</v>
      </c>
      <c r="C17" s="15">
        <f>(((A17-$N$3)/$M$3)*$P$2)*25</f>
        <v>441.52971350537291</v>
      </c>
      <c r="D17" s="24"/>
      <c r="F17" s="12"/>
      <c r="G17" s="12"/>
      <c r="H17" s="12"/>
    </row>
    <row r="18" spans="1:8" x14ac:dyDescent="0.25">
      <c r="A18" s="15">
        <v>9.1999999999999998E-2</v>
      </c>
      <c r="C18" s="15">
        <f>(((A18-$N$3)/$M$3)*$P$2)*25</f>
        <v>441.52971350537291</v>
      </c>
      <c r="D18" s="24"/>
      <c r="F18" s="12"/>
      <c r="G18" s="12"/>
      <c r="H18" s="12"/>
    </row>
    <row r="19" spans="1:8" x14ac:dyDescent="0.25">
      <c r="F19" s="12"/>
      <c r="G19" s="12"/>
      <c r="H19" s="12"/>
    </row>
    <row r="20" spans="1:8" x14ac:dyDescent="0.25">
      <c r="A20" t="s">
        <v>8</v>
      </c>
      <c r="B20" s="11">
        <v>0</v>
      </c>
    </row>
    <row r="21" spans="1:8" x14ac:dyDescent="0.25">
      <c r="A21" t="s">
        <v>9</v>
      </c>
      <c r="B21" s="11">
        <v>6.98</v>
      </c>
    </row>
    <row r="22" spans="1:8" x14ac:dyDescent="0.25">
      <c r="A22" t="s">
        <v>10</v>
      </c>
      <c r="B22" s="11">
        <v>5</v>
      </c>
    </row>
    <row r="23" spans="1:8" x14ac:dyDescent="0.25">
      <c r="A23" t="s">
        <v>14</v>
      </c>
      <c r="B23" s="11"/>
    </row>
    <row r="24" spans="1:8" x14ac:dyDescent="0.25">
      <c r="A24" t="s">
        <v>1</v>
      </c>
      <c r="B24" s="12">
        <v>0.438</v>
      </c>
    </row>
  </sheetData>
  <mergeCells count="2">
    <mergeCell ref="F15:G15"/>
    <mergeCell ref="D16:D1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A2B8-55D0-9A49-810D-F89B54FC3BEF}">
  <dimension ref="A1:P24"/>
  <sheetViews>
    <sheetView workbookViewId="0">
      <selection sqref="A1:H1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4" width="10.42578125" customWidth="1"/>
    <col min="6" max="6" width="14.140625" customWidth="1"/>
    <col min="7" max="8" width="12.140625" customWidth="1"/>
    <col min="16" max="16" width="11" bestFit="1" customWidth="1"/>
  </cols>
  <sheetData>
    <row r="1" spans="1:16" x14ac:dyDescent="0.25">
      <c r="A1" t="s">
        <v>16</v>
      </c>
      <c r="B1" t="s">
        <v>11</v>
      </c>
      <c r="C1" s="19" t="s">
        <v>22</v>
      </c>
      <c r="D1" t="s">
        <v>21</v>
      </c>
      <c r="E1" t="s">
        <v>17</v>
      </c>
      <c r="F1" t="s">
        <v>13</v>
      </c>
      <c r="G1" s="19" t="s">
        <v>22</v>
      </c>
      <c r="H1" t="s">
        <v>21</v>
      </c>
      <c r="J1" s="1" t="s">
        <v>2</v>
      </c>
      <c r="K1" s="2" t="s">
        <v>0</v>
      </c>
      <c r="P1" s="8" t="s">
        <v>3</v>
      </c>
    </row>
    <row r="2" spans="1:16" x14ac:dyDescent="0.25">
      <c r="A2">
        <v>1</v>
      </c>
      <c r="B2">
        <v>0.108</v>
      </c>
      <c r="C2" s="15">
        <f>(((B2-$N$3)/$M$3)*$P$2)*$B$22</f>
        <v>181.44752817073882</v>
      </c>
      <c r="D2" s="17">
        <f>100- Tabel426[[#This Row],[mikrog/L]]/$D$16*100</f>
        <v>57.802900425409575</v>
      </c>
      <c r="E2">
        <v>1</v>
      </c>
      <c r="F2">
        <v>0.12</v>
      </c>
      <c r="G2" s="12">
        <f>(((Tabel575[[#This Row],[Absorbance ]]-$N$3)/$M$3)*$P$2)*$B$22</f>
        <v>267.35442648049451</v>
      </c>
      <c r="H2" s="17">
        <f>100-Tabel575[[#This Row],[mikrog/L]]/$D$16*100</f>
        <v>37.824551981280344</v>
      </c>
      <c r="J2" s="3">
        <v>0.25</v>
      </c>
      <c r="K2" s="4"/>
      <c r="M2" s="1" t="s">
        <v>4</v>
      </c>
      <c r="N2" s="2" t="s">
        <v>5</v>
      </c>
      <c r="P2" s="9">
        <v>30.974</v>
      </c>
    </row>
    <row r="3" spans="1:16" x14ac:dyDescent="0.25">
      <c r="A3">
        <v>1</v>
      </c>
      <c r="B3">
        <v>0.114</v>
      </c>
      <c r="C3" s="15">
        <f t="shared" ref="C3:C4" si="0">(((B3-$N$3)/$M$3)*$P$2)*$B$22</f>
        <v>224.40097732561674</v>
      </c>
      <c r="D3" s="17">
        <f>100- Tabel426[[#This Row],[mikrog/L]]/$D$16*100</f>
        <v>47.813726203344942</v>
      </c>
      <c r="E3">
        <v>1</v>
      </c>
      <c r="F3">
        <v>0.113</v>
      </c>
      <c r="G3" s="12">
        <f>(((Tabel575[[#This Row],[Absorbance ]]-$N$3)/$M$3)*$P$2)*$B$22</f>
        <v>217.24206913313708</v>
      </c>
      <c r="H3" s="17">
        <f>100-Tabel575[[#This Row],[mikrog/L]]/$D$16*100</f>
        <v>49.478588573689052</v>
      </c>
      <c r="J3" s="3">
        <v>0.5</v>
      </c>
      <c r="K3" s="4">
        <v>9.1999999999999998E-2</v>
      </c>
      <c r="M3" s="7">
        <f>SLOPE(K2:K11,J2:J11)</f>
        <v>2.1633187049764011E-2</v>
      </c>
      <c r="N3" s="10">
        <f>INTERCEPT(K2:K11,J2:J11)</f>
        <v>8.2654301564958232E-2</v>
      </c>
    </row>
    <row r="4" spans="1:16" x14ac:dyDescent="0.25">
      <c r="A4">
        <v>1</v>
      </c>
      <c r="B4">
        <v>0.114</v>
      </c>
      <c r="C4" s="15">
        <f t="shared" si="0"/>
        <v>224.40097732561674</v>
      </c>
      <c r="D4" s="17">
        <f>100- Tabel426[[#This Row],[mikrog/L]]/$D$16*100</f>
        <v>47.813726203344942</v>
      </c>
      <c r="E4">
        <v>1</v>
      </c>
      <c r="F4">
        <v>0.11600000000000001</v>
      </c>
      <c r="G4" s="12">
        <f>(((Tabel575[[#This Row],[Absorbance ]]-$N$3)/$M$3)*$P$2)*$B$22</f>
        <v>238.71879371057602</v>
      </c>
      <c r="H4" s="17">
        <f>100-Tabel575[[#This Row],[mikrog/L]]/$D$16*100</f>
        <v>44.484001462656742</v>
      </c>
      <c r="J4" s="3">
        <v>1</v>
      </c>
      <c r="K4" s="4"/>
    </row>
    <row r="5" spans="1:16" x14ac:dyDescent="0.25">
      <c r="C5" s="15"/>
      <c r="D5" s="17"/>
      <c r="G5" s="12"/>
      <c r="H5" s="17"/>
      <c r="J5" s="3">
        <v>2</v>
      </c>
      <c r="K5" s="4">
        <v>0.12</v>
      </c>
    </row>
    <row r="6" spans="1:16" x14ac:dyDescent="0.25">
      <c r="C6" s="15"/>
      <c r="D6" s="17"/>
      <c r="G6" s="12"/>
      <c r="H6" s="17"/>
      <c r="J6" s="3">
        <v>3</v>
      </c>
      <c r="K6" s="4"/>
    </row>
    <row r="7" spans="1:16" x14ac:dyDescent="0.25">
      <c r="C7" s="15"/>
      <c r="D7" s="17"/>
      <c r="G7" s="12"/>
      <c r="H7" s="17"/>
      <c r="J7" s="3">
        <v>4</v>
      </c>
      <c r="K7" s="4"/>
    </row>
    <row r="8" spans="1:16" x14ac:dyDescent="0.25">
      <c r="C8" s="15"/>
      <c r="D8" s="17"/>
      <c r="G8" s="12"/>
      <c r="H8" s="17"/>
      <c r="J8" s="3">
        <v>5</v>
      </c>
      <c r="K8" s="4">
        <v>0.191</v>
      </c>
    </row>
    <row r="9" spans="1:16" x14ac:dyDescent="0.25">
      <c r="C9" s="15"/>
      <c r="D9" s="17"/>
      <c r="G9" s="12"/>
      <c r="H9" s="17"/>
      <c r="J9" s="3">
        <v>10</v>
      </c>
      <c r="K9" s="4">
        <v>0.30199999999999999</v>
      </c>
    </row>
    <row r="10" spans="1:16" x14ac:dyDescent="0.25">
      <c r="C10" s="15"/>
      <c r="D10" s="17"/>
      <c r="G10" s="12"/>
      <c r="H10" s="17"/>
      <c r="J10" s="3">
        <v>20</v>
      </c>
      <c r="K10" s="4">
        <v>0.54</v>
      </c>
    </row>
    <row r="11" spans="1:16" x14ac:dyDescent="0.25">
      <c r="C11" s="12"/>
      <c r="D11" s="17"/>
      <c r="G11" s="12"/>
      <c r="H11" s="17"/>
      <c r="J11" s="3">
        <v>25</v>
      </c>
      <c r="K11" s="4">
        <v>0.60299999999999998</v>
      </c>
    </row>
    <row r="12" spans="1:16" x14ac:dyDescent="0.25">
      <c r="C12" s="12"/>
      <c r="D12" s="17"/>
      <c r="G12" s="12"/>
      <c r="H12" s="17"/>
      <c r="J12" s="5"/>
      <c r="K12" s="6"/>
    </row>
    <row r="13" spans="1:16" x14ac:dyDescent="0.25">
      <c r="C13" s="12"/>
      <c r="D13" s="17"/>
      <c r="G13" s="12"/>
      <c r="H13" s="17"/>
    </row>
    <row r="14" spans="1:16" x14ac:dyDescent="0.25">
      <c r="H14" s="17"/>
    </row>
    <row r="15" spans="1:16" x14ac:dyDescent="0.25">
      <c r="A15" s="14" t="s">
        <v>6</v>
      </c>
      <c r="B15" s="14" t="s">
        <v>7</v>
      </c>
      <c r="C15" s="14" t="s">
        <v>1</v>
      </c>
      <c r="D15" s="14" t="s">
        <v>12</v>
      </c>
      <c r="F15" s="23"/>
      <c r="G15" s="23"/>
    </row>
    <row r="16" spans="1:16" x14ac:dyDescent="0.25">
      <c r="A16">
        <v>0.318</v>
      </c>
      <c r="C16" s="12">
        <f>(((A16-$N$3)/$M$3)*$P$2)*193.8/1000</f>
        <v>65.30355531540512</v>
      </c>
      <c r="D16" s="22">
        <v>430</v>
      </c>
      <c r="F16" s="12"/>
      <c r="G16" s="12"/>
      <c r="H16" s="12"/>
    </row>
    <row r="17" spans="1:8" x14ac:dyDescent="0.25">
      <c r="A17">
        <v>0.317</v>
      </c>
      <c r="C17" s="12">
        <f>(((A17-$N$3)/$M$3)*$P$2)*193.8/1000</f>
        <v>65.026076033864598</v>
      </c>
      <c r="D17" s="22"/>
      <c r="F17" s="12"/>
      <c r="G17" s="12"/>
      <c r="H17" s="12"/>
    </row>
    <row r="18" spans="1:8" x14ac:dyDescent="0.25">
      <c r="A18" s="15">
        <v>0.314</v>
      </c>
      <c r="C18" s="12">
        <f>(((A18-$N$3)/$M$3)*$P$2)*193.8/1000</f>
        <v>64.19363818924306</v>
      </c>
      <c r="D18" s="22"/>
      <c r="F18" s="12"/>
      <c r="G18" s="12"/>
      <c r="H18" s="12"/>
    </row>
    <row r="19" spans="1:8" x14ac:dyDescent="0.25">
      <c r="F19" s="12"/>
      <c r="G19" s="12"/>
      <c r="H19" s="12"/>
    </row>
    <row r="20" spans="1:8" x14ac:dyDescent="0.25">
      <c r="A20" t="s">
        <v>8</v>
      </c>
      <c r="B20" s="11" t="s">
        <v>15</v>
      </c>
    </row>
    <row r="21" spans="1:8" x14ac:dyDescent="0.25">
      <c r="A21" t="s">
        <v>9</v>
      </c>
      <c r="B21" s="11">
        <v>6.98</v>
      </c>
    </row>
    <row r="22" spans="1:8" x14ac:dyDescent="0.25">
      <c r="A22" t="s">
        <v>10</v>
      </c>
      <c r="B22" s="11">
        <v>5</v>
      </c>
    </row>
    <row r="23" spans="1:8" x14ac:dyDescent="0.25">
      <c r="A23" t="s">
        <v>14</v>
      </c>
      <c r="B23" s="11"/>
    </row>
    <row r="24" spans="1:8" x14ac:dyDescent="0.25">
      <c r="A24" t="s">
        <v>1</v>
      </c>
      <c r="B24" s="12">
        <v>60.01</v>
      </c>
    </row>
  </sheetData>
  <mergeCells count="2">
    <mergeCell ref="F15:G15"/>
    <mergeCell ref="D16:D1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3033-BE56-A14B-8FD4-ADBBE4B5D8C4}">
  <dimension ref="A1:P24"/>
  <sheetViews>
    <sheetView workbookViewId="0">
      <selection activeCell="G17" sqref="G17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4" width="10.42578125" customWidth="1"/>
    <col min="6" max="6" width="14.140625" customWidth="1"/>
    <col min="7" max="8" width="12.140625" customWidth="1"/>
    <col min="16" max="16" width="11" bestFit="1" customWidth="1"/>
  </cols>
  <sheetData>
    <row r="1" spans="1:16" x14ac:dyDescent="0.25">
      <c r="A1" t="s">
        <v>16</v>
      </c>
      <c r="B1" t="s">
        <v>11</v>
      </c>
      <c r="C1" s="19" t="s">
        <v>22</v>
      </c>
      <c r="D1" t="s">
        <v>21</v>
      </c>
      <c r="E1" t="s">
        <v>17</v>
      </c>
      <c r="F1" t="s">
        <v>13</v>
      </c>
      <c r="G1" s="19" t="s">
        <v>22</v>
      </c>
      <c r="H1" t="s">
        <v>21</v>
      </c>
      <c r="J1" s="1" t="s">
        <v>2</v>
      </c>
      <c r="K1" s="2" t="s">
        <v>0</v>
      </c>
      <c r="P1" s="8" t="s">
        <v>3</v>
      </c>
    </row>
    <row r="2" spans="1:16" x14ac:dyDescent="0.25">
      <c r="A2">
        <v>1</v>
      </c>
      <c r="B2">
        <v>0.08</v>
      </c>
      <c r="C2" s="15">
        <f>(((Tabel4281014[[#This Row],[Absorbance]]-$N$3)/$M$3)*$P$2)*$B$22</f>
        <v>7.1160133860122166</v>
      </c>
      <c r="D2" s="17">
        <f>100-Tabel4281014[[#This Row],[mikrog/L]]/$D$16*100</f>
        <v>98.375339409586246</v>
      </c>
      <c r="E2">
        <v>1</v>
      </c>
      <c r="F2">
        <v>0.186</v>
      </c>
      <c r="G2" s="15">
        <f>(((Tabel5791115[[#This Row],[Absorbance ]]-$N$3)/$M$3)*$P$2)*$B$22</f>
        <v>152.11378036073933</v>
      </c>
      <c r="H2" s="17">
        <f>100-Tabel5791115[[#This Row],[mikrog/L]]/$D$16*100</f>
        <v>65.270826401657686</v>
      </c>
      <c r="J2" s="3">
        <v>0.25</v>
      </c>
      <c r="K2" s="4">
        <v>7.2999999999999995E-2</v>
      </c>
      <c r="M2" s="1" t="s">
        <v>4</v>
      </c>
      <c r="N2" s="2" t="s">
        <v>5</v>
      </c>
      <c r="P2" s="9">
        <v>30.974</v>
      </c>
    </row>
    <row r="3" spans="1:16" x14ac:dyDescent="0.25">
      <c r="A3">
        <v>1</v>
      </c>
      <c r="B3">
        <v>8.5999999999999993E-2</v>
      </c>
      <c r="C3" s="15">
        <f>(((Tabel4281014[[#This Row],[Absorbance]]-$N$3)/$M$3)*$P$2)*$B$22</f>
        <v>15.323434158166569</v>
      </c>
      <c r="D3" s="17">
        <f>100-Tabel4281014[[#This Row],[mikrog/L]]/$D$16*100</f>
        <v>96.501499050646899</v>
      </c>
      <c r="E3">
        <v>1</v>
      </c>
      <c r="F3">
        <v>0.17599999999999999</v>
      </c>
      <c r="G3" s="15">
        <f>(((Tabel5791115[[#This Row],[Absorbance ]]-$N$3)/$M$3)*$P$2)*$B$22</f>
        <v>138.43474574048204</v>
      </c>
      <c r="H3" s="17">
        <f>100-Tabel5791115[[#This Row],[mikrog/L]]/$D$16*100</f>
        <v>68.393893666556608</v>
      </c>
      <c r="J3" s="3">
        <v>0.5</v>
      </c>
      <c r="K3" s="4">
        <v>0.09</v>
      </c>
      <c r="M3" s="7">
        <f>SLOPE(K2:K11,J2:J11)</f>
        <v>2.2643410781438202E-2</v>
      </c>
      <c r="N3" s="10">
        <f>INTERCEPT(K2:K11,J2:J11)</f>
        <v>7.479786872132474E-2</v>
      </c>
    </row>
    <row r="4" spans="1:16" x14ac:dyDescent="0.25">
      <c r="A4">
        <v>1</v>
      </c>
      <c r="B4">
        <v>8.4000000000000005E-2</v>
      </c>
      <c r="C4" s="15">
        <f>(((Tabel4281014[[#This Row],[Absorbance]]-$N$3)/$M$3)*$P$2)*$B$22</f>
        <v>12.58762723411513</v>
      </c>
      <c r="D4" s="17">
        <f>100-Tabel4281014[[#This Row],[mikrog/L]]/$D$16*100</f>
        <v>97.126112503626686</v>
      </c>
      <c r="E4">
        <v>1</v>
      </c>
      <c r="F4">
        <v>0.185</v>
      </c>
      <c r="G4" s="15">
        <f>(((Tabel5791115[[#This Row],[Absorbance ]]-$N$3)/$M$3)*$P$2)*$B$22</f>
        <v>150.74587689871362</v>
      </c>
      <c r="H4" s="17">
        <f>100-Tabel5791115[[#This Row],[mikrog/L]]/$D$16*100</f>
        <v>65.58313312814758</v>
      </c>
      <c r="J4" s="3">
        <v>1</v>
      </c>
      <c r="K4" s="4">
        <v>0.1</v>
      </c>
    </row>
    <row r="5" spans="1:16" x14ac:dyDescent="0.25">
      <c r="A5">
        <v>1</v>
      </c>
      <c r="B5">
        <v>8.4000000000000005E-2</v>
      </c>
      <c r="C5" s="15">
        <f>(((Tabel4281014[[#This Row],[Absorbance]]-$N$3)/$M$3)*$P$2)*$B$22</f>
        <v>12.58762723411513</v>
      </c>
      <c r="D5" s="17">
        <f>100-Tabel4281014[[#This Row],[mikrog/L]]/$D$16*100</f>
        <v>97.126112503626686</v>
      </c>
      <c r="E5">
        <v>1</v>
      </c>
      <c r="F5">
        <v>0.18</v>
      </c>
      <c r="G5" s="15">
        <f>(((Tabel5791115[[#This Row],[Absorbance ]]-$N$3)/$M$3)*$P$2)*$B$22</f>
        <v>143.90635958858496</v>
      </c>
      <c r="H5" s="17">
        <f>100-Tabel5791115[[#This Row],[mikrog/L]]/$D$16*100</f>
        <v>67.144666760597033</v>
      </c>
      <c r="J5" s="3">
        <v>2</v>
      </c>
      <c r="K5" s="4">
        <v>0.121</v>
      </c>
    </row>
    <row r="6" spans="1:16" x14ac:dyDescent="0.25">
      <c r="A6">
        <v>1</v>
      </c>
      <c r="B6">
        <v>8.3000000000000004E-2</v>
      </c>
      <c r="C6" s="15">
        <f>(((Tabel4281014[[#This Row],[Absorbance]]-$N$3)/$M$3)*$P$2)*$B$22</f>
        <v>11.219723772089402</v>
      </c>
      <c r="D6" s="17">
        <f>100-Tabel4281014[[#This Row],[mikrog/L]]/$D$16*100</f>
        <v>97.43841923011658</v>
      </c>
      <c r="E6">
        <v>1</v>
      </c>
      <c r="F6">
        <v>0.185</v>
      </c>
      <c r="G6" s="15">
        <f>(((Tabel5791115[[#This Row],[Absorbance ]]-$N$3)/$M$3)*$P$2)*$B$22</f>
        <v>150.74587689871362</v>
      </c>
      <c r="H6" s="17">
        <f>100-Tabel5791115[[#This Row],[mikrog/L]]/$D$16*100</f>
        <v>65.58313312814758</v>
      </c>
      <c r="J6" s="3">
        <v>3</v>
      </c>
      <c r="K6" s="4">
        <v>0.14099999999999999</v>
      </c>
    </row>
    <row r="7" spans="1:16" x14ac:dyDescent="0.25">
      <c r="A7">
        <v>1</v>
      </c>
      <c r="B7">
        <v>9.0999999999999998E-2</v>
      </c>
      <c r="C7" s="15">
        <f>(((Tabel4281014[[#This Row],[Absorbance]]-$N$3)/$M$3)*$P$2)*$B$22</f>
        <v>22.162951468295212</v>
      </c>
      <c r="D7" s="17">
        <f>100-Tabel4281014[[#This Row],[mikrog/L]]/$D$16*100</f>
        <v>94.939965418197446</v>
      </c>
      <c r="E7">
        <v>1</v>
      </c>
      <c r="F7">
        <v>0.183</v>
      </c>
      <c r="G7" s="15">
        <f>(((Tabel5791115[[#This Row],[Absorbance ]]-$N$3)/$M$3)*$P$2)*$B$22</f>
        <v>148.01006997466214</v>
      </c>
      <c r="H7" s="17">
        <f>100-Tabel5791115[[#This Row],[mikrog/L]]/$D$16*100</f>
        <v>66.207746581127367</v>
      </c>
      <c r="J7" s="3">
        <v>4</v>
      </c>
      <c r="K7" s="4">
        <v>0.16500000000000001</v>
      </c>
    </row>
    <row r="8" spans="1:16" x14ac:dyDescent="0.25">
      <c r="C8" s="12"/>
      <c r="D8" s="17"/>
      <c r="G8" s="12"/>
      <c r="H8" s="17"/>
      <c r="J8" s="3">
        <v>5</v>
      </c>
      <c r="K8" s="4">
        <v>0.19</v>
      </c>
    </row>
    <row r="9" spans="1:16" x14ac:dyDescent="0.25">
      <c r="C9" s="12"/>
      <c r="D9" s="17"/>
      <c r="G9" s="12"/>
      <c r="H9" s="17"/>
      <c r="J9" s="3">
        <v>10</v>
      </c>
      <c r="K9" s="4">
        <v>0.30099999999999999</v>
      </c>
    </row>
    <row r="10" spans="1:16" x14ac:dyDescent="0.25">
      <c r="C10" s="12"/>
      <c r="D10" s="17"/>
      <c r="G10" s="12"/>
      <c r="H10" s="17"/>
      <c r="J10" s="3">
        <v>20</v>
      </c>
      <c r="K10" s="4">
        <v>0.53100000000000003</v>
      </c>
    </row>
    <row r="11" spans="1:16" x14ac:dyDescent="0.25">
      <c r="C11" s="12"/>
      <c r="D11" s="17"/>
      <c r="G11" s="12"/>
      <c r="H11" s="17"/>
      <c r="J11" s="3">
        <v>25</v>
      </c>
      <c r="K11" s="4">
        <v>0.63800000000000001</v>
      </c>
    </row>
    <row r="12" spans="1:16" x14ac:dyDescent="0.25">
      <c r="C12" s="12"/>
      <c r="D12" s="17"/>
      <c r="G12" s="12"/>
      <c r="H12" s="17"/>
      <c r="J12" s="5"/>
      <c r="K12" s="6"/>
    </row>
    <row r="13" spans="1:16" x14ac:dyDescent="0.25">
      <c r="C13" s="12"/>
      <c r="D13" s="17"/>
      <c r="G13" s="12"/>
      <c r="H13" s="17"/>
    </row>
    <row r="14" spans="1:16" x14ac:dyDescent="0.25">
      <c r="F14" s="23"/>
      <c r="G14" s="23"/>
    </row>
    <row r="15" spans="1:16" x14ac:dyDescent="0.25">
      <c r="A15" s="14" t="s">
        <v>6</v>
      </c>
      <c r="B15" s="14" t="s">
        <v>7</v>
      </c>
      <c r="C15" s="14" t="s">
        <v>1</v>
      </c>
      <c r="D15" s="14" t="s">
        <v>12</v>
      </c>
      <c r="F15" s="12"/>
      <c r="G15" s="12"/>
      <c r="H15" s="12"/>
    </row>
    <row r="16" spans="1:16" x14ac:dyDescent="0.25">
      <c r="A16">
        <v>0.155</v>
      </c>
      <c r="C16" s="12">
        <f>(((A16-$N$3)/$M$3)*$P$2)*5</f>
        <v>548.54386518970887</v>
      </c>
      <c r="D16" s="22">
        <v>438</v>
      </c>
      <c r="F16" s="12"/>
      <c r="G16" s="12"/>
      <c r="H16" s="12"/>
    </row>
    <row r="17" spans="1:8" x14ac:dyDescent="0.25">
      <c r="A17">
        <v>0.154</v>
      </c>
      <c r="C17" s="12">
        <f>(((A17-$N$3)/$M$3)*$P$2)*5</f>
        <v>541.70434787958027</v>
      </c>
      <c r="D17" s="22"/>
      <c r="F17" s="12"/>
      <c r="G17" s="12"/>
      <c r="H17" s="12"/>
    </row>
    <row r="18" spans="1:8" x14ac:dyDescent="0.25">
      <c r="A18" s="15">
        <v>0.17499999999999999</v>
      </c>
      <c r="C18" s="12">
        <f>(((A18-$N$3)/$M$3)*$P$2)*5</f>
        <v>685.33421139228153</v>
      </c>
      <c r="D18" s="22"/>
      <c r="F18" s="12"/>
      <c r="G18" s="12"/>
      <c r="H18" s="12"/>
    </row>
    <row r="20" spans="1:8" x14ac:dyDescent="0.25">
      <c r="A20" t="s">
        <v>8</v>
      </c>
      <c r="B20" s="11" t="s">
        <v>15</v>
      </c>
    </row>
    <row r="21" spans="1:8" x14ac:dyDescent="0.25">
      <c r="A21" t="s">
        <v>9</v>
      </c>
      <c r="B21" s="11">
        <v>6.98</v>
      </c>
    </row>
    <row r="22" spans="1:8" x14ac:dyDescent="0.25">
      <c r="A22" t="s">
        <v>10</v>
      </c>
      <c r="B22" s="11">
        <v>1</v>
      </c>
    </row>
    <row r="23" spans="1:8" x14ac:dyDescent="0.25">
      <c r="A23" t="s">
        <v>14</v>
      </c>
      <c r="B23" s="11"/>
    </row>
    <row r="24" spans="1:8" x14ac:dyDescent="0.25">
      <c r="A24" t="s">
        <v>1</v>
      </c>
      <c r="B24" s="12">
        <f>57.53</f>
        <v>57.53</v>
      </c>
    </row>
  </sheetData>
  <mergeCells count="2">
    <mergeCell ref="F14:G14"/>
    <mergeCell ref="D16:D1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8DDA-B29F-184B-8838-2CFB6D2724BA}">
  <dimension ref="A1:R24"/>
  <sheetViews>
    <sheetView workbookViewId="0">
      <selection sqref="A1:H1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3" width="10.42578125" customWidth="1"/>
    <col min="6" max="6" width="14.140625" customWidth="1"/>
    <col min="7" max="8" width="12.140625" customWidth="1"/>
    <col min="9" max="9" width="11.42578125" customWidth="1"/>
    <col min="10" max="10" width="8.85546875" bestFit="1" customWidth="1"/>
    <col min="16" max="16" width="11" bestFit="1" customWidth="1"/>
    <col min="17" max="17" width="11.28515625" bestFit="1" customWidth="1"/>
    <col min="18" max="18" width="11.140625" bestFit="1" customWidth="1"/>
  </cols>
  <sheetData>
    <row r="1" spans="1:18" x14ac:dyDescent="0.25">
      <c r="A1" t="s">
        <v>16</v>
      </c>
      <c r="B1" t="s">
        <v>11</v>
      </c>
      <c r="C1" t="s">
        <v>1</v>
      </c>
      <c r="D1" t="s">
        <v>23</v>
      </c>
      <c r="E1" t="s">
        <v>17</v>
      </c>
      <c r="F1" t="s">
        <v>13</v>
      </c>
      <c r="G1" t="s">
        <v>1</v>
      </c>
      <c r="H1" t="s">
        <v>24</v>
      </c>
      <c r="J1" s="1" t="s">
        <v>2</v>
      </c>
      <c r="K1" s="2" t="s">
        <v>0</v>
      </c>
      <c r="P1" s="8" t="s">
        <v>25</v>
      </c>
      <c r="Q1" t="s">
        <v>26</v>
      </c>
      <c r="R1" t="s">
        <v>27</v>
      </c>
    </row>
    <row r="2" spans="1:18" x14ac:dyDescent="0.25">
      <c r="A2">
        <f>0.0194</f>
        <v>1.9400000000000001E-2</v>
      </c>
      <c r="B2">
        <v>0.28899999999999998</v>
      </c>
      <c r="C2" s="15">
        <f t="shared" ref="C2:C13" si="0">(((B2-$N$3)/$M$3)*$P$2)*193.8/1000</f>
        <v>56.194585384848367</v>
      </c>
      <c r="D2" s="17">
        <f>((44/100)*(((Tabel42816[[#This Row],[CFH12(g)]]*1000)))/$Q$2)/((C2/$P$2)*0.04)</f>
        <v>2.1060761032473536</v>
      </c>
      <c r="E2">
        <v>1.78E-2</v>
      </c>
      <c r="F2">
        <v>0.28799999999999998</v>
      </c>
      <c r="G2" s="12">
        <f t="shared" ref="G2:G13" si="1">(((F2-$N$3)/$M$3)*$P$2)*$B$22/1000</f>
        <v>55.90864684537236</v>
      </c>
      <c r="H2" s="17">
        <f>((80/100)*((Tabel57917[[#This Row],[PF(g)]]*1000)/$R$2))/(G2/$P$2*0.04)</f>
        <v>7.3101512954017904</v>
      </c>
      <c r="J2" s="3">
        <v>0.25</v>
      </c>
      <c r="K2" s="4">
        <v>0.09</v>
      </c>
      <c r="M2" s="1" t="s">
        <v>4</v>
      </c>
      <c r="N2" s="2" t="s">
        <v>5</v>
      </c>
      <c r="P2" s="9">
        <v>30.974</v>
      </c>
      <c r="Q2">
        <v>55.85</v>
      </c>
      <c r="R2">
        <v>26.98</v>
      </c>
    </row>
    <row r="3" spans="1:18" x14ac:dyDescent="0.25">
      <c r="A3">
        <v>2.0400000000000001E-2</v>
      </c>
      <c r="B3">
        <v>0.27100000000000002</v>
      </c>
      <c r="C3" s="15">
        <f t="shared" si="0"/>
        <v>51.047691674280237</v>
      </c>
      <c r="D3" s="17">
        <f>((44/100)*(((Tabel42816[[#This Row],[CFH12(g)]]*1000)))/$Q$2)/((C3/$P$2)*0.04)</f>
        <v>2.4379279175440312</v>
      </c>
      <c r="E3">
        <v>2.29E-2</v>
      </c>
      <c r="F3">
        <v>0.26800000000000002</v>
      </c>
      <c r="G3" s="12">
        <f t="shared" si="1"/>
        <v>50.189876055852203</v>
      </c>
      <c r="H3" s="17">
        <f>((80/100)*((Tabel57917[[#This Row],[PF(g)]]*1000)/$R$2))/(G3/$P$2*0.04)</f>
        <v>10.476222255078248</v>
      </c>
      <c r="J3" s="3">
        <v>0.5</v>
      </c>
      <c r="K3" s="4">
        <v>0.111</v>
      </c>
      <c r="M3" s="7">
        <f>SLOPE(K2:K11,J2:J11)</f>
        <v>2.0993186896038102E-2</v>
      </c>
      <c r="N3" s="10">
        <f>INTERCEPT(K2:K11,J2:J11)</f>
        <v>9.2473202710530444E-2</v>
      </c>
    </row>
    <row r="4" spans="1:18" x14ac:dyDescent="0.25">
      <c r="A4">
        <v>1.9900000000000001E-2</v>
      </c>
      <c r="B4">
        <v>0.27</v>
      </c>
      <c r="C4" s="15">
        <f>(((B4-$N$3)/$M$3)*$P$2)*193.8/1000</f>
        <v>50.761753134804231</v>
      </c>
      <c r="D4" s="17">
        <f>((44/100)*(((Tabel42816[[#This Row],[CFH12(g)]]*1000)))/$Q$2)/((C4/$P$2)*0.04)</f>
        <v>2.391570927673067</v>
      </c>
      <c r="E4">
        <v>2.2499999999999999E-2</v>
      </c>
      <c r="F4">
        <v>0.28199999999999997</v>
      </c>
      <c r="G4" s="12">
        <f t="shared" si="1"/>
        <v>54.193015608516312</v>
      </c>
      <c r="H4" s="17">
        <f>((80/100)*((Tabel57917[[#This Row],[PF(g)]]*1000)/$R$2))/(G4/$P$2*0.04)</f>
        <v>9.5328891751034508</v>
      </c>
      <c r="J4" s="3">
        <v>1</v>
      </c>
      <c r="K4" s="4">
        <v>0.10100000000000001</v>
      </c>
    </row>
    <row r="5" spans="1:18" x14ac:dyDescent="0.25">
      <c r="A5">
        <v>3.0599999999999999E-2</v>
      </c>
      <c r="B5">
        <v>0.28199999999999997</v>
      </c>
      <c r="C5" s="12">
        <f t="shared" si="0"/>
        <v>54.193015608516312</v>
      </c>
      <c r="D5" s="17">
        <f>((44/100)*(((Tabel42816[[#This Row],[CFH12(g)]]*1000)))/$Q$2)/((C5/$P$2)*0.04)</f>
        <v>3.4446484826916688</v>
      </c>
      <c r="E5">
        <v>3.27E-2</v>
      </c>
      <c r="F5">
        <v>0.24199999999999999</v>
      </c>
      <c r="G5" s="12">
        <f t="shared" si="1"/>
        <v>42.755474029476005</v>
      </c>
      <c r="H5" s="17">
        <f>((80/100)*((Tabel57917[[#This Row],[PF(g)]]*1000)/$R$2))/(G5/$P$2*0.04)</f>
        <v>17.56068170483093</v>
      </c>
      <c r="J5" s="3">
        <v>2</v>
      </c>
      <c r="K5" s="4">
        <v>0.129</v>
      </c>
    </row>
    <row r="6" spans="1:18" x14ac:dyDescent="0.25">
      <c r="A6">
        <v>3.2099999999999997E-2</v>
      </c>
      <c r="B6">
        <v>0.25800000000000001</v>
      </c>
      <c r="C6" s="12">
        <f t="shared" si="0"/>
        <v>47.330490661092128</v>
      </c>
      <c r="D6" s="17">
        <f>((44/100)*(((Tabel42816[[#This Row],[CFH12(g)]]*1000)))/$Q$2)/((C6/$P$2)*0.04)</f>
        <v>4.1374316032882117</v>
      </c>
      <c r="E6">
        <v>3.0499999999999999E-2</v>
      </c>
      <c r="F6">
        <v>0.28299999999999997</v>
      </c>
      <c r="G6" s="12">
        <f t="shared" si="1"/>
        <v>54.478954147992319</v>
      </c>
      <c r="H6" s="17">
        <f>((80/100)*((Tabel57917[[#This Row],[PF(g)]]*1000)/$R$2))/(G6/$P$2*0.04)</f>
        <v>12.854536507148602</v>
      </c>
      <c r="J6" s="3">
        <v>3</v>
      </c>
      <c r="K6" s="4">
        <v>0.19</v>
      </c>
    </row>
    <row r="7" spans="1:18" x14ac:dyDescent="0.25">
      <c r="A7">
        <v>3.1099999999999999E-2</v>
      </c>
      <c r="B7">
        <v>0.27500000000000002</v>
      </c>
      <c r="C7" s="12">
        <f t="shared" si="0"/>
        <v>52.191445832184279</v>
      </c>
      <c r="D7" s="17">
        <f>((44/100)*(((Tabel42816[[#This Row],[CFH12(g)]]*1000)))/$Q$2)/((C7/$P$2)*0.04)</f>
        <v>3.6351962584519617</v>
      </c>
      <c r="E7">
        <v>3.27E-2</v>
      </c>
      <c r="F7">
        <v>0.24399999999999999</v>
      </c>
      <c r="G7" s="12">
        <f t="shared" si="1"/>
        <v>43.327351108428026</v>
      </c>
      <c r="H7" s="17">
        <f>((80/100)*((Tabel57917[[#This Row],[PF(g)]]*1000)/$R$2))/(G7/$P$2*0.04)</f>
        <v>17.328898521671796</v>
      </c>
      <c r="J7" s="3">
        <v>4</v>
      </c>
      <c r="K7" s="4">
        <v>0.16600000000000001</v>
      </c>
    </row>
    <row r="8" spans="1:18" x14ac:dyDescent="0.25">
      <c r="A8">
        <v>4.0599999999999997E-2</v>
      </c>
      <c r="B8">
        <v>0.27400000000000002</v>
      </c>
      <c r="C8" s="12">
        <f t="shared" si="0"/>
        <v>51.905507292708265</v>
      </c>
      <c r="D8" s="17">
        <f>((44/100)*(((Tabel42816[[#This Row],[CFH12(g)]]*1000)))/$Q$2)/((C8/$P$2)*0.04)</f>
        <v>4.7717688235177471</v>
      </c>
      <c r="E8">
        <v>4.3499999999999997E-2</v>
      </c>
      <c r="F8">
        <v>0.28799999999999998</v>
      </c>
      <c r="G8" s="12">
        <f t="shared" si="1"/>
        <v>55.90864684537236</v>
      </c>
      <c r="H8" s="17">
        <f>((80/100)*((Tabel57917[[#This Row],[PF(g)]]*1000)/$R$2))/(G8/$P$2*0.04)</f>
        <v>17.864695581459429</v>
      </c>
      <c r="J8" s="3">
        <v>5</v>
      </c>
      <c r="K8" s="4">
        <v>0.19</v>
      </c>
    </row>
    <row r="9" spans="1:18" x14ac:dyDescent="0.25">
      <c r="A9">
        <v>3.95E-2</v>
      </c>
      <c r="B9">
        <v>0.27</v>
      </c>
      <c r="C9" s="12">
        <f t="shared" si="0"/>
        <v>50.761753134804231</v>
      </c>
      <c r="D9" s="17">
        <f>((44/100)*(((Tabel42816[[#This Row],[CFH12(g)]]*1000)))/$Q$2)/((C9/$P$2)*0.04)</f>
        <v>4.7470880222656344</v>
      </c>
      <c r="E9">
        <v>4.1300000000000003E-2</v>
      </c>
      <c r="F9">
        <v>0.307</v>
      </c>
      <c r="G9" s="12">
        <f t="shared" si="1"/>
        <v>61.341479095416517</v>
      </c>
      <c r="H9" s="17">
        <f>((80/100)*((Tabel57917[[#This Row],[PF(g)]]*1000)/$R$2))/(G9/$P$2*0.04)</f>
        <v>15.458991283609334</v>
      </c>
      <c r="J9" s="3">
        <v>10</v>
      </c>
      <c r="K9" s="4">
        <v>0.29899999999999999</v>
      </c>
    </row>
    <row r="10" spans="1:18" x14ac:dyDescent="0.25">
      <c r="A10">
        <v>4.1000000000000002E-2</v>
      </c>
      <c r="B10">
        <v>0.26100000000000001</v>
      </c>
      <c r="C10" s="12">
        <f t="shared" si="0"/>
        <v>48.188306279520155</v>
      </c>
      <c r="D10" s="17">
        <f>((44/100)*(((Tabel42816[[#This Row],[CFH12(g)]]*1000)))/$Q$2)/((C10/$P$2)*0.04)</f>
        <v>5.1904976223186594</v>
      </c>
      <c r="E10">
        <v>4.36E-2</v>
      </c>
      <c r="F10">
        <v>0.26500000000000001</v>
      </c>
      <c r="G10" s="12">
        <f t="shared" si="1"/>
        <v>49.33206043742419</v>
      </c>
      <c r="H10" s="17">
        <f>((80/100)*((Tabel57917[[#This Row],[PF(g)]]*1000)/$R$2))/(G10/$P$2*0.04)</f>
        <v>20.292828204440493</v>
      </c>
      <c r="J10" s="3">
        <v>20</v>
      </c>
      <c r="K10" s="4">
        <v>0.52800000000000002</v>
      </c>
    </row>
    <row r="11" spans="1:18" x14ac:dyDescent="0.25">
      <c r="A11">
        <v>5.1299999999999998E-2</v>
      </c>
      <c r="B11">
        <v>0.26200000000000001</v>
      </c>
      <c r="C11" s="12">
        <f t="shared" si="0"/>
        <v>48.474244818996162</v>
      </c>
      <c r="D11" s="17">
        <f>((44/100)*(((Tabel42816[[#This Row],[CFH12(g)]]*1000)))/$Q$2)/((C11/$P$2)*0.04)</f>
        <v>6.4561426091371139</v>
      </c>
      <c r="E11">
        <v>5.11E-2</v>
      </c>
      <c r="F11">
        <v>0.29099999999999998</v>
      </c>
      <c r="G11" s="12">
        <f t="shared" si="1"/>
        <v>56.766462463800387</v>
      </c>
      <c r="H11" s="17">
        <f>((80/100)*((Tabel57917[[#This Row],[PF(g)]]*1000)/$R$2))/(G11/$P$2*0.04)</f>
        <v>20.668759577238138</v>
      </c>
      <c r="J11" s="3">
        <v>25</v>
      </c>
      <c r="K11" s="4">
        <v>0.60599999999999998</v>
      </c>
    </row>
    <row r="12" spans="1:18" x14ac:dyDescent="0.25">
      <c r="A12">
        <v>5.04E-2</v>
      </c>
      <c r="B12">
        <v>0.27100000000000002</v>
      </c>
      <c r="C12" s="12">
        <f t="shared" si="0"/>
        <v>51.047691674280237</v>
      </c>
      <c r="D12" s="17">
        <f>((44/100)*(((Tabel42816[[#This Row],[CFH12(g)]]*1000)))/$Q$2)/((C12/$P$2)*0.04)</f>
        <v>6.0231160315793693</v>
      </c>
      <c r="E12">
        <v>5.2999999999999999E-2</v>
      </c>
      <c r="F12">
        <v>0.29399999999999998</v>
      </c>
      <c r="G12" s="12">
        <f t="shared" si="1"/>
        <v>57.6242780822284</v>
      </c>
      <c r="H12" s="17">
        <f>((80/100)*((Tabel57917[[#This Row],[PF(g)]]*1000)/$R$2))/(G12/$P$2*0.04)</f>
        <v>21.11814251435425</v>
      </c>
      <c r="J12" s="5"/>
      <c r="K12" s="6"/>
    </row>
    <row r="13" spans="1:18" x14ac:dyDescent="0.25">
      <c r="A13">
        <v>5.0599999999999999E-2</v>
      </c>
      <c r="B13">
        <v>0.26600000000000001</v>
      </c>
      <c r="C13" s="12">
        <f t="shared" si="0"/>
        <v>49.617998976900196</v>
      </c>
      <c r="D13" s="17">
        <f>((44/100)*(((Tabel42816[[#This Row],[CFH12(g)]]*1000)))/$Q$2)/((C13/$P$2)*0.04)</f>
        <v>6.2212560021169931</v>
      </c>
      <c r="E13">
        <v>5.2299999999999999E-2</v>
      </c>
      <c r="F13">
        <v>0.308</v>
      </c>
      <c r="G13" s="12">
        <f t="shared" si="1"/>
        <v>61.627417634892524</v>
      </c>
      <c r="H13" s="17">
        <f>((80/100)*((Tabel57917[[#This Row],[PF(g)]]*1000)/$R$2))/(G13/$P$2*0.04)</f>
        <v>19.485567702914807</v>
      </c>
    </row>
    <row r="14" spans="1:18" x14ac:dyDescent="0.25">
      <c r="F14" s="14"/>
      <c r="G14" s="14"/>
      <c r="H14" s="18"/>
    </row>
    <row r="15" spans="1:18" x14ac:dyDescent="0.25">
      <c r="A15" s="14" t="s">
        <v>6</v>
      </c>
      <c r="B15" s="14" t="s">
        <v>7</v>
      </c>
      <c r="C15" s="14" t="s">
        <v>1</v>
      </c>
      <c r="D15" s="14" t="s">
        <v>12</v>
      </c>
      <c r="F15" s="20"/>
      <c r="G15" s="21"/>
      <c r="H15" s="16"/>
    </row>
    <row r="16" spans="1:18" x14ac:dyDescent="0.25">
      <c r="A16">
        <v>0.318</v>
      </c>
      <c r="C16" s="12">
        <f>(((A16-$N$3)/$M$3)*$P$2)*193.8/1000</f>
        <v>64.486803029652592</v>
      </c>
      <c r="D16" s="22">
        <f>AVERAGE(C16:C18)</f>
        <v>64.010238797192585</v>
      </c>
      <c r="F16" s="12"/>
      <c r="G16" s="12"/>
      <c r="H16" s="12"/>
    </row>
    <row r="17" spans="1:8" x14ac:dyDescent="0.25">
      <c r="A17">
        <v>0.317</v>
      </c>
      <c r="C17" s="12">
        <f>(((A17-$N$3)/$M$3)*$P$2)*193.8/1000</f>
        <v>64.200864490176585</v>
      </c>
      <c r="D17" s="22"/>
      <c r="F17" s="12"/>
      <c r="G17" s="12"/>
      <c r="H17" s="12"/>
    </row>
    <row r="18" spans="1:8" x14ac:dyDescent="0.25">
      <c r="A18" s="15">
        <v>0.314</v>
      </c>
      <c r="C18" s="12">
        <f>(((A18-$N$3)/$M$3)*$P$2)*193.8/1000</f>
        <v>63.343048871748572</v>
      </c>
      <c r="D18" s="22"/>
      <c r="F18" s="12"/>
      <c r="G18" s="12"/>
      <c r="H18" s="12"/>
    </row>
    <row r="19" spans="1:8" x14ac:dyDescent="0.25">
      <c r="F19" s="12"/>
      <c r="G19" s="12"/>
      <c r="H19" s="12"/>
    </row>
    <row r="20" spans="1:8" x14ac:dyDescent="0.25">
      <c r="A20" t="s">
        <v>8</v>
      </c>
      <c r="B20" s="11" t="s">
        <v>15</v>
      </c>
    </row>
    <row r="21" spans="1:8" x14ac:dyDescent="0.25">
      <c r="A21" t="s">
        <v>9</v>
      </c>
      <c r="B21" s="11">
        <v>6.98</v>
      </c>
    </row>
    <row r="22" spans="1:8" x14ac:dyDescent="0.25">
      <c r="A22" t="s">
        <v>10</v>
      </c>
      <c r="B22" s="11">
        <v>193.8</v>
      </c>
    </row>
    <row r="23" spans="1:8" x14ac:dyDescent="0.25">
      <c r="A23" t="s">
        <v>14</v>
      </c>
      <c r="B23" s="11"/>
    </row>
    <row r="24" spans="1:8" x14ac:dyDescent="0.25">
      <c r="A24" t="s">
        <v>1</v>
      </c>
      <c r="B24" s="12">
        <f>64.01</f>
        <v>64.010000000000005</v>
      </c>
    </row>
  </sheetData>
  <mergeCells count="2">
    <mergeCell ref="F15:G15"/>
    <mergeCell ref="D16:D1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657C-5BFA-1648-88A1-C34D38A97453}">
  <dimension ref="A1:R24"/>
  <sheetViews>
    <sheetView workbookViewId="0">
      <selection sqref="A1:H1"/>
    </sheetView>
  </sheetViews>
  <sheetFormatPr defaultColWidth="8.85546875" defaultRowHeight="15" x14ac:dyDescent="0.25"/>
  <cols>
    <col min="1" max="1" width="17" bestFit="1" customWidth="1"/>
    <col min="2" max="2" width="13.7109375" customWidth="1"/>
    <col min="3" max="4" width="10.42578125" customWidth="1"/>
    <col min="6" max="6" width="14.140625" customWidth="1"/>
    <col min="7" max="8" width="12.140625" customWidth="1"/>
    <col min="16" max="16" width="11" bestFit="1" customWidth="1"/>
  </cols>
  <sheetData>
    <row r="1" spans="1:18" x14ac:dyDescent="0.25">
      <c r="A1" t="s">
        <v>16</v>
      </c>
      <c r="B1" t="s">
        <v>11</v>
      </c>
      <c r="C1" t="s">
        <v>1</v>
      </c>
      <c r="D1" t="s">
        <v>23</v>
      </c>
      <c r="E1" t="s">
        <v>17</v>
      </c>
      <c r="F1" t="s">
        <v>13</v>
      </c>
      <c r="G1" t="s">
        <v>1</v>
      </c>
      <c r="H1" t="s">
        <v>24</v>
      </c>
      <c r="J1" s="1" t="s">
        <v>2</v>
      </c>
      <c r="K1" s="2" t="s">
        <v>0</v>
      </c>
      <c r="P1" s="8" t="s">
        <v>25</v>
      </c>
      <c r="Q1" t="s">
        <v>26</v>
      </c>
      <c r="R1" t="s">
        <v>27</v>
      </c>
    </row>
    <row r="2" spans="1:18" x14ac:dyDescent="0.25">
      <c r="A2">
        <v>0.02</v>
      </c>
      <c r="B2">
        <v>0.25700000000000001</v>
      </c>
      <c r="C2" s="15">
        <f>(((B2-$N$3)/$M$3)*$P$2)*$B$22/1000</f>
        <v>46.680430201170182</v>
      </c>
      <c r="D2" s="17">
        <f>((44/100)*(( Tabel4219[[#This Row],[CFH12(g)]]*1000)/$Q$2))/(C2/$P$2*0.04)</f>
        <v>2.6137373720402213</v>
      </c>
      <c r="E2">
        <v>2.2100000000000002E-2</v>
      </c>
      <c r="F2">
        <v>0.27500000000000002</v>
      </c>
      <c r="G2" s="12">
        <f>(((Tabel5718[[#This Row],[Absorbance ]]-$N$3)/$M$3)*$P$2)*$B$22/1000</f>
        <v>51.787487273111644</v>
      </c>
      <c r="H2" s="17">
        <f>((80/100)*((Tabel5718[[#This Row],[PF(g)]]*1000)/$R$2))/(G2/$P$2*0.04)</f>
        <v>9.7983461628345641</v>
      </c>
      <c r="J2" s="3">
        <v>0.25</v>
      </c>
      <c r="K2" s="4">
        <v>0.09</v>
      </c>
      <c r="M2" s="1" t="s">
        <v>4</v>
      </c>
      <c r="N2" s="2" t="s">
        <v>5</v>
      </c>
      <c r="P2" s="9">
        <v>30.974</v>
      </c>
      <c r="Q2">
        <v>55.85</v>
      </c>
      <c r="R2">
        <v>26.98</v>
      </c>
    </row>
    <row r="3" spans="1:18" x14ac:dyDescent="0.25">
      <c r="A3">
        <v>0.02</v>
      </c>
      <c r="B3">
        <v>0.254</v>
      </c>
      <c r="C3" s="15">
        <f t="shared" ref="C3:C9" si="0">(((B3-$N$3)/$M$3)*$P$2)*$B$22/1000</f>
        <v>45.829254022513268</v>
      </c>
      <c r="D3" s="17">
        <f>((44/100)*(( Tabel4219[[#This Row],[CFH12(g)]]*1000)/$Q$2))/(C3/$P$2*0.04)</f>
        <v>2.6622817142032655</v>
      </c>
      <c r="E3">
        <v>2.0299999999999999E-2</v>
      </c>
      <c r="F3">
        <v>0.27100000000000002</v>
      </c>
      <c r="G3" s="12">
        <f>(((Tabel5718[[#This Row],[Absorbance ]]-$N$3)/$M$3)*$P$2)*$B$22/1000</f>
        <v>50.652585701569087</v>
      </c>
      <c r="H3" s="17">
        <f>((80/100)*((Tabel5718[[#This Row],[PF(g)]]*1000)/$R$2))/(G3/$P$2*0.04)</f>
        <v>9.2019477347638645</v>
      </c>
      <c r="J3" s="3">
        <v>0.5</v>
      </c>
      <c r="K3" s="4">
        <v>0.111</v>
      </c>
      <c r="M3" s="7">
        <f>SLOPE(K2:K11,J2:J11)</f>
        <v>2.0993186896038102E-2</v>
      </c>
      <c r="N3" s="10">
        <f>INTERCEPT(K2:K11,J2:J11)</f>
        <v>9.2473202710530444E-2</v>
      </c>
    </row>
    <row r="4" spans="1:18" x14ac:dyDescent="0.25">
      <c r="A4">
        <v>0.02</v>
      </c>
      <c r="B4">
        <v>0.251</v>
      </c>
      <c r="C4" s="15">
        <f>(((B4-$N$3)/$M$3)*$P$2)*$B$22/1000</f>
        <v>44.978077843856354</v>
      </c>
      <c r="D4" s="17">
        <f>((44/100)*(( Tabel4219[[#This Row],[CFH12(g)]]*1000)/$Q$2))/(C4/$P$2*0.04)</f>
        <v>2.7126633864452518</v>
      </c>
      <c r="E4">
        <v>2.1100000000000001E-2</v>
      </c>
      <c r="F4">
        <v>0.27800000000000002</v>
      </c>
      <c r="G4" s="12">
        <f>(((Tabel5718[[#This Row],[Absorbance ]]-$N$3)/$M$3)*$P$2)*$B$22/1000</f>
        <v>52.638663451768544</v>
      </c>
      <c r="H4" s="17">
        <f>((80/100)*((Tabel5718[[#This Row],[PF(g)]]*1000)/$R$2))/(G4/$P$2*0.04)</f>
        <v>9.2037104249615904</v>
      </c>
      <c r="J4" s="3">
        <v>1</v>
      </c>
      <c r="K4" s="4">
        <v>0.10100000000000001</v>
      </c>
    </row>
    <row r="5" spans="1:18" x14ac:dyDescent="0.25">
      <c r="A5">
        <v>0.03</v>
      </c>
      <c r="B5">
        <v>0.23400000000000001</v>
      </c>
      <c r="C5" s="15">
        <f t="shared" si="0"/>
        <v>40.154746164800557</v>
      </c>
      <c r="D5" s="17">
        <f>((44/100)*(( Tabel4219[[#This Row],[CFH12(g)]]*1000)/$Q$2))/(C5/$P$2*0.04)</f>
        <v>4.5577570503982106</v>
      </c>
      <c r="E5">
        <v>3.1399999999999997E-2</v>
      </c>
      <c r="F5">
        <v>0.24399999999999999</v>
      </c>
      <c r="G5" s="12">
        <f>(((Tabel5718[[#This Row],[Absorbance ]]-$N$3)/$M$3)*$P$2)*$B$22/1000</f>
        <v>42.992000093656905</v>
      </c>
      <c r="H5" s="17">
        <f>((80/100)*((Tabel5718[[#This Row],[PF(g)]]*1000)/$R$2))/(G5/$P$2*0.04)</f>
        <v>16.769779118683985</v>
      </c>
      <c r="J5" s="3">
        <v>2</v>
      </c>
      <c r="K5" s="4">
        <v>0.129</v>
      </c>
    </row>
    <row r="6" spans="1:18" x14ac:dyDescent="0.25">
      <c r="A6">
        <v>0.03</v>
      </c>
      <c r="B6">
        <v>0.23499999999999999</v>
      </c>
      <c r="C6" s="15">
        <f t="shared" si="0"/>
        <v>40.438471557686171</v>
      </c>
      <c r="D6" s="17">
        <f>((44/100)*(( Tabel4219[[#This Row],[CFH12(g)]]*1000)/$Q$2))/(C6/$P$2*0.04)</f>
        <v>4.5257788039415736</v>
      </c>
      <c r="E6">
        <v>3.04E-2</v>
      </c>
      <c r="F6">
        <v>0.251</v>
      </c>
      <c r="G6" s="12">
        <f>(((Tabel5718[[#This Row],[Absorbance ]]-$N$3)/$M$3)*$P$2)*$B$22/1000</f>
        <v>44.978077843856354</v>
      </c>
      <c r="H6" s="17">
        <f>((80/100)*((Tabel5718[[#This Row],[PF(g)]]*1000)/$R$2))/(G6/$P$2*0.04)</f>
        <v>15.518796428472962</v>
      </c>
      <c r="J6" s="3">
        <v>3</v>
      </c>
      <c r="K6" s="4">
        <v>0.19</v>
      </c>
    </row>
    <row r="7" spans="1:18" x14ac:dyDescent="0.25">
      <c r="A7">
        <v>0.03</v>
      </c>
      <c r="B7">
        <v>0.25700000000000001</v>
      </c>
      <c r="C7" s="15">
        <f t="shared" si="0"/>
        <v>46.680430201170182</v>
      </c>
      <c r="D7" s="17">
        <f>((44/100)*(( Tabel4219[[#This Row],[CFH12(g)]]*1000)/$Q$2))/(C7/$P$2*0.04)</f>
        <v>3.920606058060331</v>
      </c>
      <c r="E7">
        <v>3.1199999999999999E-2</v>
      </c>
      <c r="F7">
        <v>0.27200000000000002</v>
      </c>
      <c r="G7" s="12">
        <f>(((Tabel5718[[#This Row],[Absorbance ]]-$N$3)/$M$3)*$P$2)*$B$22/1000</f>
        <v>50.936311094454723</v>
      </c>
      <c r="H7" s="17">
        <f>((80/100)*((Tabel5718[[#This Row],[PF(g)]]*1000)/$R$2))/(G7/$P$2*0.04)</f>
        <v>14.064116299764917</v>
      </c>
      <c r="J7" s="3">
        <v>4</v>
      </c>
      <c r="K7" s="4">
        <v>0.16600000000000001</v>
      </c>
    </row>
    <row r="8" spans="1:18" x14ac:dyDescent="0.25">
      <c r="A8">
        <v>0.04</v>
      </c>
      <c r="B8">
        <v>0.25700000000000001</v>
      </c>
      <c r="C8" s="15">
        <f t="shared" si="0"/>
        <v>46.680430201170182</v>
      </c>
      <c r="D8" s="17">
        <f>((44/100)*(( Tabel4219[[#This Row],[CFH12(g)]]*1000)/$Q$2))/(C8/$P$2*0.04)</f>
        <v>5.2274747440804425</v>
      </c>
      <c r="E8">
        <v>4.1099999999999998E-2</v>
      </c>
      <c r="F8">
        <v>0.24</v>
      </c>
      <c r="G8" s="12">
        <f>(((Tabel5718[[#This Row],[Absorbance ]]-$N$3)/$M$3)*$P$2)*$B$22/1000</f>
        <v>41.857098522114356</v>
      </c>
      <c r="H8" s="17">
        <f>((80/100)*((Tabel5718[[#This Row],[PF(g)]]*1000)/$R$2))/(G8/$P$2*0.04)</f>
        <v>22.545405239532325</v>
      </c>
      <c r="J8" s="3">
        <v>5</v>
      </c>
      <c r="K8" s="4">
        <v>0.19</v>
      </c>
    </row>
    <row r="9" spans="1:18" x14ac:dyDescent="0.25">
      <c r="A9">
        <v>0.04</v>
      </c>
      <c r="B9">
        <v>0.23100000000000001</v>
      </c>
      <c r="C9" s="15">
        <f t="shared" si="0"/>
        <v>39.303569986143643</v>
      </c>
      <c r="D9" s="17">
        <f>((44/100)*(( Tabel4219[[#This Row],[CFH12(g)]]*1000)/$Q$2))/(C9/$P$2*0.04)</f>
        <v>6.2086159095841884</v>
      </c>
      <c r="E9">
        <v>4.07E-2</v>
      </c>
      <c r="F9">
        <v>0.28799999999999998</v>
      </c>
      <c r="G9" s="12">
        <f>(((Tabel5718[[#This Row],[Absorbance ]]-$N$3)/$M$3)*$P$2)*$B$22/1000</f>
        <v>55.475917380624892</v>
      </c>
      <c r="H9" s="17">
        <f>((80/100)*((Tabel5718[[#This Row],[PF(g)]]*1000)/$R$2))/(G9/$P$2*0.04)</f>
        <v>16.84516467326009</v>
      </c>
      <c r="J9" s="3">
        <v>10</v>
      </c>
      <c r="K9" s="4">
        <v>0.29899999999999999</v>
      </c>
    </row>
    <row r="10" spans="1:18" x14ac:dyDescent="0.25">
      <c r="A10">
        <v>0.04</v>
      </c>
      <c r="B10">
        <v>0.26100000000000001</v>
      </c>
      <c r="C10" s="15">
        <f>(((B10-$N$3)/$M$3)*$P$2)*$B$22/1000</f>
        <v>47.815331772712725</v>
      </c>
      <c r="D10" s="17">
        <f>((44/100)*(( Tabel4219[[#This Row],[CFH12(g)]]*1000)/$Q$2))/(C10/$P$2*0.04)</f>
        <v>5.103400120266131</v>
      </c>
      <c r="E10">
        <v>4.1300000000000003E-2</v>
      </c>
      <c r="F10">
        <v>0.251</v>
      </c>
      <c r="G10" s="12">
        <f>(((Tabel5718[[#This Row],[Absorbance ]]-$N$3)/$M$3)*$P$2)*$B$22/1000</f>
        <v>44.978077843856354</v>
      </c>
      <c r="H10" s="17">
        <f>((80/100)*((Tabel5718[[#This Row],[PF(g)]]*1000)/$R$2))/(G10/$P$2*0.04)</f>
        <v>21.083101726839917</v>
      </c>
      <c r="J10" s="3">
        <v>20</v>
      </c>
      <c r="K10" s="4">
        <v>0.52800000000000002</v>
      </c>
    </row>
    <row r="11" spans="1:18" x14ac:dyDescent="0.25">
      <c r="A11">
        <v>0.05</v>
      </c>
      <c r="B11">
        <v>0.22900000000000001</v>
      </c>
      <c r="C11" s="15">
        <f t="shared" ref="C11:C13" si="1">(((B11-$N$3)/$M$3)*$P$2)*$B$22/1000</f>
        <v>38.736119200372364</v>
      </c>
      <c r="D11" s="17">
        <f>((44/100)*(( Tabel4219[[#This Row],[CFH12(g)]]*1000)/$Q$2))/(C11/$P$2*0.04)</f>
        <v>7.8744584820554673</v>
      </c>
      <c r="E11">
        <v>5.1999999999999998E-2</v>
      </c>
      <c r="F11">
        <v>0.22</v>
      </c>
      <c r="G11" s="12">
        <f>(((Tabel5718[[#This Row],[Absorbance ]]-$N$3)/$M$3)*$P$2)*$B$22/1000</f>
        <v>36.182590664401637</v>
      </c>
      <c r="H11" s="17">
        <f>((80/100)*((Tabel5718[[#This Row],[PF(g)]]*1000)/$R$2))/(G11/$P$2*0.04)</f>
        <v>32.998107190917857</v>
      </c>
      <c r="J11" s="3">
        <v>25</v>
      </c>
      <c r="K11" s="4">
        <v>0.60599999999999998</v>
      </c>
    </row>
    <row r="12" spans="1:18" x14ac:dyDescent="0.25">
      <c r="A12">
        <v>0.05</v>
      </c>
      <c r="B12">
        <v>0.23100000000000001</v>
      </c>
      <c r="C12" s="15">
        <f t="shared" si="1"/>
        <v>39.303569986143643</v>
      </c>
      <c r="D12" s="17">
        <f>((44/100)*(( Tabel4219[[#This Row],[CFH12(g)]]*1000)/$Q$2))/(C12/$P$2*0.04)</f>
        <v>7.7607698869802348</v>
      </c>
      <c r="E12">
        <v>5.1400000000000001E-2</v>
      </c>
      <c r="F12">
        <v>0.218</v>
      </c>
      <c r="G12" s="12">
        <f>(((Tabel5718[[#This Row],[Absorbance ]]-$N$3)/$M$3)*$P$2)*$B$22/1000</f>
        <v>35.615139878630366</v>
      </c>
      <c r="H12" s="17">
        <f>((80/100)*((Tabel5718[[#This Row],[PF(g)]]*1000)/$R$2))/(G12/$P$2*0.04)</f>
        <v>33.137047396919115</v>
      </c>
      <c r="J12" s="5"/>
      <c r="K12" s="6"/>
    </row>
    <row r="13" spans="1:18" x14ac:dyDescent="0.25">
      <c r="A13">
        <v>0.05</v>
      </c>
      <c r="B13">
        <v>0.23200000000000001</v>
      </c>
      <c r="C13" s="15">
        <f t="shared" si="1"/>
        <v>39.587295379029271</v>
      </c>
      <c r="D13" s="17">
        <f>((44/100)*(( Tabel4219[[#This Row],[CFH12(g)]]*1000)/$Q$2))/(C13/$P$2*0.04)</f>
        <v>7.705147812670889</v>
      </c>
      <c r="E13">
        <v>5.11E-2</v>
      </c>
      <c r="F13">
        <v>0.23300000000000001</v>
      </c>
      <c r="G13" s="12">
        <f>(((Tabel5718[[#This Row],[Absorbance ]]-$N$3)/$M$3)*$P$2)*$B$22/1000</f>
        <v>39.871020771914914</v>
      </c>
      <c r="H13" s="17">
        <f>((80/100)*((Tabel5718[[#This Row],[PF(g)]]*1000)/$R$2))/(G13/$P$2*0.04)</f>
        <v>29.427196545242925</v>
      </c>
    </row>
    <row r="15" spans="1:18" x14ac:dyDescent="0.25">
      <c r="A15" s="14" t="s">
        <v>6</v>
      </c>
      <c r="B15" s="14" t="s">
        <v>7</v>
      </c>
      <c r="C15" s="14" t="s">
        <v>1</v>
      </c>
      <c r="D15" s="14" t="s">
        <v>12</v>
      </c>
      <c r="F15" s="23"/>
      <c r="G15" s="23"/>
    </row>
    <row r="16" spans="1:18" x14ac:dyDescent="0.25">
      <c r="A16">
        <v>0.318</v>
      </c>
      <c r="C16" s="12">
        <f>(((A16-$N$3)/$M$3)*$P$2)*193.8/1000</f>
        <v>64.486803029652592</v>
      </c>
      <c r="D16" s="22">
        <f>AVERAGE(C16:C18)</f>
        <v>64.010238797192585</v>
      </c>
      <c r="F16" s="12"/>
      <c r="G16" s="12"/>
      <c r="H16" s="12"/>
    </row>
    <row r="17" spans="1:8" x14ac:dyDescent="0.25">
      <c r="A17">
        <v>0.317</v>
      </c>
      <c r="C17" s="12">
        <f>(((A17-$N$3)/$M$3)*$P$2)*193.8/1000</f>
        <v>64.200864490176585</v>
      </c>
      <c r="D17" s="22"/>
      <c r="F17" s="12"/>
      <c r="G17" s="12"/>
      <c r="H17" s="12"/>
    </row>
    <row r="18" spans="1:8" x14ac:dyDescent="0.25">
      <c r="A18" s="15">
        <v>0.314</v>
      </c>
      <c r="C18" s="12">
        <f>(((A18-$N$3)/$M$3)*$P$2)*193.8/1000</f>
        <v>63.343048871748572</v>
      </c>
      <c r="D18" s="22"/>
      <c r="F18" s="12"/>
      <c r="G18" s="12"/>
      <c r="H18" s="12"/>
    </row>
    <row r="19" spans="1:8" x14ac:dyDescent="0.25">
      <c r="F19" s="12"/>
      <c r="G19" s="12"/>
      <c r="H19" s="12"/>
    </row>
    <row r="20" spans="1:8" x14ac:dyDescent="0.25">
      <c r="A20" t="s">
        <v>8</v>
      </c>
      <c r="B20" s="11" t="s">
        <v>15</v>
      </c>
    </row>
    <row r="21" spans="1:8" x14ac:dyDescent="0.25">
      <c r="A21" t="s">
        <v>9</v>
      </c>
      <c r="B21" s="11">
        <v>6.98</v>
      </c>
    </row>
    <row r="22" spans="1:8" x14ac:dyDescent="0.25">
      <c r="A22" t="s">
        <v>10</v>
      </c>
      <c r="B22" s="11">
        <v>192.3</v>
      </c>
    </row>
    <row r="23" spans="1:8" x14ac:dyDescent="0.25">
      <c r="A23" t="s">
        <v>14</v>
      </c>
      <c r="B23" s="11"/>
    </row>
    <row r="24" spans="1:8" x14ac:dyDescent="0.25">
      <c r="A24" t="s">
        <v>1</v>
      </c>
      <c r="B24" s="12">
        <v>60.01</v>
      </c>
    </row>
  </sheetData>
  <mergeCells count="2">
    <mergeCell ref="F15:G15"/>
    <mergeCell ref="D16:D18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6a8e60-e28e-4978-89e5-ac92f871ebd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5F5D3DBB5B4540A87D30CAC3D27095" ma:contentTypeVersion="15" ma:contentTypeDescription="Opret et nyt dokument." ma:contentTypeScope="" ma:versionID="13054559f301f48dc3792be07287c1e4">
  <xsd:schema xmlns:xsd="http://www.w3.org/2001/XMLSchema" xmlns:xs="http://www.w3.org/2001/XMLSchema" xmlns:p="http://schemas.microsoft.com/office/2006/metadata/properties" xmlns:ns3="496a8e60-e28e-4978-89e5-ac92f871ebd4" xmlns:ns4="40c3f7f6-f32c-4de1-8a58-a98015b6288f" targetNamespace="http://schemas.microsoft.com/office/2006/metadata/properties" ma:root="true" ma:fieldsID="ced348d376a92b646721d680e7fc2d0c" ns3:_="" ns4:_="">
    <xsd:import namespace="496a8e60-e28e-4978-89e5-ac92f871ebd4"/>
    <xsd:import namespace="40c3f7f6-f32c-4de1-8a58-a98015b628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a8e60-e28e-4978-89e5-ac92f871e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3f7f6-f32c-4de1-8a58-a98015b6288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B5EB41-C2DB-4ACE-9314-B33DAF46B924}">
  <ds:schemaRefs>
    <ds:schemaRef ds:uri="http://schemas.microsoft.com/office/2006/documentManagement/types"/>
    <ds:schemaRef ds:uri="40c3f7f6-f32c-4de1-8a58-a98015b6288f"/>
    <ds:schemaRef ds:uri="http://purl.org/dc/elements/1.1/"/>
    <ds:schemaRef ds:uri="http://schemas.microsoft.com/office/2006/metadata/properties"/>
    <ds:schemaRef ds:uri="496a8e60-e28e-4978-89e5-ac92f871ebd4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B7A67E9-EA53-46B9-8273-DAB4861A45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a8e60-e28e-4978-89e5-ac92f871ebd4"/>
    <ds:schemaRef ds:uri="40c3f7f6-f32c-4de1-8a58-a98015b628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FA1B82-7136-4B67-BCCE-34B86C67FC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1 dag</vt:lpstr>
      <vt:lpstr>3 dage</vt:lpstr>
      <vt:lpstr>7 dage</vt:lpstr>
      <vt:lpstr>pH</vt:lpstr>
      <vt:lpstr>1 dag (2)</vt:lpstr>
      <vt:lpstr>3 dage (2)</vt:lpstr>
      <vt:lpstr>7 dage (2)</vt:lpstr>
      <vt:lpstr>1 dag (3)</vt:lpstr>
      <vt:lpstr>3 dage (3)</vt:lpstr>
      <vt:lpstr>7 dage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pc1</dc:creator>
  <cp:keywords/>
  <dc:description/>
  <cp:lastModifiedBy>Simon Weber</cp:lastModifiedBy>
  <cp:revision/>
  <dcterms:created xsi:type="dcterms:W3CDTF">2025-01-12T09:53:22Z</dcterms:created>
  <dcterms:modified xsi:type="dcterms:W3CDTF">2025-03-21T21:11:36Z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0x010100CB5F5D3DBB5B4540A87D30CAC3D27095</vt:lpwstr>
  </property>
</Properties>
</file>