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0" authorId="0">
      <text>
        <r>
          <rPr>
            <sz val="10"/>
            <rFont val="Arial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12565.22
</t>
        </r>
      </text>
    </comment>
    <comment ref="J97" authorId="0">
      <text>
        <r>
          <rPr>
            <sz val="10"/>
            <rFont val="Arial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12000 computer </t>
        </r>
      </text>
    </comment>
  </commentList>
</comments>
</file>

<file path=xl/sharedStrings.xml><?xml version="1.0" encoding="utf-8"?>
<sst xmlns="http://schemas.openxmlformats.org/spreadsheetml/2006/main" count="1013" uniqueCount="466">
  <si>
    <t xml:space="preserve">Date of Purchase</t>
  </si>
  <si>
    <t xml:space="preserve">Description</t>
  </si>
  <si>
    <t xml:space="preserve">Reference no</t>
  </si>
  <si>
    <t xml:space="preserve">Supplier Name</t>
  </si>
  <si>
    <t xml:space="preserve">Accounts Ref</t>
  </si>
  <si>
    <t xml:space="preserve">Location</t>
  </si>
  <si>
    <t xml:space="preserve">Name</t>
  </si>
  <si>
    <t xml:space="preserve">ID.T.No.</t>
  </si>
  <si>
    <t xml:space="preserve">ifrs_rate</t>
  </si>
  <si>
    <t xml:space="preserve">Cost</t>
  </si>
  <si>
    <t xml:space="preserve">Deperciation Amount</t>
  </si>
  <si>
    <t xml:space="preserve">ACC. Depreciation   /IFRS</t>
  </si>
  <si>
    <t xml:space="preserve">NBV/IFRS</t>
  </si>
  <si>
    <t xml:space="preserve">Remark </t>
  </si>
  <si>
    <t xml:space="preserve">Toshiba laptop cori3,500gb HD, 4gb RAM</t>
  </si>
  <si>
    <t xml:space="preserve">FS00001464</t>
  </si>
  <si>
    <t xml:space="preserve">Snap trading and Industry PLC</t>
  </si>
  <si>
    <t xml:space="preserve">CPV1540</t>
  </si>
  <si>
    <t xml:space="preserve">DESIGN</t>
  </si>
  <si>
    <t xml:space="preserve">Abel Melese</t>
  </si>
  <si>
    <t xml:space="preserve">STA-COA-002-004</t>
  </si>
  <si>
    <t xml:space="preserve">Desktop cori 7</t>
  </si>
  <si>
    <t xml:space="preserve">FS00000103</t>
  </si>
  <si>
    <t xml:space="preserve">Mesi Computer sales Accessory </t>
  </si>
  <si>
    <t xml:space="preserve">CPV5328</t>
  </si>
  <si>
    <t xml:space="preserve">STA-COA-001-045</t>
  </si>
  <si>
    <t xml:space="preserve">Dell 7010 Computer cori5, 12gb RAM , 1tera H.D</t>
  </si>
  <si>
    <t xml:space="preserve">FS00004788</t>
  </si>
  <si>
    <t xml:space="preserve">Pro Tech Trading</t>
  </si>
  <si>
    <t xml:space="preserve">CPV2361</t>
  </si>
  <si>
    <t xml:space="preserve">Alemu Temesgen</t>
  </si>
  <si>
    <t xml:space="preserve">STA-COA-001-017</t>
  </si>
  <si>
    <t xml:space="preserve">Labtop Computer</t>
  </si>
  <si>
    <t xml:space="preserve">FS00001097</t>
  </si>
  <si>
    <t xml:space="preserve">Blurder Computer </t>
  </si>
  <si>
    <t xml:space="preserve">CPV3666</t>
  </si>
  <si>
    <t xml:space="preserve">Andualem H/giorgise</t>
  </si>
  <si>
    <t xml:space="preserve">STA-COA-002-008</t>
  </si>
  <si>
    <t xml:space="preserve">Computer soft ware (for design)</t>
  </si>
  <si>
    <t xml:space="preserve">MDAS</t>
  </si>
  <si>
    <t xml:space="preserve">JV00007 &amp; 2570</t>
  </si>
  <si>
    <t xml:space="preserve">STA-COA-004-001</t>
  </si>
  <si>
    <t xml:space="preserve">TP Link router TL-WR940N</t>
  </si>
  <si>
    <t xml:space="preserve">FS00000164</t>
  </si>
  <si>
    <t xml:space="preserve">Cursor General Trading plc</t>
  </si>
  <si>
    <t xml:space="preserve">CPV2183</t>
  </si>
  <si>
    <t xml:space="preserve">STA-OFF-005-003</t>
  </si>
  <si>
    <t xml:space="preserve">Dell Computer  Cor I 5 &amp; Graphics card ram 256 SSD</t>
  </si>
  <si>
    <t xml:space="preserve">FS00020029</t>
  </si>
  <si>
    <t xml:space="preserve">Online Coputer Trading </t>
  </si>
  <si>
    <t xml:space="preserve">CPV6478</t>
  </si>
  <si>
    <t xml:space="preserve">Ayane Husen </t>
  </si>
  <si>
    <t xml:space="preserve">STA-COA-001-053</t>
  </si>
  <si>
    <t xml:space="preserve">Biruktayit Teshome</t>
  </si>
  <si>
    <t xml:space="preserve">STA-COA-001-055</t>
  </si>
  <si>
    <t xml:space="preserve">Dell 3020 Computer Cori5 12gb RAM , 500GB H.D</t>
  </si>
  <si>
    <t xml:space="preserve">FS00004462</t>
  </si>
  <si>
    <t xml:space="preserve">Cyclops Importer</t>
  </si>
  <si>
    <t xml:space="preserve">CPV3261</t>
  </si>
  <si>
    <t xml:space="preserve">Dawit Gebrie</t>
  </si>
  <si>
    <t xml:space="preserve">STA-COA-001-037</t>
  </si>
  <si>
    <t xml:space="preserve">Mother board 3020 Dell computer </t>
  </si>
  <si>
    <t xml:space="preserve">FS00000002</t>
  </si>
  <si>
    <t xml:space="preserve">KEAB Office Machine Maintenance</t>
  </si>
  <si>
    <t xml:space="preserve">CPV6109</t>
  </si>
  <si>
    <t xml:space="preserve">Dell 7020 Computer Cori5 12GB ram, 1tera H.D </t>
  </si>
  <si>
    <t xml:space="preserve">FS00001347</t>
  </si>
  <si>
    <t xml:space="preserve">Jupiter Trading </t>
  </si>
  <si>
    <t xml:space="preserve">CPV3022</t>
  </si>
  <si>
    <t xml:space="preserve">Dereje Giram </t>
  </si>
  <si>
    <t xml:space="preserve">STA-COA-001-032</t>
  </si>
  <si>
    <t xml:space="preserve">Dell Computer 3070 Cor I 5 &amp; Graphics card ram 256 SSD</t>
  </si>
  <si>
    <t xml:space="preserve">Birhanemeskel Maru</t>
  </si>
  <si>
    <t xml:space="preserve">STA-COA-001-057</t>
  </si>
  <si>
    <t xml:space="preserve">Efratus Adane</t>
  </si>
  <si>
    <t xml:space="preserve">STA-COA-001-043</t>
  </si>
  <si>
    <t xml:space="preserve">4GB graphic card</t>
  </si>
  <si>
    <t xml:space="preserve">Fs00000285</t>
  </si>
  <si>
    <t xml:space="preserve">Meseret Negash Trade of Computer </t>
  </si>
  <si>
    <t xml:space="preserve">CPV6160</t>
  </si>
  <si>
    <t xml:space="preserve">APC UPS 1500VA</t>
  </si>
  <si>
    <t xml:space="preserve">FS00003407</t>
  </si>
  <si>
    <t xml:space="preserve">FEARY Computer PLC</t>
  </si>
  <si>
    <t xml:space="preserve">CPV1596</t>
  </si>
  <si>
    <t xml:space="preserve">STA-COA-005-005</t>
  </si>
  <si>
    <t xml:space="preserve">Dell 3040 Computer Cori3, 4bg RAM , 500GB H.D and Ram and Graphic card </t>
  </si>
  <si>
    <t xml:space="preserve">CPV2649/2878</t>
  </si>
  <si>
    <t xml:space="preserve">Emebet Gosaye</t>
  </si>
  <si>
    <t xml:space="preserve">STA-COA-001-025</t>
  </si>
  <si>
    <t xml:space="preserve">HP laptop cori7, 500gb HD, 4gb RAM</t>
  </si>
  <si>
    <t xml:space="preserve">FS00005828</t>
  </si>
  <si>
    <t xml:space="preserve">CPV3523</t>
  </si>
  <si>
    <t xml:space="preserve">Girma Abebe</t>
  </si>
  <si>
    <t xml:space="preserve">STA-COA-002-007</t>
  </si>
  <si>
    <t xml:space="preserve">Dell 3020 Computer Cori3, 4gb RAM, 500GB H.D</t>
  </si>
  <si>
    <t xml:space="preserve">FS00004678</t>
  </si>
  <si>
    <t xml:space="preserve">CPV3309/2878</t>
  </si>
  <si>
    <t xml:space="preserve">Hagos K/Mariam</t>
  </si>
  <si>
    <t xml:space="preserve">STA-COA-001-038</t>
  </si>
  <si>
    <t xml:space="preserve">Dell 7020 Computer Cori3, 12gb RAM, 1trea H.D</t>
  </si>
  <si>
    <t xml:space="preserve">FS00000608</t>
  </si>
  <si>
    <t xml:space="preserve">CPV2461</t>
  </si>
  <si>
    <t xml:space="preserve">Hirut Abebe</t>
  </si>
  <si>
    <t xml:space="preserve">STA-COA-001-019</t>
  </si>
  <si>
    <t xml:space="preserve">Toshiba laptop cori3 1tera HD 4gb RAM</t>
  </si>
  <si>
    <t xml:space="preserve">FS00004898</t>
  </si>
  <si>
    <t xml:space="preserve">Visual Tech Importt</t>
  </si>
  <si>
    <t xml:space="preserve">CPV0571</t>
  </si>
  <si>
    <t xml:space="preserve">Hirut Abebe </t>
  </si>
  <si>
    <t xml:space="preserve">STA-COA-002-002</t>
  </si>
  <si>
    <t xml:space="preserve">Dell 7010 Computer Cori5, 12gb RAM , 500GB H.D, </t>
  </si>
  <si>
    <t xml:space="preserve">CPV1404</t>
  </si>
  <si>
    <t xml:space="preserve">Hosahna Getahun</t>
  </si>
  <si>
    <t xml:space="preserve">STA-COA-001-005</t>
  </si>
  <si>
    <t xml:space="preserve">Desk top Cor I 7 </t>
  </si>
  <si>
    <t xml:space="preserve">Meseret Negash Trade of Computer</t>
  </si>
  <si>
    <t xml:space="preserve">CPV5933</t>
  </si>
  <si>
    <t xml:space="preserve">Mahilet Kassa </t>
  </si>
  <si>
    <t xml:space="preserve">STA-COA-001-049</t>
  </si>
  <si>
    <t xml:space="preserve">Dell 7020 Computer Cori3, 4gb RAM , 500GB H.D</t>
  </si>
  <si>
    <t xml:space="preserve">Mekdes Teshome</t>
  </si>
  <si>
    <t xml:space="preserve">STA-COA-001-018</t>
  </si>
  <si>
    <t xml:space="preserve">HP Laser jet pro400 printer model M401D</t>
  </si>
  <si>
    <t xml:space="preserve">FS00000339</t>
  </si>
  <si>
    <t xml:space="preserve">Haneta Trading</t>
  </si>
  <si>
    <t xml:space="preserve">CPV2068</t>
  </si>
  <si>
    <t xml:space="preserve">STA-COA-003-005</t>
  </si>
  <si>
    <t xml:space="preserve">Epsone L1300 colour printera</t>
  </si>
  <si>
    <t xml:space="preserve">FS00003439</t>
  </si>
  <si>
    <t xml:space="preserve">muna nurhussen</t>
  </si>
  <si>
    <t xml:space="preserve">CPV 4020</t>
  </si>
  <si>
    <t xml:space="preserve">STA-COA-003-010</t>
  </si>
  <si>
    <t xml:space="preserve">Switch Board Internet 48 port</t>
  </si>
  <si>
    <t xml:space="preserve">FS00004814</t>
  </si>
  <si>
    <t xml:space="preserve">CPV3331</t>
  </si>
  <si>
    <t xml:space="preserve">STA-COA-005-033</t>
  </si>
  <si>
    <t xml:space="preserve">Dell 3040 Computer Cori3, 8gb RAM , 500GB H.D and Graphic card and Ram</t>
  </si>
  <si>
    <t xml:space="preserve">Michale Haile</t>
  </si>
  <si>
    <t xml:space="preserve">STA-COA-001-023</t>
  </si>
  <si>
    <t xml:space="preserve">Dell 7020 computer Cori3,12gb RAM , 500GB H.D</t>
  </si>
  <si>
    <t xml:space="preserve">Miehraf  G/egizabiher</t>
  </si>
  <si>
    <t xml:space="preserve">STA-COA-001-008</t>
  </si>
  <si>
    <t xml:space="preserve">Dell 3040 Computer Cori3 12gb RAM , 500GB H.D and Graphi card and ram</t>
  </si>
  <si>
    <t xml:space="preserve">Mihiret Giremew</t>
  </si>
  <si>
    <t xml:space="preserve">STA-COA-001-028</t>
  </si>
  <si>
    <t xml:space="preserve">Dell 3040 Computer Cori3, 4gb RAM , 500GB H.D and Ram and Graphic card </t>
  </si>
  <si>
    <t xml:space="preserve">Robsen Haile</t>
  </si>
  <si>
    <t xml:space="preserve">STA-COA-001-027</t>
  </si>
  <si>
    <t xml:space="preserve">Selamawit Ashagri </t>
  </si>
  <si>
    <t xml:space="preserve">STA-COA-001-044</t>
  </si>
  <si>
    <t xml:space="preserve">Desktop cori 5</t>
  </si>
  <si>
    <t xml:space="preserve">Shalom Yeneneh</t>
  </si>
  <si>
    <t xml:space="preserve">STA-COA-001-046</t>
  </si>
  <si>
    <t xml:space="preserve">FS00003233</t>
  </si>
  <si>
    <t xml:space="preserve">CPV1212/3480</t>
  </si>
  <si>
    <t xml:space="preserve">Tesfaye Tsega</t>
  </si>
  <si>
    <t xml:space="preserve">STA-COA-001-004</t>
  </si>
  <si>
    <t xml:space="preserve">Dell 7020 Computer Cori7, 8gb RAM , 500GB H.D</t>
  </si>
  <si>
    <t xml:space="preserve">FS00008536</t>
  </si>
  <si>
    <t xml:space="preserve">CPV1952/3261</t>
  </si>
  <si>
    <t xml:space="preserve">Yenenesh Desalegn</t>
  </si>
  <si>
    <t xml:space="preserve">STA-COA-001-011</t>
  </si>
  <si>
    <t xml:space="preserve">Yonathan Gizaw </t>
  </si>
  <si>
    <t xml:space="preserve">STA-COA-001-006</t>
  </si>
  <si>
    <t xml:space="preserve">0758</t>
  </si>
  <si>
    <t xml:space="preserve">Berhan Yehun Retail Trade of Electrical Equipment</t>
  </si>
  <si>
    <t xml:space="preserve">CPV6705</t>
  </si>
  <si>
    <t xml:space="preserve">MEETING ROOM </t>
  </si>
  <si>
    <t xml:space="preserve">Meeting Room </t>
  </si>
  <si>
    <t xml:space="preserve">STA-OFE-012-002</t>
  </si>
  <si>
    <t xml:space="preserve">FS00002671</t>
  </si>
  <si>
    <t xml:space="preserve">CPV0902</t>
  </si>
  <si>
    <t xml:space="preserve">SUPERVISIONS</t>
  </si>
  <si>
    <t xml:space="preserve">Asfaw Debebe</t>
  </si>
  <si>
    <t xml:space="preserve">STA-COA-002-003</t>
  </si>
  <si>
    <t xml:space="preserve">Dell 3020 Computer Cori3, 8gb RAM, 500GB H.D</t>
  </si>
  <si>
    <t xml:space="preserve">FS00025292</t>
  </si>
  <si>
    <t xml:space="preserve">CPV2322/3480</t>
  </si>
  <si>
    <t xml:space="preserve">Eyuel Bogale</t>
  </si>
  <si>
    <t xml:space="preserve">STA-COA-001-042</t>
  </si>
  <si>
    <t xml:space="preserve">Dell 7020 Computer Cori3, 12gb RAM , 500GB H.D</t>
  </si>
  <si>
    <t xml:space="preserve">Hiwot Zenamarkos</t>
  </si>
  <si>
    <t xml:space="preserve">STA-COA-001-031</t>
  </si>
  <si>
    <t xml:space="preserve">Mother board Dell computer </t>
  </si>
  <si>
    <t xml:space="preserve">FS00002113</t>
  </si>
  <si>
    <t xml:space="preserve">Abigal computer and stationary Retail Trade</t>
  </si>
  <si>
    <t xml:space="preserve">CPV5799</t>
  </si>
  <si>
    <t xml:space="preserve">Dell 3040 Computer Cori3 4gb RAM, 500GB H.D </t>
  </si>
  <si>
    <t xml:space="preserve">FS00028972</t>
  </si>
  <si>
    <t xml:space="preserve">CPV3029</t>
  </si>
  <si>
    <t xml:space="preserve">Kuratu Kassahun</t>
  </si>
  <si>
    <t xml:space="preserve">STA-COA-001-034</t>
  </si>
  <si>
    <t xml:space="preserve">Dell 3040 Computer Cori3, 4gb RAM , 500GB H.D</t>
  </si>
  <si>
    <t xml:space="preserve">FS00005546</t>
  </si>
  <si>
    <t xml:space="preserve">CPV3475</t>
  </si>
  <si>
    <t xml:space="preserve">Meseret Fikadu</t>
  </si>
  <si>
    <t xml:space="preserve">STA-COA-001-040</t>
  </si>
  <si>
    <t xml:space="preserve">21/12/2015</t>
  </si>
  <si>
    <t xml:space="preserve">FS00004145</t>
  </si>
  <si>
    <t xml:space="preserve">CPV1812</t>
  </si>
  <si>
    <t xml:space="preserve">Misale Tewodros</t>
  </si>
  <si>
    <t xml:space="preserve">STA-COA-001-010</t>
  </si>
  <si>
    <t xml:space="preserve">FS000012625</t>
  </si>
  <si>
    <t xml:space="preserve">CPV6867</t>
  </si>
  <si>
    <t xml:space="preserve">Roman Melkamu </t>
  </si>
  <si>
    <t xml:space="preserve">STA-COA-001-015</t>
  </si>
  <si>
    <t xml:space="preserve">FS00001461</t>
  </si>
  <si>
    <t xml:space="preserve">Ramxs Computer systems </t>
  </si>
  <si>
    <t xml:space="preserve">CPV2342</t>
  </si>
  <si>
    <t xml:space="preserve">STA-COA-003-006</t>
  </si>
  <si>
    <t xml:space="preserve">FS00005093</t>
  </si>
  <si>
    <t xml:space="preserve">RasTec Computer Solution PLC</t>
  </si>
  <si>
    <t xml:space="preserve">CPV3376</t>
  </si>
  <si>
    <t xml:space="preserve">Supervision</t>
  </si>
  <si>
    <t xml:space="preserve">STA-COA-001-039</t>
  </si>
  <si>
    <t xml:space="preserve">Dell 3040 Computer Cori3 4gb RAM , 500GB H.D</t>
  </si>
  <si>
    <t xml:space="preserve">CPV2693</t>
  </si>
  <si>
    <t xml:space="preserve">PROJECTS FORMULATION</t>
  </si>
  <si>
    <t xml:space="preserve">Lula Kasime</t>
  </si>
  <si>
    <t xml:space="preserve">STA-COA-001-029</t>
  </si>
  <si>
    <t xml:space="preserve">Hard Disk Two Tera Bayte</t>
  </si>
  <si>
    <t xml:space="preserve">FS00006664</t>
  </si>
  <si>
    <t xml:space="preserve">CPV3697</t>
  </si>
  <si>
    <t xml:space="preserve">STA-OFF-021-001</t>
  </si>
  <si>
    <t xml:space="preserve">Dell 7010 Computer Cori3, 4gb RAM , 500GB H.D</t>
  </si>
  <si>
    <t xml:space="preserve">FS00003919</t>
  </si>
  <si>
    <t xml:space="preserve">CPV1685/CPV3408</t>
  </si>
  <si>
    <t xml:space="preserve">Meskrem Birhanu </t>
  </si>
  <si>
    <t xml:space="preserve">STA-COA-001-009</t>
  </si>
  <si>
    <t xml:space="preserve">Dell 790 computer Cori3, 14gb RAM , 500GB H.D</t>
  </si>
  <si>
    <t xml:space="preserve">FS00004187</t>
  </si>
  <si>
    <t xml:space="preserve">Etu Computer trading </t>
  </si>
  <si>
    <t xml:space="preserve">CPV0359/CPV3408</t>
  </si>
  <si>
    <t xml:space="preserve">Nuhami Demeke</t>
  </si>
  <si>
    <t xml:space="preserve">STA-COA-001-002</t>
  </si>
  <si>
    <t xml:space="preserve">Toshiba laptob cori 5 ram 4gb RAM 1tera H.D.</t>
  </si>
  <si>
    <t xml:space="preserve">FS00004154</t>
  </si>
  <si>
    <t xml:space="preserve">CPV1818/CPV3408</t>
  </si>
  <si>
    <t xml:space="preserve">Tsigereda Abebe</t>
  </si>
  <si>
    <t xml:space="preserve">STA-COA-002-005</t>
  </si>
  <si>
    <t xml:space="preserve">16/06/20</t>
  </si>
  <si>
    <t xml:space="preserve">Scren HP27" Display and Key Board Wirless </t>
  </si>
  <si>
    <t xml:space="preserve">FS00000417</t>
  </si>
  <si>
    <t xml:space="preserve">TECHMART TECHNOLOGY PLC</t>
  </si>
  <si>
    <t xml:space="preserve">CPV5538</t>
  </si>
  <si>
    <t xml:space="preserve">GENERAL MANAGER</t>
  </si>
  <si>
    <t xml:space="preserve">Tadele Amsalu </t>
  </si>
  <si>
    <t xml:space="preserve">STA-COA-001-047</t>
  </si>
  <si>
    <t xml:space="preserve">Lap top screen</t>
  </si>
  <si>
    <t xml:space="preserve">External hard disk</t>
  </si>
  <si>
    <t xml:space="preserve">CPV1952</t>
  </si>
  <si>
    <t xml:space="preserve">FIN &amp;
 ADMIN</t>
  </si>
  <si>
    <t xml:space="preserve">Bemnet Tesfaye</t>
  </si>
  <si>
    <t xml:space="preserve">STA-COA-001-013</t>
  </si>
  <si>
    <t xml:space="preserve">Getamesaye Dejene</t>
  </si>
  <si>
    <t xml:space="preserve">STA-COA-001-033</t>
  </si>
  <si>
    <t xml:space="preserve">Jalile Keno </t>
  </si>
  <si>
    <t xml:space="preserve">STA-COA-001-024</t>
  </si>
  <si>
    <t xml:space="preserve">Excutive Secretary</t>
  </si>
  <si>
    <t xml:space="preserve">STA-COA-001-020</t>
  </si>
  <si>
    <t xml:space="preserve">Internal hard disk</t>
  </si>
  <si>
    <t xml:space="preserve">FS00002227</t>
  </si>
  <si>
    <t xml:space="preserve">Sambo General Trading </t>
  </si>
  <si>
    <t xml:space="preserve">CPV3214</t>
  </si>
  <si>
    <t xml:space="preserve">STA-COA-003-009</t>
  </si>
  <si>
    <t xml:space="preserve">HP Laser jet pro200 color Printer </t>
  </si>
  <si>
    <t xml:space="preserve">CPV3186</t>
  </si>
  <si>
    <t xml:space="preserve">STA-COA-003-008</t>
  </si>
  <si>
    <t xml:space="preserve">Dell3020 Computer cori 3, 4gb RAM , 500GB H.D</t>
  </si>
  <si>
    <t xml:space="preserve">FS00003595</t>
  </si>
  <si>
    <t xml:space="preserve">CPV1411</t>
  </si>
  <si>
    <t xml:space="preserve">Sara Urge</t>
  </si>
  <si>
    <t xml:space="preserve">STA-COA-001-007</t>
  </si>
  <si>
    <t xml:space="preserve">HP  1005 Laserjet printer  with caple</t>
  </si>
  <si>
    <t xml:space="preserve">FS00002744</t>
  </si>
  <si>
    <t xml:space="preserve">Net Computer Trading PLC </t>
  </si>
  <si>
    <t xml:space="preserve">PCPV0009</t>
  </si>
  <si>
    <t xml:space="preserve">STA-COA-003-001</t>
  </si>
  <si>
    <t xml:space="preserve">FS00000668</t>
  </si>
  <si>
    <t xml:space="preserve">Jupiter Trading</t>
  </si>
  <si>
    <t xml:space="preserve">CPV2523</t>
  </si>
  <si>
    <t xml:space="preserve">STORE</t>
  </si>
  <si>
    <t xml:space="preserve">Yabsera Kassa </t>
  </si>
  <si>
    <t xml:space="preserve">STA-COA-001-021</t>
  </si>
  <si>
    <t xml:space="preserve">Dell 755 Computer Cor 2DO , 2gb RAM , 80GB H.D</t>
  </si>
  <si>
    <t xml:space="preserve">FS00000198</t>
  </si>
  <si>
    <t xml:space="preserve">CPV0524</t>
  </si>
  <si>
    <t xml:space="preserve">Zinash Fonja </t>
  </si>
  <si>
    <t xml:space="preserve">STA-COA-001-003</t>
  </si>
  <si>
    <t xml:space="preserve">CPV2322</t>
  </si>
  <si>
    <t xml:space="preserve">CENTRAL LAB.</t>
  </si>
  <si>
    <t xml:space="preserve">Fantanshe Melese</t>
  </si>
  <si>
    <t xml:space="preserve">STA-COA-001-014</t>
  </si>
  <si>
    <t xml:space="preserve">FS00015390</t>
  </si>
  <si>
    <t xml:space="preserve">CPV2839</t>
  </si>
  <si>
    <t xml:space="preserve">Adame Lemma </t>
  </si>
  <si>
    <t xml:space="preserve">STA-COA-001-030</t>
  </si>
  <si>
    <t xml:space="preserve">Dell 7020 Computer Cori3, 12gb RAM, 500GB H.D</t>
  </si>
  <si>
    <t xml:space="preserve">Gishen Project </t>
  </si>
  <si>
    <t xml:space="preserve">Tilahun Lemma</t>
  </si>
  <si>
    <t xml:space="preserve">STA-COA-001-012</t>
  </si>
  <si>
    <t xml:space="preserve">Birhanu Eshetu </t>
  </si>
  <si>
    <t xml:space="preserve">STA-COA-001-052</t>
  </si>
  <si>
    <t xml:space="preserve">Koshi Mito </t>
  </si>
  <si>
    <t xml:space="preserve">Tamirat Tesfaye </t>
  </si>
  <si>
    <t xml:space="preserve">STA-COA-001-048</t>
  </si>
  <si>
    <t xml:space="preserve">FS0004275</t>
  </si>
  <si>
    <t xml:space="preserve">STA-COA-001-035</t>
  </si>
  <si>
    <t xml:space="preserve">Laserjet printer With cable </t>
  </si>
  <si>
    <t xml:space="preserve">FS00000239</t>
  </si>
  <si>
    <t xml:space="preserve">CPV6461</t>
  </si>
  <si>
    <t xml:space="preserve">STA-COA-003-011</t>
  </si>
  <si>
    <t xml:space="preserve">Adele Girawa </t>
  </si>
  <si>
    <t xml:space="preserve">Badeso Kalefa</t>
  </si>
  <si>
    <t xml:space="preserve">STA-COA-001-054</t>
  </si>
  <si>
    <t xml:space="preserve"> Lalisa Debelo</t>
  </si>
  <si>
    <t xml:space="preserve">STA-COA-001-050</t>
  </si>
  <si>
    <t xml:space="preserve">Gizachew Ayele</t>
  </si>
  <si>
    <t xml:space="preserve">STA-COA-001-051</t>
  </si>
  <si>
    <t xml:space="preserve">Hawala Tulla</t>
  </si>
  <si>
    <t xml:space="preserve">Abebe Fulas</t>
  </si>
  <si>
    <t xml:space="preserve">STA-COA-001-056</t>
  </si>
  <si>
    <t xml:space="preserve">UPS 1500VA</t>
  </si>
  <si>
    <t xml:space="preserve">FS00006417</t>
  </si>
  <si>
    <t xml:space="preserve">CPV3621</t>
  </si>
  <si>
    <t xml:space="preserve">Hawlla Tula </t>
  </si>
  <si>
    <t xml:space="preserve">STA-COA-005-042</t>
  </si>
  <si>
    <t xml:space="preserve">STA-COA-005-041</t>
  </si>
  <si>
    <t xml:space="preserve">Dell 3040 Computer Cori3, 8gb RAM , 500GB H.D</t>
  </si>
  <si>
    <t xml:space="preserve">Meron Deresse</t>
  </si>
  <si>
    <t xml:space="preserve">STA-COA-001-041</t>
  </si>
  <si>
    <t xml:space="preserve">Dell 3040 Computer Cori3, 4gb RAM , 300GB H.D  and Ram and Graphic card </t>
  </si>
  <si>
    <t xml:space="preserve">Hawalla Tulla </t>
  </si>
  <si>
    <t xml:space="preserve">Ibsa Demmelash</t>
  </si>
  <si>
    <t xml:space="preserve">STA-COA-001-026</t>
  </si>
  <si>
    <t xml:space="preserve">CPV2649</t>
  </si>
  <si>
    <t xml:space="preserve">Adiyarkaye Project</t>
  </si>
  <si>
    <t xml:space="preserve">Nigusu Michael </t>
  </si>
  <si>
    <t xml:space="preserve">STA-COA-001-022</t>
  </si>
  <si>
    <t xml:space="preserve">FS00004275</t>
  </si>
  <si>
    <t xml:space="preserve">Wondoson Tilahun</t>
  </si>
  <si>
    <t xml:space="preserve">STA-COA-001-036</t>
  </si>
  <si>
    <t xml:space="preserve">CDMA S/N 328448986CA4</t>
  </si>
  <si>
    <t xml:space="preserve">FS00002745</t>
  </si>
  <si>
    <t xml:space="preserve">CPV2919</t>
  </si>
  <si>
    <t xml:space="preserve">STA-COA-005-024</t>
  </si>
  <si>
    <t xml:space="preserve">APC UPS 1400VA</t>
  </si>
  <si>
    <t xml:space="preserve">FS00002575</t>
  </si>
  <si>
    <t xml:space="preserve">Rapator General Trading </t>
  </si>
  <si>
    <t xml:space="preserve">CPV3134</t>
  </si>
  <si>
    <t xml:space="preserve">STA-COA-005-028</t>
  </si>
  <si>
    <t xml:space="preserve">INTEX UPS 1500VA</t>
  </si>
  <si>
    <t xml:space="preserve">STA-COA-005-006</t>
  </si>
  <si>
    <t xml:space="preserve">INTEX UPS 1000VA</t>
  </si>
  <si>
    <t xml:space="preserve">FS00002052</t>
  </si>
  <si>
    <t xml:space="preserve">STA-COA-005-009</t>
  </si>
  <si>
    <t xml:space="preserve">CPV3408</t>
  </si>
  <si>
    <t xml:space="preserve">STA-COA-005-036</t>
  </si>
  <si>
    <t xml:space="preserve">FS00003553</t>
  </si>
  <si>
    <t xml:space="preserve">CPV2408</t>
  </si>
  <si>
    <t xml:space="preserve">STA-COA-005-013</t>
  </si>
  <si>
    <t xml:space="preserve">APC UPS 650VA</t>
  </si>
  <si>
    <t xml:space="preserve">STA-COA-005-040</t>
  </si>
  <si>
    <t xml:space="preserve">INTEX UPS 1400VA</t>
  </si>
  <si>
    <t xml:space="preserve">STA-COA-005-008</t>
  </si>
  <si>
    <t xml:space="preserve">Snap Trading and industry plc</t>
  </si>
  <si>
    <t xml:space="preserve">CPV2928</t>
  </si>
  <si>
    <t xml:space="preserve">STA-COA-005-025</t>
  </si>
  <si>
    <t xml:space="preserve">UPS APC 1400VA</t>
  </si>
  <si>
    <t xml:space="preserve">FS00005009</t>
  </si>
  <si>
    <t xml:space="preserve">STA-COA-005-034</t>
  </si>
  <si>
    <t xml:space="preserve">STA-COA-005-027</t>
  </si>
  <si>
    <t xml:space="preserve">STA-COA-005-043</t>
  </si>
  <si>
    <t xml:space="preserve">STORE (MINT)</t>
  </si>
  <si>
    <t xml:space="preserve">STA-COA-001-016</t>
  </si>
  <si>
    <t xml:space="preserve">Canon Fax Machine with caple </t>
  </si>
  <si>
    <t xml:space="preserve">FS00000842</t>
  </si>
  <si>
    <t xml:space="preserve">CPV 0016</t>
  </si>
  <si>
    <t xml:space="preserve">STA-OFF-020-001</t>
  </si>
  <si>
    <t xml:space="preserve">Epsone L3150 colour printer</t>
  </si>
  <si>
    <t xml:space="preserve">FS00012954</t>
  </si>
  <si>
    <t xml:space="preserve">CPV7011</t>
  </si>
  <si>
    <t xml:space="preserve">STA-COA-003-012</t>
  </si>
  <si>
    <t xml:space="preserve">New 2014E.C </t>
  </si>
  <si>
    <t xml:space="preserve">Dell 5070 i5 Computer </t>
  </si>
  <si>
    <t xml:space="preserve">FS00013037</t>
  </si>
  <si>
    <t xml:space="preserve">CPV7029</t>
  </si>
  <si>
    <t xml:space="preserve">STA-COA-001-058</t>
  </si>
  <si>
    <t xml:space="preserve">Endalk Fentie</t>
  </si>
  <si>
    <t xml:space="preserve">STA-COA-001-059</t>
  </si>
  <si>
    <t xml:space="preserve">Mother Board change for Eyuel</t>
  </si>
  <si>
    <t xml:space="preserve">FS00013566</t>
  </si>
  <si>
    <t xml:space="preserve">CPV7182</t>
  </si>
  <si>
    <t xml:space="preserve">Desk Top computer Dell 7010(10PCS)</t>
  </si>
  <si>
    <t xml:space="preserve">FS00001523</t>
  </si>
  <si>
    <t xml:space="preserve">Target Office Supplies </t>
  </si>
  <si>
    <t xml:space="preserve">CPV7704</t>
  </si>
  <si>
    <t xml:space="preserve">HP Printer laserjet  2055 (3 PCS)</t>
  </si>
  <si>
    <t xml:space="preserve">HP Printer laserjet  400 (2 PCS)</t>
  </si>
  <si>
    <t xml:space="preserve">HP Printer laserjet 5200 (2 PCS)</t>
  </si>
  <si>
    <t xml:space="preserve">UPS (2 PCS)</t>
  </si>
  <si>
    <t xml:space="preserve">Desk Top computer Dell 7010(11PCS)</t>
  </si>
  <si>
    <t xml:space="preserve">FS00000351</t>
  </si>
  <si>
    <t xml:space="preserve">CPV7829</t>
  </si>
  <si>
    <t xml:space="preserve">HP Color printer Office Jet Model 7000 (4 PCS)</t>
  </si>
  <si>
    <t xml:space="preserve">HP Printer Office jet  6500 A (1 PCS)</t>
  </si>
  <si>
    <t xml:space="preserve">HP Printer Office jet  4500 (1 PCS)</t>
  </si>
  <si>
    <t xml:space="preserve">HP Printer Officejet 4580 (1 PCS)</t>
  </si>
  <si>
    <t xml:space="preserve">Toshiba laptop cori5,500gb H.D, 4gb RAM (used)</t>
  </si>
  <si>
    <t xml:space="preserve">FS00027570</t>
  </si>
  <si>
    <t xml:space="preserve">MIMI computer </t>
  </si>
  <si>
    <t xml:space="preserve">CPV2340</t>
  </si>
  <si>
    <t xml:space="preserve">STA-COA-002-006</t>
  </si>
  <si>
    <t xml:space="preserve">Damage</t>
  </si>
  <si>
    <t xml:space="preserve">Dell Used Computer</t>
  </si>
  <si>
    <t xml:space="preserve">FS00000450</t>
  </si>
  <si>
    <t xml:space="preserve">NU Computer Solution PLC</t>
  </si>
  <si>
    <t xml:space="preserve">PCPV0015</t>
  </si>
  <si>
    <t xml:space="preserve">STA-COA-001-001</t>
  </si>
  <si>
    <t xml:space="preserve">LCD Monitor</t>
  </si>
  <si>
    <t xml:space="preserve">FS00002653</t>
  </si>
  <si>
    <t xml:space="preserve">CPV2878</t>
  </si>
  <si>
    <t xml:space="preserve">HP office Jet printer 7000</t>
  </si>
  <si>
    <t xml:space="preserve">FS00000841</t>
  </si>
  <si>
    <t xml:space="preserve">STA-COA-003-002</t>
  </si>
  <si>
    <t xml:space="preserve">FS00004073</t>
  </si>
  <si>
    <t xml:space="preserve">CPV0353</t>
  </si>
  <si>
    <t xml:space="preserve">STA-COA-003-003</t>
  </si>
  <si>
    <t xml:space="preserve">HP laser Jet printer Model 1280</t>
  </si>
  <si>
    <t xml:space="preserve">FS00000049</t>
  </si>
  <si>
    <t xml:space="preserve">KL office machine</t>
  </si>
  <si>
    <t xml:space="preserve">CPV0534</t>
  </si>
  <si>
    <t xml:space="preserve">STA-COA-003-004</t>
  </si>
  <si>
    <t xml:space="preserve">Wireless N Router 300 Mbps and UsB Adapter (computer Accessories ) and Wireless printer server </t>
  </si>
  <si>
    <t xml:space="preserve">FS00002360</t>
  </si>
  <si>
    <t xml:space="preserve">ABTEC Trading PLC</t>
  </si>
  <si>
    <t xml:space="preserve">CPV0317</t>
  </si>
  <si>
    <t xml:space="preserve">STA-OFF-005-001</t>
  </si>
  <si>
    <t xml:space="preserve">Wireless access point Adaptor </t>
  </si>
  <si>
    <t xml:space="preserve">STA-OFF-005-002</t>
  </si>
  <si>
    <t xml:space="preserve">Toshiba Labtop C660 Corei3</t>
  </si>
  <si>
    <t xml:space="preserve">CPV0359</t>
  </si>
  <si>
    <t xml:space="preserve">STA-COA-002-001</t>
  </si>
  <si>
    <t xml:space="preserve">Mother Borad (change ) Hihot Zinamrkos</t>
  </si>
  <si>
    <t xml:space="preserve">Mother Borad (change ) Misale </t>
  </si>
  <si>
    <t xml:space="preserve">FS00000418</t>
  </si>
  <si>
    <t xml:space="preserve">CPV5539</t>
  </si>
  <si>
    <t xml:space="preserve">Mother Borad (change ) Dawit </t>
  </si>
  <si>
    <t xml:space="preserve">leaser jet color printer with printer cable Model 252a</t>
  </si>
  <si>
    <t xml:space="preserve">FS0002338</t>
  </si>
  <si>
    <t xml:space="preserve">Pro Kid Teck Computer</t>
  </si>
  <si>
    <t xml:space="preserve">CPV2961</t>
  </si>
  <si>
    <t xml:space="preserve">STA-COA-003-007</t>
  </si>
  <si>
    <t xml:space="preserve">Lost</t>
  </si>
  <si>
    <t xml:space="preserve">Other Computer and Equipment </t>
  </si>
  <si>
    <t xml:space="preserve">STA-COA-021-005</t>
  </si>
  <si>
    <t xml:space="preserve">FS00000387</t>
  </si>
  <si>
    <t xml:space="preserve">Neima Hussin Mamo</t>
  </si>
  <si>
    <t xml:space="preserve">CPV3912</t>
  </si>
  <si>
    <t xml:space="preserve">25/01/2013</t>
  </si>
  <si>
    <t xml:space="preserve">Sony 16.1 D Camera </t>
  </si>
  <si>
    <t xml:space="preserve">FS00019387</t>
  </si>
  <si>
    <t xml:space="preserve">Prp-Kid Tek Computer Technology</t>
  </si>
  <si>
    <t xml:space="preserve">CPV0455</t>
  </si>
  <si>
    <t xml:space="preserve">STA-OFE-009-003</t>
  </si>
  <si>
    <t xml:space="preserve">Transfer Machine and equipments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</si>
</sst>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F800]dddd&quot;, &quot;mmmm\ dd&quot;, &quot;yyyy"/>
    <numFmt numFmtId="166" formatCode="#,##0.00;\-#,##0.00;* ??"/>
    <numFmt numFmtId="167" formatCode="_(* #,##0.00_);_(* \(#,##0.00\);_(* \-??_);_(@_)"/>
    <numFmt numFmtId="168" formatCode="0%"/>
    <numFmt numFmtId="169" formatCode="_-* #,##0.00_-;\-* #,##0.00_-;_-* \-??_-;_-@_-"/>
    <numFmt numFmtId="170" formatCode="m/d/yyyy"/>
    <numFmt numFmtId="171" formatCode="0.0%"/>
    <numFmt numFmtId="172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entury"/>
      <family val="1"/>
      <charset val="1"/>
    </font>
    <font>
      <sz val="14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entury"/>
      <family val="1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4"/>
      <name val="Century"/>
      <family val="1"/>
      <charset val="1"/>
    </font>
    <font>
      <sz val="11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1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2" fillId="0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0" borderId="8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1"/>
  <sheetViews>
    <sheetView showFormulas="false" showGridLines="true" showRowColHeaders="true" showZeros="true" rightToLeft="false" tabSelected="true" showOutlineSymbols="true" defaultGridColor="true" view="pageBreakPreview" topLeftCell="A1" colorId="64" zoomScale="85" zoomScaleNormal="100" zoomScalePageLayoutView="85" workbookViewId="0">
      <selection pane="topLeft" activeCell="I1" activeCellId="0" sqref="I1"/>
    </sheetView>
  </sheetViews>
  <sheetFormatPr defaultColWidth="8.6953125" defaultRowHeight="17.3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2" width="33.57"/>
    <col collapsed="false" customWidth="true" hidden="false" outlineLevel="0" max="3" min="3" style="2" width="17"/>
    <col collapsed="false" customWidth="true" hidden="false" outlineLevel="0" max="4" min="4" style="2" width="24.87"/>
    <col collapsed="false" customWidth="true" hidden="false" outlineLevel="0" max="5" min="5" style="3" width="15"/>
    <col collapsed="false" customWidth="true" hidden="false" outlineLevel="0" max="6" min="6" style="3" width="19.99"/>
    <col collapsed="false" customWidth="true" hidden="false" outlineLevel="0" max="7" min="7" style="4" width="19.99"/>
    <col collapsed="false" customWidth="true" hidden="false" outlineLevel="0" max="8" min="8" style="3" width="25"/>
    <col collapsed="false" customWidth="true" hidden="false" outlineLevel="0" max="9" min="9" style="5" width="10.58"/>
    <col collapsed="false" customWidth="true" hidden="false" outlineLevel="0" max="10" min="10" style="6" width="20.98"/>
    <col collapsed="false" customWidth="true" hidden="false" outlineLevel="0" max="11" min="11" style="6" width="18.58"/>
    <col collapsed="false" customWidth="true" hidden="false" outlineLevel="0" max="12" min="12" style="6" width="19.3"/>
    <col collapsed="false" customWidth="true" hidden="false" outlineLevel="0" max="13" min="13" style="6" width="21.86"/>
    <col collapsed="false" customWidth="true" hidden="false" outlineLevel="0" max="14" min="14" style="7" width="16.87"/>
    <col collapsed="false" customWidth="true" hidden="false" outlineLevel="0" max="15" min="15" style="8" width="13.43"/>
    <col collapsed="false" customWidth="true" hidden="false" outlineLevel="0" max="16" min="16" style="8" width="59.71"/>
    <col collapsed="false" customWidth="true" hidden="false" outlineLevel="0" max="17" min="17" style="0" width="11.3"/>
    <col collapsed="false" customWidth="true" hidden="false" outlineLevel="0" max="18" min="18" style="0" width="10.85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s="17" customFormat="true" ht="49.15" hidden="false" customHeight="fals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6"/>
      <c r="P1" s="16"/>
      <c r="AMJ1" s="0"/>
    </row>
    <row r="2" s="27" customFormat="true" ht="33.35" hidden="false" customHeight="false" outlineLevel="0" collapsed="false">
      <c r="A2" s="18" t="n">
        <v>42216</v>
      </c>
      <c r="B2" s="19" t="s">
        <v>14</v>
      </c>
      <c r="C2" s="19" t="s">
        <v>15</v>
      </c>
      <c r="D2" s="19" t="s">
        <v>16</v>
      </c>
      <c r="E2" s="20" t="s">
        <v>17</v>
      </c>
      <c r="F2" s="20" t="s">
        <v>18</v>
      </c>
      <c r="G2" s="21" t="s">
        <v>19</v>
      </c>
      <c r="H2" s="20" t="s">
        <v>20</v>
      </c>
      <c r="I2" s="22" t="n">
        <v>0.143</v>
      </c>
      <c r="J2" s="23" t="n">
        <v>10765</v>
      </c>
      <c r="K2" s="23" t="n">
        <f aca="false">J2*I2</f>
        <v>1539.395</v>
      </c>
      <c r="L2" s="24" t="n">
        <v>9135.94</v>
      </c>
      <c r="M2" s="23" t="n">
        <f aca="false">J2-K2-L2</f>
        <v>89.6649999999991</v>
      </c>
      <c r="N2" s="25"/>
      <c r="O2" s="26"/>
      <c r="P2" s="26"/>
      <c r="AMJ2" s="0"/>
    </row>
    <row r="3" s="27" customFormat="true" ht="33.35" hidden="false" customHeight="false" outlineLevel="0" collapsed="false">
      <c r="A3" s="28" t="n">
        <v>43928</v>
      </c>
      <c r="B3" s="29" t="s">
        <v>21</v>
      </c>
      <c r="C3" s="29" t="s">
        <v>22</v>
      </c>
      <c r="D3" s="29" t="s">
        <v>23</v>
      </c>
      <c r="E3" s="30" t="s">
        <v>24</v>
      </c>
      <c r="F3" s="31" t="s">
        <v>18</v>
      </c>
      <c r="G3" s="32" t="s">
        <v>19</v>
      </c>
      <c r="H3" s="33" t="s">
        <v>25</v>
      </c>
      <c r="I3" s="34" t="n">
        <v>0.143</v>
      </c>
      <c r="J3" s="35" t="n">
        <f aca="false">40869.57</f>
        <v>40869.57</v>
      </c>
      <c r="K3" s="36" t="n">
        <f aca="false">J3*I3</f>
        <v>5844.34851</v>
      </c>
      <c r="L3" s="36" t="n">
        <v>7299.76</v>
      </c>
      <c r="M3" s="37" t="n">
        <f aca="false">J3-K3-L3</f>
        <v>27725.46149</v>
      </c>
      <c r="N3" s="38"/>
      <c r="O3" s="26"/>
      <c r="P3" s="26"/>
      <c r="AMJ3" s="0"/>
    </row>
    <row r="4" s="27" customFormat="true" ht="33.35" hidden="false" customHeight="false" outlineLevel="0" collapsed="false">
      <c r="A4" s="39" t="n">
        <v>42647</v>
      </c>
      <c r="B4" s="40" t="s">
        <v>26</v>
      </c>
      <c r="C4" s="40" t="s">
        <v>27</v>
      </c>
      <c r="D4" s="40" t="s">
        <v>28</v>
      </c>
      <c r="E4" s="31" t="s">
        <v>29</v>
      </c>
      <c r="F4" s="31" t="s">
        <v>18</v>
      </c>
      <c r="G4" s="41" t="s">
        <v>30</v>
      </c>
      <c r="H4" s="31" t="s">
        <v>31</v>
      </c>
      <c r="I4" s="34" t="n">
        <v>0.143</v>
      </c>
      <c r="J4" s="37" t="n">
        <f aca="false">521.74+23130.43+1000</f>
        <v>24652.17</v>
      </c>
      <c r="K4" s="36" t="n">
        <f aca="false">J4*I4</f>
        <v>3525.26031</v>
      </c>
      <c r="L4" s="36" t="n">
        <f aca="false">15728.86+(2185.34/5)+(2693.42/4)</f>
        <v>16839.283</v>
      </c>
      <c r="M4" s="37" t="n">
        <f aca="false">J4-K4-L4</f>
        <v>4287.62669</v>
      </c>
      <c r="N4" s="42"/>
      <c r="O4" s="26"/>
      <c r="P4" s="26"/>
      <c r="AMJ4" s="0"/>
    </row>
    <row r="5" s="27" customFormat="true" ht="33.75" hidden="false" customHeight="true" outlineLevel="0" collapsed="false">
      <c r="A5" s="28" t="n">
        <v>43162</v>
      </c>
      <c r="B5" s="29" t="s">
        <v>32</v>
      </c>
      <c r="C5" s="29" t="s">
        <v>33</v>
      </c>
      <c r="D5" s="43" t="s">
        <v>34</v>
      </c>
      <c r="E5" s="33" t="s">
        <v>35</v>
      </c>
      <c r="F5" s="31" t="s">
        <v>18</v>
      </c>
      <c r="G5" s="41" t="s">
        <v>36</v>
      </c>
      <c r="H5" s="31" t="s">
        <v>37</v>
      </c>
      <c r="I5" s="34" t="n">
        <v>0.143</v>
      </c>
      <c r="J5" s="37" t="n">
        <v>36000</v>
      </c>
      <c r="K5" s="36" t="n">
        <f aca="false">J5*I5</f>
        <v>5148</v>
      </c>
      <c r="L5" s="36" t="n">
        <v>17219.08</v>
      </c>
      <c r="M5" s="37" t="n">
        <f aca="false">J5-K5-L5</f>
        <v>13632.92</v>
      </c>
      <c r="N5" s="42"/>
      <c r="O5" s="26"/>
      <c r="P5" s="26"/>
      <c r="AMJ5" s="0"/>
    </row>
    <row r="6" s="27" customFormat="true" ht="33.35" hidden="false" customHeight="false" outlineLevel="0" collapsed="false">
      <c r="A6" s="39" t="n">
        <v>42686</v>
      </c>
      <c r="B6" s="40" t="s">
        <v>38</v>
      </c>
      <c r="C6" s="40"/>
      <c r="D6" s="40" t="s">
        <v>39</v>
      </c>
      <c r="E6" s="31" t="s">
        <v>40</v>
      </c>
      <c r="F6" s="31" t="s">
        <v>18</v>
      </c>
      <c r="G6" s="41" t="s">
        <v>36</v>
      </c>
      <c r="H6" s="31" t="s">
        <v>41</v>
      </c>
      <c r="I6" s="34" t="n">
        <v>0.143</v>
      </c>
      <c r="J6" s="37" t="n">
        <v>189156.69</v>
      </c>
      <c r="K6" s="36" t="n">
        <f aca="false">J6*I6</f>
        <v>27049.40667</v>
      </c>
      <c r="L6" s="36" t="n">
        <v>125741.03</v>
      </c>
      <c r="M6" s="37" t="n">
        <f aca="false">J6-K6-L6</f>
        <v>36366.25333</v>
      </c>
      <c r="N6" s="42"/>
      <c r="O6" s="26"/>
      <c r="P6" s="26"/>
      <c r="AMJ6" s="0"/>
    </row>
    <row r="7" s="27" customFormat="true" ht="33.35" hidden="false" customHeight="false" outlineLevel="0" collapsed="false">
      <c r="A7" s="44" t="n">
        <v>42572</v>
      </c>
      <c r="B7" s="29" t="s">
        <v>42</v>
      </c>
      <c r="C7" s="29" t="s">
        <v>43</v>
      </c>
      <c r="D7" s="29" t="s">
        <v>44</v>
      </c>
      <c r="E7" s="45" t="s">
        <v>45</v>
      </c>
      <c r="F7" s="31" t="s">
        <v>18</v>
      </c>
      <c r="G7" s="41" t="s">
        <v>36</v>
      </c>
      <c r="H7" s="45" t="s">
        <v>46</v>
      </c>
      <c r="I7" s="34" t="n">
        <v>0.143</v>
      </c>
      <c r="J7" s="35" t="n">
        <v>2217.39</v>
      </c>
      <c r="K7" s="36" t="n">
        <f aca="false">J7*I7</f>
        <v>317.08677</v>
      </c>
      <c r="L7" s="36" t="n">
        <v>1572.92114893438</v>
      </c>
      <c r="M7" s="37" t="n">
        <f aca="false">J7-K7-L7</f>
        <v>327.38208106562</v>
      </c>
      <c r="N7" s="42"/>
      <c r="O7" s="26"/>
      <c r="P7" s="26"/>
      <c r="AMJ7" s="0"/>
    </row>
    <row r="8" s="27" customFormat="true" ht="33.35" hidden="false" customHeight="false" outlineLevel="0" collapsed="false">
      <c r="A8" s="46" t="n">
        <v>44270</v>
      </c>
      <c r="B8" s="47" t="s">
        <v>47</v>
      </c>
      <c r="C8" s="47" t="s">
        <v>48</v>
      </c>
      <c r="D8" s="47" t="s">
        <v>49</v>
      </c>
      <c r="E8" s="48" t="s">
        <v>50</v>
      </c>
      <c r="F8" s="31" t="s">
        <v>18</v>
      </c>
      <c r="G8" s="49" t="s">
        <v>51</v>
      </c>
      <c r="H8" s="48" t="s">
        <v>52</v>
      </c>
      <c r="I8" s="34" t="n">
        <v>0.143</v>
      </c>
      <c r="J8" s="50" t="n">
        <v>36608.69</v>
      </c>
      <c r="K8" s="36" t="n">
        <f aca="false">J8*I8</f>
        <v>5235.04267</v>
      </c>
      <c r="L8" s="37" t="n">
        <v>1633.18</v>
      </c>
      <c r="M8" s="37" t="n">
        <f aca="false">J8-K8-L8</f>
        <v>29740.46733</v>
      </c>
      <c r="N8" s="51"/>
      <c r="O8" s="26"/>
      <c r="P8" s="26"/>
      <c r="AMJ8" s="0"/>
    </row>
    <row r="9" s="27" customFormat="true" ht="33.35" hidden="false" customHeight="false" outlineLevel="0" collapsed="false">
      <c r="A9" s="44" t="n">
        <v>44270</v>
      </c>
      <c r="B9" s="47" t="s">
        <v>47</v>
      </c>
      <c r="C9" s="29" t="s">
        <v>48</v>
      </c>
      <c r="D9" s="29" t="s">
        <v>49</v>
      </c>
      <c r="E9" s="45" t="s">
        <v>50</v>
      </c>
      <c r="F9" s="31" t="s">
        <v>18</v>
      </c>
      <c r="G9" s="49" t="s">
        <v>53</v>
      </c>
      <c r="H9" s="48" t="s">
        <v>54</v>
      </c>
      <c r="I9" s="34" t="n">
        <v>0.143</v>
      </c>
      <c r="J9" s="50" t="n">
        <v>36608.69</v>
      </c>
      <c r="K9" s="36" t="n">
        <f aca="false">J9*I9</f>
        <v>5235.04267</v>
      </c>
      <c r="L9" s="37" t="n">
        <v>1633.18</v>
      </c>
      <c r="M9" s="37" t="n">
        <f aca="false">J9-K9-L9</f>
        <v>29740.46733</v>
      </c>
      <c r="N9" s="51"/>
      <c r="O9" s="26"/>
      <c r="P9" s="26"/>
      <c r="AMJ9" s="0"/>
    </row>
    <row r="10" s="27" customFormat="true" ht="32.8" hidden="false" customHeight="true" outlineLevel="0" collapsed="false">
      <c r="A10" s="39" t="n">
        <v>42985</v>
      </c>
      <c r="B10" s="40" t="s">
        <v>55</v>
      </c>
      <c r="C10" s="40" t="s">
        <v>56</v>
      </c>
      <c r="D10" s="40" t="s">
        <v>57</v>
      </c>
      <c r="E10" s="31" t="s">
        <v>58</v>
      </c>
      <c r="F10" s="31" t="s">
        <v>18</v>
      </c>
      <c r="G10" s="41" t="s">
        <v>59</v>
      </c>
      <c r="H10" s="31" t="s">
        <v>60</v>
      </c>
      <c r="I10" s="34" t="n">
        <v>0.143</v>
      </c>
      <c r="J10" s="37" t="n">
        <f aca="false">(591.31+11565.19+10347.83)-6347.83</f>
        <v>16156.5</v>
      </c>
      <c r="K10" s="36" t="n">
        <f aca="false">J10*I10</f>
        <v>2310.3795</v>
      </c>
      <c r="L10" s="36" t="n">
        <f aca="false">2856.89+4340.33+(1295.14/4)</f>
        <v>7521.005</v>
      </c>
      <c r="M10" s="37" t="n">
        <f aca="false">J10-K10-L10</f>
        <v>6325.1155</v>
      </c>
      <c r="N10" s="42"/>
      <c r="O10" s="26"/>
      <c r="P10" s="26"/>
      <c r="AMJ10" s="0"/>
    </row>
    <row r="11" s="27" customFormat="true" ht="33.35" hidden="false" customHeight="false" outlineLevel="0" collapsed="false">
      <c r="A11" s="46" t="n">
        <v>44083</v>
      </c>
      <c r="B11" s="47" t="s">
        <v>61</v>
      </c>
      <c r="C11" s="47" t="s">
        <v>62</v>
      </c>
      <c r="D11" s="47" t="s">
        <v>63</v>
      </c>
      <c r="E11" s="31" t="s">
        <v>64</v>
      </c>
      <c r="F11" s="31" t="s">
        <v>18</v>
      </c>
      <c r="G11" s="41"/>
      <c r="H11" s="31"/>
      <c r="I11" s="34" t="n">
        <v>0.143</v>
      </c>
      <c r="J11" s="50" t="n">
        <v>6347.83</v>
      </c>
      <c r="K11" s="36" t="n">
        <f aca="false">J11*I11</f>
        <v>907.73969</v>
      </c>
      <c r="L11" s="37" t="n">
        <v>509.24</v>
      </c>
      <c r="M11" s="37" t="n">
        <f aca="false">J11-K11-L11</f>
        <v>4930.85031</v>
      </c>
      <c r="N11" s="42"/>
      <c r="O11" s="26"/>
      <c r="P11" s="26"/>
      <c r="AMJ11" s="0"/>
    </row>
    <row r="12" s="27" customFormat="true" ht="33.35" hidden="false" customHeight="false" outlineLevel="0" collapsed="false">
      <c r="A12" s="39" t="n">
        <v>42878</v>
      </c>
      <c r="B12" s="40" t="s">
        <v>65</v>
      </c>
      <c r="C12" s="40" t="s">
        <v>66</v>
      </c>
      <c r="D12" s="40" t="s">
        <v>67</v>
      </c>
      <c r="E12" s="31" t="s">
        <v>68</v>
      </c>
      <c r="F12" s="31" t="s">
        <v>18</v>
      </c>
      <c r="G12" s="41" t="s">
        <v>69</v>
      </c>
      <c r="H12" s="31" t="s">
        <v>70</v>
      </c>
      <c r="I12" s="34" t="n">
        <v>0.143</v>
      </c>
      <c r="J12" s="37" t="n">
        <v>23478.26</v>
      </c>
      <c r="K12" s="36" t="n">
        <f aca="false">J12*I12</f>
        <v>3357.39118</v>
      </c>
      <c r="L12" s="36" t="n">
        <v>13843.01</v>
      </c>
      <c r="M12" s="37" t="n">
        <f aca="false">J12-K12-L12</f>
        <v>6277.85882</v>
      </c>
      <c r="N12" s="42"/>
      <c r="O12" s="26"/>
      <c r="P12" s="26"/>
      <c r="AMJ12" s="0"/>
    </row>
    <row r="13" s="27" customFormat="true" ht="33.35" hidden="false" customHeight="false" outlineLevel="0" collapsed="false">
      <c r="A13" s="44" t="n">
        <v>44270</v>
      </c>
      <c r="B13" s="47" t="s">
        <v>71</v>
      </c>
      <c r="C13" s="29" t="s">
        <v>48</v>
      </c>
      <c r="D13" s="29" t="s">
        <v>49</v>
      </c>
      <c r="E13" s="45" t="s">
        <v>50</v>
      </c>
      <c r="F13" s="31" t="s">
        <v>18</v>
      </c>
      <c r="G13" s="49" t="s">
        <v>72</v>
      </c>
      <c r="H13" s="48" t="s">
        <v>73</v>
      </c>
      <c r="I13" s="34" t="n">
        <v>0.143</v>
      </c>
      <c r="J13" s="35" t="n">
        <v>36608.69</v>
      </c>
      <c r="K13" s="36" t="n">
        <f aca="false">J13*I13</f>
        <v>5235.04267</v>
      </c>
      <c r="L13" s="37" t="n">
        <v>1633.18</v>
      </c>
      <c r="M13" s="37" t="n">
        <f aca="false">J13-K13-L13</f>
        <v>29740.46733</v>
      </c>
      <c r="N13" s="51"/>
      <c r="O13" s="26"/>
      <c r="P13" s="26"/>
      <c r="AMJ13" s="0"/>
    </row>
    <row r="14" s="27" customFormat="true" ht="32.8" hidden="false" customHeight="true" outlineLevel="0" collapsed="false">
      <c r="A14" s="28" t="n">
        <v>43928</v>
      </c>
      <c r="B14" s="29" t="s">
        <v>21</v>
      </c>
      <c r="C14" s="29" t="s">
        <v>22</v>
      </c>
      <c r="D14" s="29" t="s">
        <v>23</v>
      </c>
      <c r="E14" s="30" t="s">
        <v>24</v>
      </c>
      <c r="F14" s="31" t="s">
        <v>18</v>
      </c>
      <c r="G14" s="41" t="s">
        <v>74</v>
      </c>
      <c r="H14" s="33" t="s">
        <v>75</v>
      </c>
      <c r="I14" s="34" t="n">
        <v>0.143</v>
      </c>
      <c r="J14" s="35" t="n">
        <f aca="false">40869.57</f>
        <v>40869.57</v>
      </c>
      <c r="K14" s="36" t="n">
        <f aca="false">J14*I14</f>
        <v>5844.34851</v>
      </c>
      <c r="L14" s="36" t="n">
        <v>7299.76</v>
      </c>
      <c r="M14" s="37" t="n">
        <f aca="false">J14-K14-L14</f>
        <v>27725.46149</v>
      </c>
      <c r="N14" s="42"/>
      <c r="O14" s="26"/>
      <c r="P14" s="26"/>
      <c r="AMJ14" s="0"/>
    </row>
    <row r="15" s="27" customFormat="true" ht="33.35" hidden="false" customHeight="false" outlineLevel="0" collapsed="false">
      <c r="A15" s="46" t="n">
        <v>44202</v>
      </c>
      <c r="B15" s="47" t="s">
        <v>76</v>
      </c>
      <c r="C15" s="47" t="s">
        <v>77</v>
      </c>
      <c r="D15" s="47" t="s">
        <v>78</v>
      </c>
      <c r="E15" s="48" t="s">
        <v>79</v>
      </c>
      <c r="F15" s="31" t="s">
        <v>18</v>
      </c>
      <c r="G15" s="41"/>
      <c r="H15" s="33"/>
      <c r="I15" s="34" t="n">
        <v>0.143</v>
      </c>
      <c r="J15" s="50" t="n">
        <v>5043.5</v>
      </c>
      <c r="K15" s="36" t="n">
        <f aca="false">J15*I15</f>
        <v>721.2205</v>
      </c>
      <c r="L15" s="37" t="n">
        <v>359.21</v>
      </c>
      <c r="M15" s="37" t="n">
        <f aca="false">J15-K15-L15</f>
        <v>3963.0695</v>
      </c>
      <c r="N15" s="42"/>
      <c r="O15" s="26"/>
      <c r="P15" s="26"/>
      <c r="AMJ15" s="0"/>
    </row>
    <row r="16" s="27" customFormat="true" ht="33.35" hidden="false" customHeight="false" outlineLevel="0" collapsed="false">
      <c r="A16" s="39" t="n">
        <v>42244</v>
      </c>
      <c r="B16" s="40" t="s">
        <v>80</v>
      </c>
      <c r="C16" s="40" t="s">
        <v>81</v>
      </c>
      <c r="D16" s="40" t="s">
        <v>82</v>
      </c>
      <c r="E16" s="31" t="s">
        <v>83</v>
      </c>
      <c r="F16" s="31" t="s">
        <v>18</v>
      </c>
      <c r="G16" s="32" t="s">
        <v>74</v>
      </c>
      <c r="H16" s="31" t="s">
        <v>84</v>
      </c>
      <c r="I16" s="34" t="n">
        <v>0.143</v>
      </c>
      <c r="J16" s="37" t="n">
        <v>3043.48</v>
      </c>
      <c r="K16" s="36" t="n">
        <f aca="false">J16*I16</f>
        <v>435.21764</v>
      </c>
      <c r="L16" s="36" t="n">
        <v>2549.56</v>
      </c>
      <c r="M16" s="37" t="n">
        <f aca="false">J16-K16-L16</f>
        <v>58.7023600000002</v>
      </c>
      <c r="N16" s="38"/>
      <c r="O16" s="26"/>
      <c r="P16" s="26"/>
      <c r="AMJ16" s="0"/>
    </row>
    <row r="17" s="27" customFormat="true" ht="49.15" hidden="false" customHeight="false" outlineLevel="0" collapsed="false">
      <c r="A17" s="39" t="n">
        <v>42746</v>
      </c>
      <c r="B17" s="40" t="s">
        <v>85</v>
      </c>
      <c r="C17" s="40" t="n">
        <v>9333</v>
      </c>
      <c r="D17" s="40" t="s">
        <v>28</v>
      </c>
      <c r="E17" s="31" t="s">
        <v>86</v>
      </c>
      <c r="F17" s="31" t="s">
        <v>18</v>
      </c>
      <c r="G17" s="41" t="s">
        <v>87</v>
      </c>
      <c r="H17" s="31" t="s">
        <v>88</v>
      </c>
      <c r="I17" s="34" t="n">
        <v>0.143</v>
      </c>
      <c r="J17" s="37" t="n">
        <f aca="false">3052.17+12347.82+539.14</f>
        <v>15939.13</v>
      </c>
      <c r="K17" s="36" t="n">
        <f aca="false">J17*I17</f>
        <v>2279.29559</v>
      </c>
      <c r="L17" s="36" t="n">
        <f aca="false">7918.23+(1319.63/4)+(13073.7/7)</f>
        <v>10115.8089285714</v>
      </c>
      <c r="M17" s="37" t="n">
        <f aca="false">J17-K17-L17</f>
        <v>3544.02548142857</v>
      </c>
      <c r="N17" s="42"/>
      <c r="O17" s="26"/>
      <c r="P17" s="26"/>
      <c r="AMJ17" s="0"/>
    </row>
    <row r="18" s="27" customFormat="true" ht="33.35" hidden="false" customHeight="false" outlineLevel="0" collapsed="false">
      <c r="A18" s="39" t="n">
        <v>43104</v>
      </c>
      <c r="B18" s="40" t="s">
        <v>89</v>
      </c>
      <c r="C18" s="40" t="s">
        <v>90</v>
      </c>
      <c r="D18" s="40" t="s">
        <v>57</v>
      </c>
      <c r="E18" s="31" t="s">
        <v>91</v>
      </c>
      <c r="F18" s="31" t="s">
        <v>18</v>
      </c>
      <c r="G18" s="41" t="s">
        <v>92</v>
      </c>
      <c r="H18" s="31" t="s">
        <v>93</v>
      </c>
      <c r="I18" s="34" t="n">
        <v>0.143</v>
      </c>
      <c r="J18" s="37" t="n">
        <f aca="false">19217.39+4261+1043.48</f>
        <v>24521.87</v>
      </c>
      <c r="K18" s="36" t="n">
        <f aca="false">J18*I18</f>
        <v>3506.62741</v>
      </c>
      <c r="L18" s="36" t="n">
        <f aca="false">9628+2711.72+743.87</f>
        <v>13083.59</v>
      </c>
      <c r="M18" s="37" t="n">
        <f aca="false">J18-K18-L18</f>
        <v>7931.65259</v>
      </c>
      <c r="N18" s="42"/>
      <c r="O18" s="26"/>
      <c r="P18" s="26"/>
      <c r="AMJ18" s="0"/>
    </row>
    <row r="19" s="27" customFormat="true" ht="33.35" hidden="false" customHeight="false" outlineLevel="0" collapsed="false">
      <c r="A19" s="39" t="n">
        <v>43007</v>
      </c>
      <c r="B19" s="40" t="s">
        <v>94</v>
      </c>
      <c r="C19" s="40" t="s">
        <v>95</v>
      </c>
      <c r="D19" s="40" t="s">
        <v>57</v>
      </c>
      <c r="E19" s="31" t="s">
        <v>96</v>
      </c>
      <c r="F19" s="31" t="s">
        <v>18</v>
      </c>
      <c r="G19" s="41" t="s">
        <v>97</v>
      </c>
      <c r="H19" s="31" t="s">
        <v>98</v>
      </c>
      <c r="I19" s="34" t="n">
        <v>0.143</v>
      </c>
      <c r="J19" s="37" t="n">
        <f aca="false">539.14+17372.17+1000</f>
        <v>18911.31</v>
      </c>
      <c r="K19" s="36" t="n">
        <f aca="false">J19*I19</f>
        <v>2704.31733</v>
      </c>
      <c r="L19" s="36" t="n">
        <f aca="false">9362.97+(1319.63/4)+(2693.42/4)</f>
        <v>10366.2325</v>
      </c>
      <c r="M19" s="37" t="n">
        <f aca="false">J19-K19-L19</f>
        <v>5840.76017</v>
      </c>
      <c r="N19" s="42"/>
      <c r="O19" s="26"/>
      <c r="P19" s="26"/>
      <c r="AMJ19" s="0"/>
    </row>
    <row r="20" s="27" customFormat="true" ht="33.35" hidden="false" customHeight="false" outlineLevel="0" collapsed="false">
      <c r="A20" s="39" t="n">
        <v>42681</v>
      </c>
      <c r="B20" s="40" t="s">
        <v>99</v>
      </c>
      <c r="C20" s="40" t="s">
        <v>100</v>
      </c>
      <c r="D20" s="40" t="s">
        <v>28</v>
      </c>
      <c r="E20" s="31" t="s">
        <v>101</v>
      </c>
      <c r="F20" s="31" t="s">
        <v>18</v>
      </c>
      <c r="G20" s="41" t="s">
        <v>102</v>
      </c>
      <c r="H20" s="31" t="s">
        <v>103</v>
      </c>
      <c r="I20" s="34" t="n">
        <v>0.143</v>
      </c>
      <c r="J20" s="37" t="n">
        <f aca="false">12565.22+(7304.33/2)+(10782.61/11)</f>
        <v>17197.6222727273</v>
      </c>
      <c r="K20" s="36" t="n">
        <f aca="false">J20*I20</f>
        <v>2459.259985</v>
      </c>
      <c r="L20" s="37" t="n">
        <f aca="false">8377.26+(6914.52/11)+(2983.72/2)</f>
        <v>10497.7127272727</v>
      </c>
      <c r="M20" s="37" t="n">
        <f aca="false">J20-K20-L20</f>
        <v>4240.64956045454</v>
      </c>
      <c r="N20" s="42"/>
      <c r="O20" s="26"/>
      <c r="P20" s="26"/>
      <c r="AMJ20" s="0"/>
    </row>
    <row r="21" s="27" customFormat="true" ht="33.35" hidden="false" customHeight="false" outlineLevel="0" collapsed="false">
      <c r="A21" s="39" t="n">
        <v>41384</v>
      </c>
      <c r="B21" s="40" t="s">
        <v>104</v>
      </c>
      <c r="C21" s="40" t="s">
        <v>105</v>
      </c>
      <c r="D21" s="40" t="s">
        <v>106</v>
      </c>
      <c r="E21" s="31" t="s">
        <v>107</v>
      </c>
      <c r="F21" s="31" t="s">
        <v>18</v>
      </c>
      <c r="G21" s="41" t="s">
        <v>108</v>
      </c>
      <c r="H21" s="31" t="s">
        <v>109</v>
      </c>
      <c r="I21" s="34" t="n">
        <v>0.143</v>
      </c>
      <c r="J21" s="37" t="n">
        <v>15217.39</v>
      </c>
      <c r="K21" s="36" t="n">
        <v>0</v>
      </c>
      <c r="L21" s="36" t="n">
        <v>15207.39</v>
      </c>
      <c r="M21" s="37" t="n">
        <f aca="false">J21-K21-L21</f>
        <v>10</v>
      </c>
      <c r="N21" s="42"/>
      <c r="O21" s="26"/>
      <c r="P21" s="26"/>
      <c r="AMJ21" s="0"/>
    </row>
    <row r="22" s="27" customFormat="true" ht="33.35" hidden="false" customHeight="false" outlineLevel="0" collapsed="false">
      <c r="A22" s="39" t="n">
        <v>42143</v>
      </c>
      <c r="B22" s="40" t="s">
        <v>110</v>
      </c>
      <c r="C22" s="40" t="n">
        <v>8955</v>
      </c>
      <c r="D22" s="40" t="s">
        <v>28</v>
      </c>
      <c r="E22" s="31" t="s">
        <v>111</v>
      </c>
      <c r="F22" s="31" t="s">
        <v>18</v>
      </c>
      <c r="G22" s="41" t="s">
        <v>112</v>
      </c>
      <c r="H22" s="31" t="s">
        <v>113</v>
      </c>
      <c r="I22" s="34" t="n">
        <v>0.143</v>
      </c>
      <c r="J22" s="37" t="n">
        <f aca="false">521.74+19347.83+1000</f>
        <v>20869.57</v>
      </c>
      <c r="K22" s="36" t="n">
        <f aca="false">2365.18+(1521.74*I22)</f>
        <v>2582.78882</v>
      </c>
      <c r="L22" s="36" t="n">
        <f aca="false">16972.65+(2185.34/5)+(1292.71/2)</f>
        <v>18056.073</v>
      </c>
      <c r="M22" s="37" t="n">
        <f aca="false">J22-K22-L22</f>
        <v>230.708180000005</v>
      </c>
      <c r="N22" s="42"/>
      <c r="O22" s="26"/>
      <c r="P22" s="26"/>
      <c r="AMJ22" s="0"/>
    </row>
    <row r="23" s="27" customFormat="true" ht="33.35" hidden="false" customHeight="false" outlineLevel="0" collapsed="false">
      <c r="A23" s="44" t="n">
        <v>44130</v>
      </c>
      <c r="B23" s="29" t="s">
        <v>114</v>
      </c>
      <c r="C23" s="29" t="s">
        <v>43</v>
      </c>
      <c r="D23" s="29" t="s">
        <v>115</v>
      </c>
      <c r="E23" s="45" t="s">
        <v>116</v>
      </c>
      <c r="F23" s="31" t="s">
        <v>18</v>
      </c>
      <c r="G23" s="41" t="s">
        <v>117</v>
      </c>
      <c r="H23" s="45" t="s">
        <v>118</v>
      </c>
      <c r="I23" s="34" t="n">
        <v>0.143</v>
      </c>
      <c r="J23" s="35" t="n">
        <v>43391.3</v>
      </c>
      <c r="K23" s="36" t="n">
        <f aca="false">J23*I23</f>
        <v>6204.9559</v>
      </c>
      <c r="L23" s="37" t="n">
        <f aca="false">17252.03/4</f>
        <v>4313.0075</v>
      </c>
      <c r="M23" s="37" t="n">
        <f aca="false">J23-K23-L23</f>
        <v>32873.3366</v>
      </c>
      <c r="N23" s="42"/>
      <c r="O23" s="26"/>
      <c r="P23" s="26"/>
      <c r="AMJ23" s="0"/>
    </row>
    <row r="24" s="27" customFormat="true" ht="33.35" hidden="false" customHeight="false" outlineLevel="0" collapsed="false">
      <c r="A24" s="39" t="n">
        <v>42681</v>
      </c>
      <c r="B24" s="40" t="s">
        <v>119</v>
      </c>
      <c r="C24" s="40" t="s">
        <v>100</v>
      </c>
      <c r="D24" s="40" t="s">
        <v>28</v>
      </c>
      <c r="E24" s="31" t="s">
        <v>101</v>
      </c>
      <c r="F24" s="31" t="s">
        <v>18</v>
      </c>
      <c r="G24" s="41" t="s">
        <v>120</v>
      </c>
      <c r="H24" s="31" t="s">
        <v>121</v>
      </c>
      <c r="I24" s="34" t="n">
        <v>0.143</v>
      </c>
      <c r="J24" s="37" t="n">
        <f aca="false">521.74+12565.22+1000</f>
        <v>14086.96</v>
      </c>
      <c r="K24" s="36" t="n">
        <f aca="false">J24*I24</f>
        <v>2014.43528</v>
      </c>
      <c r="L24" s="36" t="n">
        <f aca="false">(2693.42/4)+8377.26+(2185.34/5)</f>
        <v>9487.683</v>
      </c>
      <c r="M24" s="37" t="n">
        <f aca="false">J24-K24-L24</f>
        <v>2584.84172</v>
      </c>
      <c r="N24" s="42"/>
      <c r="O24" s="26"/>
      <c r="P24" s="26"/>
      <c r="AMJ24" s="0"/>
    </row>
    <row r="25" s="27" customFormat="true" ht="33.35" hidden="false" customHeight="false" outlineLevel="0" collapsed="false">
      <c r="A25" s="39" t="n">
        <v>42522</v>
      </c>
      <c r="B25" s="40" t="s">
        <v>122</v>
      </c>
      <c r="C25" s="40" t="s">
        <v>123</v>
      </c>
      <c r="D25" s="40" t="s">
        <v>124</v>
      </c>
      <c r="E25" s="31" t="s">
        <v>125</v>
      </c>
      <c r="F25" s="31" t="s">
        <v>18</v>
      </c>
      <c r="G25" s="41" t="s">
        <v>120</v>
      </c>
      <c r="H25" s="31" t="s">
        <v>126</v>
      </c>
      <c r="I25" s="34" t="n">
        <v>0.143</v>
      </c>
      <c r="J25" s="37" t="n">
        <v>6260.87</v>
      </c>
      <c r="K25" s="36" t="n">
        <f aca="false">J25*I25</f>
        <v>895.30441</v>
      </c>
      <c r="L25" s="36" t="n">
        <v>4563.7</v>
      </c>
      <c r="M25" s="37" t="n">
        <f aca="false">J25-K25-L25</f>
        <v>801.86559</v>
      </c>
      <c r="N25" s="42"/>
      <c r="O25" s="26"/>
      <c r="P25" s="26"/>
      <c r="AMJ25" s="0"/>
    </row>
    <row r="26" s="27" customFormat="true" ht="17.35" hidden="false" customHeight="false" outlineLevel="0" collapsed="false">
      <c r="A26" s="39" t="n">
        <v>43368</v>
      </c>
      <c r="B26" s="40" t="s">
        <v>127</v>
      </c>
      <c r="C26" s="29" t="s">
        <v>128</v>
      </c>
      <c r="D26" s="40" t="s">
        <v>129</v>
      </c>
      <c r="E26" s="31" t="s">
        <v>130</v>
      </c>
      <c r="F26" s="31" t="s">
        <v>18</v>
      </c>
      <c r="G26" s="41" t="s">
        <v>120</v>
      </c>
      <c r="H26" s="31" t="s">
        <v>131</v>
      </c>
      <c r="I26" s="34" t="n">
        <v>0.143</v>
      </c>
      <c r="J26" s="37" t="n">
        <v>19565.22</v>
      </c>
      <c r="K26" s="36" t="n">
        <f aca="false">J26*I26</f>
        <v>2797.82646</v>
      </c>
      <c r="L26" s="36" t="n">
        <v>7785.4</v>
      </c>
      <c r="M26" s="37" t="n">
        <f aca="false">J26-K26-L26</f>
        <v>8981.99354</v>
      </c>
      <c r="N26" s="42"/>
      <c r="O26" s="26"/>
      <c r="P26" s="26"/>
      <c r="AMJ26" s="0"/>
    </row>
    <row r="27" s="27" customFormat="true" ht="17.35" hidden="false" customHeight="false" outlineLevel="0" collapsed="false">
      <c r="A27" s="39" t="n">
        <v>43019</v>
      </c>
      <c r="B27" s="40" t="s">
        <v>132</v>
      </c>
      <c r="C27" s="40" t="s">
        <v>133</v>
      </c>
      <c r="D27" s="40" t="s">
        <v>57</v>
      </c>
      <c r="E27" s="31" t="s">
        <v>134</v>
      </c>
      <c r="F27" s="31" t="s">
        <v>18</v>
      </c>
      <c r="G27" s="41" t="s">
        <v>120</v>
      </c>
      <c r="H27" s="31" t="s">
        <v>135</v>
      </c>
      <c r="I27" s="34" t="n">
        <v>0.143</v>
      </c>
      <c r="J27" s="37" t="n">
        <v>18147.83</v>
      </c>
      <c r="K27" s="36" t="n">
        <f aca="false">J27*I27</f>
        <v>2595.13969</v>
      </c>
      <c r="L27" s="36" t="n">
        <v>9695.8</v>
      </c>
      <c r="M27" s="37" t="n">
        <f aca="false">J27-K27-L27</f>
        <v>5856.89031</v>
      </c>
      <c r="N27" s="42"/>
      <c r="O27" s="26"/>
      <c r="P27" s="26"/>
      <c r="AMJ27" s="0"/>
    </row>
    <row r="28" s="27" customFormat="true" ht="49.15" hidden="false" customHeight="false" outlineLevel="0" collapsed="false">
      <c r="A28" s="39" t="n">
        <v>42746</v>
      </c>
      <c r="B28" s="40" t="s">
        <v>136</v>
      </c>
      <c r="C28" s="40" t="n">
        <v>9333</v>
      </c>
      <c r="D28" s="40" t="s">
        <v>28</v>
      </c>
      <c r="E28" s="31" t="s">
        <v>86</v>
      </c>
      <c r="F28" s="31" t="s">
        <v>18</v>
      </c>
      <c r="G28" s="41" t="s">
        <v>137</v>
      </c>
      <c r="H28" s="31" t="s">
        <v>138</v>
      </c>
      <c r="I28" s="34" t="n">
        <v>0.143</v>
      </c>
      <c r="J28" s="37" t="n">
        <f aca="false">3052.17+12347.82+539.14</f>
        <v>15939.13</v>
      </c>
      <c r="K28" s="37" t="n">
        <f aca="false">J28*I28</f>
        <v>2279.29559</v>
      </c>
      <c r="L28" s="37" t="n">
        <f aca="false">7918.23+(1319.63/4)+(13073.7/7)</f>
        <v>10115.8089285714</v>
      </c>
      <c r="M28" s="37" t="n">
        <f aca="false">J28-K28-L28</f>
        <v>3544.02548142857</v>
      </c>
      <c r="N28" s="42"/>
      <c r="O28" s="26"/>
      <c r="P28" s="26"/>
      <c r="AMJ28" s="0"/>
    </row>
    <row r="29" s="27" customFormat="true" ht="49.15" hidden="false" customHeight="false" outlineLevel="0" collapsed="false">
      <c r="A29" s="39" t="n">
        <v>42216</v>
      </c>
      <c r="B29" s="40" t="s">
        <v>139</v>
      </c>
      <c r="C29" s="40" t="s">
        <v>15</v>
      </c>
      <c r="D29" s="40" t="s">
        <v>16</v>
      </c>
      <c r="E29" s="31" t="s">
        <v>17</v>
      </c>
      <c r="F29" s="31" t="s">
        <v>18</v>
      </c>
      <c r="G29" s="41" t="s">
        <v>140</v>
      </c>
      <c r="H29" s="31" t="s">
        <v>141</v>
      </c>
      <c r="I29" s="34" t="n">
        <v>0.143</v>
      </c>
      <c r="J29" s="37" t="n">
        <f aca="false">521.74+14130.09</f>
        <v>14651.83</v>
      </c>
      <c r="K29" s="36" t="n">
        <f aca="false">J29*I29</f>
        <v>2095.21169</v>
      </c>
      <c r="L29" s="36" t="n">
        <f aca="false">(2185.34/5)+11991.79</f>
        <v>12428.858</v>
      </c>
      <c r="M29" s="37" t="n">
        <f aca="false">J29-K29-L29</f>
        <v>127.76031</v>
      </c>
      <c r="N29" s="42"/>
      <c r="O29" s="26"/>
      <c r="P29" s="26"/>
      <c r="AMJ29" s="0"/>
    </row>
    <row r="30" s="27" customFormat="true" ht="49.15" hidden="false" customHeight="false" outlineLevel="0" collapsed="false">
      <c r="A30" s="39" t="n">
        <v>42746</v>
      </c>
      <c r="B30" s="40" t="s">
        <v>142</v>
      </c>
      <c r="C30" s="40" t="n">
        <v>9333</v>
      </c>
      <c r="D30" s="40" t="s">
        <v>28</v>
      </c>
      <c r="E30" s="31" t="s">
        <v>86</v>
      </c>
      <c r="F30" s="31" t="s">
        <v>18</v>
      </c>
      <c r="G30" s="41" t="s">
        <v>143</v>
      </c>
      <c r="H30" s="31" t="s">
        <v>144</v>
      </c>
      <c r="I30" s="34" t="n">
        <v>0.143</v>
      </c>
      <c r="J30" s="37" t="n">
        <f aca="false">3052.17+12347.82+(10782.61/11)</f>
        <v>16380.2272727273</v>
      </c>
      <c r="K30" s="36" t="n">
        <f aca="false">J30*I30</f>
        <v>2342.3725</v>
      </c>
      <c r="L30" s="36" t="n">
        <f aca="false">(13073.7/7)+7918.23+(6914.52/11)</f>
        <v>10414.4941558442</v>
      </c>
      <c r="M30" s="37" t="n">
        <f aca="false">J30-K30-L30</f>
        <v>3623.36061688312</v>
      </c>
      <c r="N30" s="42"/>
      <c r="O30" s="26"/>
      <c r="P30" s="26"/>
      <c r="AMJ30" s="0"/>
    </row>
    <row r="31" s="27" customFormat="true" ht="49.15" hidden="false" customHeight="false" outlineLevel="0" collapsed="false">
      <c r="A31" s="39" t="n">
        <v>42746</v>
      </c>
      <c r="B31" s="40" t="s">
        <v>145</v>
      </c>
      <c r="C31" s="40" t="n">
        <v>9333</v>
      </c>
      <c r="D31" s="40" t="s">
        <v>28</v>
      </c>
      <c r="E31" s="31" t="s">
        <v>86</v>
      </c>
      <c r="F31" s="31" t="s">
        <v>18</v>
      </c>
      <c r="G31" s="41" t="s">
        <v>146</v>
      </c>
      <c r="H31" s="31" t="s">
        <v>147</v>
      </c>
      <c r="I31" s="34" t="n">
        <v>0.143</v>
      </c>
      <c r="J31" s="37" t="n">
        <f aca="false">3052.17+12347.82+591.31</f>
        <v>15991.3</v>
      </c>
      <c r="K31" s="36" t="n">
        <f aca="false">J31*I31</f>
        <v>2286.7559</v>
      </c>
      <c r="L31" s="36" t="n">
        <f aca="false">7918.23+(1295.14/4)+(13073.7/7)</f>
        <v>10109.6864285714</v>
      </c>
      <c r="M31" s="37" t="n">
        <f aca="false">J31-K31-L31</f>
        <v>3594.85767142857</v>
      </c>
      <c r="N31" s="42"/>
      <c r="O31" s="26"/>
      <c r="P31" s="26"/>
      <c r="AMJ31" s="0"/>
    </row>
    <row r="32" s="27" customFormat="true" ht="33.35" hidden="false" customHeight="false" outlineLevel="0" collapsed="false">
      <c r="A32" s="28" t="n">
        <v>43928</v>
      </c>
      <c r="B32" s="29" t="s">
        <v>21</v>
      </c>
      <c r="C32" s="29" t="s">
        <v>22</v>
      </c>
      <c r="D32" s="29" t="s">
        <v>23</v>
      </c>
      <c r="E32" s="30" t="s">
        <v>24</v>
      </c>
      <c r="F32" s="31" t="s">
        <v>18</v>
      </c>
      <c r="G32" s="32" t="s">
        <v>148</v>
      </c>
      <c r="H32" s="33" t="s">
        <v>149</v>
      </c>
      <c r="I32" s="34" t="n">
        <v>0.143</v>
      </c>
      <c r="J32" s="35" t="n">
        <v>40869.57</v>
      </c>
      <c r="K32" s="37" t="n">
        <f aca="false">J32*I32</f>
        <v>5844.34851</v>
      </c>
      <c r="L32" s="37" t="n">
        <v>7299.76</v>
      </c>
      <c r="M32" s="37" t="n">
        <f aca="false">J32-K32-L32</f>
        <v>27725.46149</v>
      </c>
      <c r="N32" s="38"/>
      <c r="O32" s="26"/>
      <c r="P32" s="26"/>
      <c r="AMJ32" s="0"/>
    </row>
    <row r="33" s="27" customFormat="true" ht="33.35" hidden="false" customHeight="false" outlineLevel="0" collapsed="false">
      <c r="A33" s="28" t="n">
        <v>43928</v>
      </c>
      <c r="B33" s="29" t="s">
        <v>150</v>
      </c>
      <c r="C33" s="29" t="s">
        <v>22</v>
      </c>
      <c r="D33" s="29" t="s">
        <v>23</v>
      </c>
      <c r="E33" s="30" t="s">
        <v>24</v>
      </c>
      <c r="F33" s="31" t="s">
        <v>18</v>
      </c>
      <c r="G33" s="32" t="s">
        <v>151</v>
      </c>
      <c r="H33" s="33" t="s">
        <v>152</v>
      </c>
      <c r="I33" s="34" t="n">
        <v>0.143</v>
      </c>
      <c r="J33" s="35" t="n">
        <v>31304.35</v>
      </c>
      <c r="K33" s="36" t="n">
        <f aca="false">J33*I33</f>
        <v>4476.52205</v>
      </c>
      <c r="L33" s="36" t="n">
        <v>5591.3</v>
      </c>
      <c r="M33" s="37" t="n">
        <f aca="false">J33-K33-L33</f>
        <v>21236.52795</v>
      </c>
      <c r="N33" s="38"/>
      <c r="O33" s="26"/>
      <c r="P33" s="26"/>
      <c r="AMJ33" s="0"/>
    </row>
    <row r="34" s="27" customFormat="true" ht="33.35" hidden="false" customHeight="false" outlineLevel="0" collapsed="false">
      <c r="A34" s="39" t="n">
        <v>42014</v>
      </c>
      <c r="B34" s="40" t="s">
        <v>110</v>
      </c>
      <c r="C34" s="40" t="s">
        <v>153</v>
      </c>
      <c r="D34" s="40" t="s">
        <v>28</v>
      </c>
      <c r="E34" s="31" t="s">
        <v>154</v>
      </c>
      <c r="F34" s="31" t="s">
        <v>18</v>
      </c>
      <c r="G34" s="41" t="s">
        <v>155</v>
      </c>
      <c r="H34" s="31" t="s">
        <v>156</v>
      </c>
      <c r="I34" s="34" t="n">
        <v>0.143</v>
      </c>
      <c r="J34" s="37" t="n">
        <f aca="false">686.96+19347.81+1000</f>
        <v>21034.77</v>
      </c>
      <c r="K34" s="36" t="n">
        <f aca="false">1388.47+(I34*1686.96)</f>
        <v>1629.70528</v>
      </c>
      <c r="L34" s="36" t="n">
        <f aca="false">(2693.42/4)+17949.34+(702.32/2)</f>
        <v>18973.855</v>
      </c>
      <c r="M34" s="37" t="n">
        <f aca="false">J34-K34-L34</f>
        <v>431.209720000003</v>
      </c>
      <c r="N34" s="42"/>
      <c r="O34" s="26"/>
      <c r="P34" s="26"/>
      <c r="AMJ34" s="0"/>
    </row>
    <row r="35" s="27" customFormat="true" ht="33.35" hidden="false" customHeight="false" outlineLevel="0" collapsed="false">
      <c r="A35" s="39" t="n">
        <v>42457</v>
      </c>
      <c r="B35" s="40" t="s">
        <v>157</v>
      </c>
      <c r="C35" s="40" t="s">
        <v>158</v>
      </c>
      <c r="D35" s="40" t="s">
        <v>28</v>
      </c>
      <c r="E35" s="31" t="s">
        <v>159</v>
      </c>
      <c r="F35" s="31" t="s">
        <v>18</v>
      </c>
      <c r="G35" s="41" t="s">
        <v>160</v>
      </c>
      <c r="H35" s="31" t="s">
        <v>161</v>
      </c>
      <c r="I35" s="34" t="n">
        <v>0.143</v>
      </c>
      <c r="J35" s="37" t="n">
        <f aca="false">591.31+11678.26+(7304.33/2)</f>
        <v>15921.735</v>
      </c>
      <c r="K35" s="36" t="n">
        <f aca="false">J35*I35</f>
        <v>2276.808105</v>
      </c>
      <c r="L35" s="36" t="n">
        <f aca="false">(1295.14/4)+8809.61+(2983.72/2)</f>
        <v>10625.255</v>
      </c>
      <c r="M35" s="37" t="n">
        <f aca="false">J35-K35-L35</f>
        <v>3019.671895</v>
      </c>
      <c r="N35" s="42"/>
      <c r="O35" s="26"/>
      <c r="P35" s="26"/>
      <c r="AMJ35" s="0"/>
    </row>
    <row r="36" s="27" customFormat="true" ht="33.35" hidden="false" customHeight="false" outlineLevel="0" collapsed="false">
      <c r="A36" s="39" t="n">
        <v>42143</v>
      </c>
      <c r="B36" s="40" t="s">
        <v>110</v>
      </c>
      <c r="C36" s="40" t="n">
        <v>8955</v>
      </c>
      <c r="D36" s="40" t="s">
        <v>28</v>
      </c>
      <c r="E36" s="31" t="s">
        <v>111</v>
      </c>
      <c r="F36" s="31" t="s">
        <v>18</v>
      </c>
      <c r="G36" s="41" t="s">
        <v>162</v>
      </c>
      <c r="H36" s="31" t="s">
        <v>163</v>
      </c>
      <c r="I36" s="34" t="n">
        <v>0.143</v>
      </c>
      <c r="J36" s="37" t="n">
        <v>19347.83</v>
      </c>
      <c r="K36" s="36" t="n">
        <v>2365.18</v>
      </c>
      <c r="L36" s="36" t="n">
        <v>16972.65</v>
      </c>
      <c r="M36" s="37" t="n">
        <f aca="false">J36-K36-L36</f>
        <v>10</v>
      </c>
      <c r="N36" s="42"/>
      <c r="O36" s="26"/>
      <c r="P36" s="26"/>
      <c r="AMJ36" s="0"/>
    </row>
    <row r="37" s="59" customFormat="true" ht="68.45" hidden="false" customHeight="false" outlineLevel="0" collapsed="false">
      <c r="A37" s="52" t="n">
        <v>44326</v>
      </c>
      <c r="B37" s="53" t="n">
        <v>12565.22</v>
      </c>
      <c r="C37" s="54" t="s">
        <v>164</v>
      </c>
      <c r="D37" s="55" t="s">
        <v>165</v>
      </c>
      <c r="E37" s="56" t="s">
        <v>166</v>
      </c>
      <c r="F37" s="56" t="s">
        <v>167</v>
      </c>
      <c r="G37" s="41" t="s">
        <v>168</v>
      </c>
      <c r="H37" s="56" t="s">
        <v>169</v>
      </c>
      <c r="I37" s="34" t="n">
        <v>0.143</v>
      </c>
      <c r="J37" s="57" t="n">
        <v>45652.17</v>
      </c>
      <c r="K37" s="36" t="n">
        <f aca="false">J37*I37</f>
        <v>6528.26031</v>
      </c>
      <c r="L37" s="36" t="n">
        <v>1036.18</v>
      </c>
      <c r="M37" s="37" t="n">
        <f aca="false">J37-K37-L37</f>
        <v>38087.72969</v>
      </c>
      <c r="N37" s="42"/>
      <c r="O37" s="58"/>
      <c r="P37" s="58"/>
      <c r="AMJ37" s="0"/>
    </row>
    <row r="38" s="27" customFormat="true" ht="33.35" hidden="false" customHeight="false" outlineLevel="0" collapsed="false">
      <c r="A38" s="39" t="n">
        <v>41757</v>
      </c>
      <c r="B38" s="40" t="s">
        <v>14</v>
      </c>
      <c r="C38" s="40" t="s">
        <v>170</v>
      </c>
      <c r="D38" s="40" t="s">
        <v>28</v>
      </c>
      <c r="E38" s="31" t="s">
        <v>171</v>
      </c>
      <c r="F38" s="31" t="s">
        <v>172</v>
      </c>
      <c r="G38" s="41" t="s">
        <v>173</v>
      </c>
      <c r="H38" s="31" t="s">
        <v>174</v>
      </c>
      <c r="I38" s="34" t="n">
        <v>0.143</v>
      </c>
      <c r="J38" s="37" t="n">
        <v>9565.22</v>
      </c>
      <c r="K38" s="36"/>
      <c r="L38" s="36" t="n">
        <v>9555.22</v>
      </c>
      <c r="M38" s="37" t="n">
        <f aca="false">J38-K38-L38</f>
        <v>10</v>
      </c>
      <c r="N38" s="42"/>
      <c r="O38" s="26"/>
      <c r="P38" s="26"/>
      <c r="AMJ38" s="0"/>
    </row>
    <row r="39" s="27" customFormat="true" ht="33.35" hidden="false" customHeight="false" outlineLevel="0" collapsed="false">
      <c r="A39" s="39" t="n">
        <v>42632</v>
      </c>
      <c r="B39" s="40" t="s">
        <v>175</v>
      </c>
      <c r="C39" s="40" t="s">
        <v>176</v>
      </c>
      <c r="D39" s="40" t="s">
        <v>67</v>
      </c>
      <c r="E39" s="31" t="s">
        <v>177</v>
      </c>
      <c r="F39" s="31" t="s">
        <v>172</v>
      </c>
      <c r="G39" s="41" t="s">
        <v>178</v>
      </c>
      <c r="H39" s="31" t="s">
        <v>179</v>
      </c>
      <c r="I39" s="34" t="n">
        <v>0.143</v>
      </c>
      <c r="J39" s="37" t="n">
        <f aca="false">686.96+12000</f>
        <v>12686.96</v>
      </c>
      <c r="K39" s="36" t="n">
        <f aca="false">J39*I39</f>
        <v>1814.23528</v>
      </c>
      <c r="L39" s="36" t="n">
        <f aca="false">(702.32/2)+8230.53</f>
        <v>8581.69</v>
      </c>
      <c r="M39" s="37" t="n">
        <f aca="false">J39-K39-L39</f>
        <v>2291.03472</v>
      </c>
      <c r="N39" s="42"/>
      <c r="O39" s="26"/>
      <c r="P39" s="26"/>
      <c r="AMJ39" s="0"/>
    </row>
    <row r="40" s="27" customFormat="true" ht="32.8" hidden="false" customHeight="true" outlineLevel="0" collapsed="false">
      <c r="A40" s="39" t="n">
        <v>42878</v>
      </c>
      <c r="B40" s="40" t="s">
        <v>180</v>
      </c>
      <c r="C40" s="40" t="s">
        <v>66</v>
      </c>
      <c r="D40" s="40" t="s">
        <v>67</v>
      </c>
      <c r="E40" s="31" t="s">
        <v>68</v>
      </c>
      <c r="F40" s="31" t="s">
        <v>172</v>
      </c>
      <c r="G40" s="41" t="s">
        <v>181</v>
      </c>
      <c r="H40" s="31" t="s">
        <v>182</v>
      </c>
      <c r="I40" s="34" t="n">
        <v>0.143</v>
      </c>
      <c r="J40" s="37" t="n">
        <f aca="false">((10782.61/11)+23478.26)-6260.87</f>
        <v>18197.6272727273</v>
      </c>
      <c r="K40" s="36" t="n">
        <f aca="false">J40*I40</f>
        <v>2602.2607</v>
      </c>
      <c r="L40" s="36" t="n">
        <f aca="false">10151.34+(6914.52/11)</f>
        <v>10779.9327272727</v>
      </c>
      <c r="M40" s="37" t="n">
        <f aca="false">J40-K40-L40</f>
        <v>4815.43384545455</v>
      </c>
      <c r="N40" s="42"/>
      <c r="O40" s="26"/>
      <c r="P40" s="26"/>
      <c r="AMJ40" s="0"/>
    </row>
    <row r="41" s="27" customFormat="true" ht="33.35" hidden="false" customHeight="false" outlineLevel="0" collapsed="false">
      <c r="A41" s="39" t="n">
        <v>44083</v>
      </c>
      <c r="B41" s="40" t="s">
        <v>183</v>
      </c>
      <c r="C41" s="40" t="s">
        <v>184</v>
      </c>
      <c r="D41" s="40" t="s">
        <v>185</v>
      </c>
      <c r="E41" s="31" t="s">
        <v>186</v>
      </c>
      <c r="F41" s="31" t="s">
        <v>172</v>
      </c>
      <c r="G41" s="41"/>
      <c r="H41" s="31"/>
      <c r="I41" s="34" t="n">
        <v>0.143</v>
      </c>
      <c r="J41" s="37" t="n">
        <v>6260.87</v>
      </c>
      <c r="K41" s="36" t="n">
        <f aca="false">J41*I41</f>
        <v>895.30441</v>
      </c>
      <c r="L41" s="36" t="n">
        <v>12.25</v>
      </c>
      <c r="M41" s="37" t="n">
        <f aca="false">J41-K41-L41</f>
        <v>5353.31559</v>
      </c>
      <c r="N41" s="42"/>
      <c r="O41" s="26"/>
      <c r="P41" s="26"/>
      <c r="AMJ41" s="0"/>
    </row>
    <row r="42" s="27" customFormat="true" ht="33.35" hidden="false" customHeight="false" outlineLevel="0" collapsed="false">
      <c r="A42" s="39" t="n">
        <v>42879</v>
      </c>
      <c r="B42" s="40" t="s">
        <v>187</v>
      </c>
      <c r="C42" s="40" t="s">
        <v>188</v>
      </c>
      <c r="D42" s="40" t="s">
        <v>67</v>
      </c>
      <c r="E42" s="31" t="s">
        <v>189</v>
      </c>
      <c r="F42" s="31" t="s">
        <v>172</v>
      </c>
      <c r="G42" s="41" t="s">
        <v>190</v>
      </c>
      <c r="H42" s="31" t="s">
        <v>191</v>
      </c>
      <c r="I42" s="34" t="n">
        <v>0.143</v>
      </c>
      <c r="J42" s="37" t="n">
        <f aca="false">(10782.61/11)+14260.87</f>
        <v>15241.1072727273</v>
      </c>
      <c r="K42" s="36" t="n">
        <f aca="false">J42*I42</f>
        <v>2179.47834</v>
      </c>
      <c r="L42" s="36" t="n">
        <f aca="false">8402.77+(6914.52/11)</f>
        <v>9031.36272727273</v>
      </c>
      <c r="M42" s="37" t="n">
        <f aca="false">J42-K42-L42</f>
        <v>4030.26620545455</v>
      </c>
      <c r="N42" s="42"/>
      <c r="O42" s="26"/>
      <c r="P42" s="26"/>
      <c r="AMJ42" s="0"/>
    </row>
    <row r="43" s="27" customFormat="true" ht="33.35" hidden="false" customHeight="false" outlineLevel="0" collapsed="false">
      <c r="A43" s="39" t="n">
        <v>43078</v>
      </c>
      <c r="B43" s="40" t="s">
        <v>192</v>
      </c>
      <c r="C43" s="40" t="s">
        <v>193</v>
      </c>
      <c r="D43" s="40" t="s">
        <v>57</v>
      </c>
      <c r="E43" s="31" t="s">
        <v>194</v>
      </c>
      <c r="F43" s="31" t="s">
        <v>172</v>
      </c>
      <c r="G43" s="41" t="s">
        <v>195</v>
      </c>
      <c r="H43" s="31" t="s">
        <v>196</v>
      </c>
      <c r="I43" s="34" t="n">
        <v>0.143</v>
      </c>
      <c r="J43" s="37" t="n">
        <f aca="false">686.96+13295.65</f>
        <v>13982.61</v>
      </c>
      <c r="K43" s="37" t="n">
        <f aca="false">J43*I43</f>
        <v>1999.51323</v>
      </c>
      <c r="L43" s="37" t="n">
        <f aca="false">(700.17/2)+6796.46</f>
        <v>7146.545</v>
      </c>
      <c r="M43" s="37" t="n">
        <f aca="false">J43-K43-L43</f>
        <v>4836.55177</v>
      </c>
      <c r="N43" s="42"/>
      <c r="O43" s="26"/>
      <c r="P43" s="26"/>
      <c r="AMJ43" s="0"/>
    </row>
    <row r="44" s="27" customFormat="true" ht="32.8" hidden="false" customHeight="true" outlineLevel="0" collapsed="false">
      <c r="A44" s="39" t="s">
        <v>197</v>
      </c>
      <c r="B44" s="40" t="s">
        <v>119</v>
      </c>
      <c r="C44" s="40" t="s">
        <v>198</v>
      </c>
      <c r="D44" s="40" t="s">
        <v>28</v>
      </c>
      <c r="E44" s="31" t="s">
        <v>199</v>
      </c>
      <c r="F44" s="31" t="s">
        <v>172</v>
      </c>
      <c r="G44" s="41" t="s">
        <v>200</v>
      </c>
      <c r="H44" s="31" t="s">
        <v>201</v>
      </c>
      <c r="I44" s="34" t="n">
        <v>0.143</v>
      </c>
      <c r="J44" s="37" t="n">
        <f aca="false">((10782.61/11)+21565.21)-6260.87</f>
        <v>16284.5772727273</v>
      </c>
      <c r="K44" s="37" t="n">
        <f aca="false">J44*I44</f>
        <v>2328.69455</v>
      </c>
      <c r="L44" s="37" t="n">
        <f aca="false">12131.91+(6914.52/11)</f>
        <v>12760.5027272727</v>
      </c>
      <c r="M44" s="37" t="n">
        <f aca="false">J44-K44-L44</f>
        <v>1195.37999545455</v>
      </c>
      <c r="N44" s="42"/>
      <c r="O44" s="26"/>
      <c r="P44" s="26"/>
      <c r="AMJ44" s="0"/>
    </row>
    <row r="45" s="27" customFormat="true" ht="33.35" hidden="false" customHeight="false" outlineLevel="0" collapsed="false">
      <c r="A45" s="46" t="n">
        <v>44234</v>
      </c>
      <c r="B45" s="47" t="s">
        <v>61</v>
      </c>
      <c r="C45" s="47" t="s">
        <v>202</v>
      </c>
      <c r="D45" s="47" t="s">
        <v>49</v>
      </c>
      <c r="E45" s="48" t="s">
        <v>203</v>
      </c>
      <c r="F45" s="31" t="s">
        <v>172</v>
      </c>
      <c r="G45" s="41"/>
      <c r="H45" s="31"/>
      <c r="I45" s="34" t="n">
        <v>0.143</v>
      </c>
      <c r="J45" s="50" t="n">
        <v>6260.87</v>
      </c>
      <c r="K45" s="37" t="n">
        <f aca="false">J45*I45</f>
        <v>895.30441</v>
      </c>
      <c r="L45" s="37" t="n">
        <v>737.47</v>
      </c>
      <c r="M45" s="37" t="n">
        <f aca="false">J45-K45-L45</f>
        <v>4628.09559</v>
      </c>
      <c r="N45" s="42"/>
      <c r="O45" s="26"/>
      <c r="P45" s="26"/>
      <c r="AMJ45" s="0"/>
    </row>
    <row r="46" s="27" customFormat="true" ht="33.35" hidden="false" customHeight="false" outlineLevel="0" collapsed="false">
      <c r="A46" s="39" t="n">
        <v>43078</v>
      </c>
      <c r="B46" s="40" t="s">
        <v>192</v>
      </c>
      <c r="C46" s="40" t="s">
        <v>193</v>
      </c>
      <c r="D46" s="40" t="s">
        <v>57</v>
      </c>
      <c r="E46" s="31" t="s">
        <v>194</v>
      </c>
      <c r="F46" s="31" t="s">
        <v>172</v>
      </c>
      <c r="G46" s="41" t="s">
        <v>204</v>
      </c>
      <c r="H46" s="31" t="s">
        <v>205</v>
      </c>
      <c r="I46" s="34" t="n">
        <v>0.143</v>
      </c>
      <c r="J46" s="37" t="n">
        <f aca="false">686.96+13295.65</f>
        <v>13982.61</v>
      </c>
      <c r="K46" s="36" t="n">
        <f aca="false">J46*I46</f>
        <v>1999.51323</v>
      </c>
      <c r="L46" s="37" t="n">
        <f aca="false">(700.17/2)+6796.46</f>
        <v>7146.545</v>
      </c>
      <c r="M46" s="37" t="n">
        <f aca="false">J46-K46-L46</f>
        <v>4836.55177</v>
      </c>
      <c r="N46" s="42"/>
      <c r="O46" s="26"/>
      <c r="P46" s="26"/>
      <c r="AMJ46" s="0"/>
    </row>
    <row r="47" s="27" customFormat="true" ht="33.35" hidden="false" customHeight="false" outlineLevel="0" collapsed="false">
      <c r="A47" s="39" t="n">
        <v>42641</v>
      </c>
      <c r="B47" s="40" t="s">
        <v>122</v>
      </c>
      <c r="C47" s="40" t="s">
        <v>206</v>
      </c>
      <c r="D47" s="40" t="s">
        <v>207</v>
      </c>
      <c r="E47" s="31" t="s">
        <v>208</v>
      </c>
      <c r="F47" s="31" t="s">
        <v>172</v>
      </c>
      <c r="G47" s="41" t="s">
        <v>204</v>
      </c>
      <c r="H47" s="31" t="s">
        <v>209</v>
      </c>
      <c r="I47" s="34" t="n">
        <v>0.143</v>
      </c>
      <c r="J47" s="37" t="n">
        <v>7391.3</v>
      </c>
      <c r="K47" s="36" t="n">
        <f aca="false">J47*I47</f>
        <v>1056.9559</v>
      </c>
      <c r="L47" s="36" t="n">
        <v>5043.49</v>
      </c>
      <c r="M47" s="37" t="n">
        <f aca="false">J47-K47-L47</f>
        <v>1290.8541</v>
      </c>
      <c r="N47" s="42"/>
      <c r="O47" s="26"/>
      <c r="P47" s="26"/>
      <c r="AMJ47" s="0"/>
    </row>
    <row r="48" s="27" customFormat="true" ht="33.35" hidden="false" customHeight="false" outlineLevel="0" collapsed="false">
      <c r="A48" s="39" t="n">
        <v>43040</v>
      </c>
      <c r="B48" s="40" t="s">
        <v>192</v>
      </c>
      <c r="C48" s="40" t="s">
        <v>210</v>
      </c>
      <c r="D48" s="40" t="s">
        <v>211</v>
      </c>
      <c r="E48" s="31" t="s">
        <v>212</v>
      </c>
      <c r="F48" s="31" t="s">
        <v>172</v>
      </c>
      <c r="G48" s="41" t="s">
        <v>213</v>
      </c>
      <c r="H48" s="31" t="s">
        <v>214</v>
      </c>
      <c r="I48" s="34" t="n">
        <v>0.143</v>
      </c>
      <c r="J48" s="37" t="n">
        <f aca="false">(10782.61/11)+12782.6</f>
        <v>13762.8372727273</v>
      </c>
      <c r="K48" s="36" t="n">
        <f aca="false">J48*I48</f>
        <v>1968.08573</v>
      </c>
      <c r="L48" s="36" t="n">
        <f aca="false">6724.29+(6914.52/11)</f>
        <v>7352.88272727273</v>
      </c>
      <c r="M48" s="37" t="n">
        <f aca="false">J48-K48-L48</f>
        <v>4441.86881545455</v>
      </c>
      <c r="N48" s="42"/>
      <c r="O48" s="26"/>
      <c r="P48" s="26"/>
      <c r="AMJ48" s="0"/>
    </row>
    <row r="49" s="27" customFormat="true" ht="49.15" hidden="false" customHeight="false" outlineLevel="0" collapsed="false">
      <c r="A49" s="39" t="n">
        <v>42752</v>
      </c>
      <c r="B49" s="40" t="s">
        <v>215</v>
      </c>
      <c r="C49" s="40" t="n">
        <v>9349</v>
      </c>
      <c r="D49" s="40" t="s">
        <v>28</v>
      </c>
      <c r="E49" s="31" t="s">
        <v>216</v>
      </c>
      <c r="F49" s="31" t="s">
        <v>217</v>
      </c>
      <c r="G49" s="41" t="s">
        <v>218</v>
      </c>
      <c r="H49" s="31" t="s">
        <v>219</v>
      </c>
      <c r="I49" s="34" t="n">
        <v>0.143</v>
      </c>
      <c r="J49" s="37" t="n">
        <f aca="false">12347.82+3826.09</f>
        <v>16173.91</v>
      </c>
      <c r="K49" s="37" t="n">
        <f aca="false">J49*I49</f>
        <v>2312.86913</v>
      </c>
      <c r="L49" s="37" t="n">
        <f aca="false">7889.24+2444.56</f>
        <v>10333.8</v>
      </c>
      <c r="M49" s="37" t="n">
        <f aca="false">J49-K49-L49</f>
        <v>3527.24087</v>
      </c>
      <c r="N49" s="42"/>
      <c r="O49" s="26"/>
      <c r="P49" s="26"/>
      <c r="AMJ49" s="0"/>
    </row>
    <row r="50" s="27" customFormat="true" ht="49.15" hidden="false" customHeight="false" outlineLevel="0" collapsed="false">
      <c r="A50" s="28" t="n">
        <v>43193</v>
      </c>
      <c r="B50" s="29" t="s">
        <v>220</v>
      </c>
      <c r="C50" s="60" t="s">
        <v>221</v>
      </c>
      <c r="D50" s="43" t="s">
        <v>57</v>
      </c>
      <c r="E50" s="33" t="s">
        <v>222</v>
      </c>
      <c r="F50" s="31" t="s">
        <v>217</v>
      </c>
      <c r="G50" s="41" t="s">
        <v>218</v>
      </c>
      <c r="H50" s="45" t="s">
        <v>223</v>
      </c>
      <c r="I50" s="34" t="n">
        <v>0.143</v>
      </c>
      <c r="J50" s="61" t="n">
        <v>5078.26</v>
      </c>
      <c r="K50" s="36" t="n">
        <f aca="false">J50*I50</f>
        <v>726.19118</v>
      </c>
      <c r="L50" s="36" t="n">
        <v>2367.36</v>
      </c>
      <c r="M50" s="37" t="n">
        <f aca="false">J50-K50-L50</f>
        <v>1984.70882</v>
      </c>
      <c r="N50" s="42"/>
      <c r="O50" s="26"/>
      <c r="P50" s="26"/>
      <c r="AMJ50" s="0"/>
    </row>
    <row r="51" s="27" customFormat="true" ht="49.15" hidden="false" customHeight="false" outlineLevel="0" collapsed="false">
      <c r="A51" s="39" t="n">
        <v>42291</v>
      </c>
      <c r="B51" s="40" t="s">
        <v>224</v>
      </c>
      <c r="C51" s="40" t="s">
        <v>225</v>
      </c>
      <c r="D51" s="40" t="s">
        <v>28</v>
      </c>
      <c r="E51" s="31" t="s">
        <v>226</v>
      </c>
      <c r="F51" s="31" t="s">
        <v>217</v>
      </c>
      <c r="G51" s="41" t="s">
        <v>227</v>
      </c>
      <c r="H51" s="31" t="s">
        <v>228</v>
      </c>
      <c r="I51" s="34" t="n">
        <v>0.143</v>
      </c>
      <c r="J51" s="37" t="n">
        <f aca="false">626.09+20434.79</f>
        <v>21060.88</v>
      </c>
      <c r="K51" s="36" t="n">
        <f aca="false">J51*I51</f>
        <v>3011.70584</v>
      </c>
      <c r="L51" s="36" t="n">
        <f aca="false">16742.65+(982.18/3)</f>
        <v>17070.0433333333</v>
      </c>
      <c r="M51" s="37" t="n">
        <f aca="false">J51-K51-L51</f>
        <v>979.130826666667</v>
      </c>
      <c r="N51" s="42"/>
      <c r="O51" s="26"/>
      <c r="P51" s="26"/>
      <c r="AMJ51" s="0"/>
    </row>
    <row r="52" s="27" customFormat="true" ht="49.15" hidden="false" customHeight="false" outlineLevel="0" collapsed="false">
      <c r="A52" s="39" t="n">
        <v>41181</v>
      </c>
      <c r="B52" s="40" t="s">
        <v>229</v>
      </c>
      <c r="C52" s="40" t="s">
        <v>230</v>
      </c>
      <c r="D52" s="40" t="s">
        <v>231</v>
      </c>
      <c r="E52" s="31" t="s">
        <v>232</v>
      </c>
      <c r="F52" s="31" t="s">
        <v>217</v>
      </c>
      <c r="G52" s="41" t="s">
        <v>233</v>
      </c>
      <c r="H52" s="31" t="s">
        <v>234</v>
      </c>
      <c r="I52" s="34" t="n">
        <v>0.143</v>
      </c>
      <c r="J52" s="37" t="n">
        <f aca="false">626.09+11478.26</f>
        <v>12104.35</v>
      </c>
      <c r="K52" s="36" t="n">
        <f aca="false">626.09*I52</f>
        <v>89.53087</v>
      </c>
      <c r="L52" s="36" t="n">
        <f aca="false">11468.26+(982.18/3)</f>
        <v>11795.6533333333</v>
      </c>
      <c r="M52" s="37" t="n">
        <f aca="false">J52-K52-L52</f>
        <v>219.165796666666</v>
      </c>
      <c r="N52" s="42"/>
      <c r="O52" s="26"/>
      <c r="P52" s="26"/>
      <c r="AMJ52" s="0"/>
    </row>
    <row r="53" s="27" customFormat="true" ht="49.15" hidden="false" customHeight="false" outlineLevel="0" collapsed="false">
      <c r="A53" s="39" t="n">
        <v>42360</v>
      </c>
      <c r="B53" s="40" t="s">
        <v>235</v>
      </c>
      <c r="C53" s="40" t="s">
        <v>236</v>
      </c>
      <c r="D53" s="40" t="s">
        <v>28</v>
      </c>
      <c r="E53" s="31" t="s">
        <v>237</v>
      </c>
      <c r="F53" s="31" t="s">
        <v>217</v>
      </c>
      <c r="G53" s="41" t="s">
        <v>238</v>
      </c>
      <c r="H53" s="31" t="s">
        <v>239</v>
      </c>
      <c r="I53" s="34" t="n">
        <v>0.143</v>
      </c>
      <c r="J53" s="37" t="n">
        <v>13913.04</v>
      </c>
      <c r="K53" s="37" t="n">
        <f aca="false">J53*I53</f>
        <v>1989.56472</v>
      </c>
      <c r="L53" s="37" t="n">
        <v>11023.57</v>
      </c>
      <c r="M53" s="37" t="n">
        <f aca="false">J53-K53-L53</f>
        <v>899.905280000001</v>
      </c>
      <c r="N53" s="42"/>
      <c r="O53" s="26"/>
      <c r="P53" s="26"/>
      <c r="AMJ53" s="0"/>
    </row>
    <row r="54" s="27" customFormat="true" ht="32.8" hidden="false" customHeight="true" outlineLevel="0" collapsed="false">
      <c r="A54" s="28" t="s">
        <v>240</v>
      </c>
      <c r="B54" s="29" t="s">
        <v>241</v>
      </c>
      <c r="C54" s="29" t="s">
        <v>242</v>
      </c>
      <c r="D54" s="29" t="s">
        <v>243</v>
      </c>
      <c r="E54" s="30" t="s">
        <v>244</v>
      </c>
      <c r="F54" s="62" t="s">
        <v>245</v>
      </c>
      <c r="G54" s="32" t="s">
        <v>246</v>
      </c>
      <c r="H54" s="33" t="s">
        <v>247</v>
      </c>
      <c r="I54" s="34" t="n">
        <v>0.143</v>
      </c>
      <c r="J54" s="35" t="n">
        <f aca="false">1130.43+14608.7</f>
        <v>15739.13</v>
      </c>
      <c r="K54" s="36" t="n">
        <f aca="false">J54*I54</f>
        <v>2250.69559</v>
      </c>
      <c r="L54" s="36" t="n">
        <f aca="false">2209.1+170.94</f>
        <v>2380.04</v>
      </c>
      <c r="M54" s="37" t="n">
        <f aca="false">J54-K54-L54</f>
        <v>11108.39441</v>
      </c>
      <c r="N54" s="38"/>
      <c r="O54" s="26"/>
      <c r="P54" s="26"/>
      <c r="AMJ54" s="0"/>
    </row>
    <row r="55" s="27" customFormat="true" ht="33.35" hidden="false" customHeight="false" outlineLevel="0" collapsed="false">
      <c r="A55" s="46" t="n">
        <v>44202</v>
      </c>
      <c r="B55" s="47" t="s">
        <v>248</v>
      </c>
      <c r="C55" s="47" t="s">
        <v>77</v>
      </c>
      <c r="D55" s="47" t="s">
        <v>78</v>
      </c>
      <c r="E55" s="48" t="s">
        <v>79</v>
      </c>
      <c r="F55" s="62" t="s">
        <v>245</v>
      </c>
      <c r="G55" s="32"/>
      <c r="H55" s="33"/>
      <c r="I55" s="34" t="n">
        <v>0.143</v>
      </c>
      <c r="J55" s="50" t="n">
        <v>4350</v>
      </c>
      <c r="K55" s="36" t="n">
        <f aca="false">J55*I55</f>
        <v>622.05</v>
      </c>
      <c r="L55" s="37" t="n">
        <v>309.82</v>
      </c>
      <c r="M55" s="37" t="n">
        <f aca="false">J55-K55-L55</f>
        <v>3418.13</v>
      </c>
      <c r="N55" s="38"/>
      <c r="O55" s="26"/>
      <c r="P55" s="26"/>
      <c r="AMJ55" s="0"/>
    </row>
    <row r="56" s="27" customFormat="true" ht="33.35" hidden="false" customHeight="false" outlineLevel="0" collapsed="false">
      <c r="A56" s="46" t="n">
        <v>44202</v>
      </c>
      <c r="B56" s="47" t="s">
        <v>249</v>
      </c>
      <c r="C56" s="47" t="s">
        <v>77</v>
      </c>
      <c r="D56" s="47" t="s">
        <v>78</v>
      </c>
      <c r="E56" s="48" t="s">
        <v>79</v>
      </c>
      <c r="F56" s="62" t="s">
        <v>245</v>
      </c>
      <c r="G56" s="32"/>
      <c r="H56" s="33"/>
      <c r="I56" s="34" t="n">
        <v>0.143</v>
      </c>
      <c r="J56" s="50" t="n">
        <v>5217.39</v>
      </c>
      <c r="K56" s="36" t="n">
        <f aca="false">J56*I56</f>
        <v>746.08677</v>
      </c>
      <c r="L56" s="37" t="n">
        <v>371.59</v>
      </c>
      <c r="M56" s="37" t="n">
        <f aca="false">J56-K56-L56</f>
        <v>4099.71323</v>
      </c>
      <c r="N56" s="38"/>
      <c r="O56" s="26"/>
      <c r="P56" s="26"/>
      <c r="AMJ56" s="0"/>
    </row>
    <row r="57" s="27" customFormat="true" ht="33.35" hidden="false" customHeight="false" outlineLevel="0" collapsed="false">
      <c r="A57" s="39" t="n">
        <v>42457</v>
      </c>
      <c r="B57" s="40" t="s">
        <v>119</v>
      </c>
      <c r="C57" s="40" t="s">
        <v>158</v>
      </c>
      <c r="D57" s="40" t="s">
        <v>28</v>
      </c>
      <c r="E57" s="31" t="s">
        <v>250</v>
      </c>
      <c r="F57" s="31" t="s">
        <v>251</v>
      </c>
      <c r="G57" s="41" t="s">
        <v>252</v>
      </c>
      <c r="H57" s="31" t="s">
        <v>253</v>
      </c>
      <c r="I57" s="34" t="n">
        <v>0.143</v>
      </c>
      <c r="J57" s="37" t="n">
        <f aca="false">(10782.61/11)+11678.26</f>
        <v>12658.4972727273</v>
      </c>
      <c r="K57" s="36" t="n">
        <f aca="false">J57*I57</f>
        <v>1810.16511</v>
      </c>
      <c r="L57" s="36" t="n">
        <f aca="false">8809.61+(6914.52/11)</f>
        <v>9438.20272727273</v>
      </c>
      <c r="M57" s="37" t="n">
        <f aca="false">J57-K57-L57</f>
        <v>1410.12943545454</v>
      </c>
      <c r="N57" s="42"/>
      <c r="O57" s="26"/>
      <c r="P57" s="26"/>
      <c r="AMJ57" s="0"/>
    </row>
    <row r="58" s="27" customFormat="true" ht="33.35" hidden="false" customHeight="false" outlineLevel="0" collapsed="false">
      <c r="A58" s="39" t="n">
        <v>42878</v>
      </c>
      <c r="B58" s="40" t="s">
        <v>65</v>
      </c>
      <c r="C58" s="40" t="s">
        <v>66</v>
      </c>
      <c r="D58" s="40" t="s">
        <v>67</v>
      </c>
      <c r="E58" s="31" t="s">
        <v>68</v>
      </c>
      <c r="F58" s="31" t="s">
        <v>251</v>
      </c>
      <c r="G58" s="41" t="s">
        <v>254</v>
      </c>
      <c r="H58" s="31" t="s">
        <v>255</v>
      </c>
      <c r="I58" s="34" t="n">
        <v>0.143</v>
      </c>
      <c r="J58" s="37" t="n">
        <v>23478.26</v>
      </c>
      <c r="K58" s="36" t="n">
        <f aca="false">J58*I58</f>
        <v>3357.39118</v>
      </c>
      <c r="L58" s="36" t="n">
        <v>13843.01</v>
      </c>
      <c r="M58" s="37" t="n">
        <f aca="false">J58-K58-L58</f>
        <v>6277.85882</v>
      </c>
      <c r="N58" s="42"/>
      <c r="O58" s="26"/>
      <c r="P58" s="26"/>
      <c r="AMJ58" s="0"/>
    </row>
    <row r="59" s="27" customFormat="true" ht="49.15" hidden="false" customHeight="false" outlineLevel="0" collapsed="false">
      <c r="A59" s="39" t="n">
        <v>42746</v>
      </c>
      <c r="B59" s="40" t="s">
        <v>145</v>
      </c>
      <c r="C59" s="40" t="n">
        <v>9333</v>
      </c>
      <c r="D59" s="40" t="s">
        <v>28</v>
      </c>
      <c r="E59" s="31" t="s">
        <v>86</v>
      </c>
      <c r="F59" s="31" t="s">
        <v>251</v>
      </c>
      <c r="G59" s="41" t="s">
        <v>256</v>
      </c>
      <c r="H59" s="31" t="s">
        <v>257</v>
      </c>
      <c r="I59" s="34" t="n">
        <v>0.143</v>
      </c>
      <c r="J59" s="37" t="n">
        <f aca="false">3052.17+12347.82+591.31</f>
        <v>15991.3</v>
      </c>
      <c r="K59" s="36" t="n">
        <f aca="false">J59*I59</f>
        <v>2286.7559</v>
      </c>
      <c r="L59" s="36" t="n">
        <f aca="false">7918.22+(1295.14/4)+(13073.7/7)</f>
        <v>10109.6764285714</v>
      </c>
      <c r="M59" s="37" t="n">
        <f aca="false">J59-K59-L59</f>
        <v>3594.86767142857</v>
      </c>
      <c r="N59" s="42"/>
      <c r="O59" s="26"/>
      <c r="P59" s="26"/>
      <c r="AMJ59" s="0"/>
    </row>
    <row r="60" s="27" customFormat="true" ht="32.8" hidden="false" customHeight="true" outlineLevel="0" collapsed="false">
      <c r="A60" s="39" t="n">
        <v>42681</v>
      </c>
      <c r="B60" s="40" t="s">
        <v>119</v>
      </c>
      <c r="C60" s="40" t="s">
        <v>100</v>
      </c>
      <c r="D60" s="40" t="s">
        <v>28</v>
      </c>
      <c r="E60" s="31" t="s">
        <v>101</v>
      </c>
      <c r="F60" s="31" t="s">
        <v>251</v>
      </c>
      <c r="G60" s="41" t="s">
        <v>258</v>
      </c>
      <c r="H60" s="31" t="s">
        <v>259</v>
      </c>
      <c r="I60" s="34" t="n">
        <v>0.143</v>
      </c>
      <c r="J60" s="37" t="n">
        <v>12565.22</v>
      </c>
      <c r="K60" s="36" t="n">
        <f aca="false">J60*I60</f>
        <v>1796.82646</v>
      </c>
      <c r="L60" s="36" t="n">
        <v>8377.26</v>
      </c>
      <c r="M60" s="37" t="n">
        <f aca="false">J60-K60-L60</f>
        <v>2391.13354</v>
      </c>
      <c r="N60" s="42"/>
      <c r="O60" s="26"/>
      <c r="P60" s="26"/>
      <c r="AMJ60" s="0"/>
    </row>
    <row r="61" s="27" customFormat="true" ht="33.35" hidden="false" customHeight="false" outlineLevel="0" collapsed="false">
      <c r="A61" s="46" t="n">
        <v>44202</v>
      </c>
      <c r="B61" s="47" t="s">
        <v>260</v>
      </c>
      <c r="C61" s="47" t="s">
        <v>77</v>
      </c>
      <c r="D61" s="47" t="s">
        <v>78</v>
      </c>
      <c r="E61" s="48" t="s">
        <v>79</v>
      </c>
      <c r="F61" s="31" t="s">
        <v>251</v>
      </c>
      <c r="G61" s="41" t="s">
        <v>258</v>
      </c>
      <c r="H61" s="31"/>
      <c r="I61" s="34" t="n">
        <v>0.143</v>
      </c>
      <c r="J61" s="50" t="n">
        <v>2600</v>
      </c>
      <c r="K61" s="36" t="n">
        <f aca="false">J61*I61</f>
        <v>371.8</v>
      </c>
      <c r="L61" s="37" t="n">
        <v>185.18</v>
      </c>
      <c r="M61" s="37" t="n">
        <f aca="false">J61-K61-L61</f>
        <v>2043.02</v>
      </c>
      <c r="N61" s="42"/>
      <c r="O61" s="26"/>
      <c r="P61" s="26"/>
      <c r="AMJ61" s="0"/>
    </row>
    <row r="62" s="27" customFormat="true" ht="33.35" hidden="false" customHeight="false" outlineLevel="0" collapsed="false">
      <c r="A62" s="39" t="n">
        <v>42964</v>
      </c>
      <c r="B62" s="40" t="s">
        <v>122</v>
      </c>
      <c r="C62" s="40" t="s">
        <v>261</v>
      </c>
      <c r="D62" s="40" t="s">
        <v>262</v>
      </c>
      <c r="E62" s="31" t="s">
        <v>263</v>
      </c>
      <c r="F62" s="31" t="s">
        <v>251</v>
      </c>
      <c r="G62" s="41" t="s">
        <v>258</v>
      </c>
      <c r="H62" s="31" t="s">
        <v>264</v>
      </c>
      <c r="I62" s="34" t="n">
        <v>0.143</v>
      </c>
      <c r="J62" s="37" t="n">
        <v>6939.13</v>
      </c>
      <c r="K62" s="36" t="n">
        <f aca="false">J62*I62</f>
        <v>992.29559</v>
      </c>
      <c r="L62" s="36" t="n">
        <v>3856.71</v>
      </c>
      <c r="M62" s="37" t="n">
        <f aca="false">J62-K62-L62</f>
        <v>2090.12441</v>
      </c>
      <c r="N62" s="42"/>
      <c r="O62" s="26"/>
      <c r="P62" s="26"/>
      <c r="AMJ62" s="0"/>
    </row>
    <row r="63" s="27" customFormat="true" ht="33.35" hidden="false" customHeight="false" outlineLevel="0" collapsed="false">
      <c r="A63" s="39" t="n">
        <v>42952</v>
      </c>
      <c r="B63" s="40" t="s">
        <v>265</v>
      </c>
      <c r="C63" s="40" t="n">
        <v>9418</v>
      </c>
      <c r="D63" s="40" t="s">
        <v>28</v>
      </c>
      <c r="E63" s="31" t="s">
        <v>266</v>
      </c>
      <c r="F63" s="31" t="s">
        <v>251</v>
      </c>
      <c r="G63" s="41" t="s">
        <v>258</v>
      </c>
      <c r="H63" s="31" t="s">
        <v>267</v>
      </c>
      <c r="I63" s="34" t="n">
        <v>0.143</v>
      </c>
      <c r="J63" s="37" t="n">
        <v>8260.87</v>
      </c>
      <c r="K63" s="36" t="n">
        <f aca="false">J63*I63</f>
        <v>1181.30441</v>
      </c>
      <c r="L63" s="36" t="n">
        <v>4630.11</v>
      </c>
      <c r="M63" s="37" t="n">
        <f aca="false">J63-K63-L63</f>
        <v>2449.45559</v>
      </c>
      <c r="N63" s="42"/>
      <c r="O63" s="26"/>
      <c r="P63" s="26"/>
      <c r="AMJ63" s="0"/>
    </row>
    <row r="64" s="27" customFormat="true" ht="33.35" hidden="false" customHeight="false" outlineLevel="0" collapsed="false">
      <c r="A64" s="39" t="n">
        <v>42149</v>
      </c>
      <c r="B64" s="40" t="s">
        <v>268</v>
      </c>
      <c r="C64" s="40" t="s">
        <v>269</v>
      </c>
      <c r="D64" s="40" t="s">
        <v>28</v>
      </c>
      <c r="E64" s="31" t="s">
        <v>270</v>
      </c>
      <c r="F64" s="31" t="s">
        <v>251</v>
      </c>
      <c r="G64" s="41" t="s">
        <v>271</v>
      </c>
      <c r="H64" s="31" t="s">
        <v>272</v>
      </c>
      <c r="I64" s="34" t="n">
        <v>0.143</v>
      </c>
      <c r="J64" s="37" t="n">
        <f aca="false">(10782.61/11)+19347.83</f>
        <v>20328.0672727273</v>
      </c>
      <c r="K64" s="36" t="n">
        <f aca="false">2410.61+(980.24*I64)</f>
        <v>2550.78432</v>
      </c>
      <c r="L64" s="36" t="n">
        <f aca="false">16927.22+(6914.52/11)</f>
        <v>17555.8127272727</v>
      </c>
      <c r="M64" s="37" t="n">
        <f aca="false">J64-K64-L64</f>
        <v>221.470225454548</v>
      </c>
      <c r="N64" s="42"/>
      <c r="O64" s="26"/>
      <c r="P64" s="26"/>
      <c r="AMJ64" s="0"/>
    </row>
    <row r="65" s="27" customFormat="true" ht="33.35" hidden="false" customHeight="false" outlineLevel="0" collapsed="false">
      <c r="A65" s="63" t="n">
        <v>40443</v>
      </c>
      <c r="B65" s="40" t="s">
        <v>273</v>
      </c>
      <c r="C65" s="40" t="s">
        <v>274</v>
      </c>
      <c r="D65" s="40" t="s">
        <v>275</v>
      </c>
      <c r="E65" s="31" t="s">
        <v>276</v>
      </c>
      <c r="F65" s="31" t="s">
        <v>251</v>
      </c>
      <c r="G65" s="41" t="s">
        <v>271</v>
      </c>
      <c r="H65" s="31" t="s">
        <v>277</v>
      </c>
      <c r="I65" s="34" t="n">
        <v>0.143</v>
      </c>
      <c r="J65" s="37" t="n">
        <v>2382.61</v>
      </c>
      <c r="K65" s="36" t="n">
        <v>0</v>
      </c>
      <c r="L65" s="36" t="n">
        <v>2372.61</v>
      </c>
      <c r="M65" s="37" t="n">
        <f aca="false">J65-K65-L65</f>
        <v>10</v>
      </c>
      <c r="N65" s="42"/>
      <c r="O65" s="26"/>
      <c r="P65" s="26"/>
      <c r="AMJ65" s="0"/>
    </row>
    <row r="66" s="27" customFormat="true" ht="33.35" hidden="false" customHeight="false" outlineLevel="0" collapsed="false">
      <c r="A66" s="39" t="n">
        <v>42632</v>
      </c>
      <c r="B66" s="40" t="s">
        <v>119</v>
      </c>
      <c r="C66" s="40" t="s">
        <v>278</v>
      </c>
      <c r="D66" s="40" t="s">
        <v>279</v>
      </c>
      <c r="E66" s="31" t="s">
        <v>280</v>
      </c>
      <c r="F66" s="31" t="s">
        <v>281</v>
      </c>
      <c r="G66" s="41" t="s">
        <v>282</v>
      </c>
      <c r="H66" s="31" t="s">
        <v>283</v>
      </c>
      <c r="I66" s="34" t="n">
        <v>0.143</v>
      </c>
      <c r="J66" s="37" t="n">
        <f aca="false">626.09+14260.87</f>
        <v>14886.96</v>
      </c>
      <c r="K66" s="36" t="n">
        <f aca="false">J66*I66</f>
        <v>2128.83528</v>
      </c>
      <c r="L66" s="36" t="n">
        <f aca="false">9407.3+(982.18/3)</f>
        <v>9734.69333333333</v>
      </c>
      <c r="M66" s="37" t="n">
        <f aca="false">J66-K66-L66</f>
        <v>3023.43138666667</v>
      </c>
      <c r="N66" s="42"/>
      <c r="O66" s="26"/>
      <c r="P66" s="26"/>
      <c r="AMJ66" s="0"/>
    </row>
    <row r="67" s="27" customFormat="true" ht="33.35" hidden="false" customHeight="false" outlineLevel="0" collapsed="false">
      <c r="A67" s="39" t="n">
        <v>41367</v>
      </c>
      <c r="B67" s="40" t="s">
        <v>284</v>
      </c>
      <c r="C67" s="40" t="s">
        <v>285</v>
      </c>
      <c r="D67" s="40" t="s">
        <v>211</v>
      </c>
      <c r="E67" s="31" t="s">
        <v>286</v>
      </c>
      <c r="F67" s="31" t="s">
        <v>251</v>
      </c>
      <c r="G67" s="41" t="s">
        <v>287</v>
      </c>
      <c r="H67" s="31" t="s">
        <v>288</v>
      </c>
      <c r="I67" s="34" t="n">
        <v>0.143</v>
      </c>
      <c r="J67" s="37" t="n">
        <v>4913.05</v>
      </c>
      <c r="K67" s="36" t="n">
        <v>0</v>
      </c>
      <c r="L67" s="36" t="n">
        <v>4903.05</v>
      </c>
      <c r="M67" s="37" t="n">
        <f aca="false">J67-K67-L67</f>
        <v>10</v>
      </c>
      <c r="N67" s="42"/>
      <c r="O67" s="26"/>
      <c r="P67" s="26"/>
      <c r="AMJ67" s="0"/>
    </row>
    <row r="68" s="27" customFormat="true" ht="33.35" hidden="false" customHeight="false" outlineLevel="0" collapsed="false">
      <c r="A68" s="39" t="n">
        <v>42632</v>
      </c>
      <c r="B68" s="40" t="s">
        <v>94</v>
      </c>
      <c r="C68" s="40" t="s">
        <v>176</v>
      </c>
      <c r="D68" s="40" t="s">
        <v>67</v>
      </c>
      <c r="E68" s="31" t="s">
        <v>289</v>
      </c>
      <c r="F68" s="31" t="s">
        <v>290</v>
      </c>
      <c r="G68" s="41" t="s">
        <v>291</v>
      </c>
      <c r="H68" s="31" t="s">
        <v>292</v>
      </c>
      <c r="I68" s="34" t="n">
        <v>0.143</v>
      </c>
      <c r="J68" s="37" t="n">
        <v>12000</v>
      </c>
      <c r="K68" s="36" t="n">
        <f aca="false">J68*I68</f>
        <v>1716</v>
      </c>
      <c r="L68" s="36" t="n">
        <v>8230.53</v>
      </c>
      <c r="M68" s="37" t="n">
        <f aca="false">J68-K68-L68</f>
        <v>2053.47</v>
      </c>
      <c r="N68" s="42"/>
      <c r="O68" s="26"/>
      <c r="P68" s="26"/>
      <c r="AMJ68" s="0"/>
    </row>
    <row r="69" s="27" customFormat="true" ht="33.35" hidden="false" customHeight="false" outlineLevel="0" collapsed="false">
      <c r="A69" s="39" t="n">
        <v>42800</v>
      </c>
      <c r="B69" s="40" t="s">
        <v>94</v>
      </c>
      <c r="C69" s="40" t="s">
        <v>293</v>
      </c>
      <c r="D69" s="40" t="s">
        <v>67</v>
      </c>
      <c r="E69" s="31" t="s">
        <v>294</v>
      </c>
      <c r="F69" s="31" t="s">
        <v>290</v>
      </c>
      <c r="G69" s="41" t="s">
        <v>295</v>
      </c>
      <c r="H69" s="31" t="s">
        <v>296</v>
      </c>
      <c r="I69" s="34" t="n">
        <v>0.143</v>
      </c>
      <c r="J69" s="37" t="n">
        <v>11130.43</v>
      </c>
      <c r="K69" s="36" t="n">
        <f aca="false">J69*I69</f>
        <v>1591.65149</v>
      </c>
      <c r="L69" s="36" t="n">
        <v>6902.35</v>
      </c>
      <c r="M69" s="37" t="n">
        <f aca="false">J69-K69-L69</f>
        <v>2636.42851</v>
      </c>
      <c r="N69" s="42"/>
      <c r="O69" s="26"/>
      <c r="P69" s="26"/>
      <c r="AMJ69" s="0"/>
    </row>
    <row r="70" s="27" customFormat="true" ht="33.35" hidden="false" customHeight="false" outlineLevel="0" collapsed="false">
      <c r="A70" s="39" t="n">
        <v>42457</v>
      </c>
      <c r="B70" s="40" t="s">
        <v>297</v>
      </c>
      <c r="C70" s="40" t="s">
        <v>158</v>
      </c>
      <c r="D70" s="40" t="s">
        <v>28</v>
      </c>
      <c r="E70" s="31" t="s">
        <v>250</v>
      </c>
      <c r="F70" s="31" t="s">
        <v>298</v>
      </c>
      <c r="G70" s="41" t="s">
        <v>299</v>
      </c>
      <c r="H70" s="31" t="s">
        <v>300</v>
      </c>
      <c r="I70" s="34" t="n">
        <v>0.143</v>
      </c>
      <c r="J70" s="37" t="n">
        <f aca="false">(10782.61/11)+11678.26</f>
        <v>12658.4972727273</v>
      </c>
      <c r="K70" s="36" t="n">
        <f aca="false">J70*I70</f>
        <v>1810.16511</v>
      </c>
      <c r="L70" s="36" t="n">
        <f aca="false">8809.61+(6914.52/11)</f>
        <v>9438.20272727273</v>
      </c>
      <c r="M70" s="37" t="n">
        <f aca="false">J70-K70-L70</f>
        <v>1410.12943545454</v>
      </c>
      <c r="N70" s="42"/>
      <c r="O70" s="26"/>
      <c r="P70" s="26"/>
      <c r="AMJ70" s="0"/>
    </row>
    <row r="71" s="27" customFormat="true" ht="33.35" hidden="false" customHeight="false" outlineLevel="0" collapsed="false">
      <c r="A71" s="46" t="n">
        <v>44270</v>
      </c>
      <c r="B71" s="47" t="s">
        <v>71</v>
      </c>
      <c r="C71" s="47" t="s">
        <v>48</v>
      </c>
      <c r="D71" s="47" t="s">
        <v>49</v>
      </c>
      <c r="E71" s="45" t="s">
        <v>50</v>
      </c>
      <c r="F71" s="31" t="s">
        <v>298</v>
      </c>
      <c r="G71" s="64" t="s">
        <v>301</v>
      </c>
      <c r="H71" s="48" t="s">
        <v>302</v>
      </c>
      <c r="I71" s="34" t="n">
        <v>0.143</v>
      </c>
      <c r="J71" s="50" t="n">
        <v>36608.69</v>
      </c>
      <c r="K71" s="36" t="n">
        <f aca="false">J71*I71</f>
        <v>5235.04267</v>
      </c>
      <c r="L71" s="37" t="n">
        <v>1633.18</v>
      </c>
      <c r="M71" s="37" t="n">
        <f aca="false">J71-K71-L71</f>
        <v>29740.46733</v>
      </c>
      <c r="N71" s="65"/>
      <c r="O71" s="26"/>
      <c r="P71" s="26"/>
      <c r="AMJ71" s="0"/>
    </row>
    <row r="72" s="27" customFormat="true" ht="33.35" hidden="false" customHeight="false" outlineLevel="0" collapsed="false">
      <c r="A72" s="44" t="n">
        <v>44130</v>
      </c>
      <c r="B72" s="29" t="s">
        <v>114</v>
      </c>
      <c r="C72" s="29" t="s">
        <v>43</v>
      </c>
      <c r="D72" s="29" t="s">
        <v>115</v>
      </c>
      <c r="E72" s="45" t="s">
        <v>116</v>
      </c>
      <c r="F72" s="31" t="s">
        <v>303</v>
      </c>
      <c r="G72" s="41" t="s">
        <v>304</v>
      </c>
      <c r="H72" s="45" t="s">
        <v>305</v>
      </c>
      <c r="I72" s="34" t="n">
        <v>0.143</v>
      </c>
      <c r="J72" s="35" t="n">
        <v>43391.3</v>
      </c>
      <c r="K72" s="36" t="n">
        <f aca="false">J72*I72</f>
        <v>6204.9559</v>
      </c>
      <c r="L72" s="37" t="n">
        <f aca="false">17252.03/4</f>
        <v>4313.0075</v>
      </c>
      <c r="M72" s="37" t="n">
        <f aca="false">J72-K72-L72</f>
        <v>32873.3366</v>
      </c>
      <c r="N72" s="42"/>
      <c r="O72" s="26"/>
      <c r="P72" s="26"/>
      <c r="AMJ72" s="0"/>
    </row>
    <row r="73" s="27" customFormat="true" ht="33.35" hidden="false" customHeight="false" outlineLevel="0" collapsed="false">
      <c r="A73" s="39" t="n">
        <v>42964</v>
      </c>
      <c r="B73" s="40" t="s">
        <v>268</v>
      </c>
      <c r="C73" s="40" t="s">
        <v>306</v>
      </c>
      <c r="D73" s="40" t="s">
        <v>57</v>
      </c>
      <c r="E73" s="31" t="s">
        <v>263</v>
      </c>
      <c r="F73" s="31" t="s">
        <v>303</v>
      </c>
      <c r="G73" s="41" t="s">
        <v>304</v>
      </c>
      <c r="H73" s="31" t="s">
        <v>307</v>
      </c>
      <c r="I73" s="34" t="n">
        <v>0.143</v>
      </c>
      <c r="J73" s="37" t="n">
        <f aca="false">(10782.61/11)+15086.95</f>
        <v>16067.1872727273</v>
      </c>
      <c r="K73" s="36" t="n">
        <f aca="false">J73*I73</f>
        <v>2297.60778</v>
      </c>
      <c r="L73" s="36" t="n">
        <f aca="false">8385.19+(6914.52/11)</f>
        <v>9013.78272727273</v>
      </c>
      <c r="M73" s="37" t="n">
        <f aca="false">J73-K73-L73</f>
        <v>4755.79676545454</v>
      </c>
      <c r="N73" s="42"/>
      <c r="O73" s="26"/>
      <c r="P73" s="26"/>
      <c r="AMJ73" s="0"/>
    </row>
    <row r="74" s="27" customFormat="true" ht="33.35" hidden="false" customHeight="false" outlineLevel="0" collapsed="false">
      <c r="A74" s="46" t="n">
        <v>44272</v>
      </c>
      <c r="B74" s="47" t="s">
        <v>308</v>
      </c>
      <c r="C74" s="47" t="s">
        <v>309</v>
      </c>
      <c r="D74" s="47" t="s">
        <v>78</v>
      </c>
      <c r="E74" s="45" t="s">
        <v>310</v>
      </c>
      <c r="F74" s="31" t="s">
        <v>303</v>
      </c>
      <c r="G74" s="41" t="s">
        <v>304</v>
      </c>
      <c r="H74" s="45" t="s">
        <v>311</v>
      </c>
      <c r="I74" s="34" t="n">
        <v>0.143</v>
      </c>
      <c r="J74" s="50" t="n">
        <v>13739.11</v>
      </c>
      <c r="K74" s="36" t="n">
        <f aca="false">J74*I74</f>
        <v>1964.69273</v>
      </c>
      <c r="L74" s="37" t="n">
        <v>602.17</v>
      </c>
      <c r="M74" s="37" t="n">
        <f aca="false">J74-K74-L74</f>
        <v>11172.24727</v>
      </c>
      <c r="N74" s="42"/>
      <c r="O74" s="26"/>
      <c r="P74" s="26"/>
      <c r="AMJ74" s="0"/>
    </row>
    <row r="75" s="27" customFormat="true" ht="33.35" hidden="false" customHeight="false" outlineLevel="0" collapsed="false">
      <c r="A75" s="46" t="n">
        <v>44270</v>
      </c>
      <c r="B75" s="47" t="s">
        <v>71</v>
      </c>
      <c r="C75" s="47" t="s">
        <v>48</v>
      </c>
      <c r="D75" s="47" t="s">
        <v>49</v>
      </c>
      <c r="E75" s="48" t="s">
        <v>50</v>
      </c>
      <c r="F75" s="66" t="s">
        <v>312</v>
      </c>
      <c r="G75" s="49" t="s">
        <v>313</v>
      </c>
      <c r="H75" s="48" t="s">
        <v>314</v>
      </c>
      <c r="I75" s="34" t="n">
        <v>0.143</v>
      </c>
      <c r="J75" s="50" t="n">
        <v>36608.69</v>
      </c>
      <c r="K75" s="36" t="n">
        <f aca="false">J75*I75</f>
        <v>5235.04267</v>
      </c>
      <c r="L75" s="37" t="n">
        <v>1633.18</v>
      </c>
      <c r="M75" s="37" t="n">
        <f aca="false">J75-K75-L75</f>
        <v>29740.46733</v>
      </c>
      <c r="N75" s="51"/>
      <c r="O75" s="26"/>
      <c r="P75" s="26"/>
      <c r="AMJ75" s="0"/>
    </row>
    <row r="76" s="27" customFormat="true" ht="33.35" hidden="false" customHeight="false" outlineLevel="0" collapsed="false">
      <c r="A76" s="46" t="n">
        <v>44130</v>
      </c>
      <c r="B76" s="47" t="s">
        <v>114</v>
      </c>
      <c r="C76" s="47" t="s">
        <v>43</v>
      </c>
      <c r="D76" s="47" t="s">
        <v>115</v>
      </c>
      <c r="E76" s="48" t="s">
        <v>116</v>
      </c>
      <c r="F76" s="66" t="s">
        <v>312</v>
      </c>
      <c r="G76" s="49" t="s">
        <v>315</v>
      </c>
      <c r="H76" s="48" t="s">
        <v>316</v>
      </c>
      <c r="I76" s="34" t="n">
        <v>0.143</v>
      </c>
      <c r="J76" s="50" t="n">
        <v>43391.3</v>
      </c>
      <c r="K76" s="36" t="n">
        <f aca="false">J76*I76</f>
        <v>6204.9559</v>
      </c>
      <c r="L76" s="37" t="n">
        <f aca="false">17252.03/4</f>
        <v>4313.0075</v>
      </c>
      <c r="M76" s="37" t="n">
        <f aca="false">J76-K76-L76</f>
        <v>32873.3366</v>
      </c>
      <c r="N76" s="51"/>
      <c r="O76" s="26"/>
      <c r="P76" s="26"/>
      <c r="AMJ76" s="0"/>
    </row>
    <row r="77" s="27" customFormat="true" ht="33.35" hidden="false" customHeight="false" outlineLevel="0" collapsed="false">
      <c r="A77" s="44" t="n">
        <v>44130</v>
      </c>
      <c r="B77" s="29" t="s">
        <v>114</v>
      </c>
      <c r="C77" s="29" t="s">
        <v>43</v>
      </c>
      <c r="D77" s="29" t="s">
        <v>115</v>
      </c>
      <c r="E77" s="45" t="s">
        <v>116</v>
      </c>
      <c r="F77" s="31" t="s">
        <v>312</v>
      </c>
      <c r="G77" s="41" t="s">
        <v>317</v>
      </c>
      <c r="H77" s="45" t="s">
        <v>318</v>
      </c>
      <c r="I77" s="34" t="n">
        <v>0.143</v>
      </c>
      <c r="J77" s="35" t="n">
        <v>43391.3</v>
      </c>
      <c r="K77" s="36" t="n">
        <f aca="false">J77*I77</f>
        <v>6204.9559</v>
      </c>
      <c r="L77" s="37" t="n">
        <f aca="false">17252.03/4</f>
        <v>4313.0075</v>
      </c>
      <c r="M77" s="37" t="n">
        <f aca="false">J77-K77-L77</f>
        <v>32873.3366</v>
      </c>
      <c r="N77" s="42"/>
      <c r="O77" s="26"/>
      <c r="P77" s="26"/>
      <c r="AMJ77" s="0"/>
    </row>
    <row r="78" s="27" customFormat="true" ht="33.35" hidden="false" customHeight="false" outlineLevel="0" collapsed="false">
      <c r="A78" s="44" t="n">
        <v>44270</v>
      </c>
      <c r="B78" s="29" t="s">
        <v>71</v>
      </c>
      <c r="C78" s="29" t="s">
        <v>48</v>
      </c>
      <c r="D78" s="29" t="s">
        <v>49</v>
      </c>
      <c r="E78" s="45" t="s">
        <v>50</v>
      </c>
      <c r="F78" s="31" t="s">
        <v>319</v>
      </c>
      <c r="G78" s="41" t="s">
        <v>320</v>
      </c>
      <c r="H78" s="45" t="s">
        <v>321</v>
      </c>
      <c r="I78" s="34" t="n">
        <v>0.143</v>
      </c>
      <c r="J78" s="35" t="n">
        <v>36608.69</v>
      </c>
      <c r="K78" s="36" t="n">
        <f aca="false">J78*I78</f>
        <v>5235.04267</v>
      </c>
      <c r="L78" s="37" t="n">
        <v>1633.18</v>
      </c>
      <c r="M78" s="37" t="n">
        <f aca="false">J78-K78-L78</f>
        <v>29740.46733</v>
      </c>
      <c r="N78" s="42"/>
      <c r="O78" s="26"/>
      <c r="P78" s="26"/>
      <c r="AMJ78" s="0"/>
    </row>
    <row r="79" s="27" customFormat="true" ht="24" hidden="false" customHeight="true" outlineLevel="0" collapsed="false">
      <c r="A79" s="28" t="n">
        <v>43165</v>
      </c>
      <c r="B79" s="29" t="s">
        <v>322</v>
      </c>
      <c r="C79" s="29" t="s">
        <v>323</v>
      </c>
      <c r="D79" s="40" t="s">
        <v>57</v>
      </c>
      <c r="E79" s="33" t="s">
        <v>324</v>
      </c>
      <c r="F79" s="66" t="s">
        <v>325</v>
      </c>
      <c r="G79" s="41" t="s">
        <v>320</v>
      </c>
      <c r="H79" s="31" t="s">
        <v>326</v>
      </c>
      <c r="I79" s="34" t="n">
        <v>0.143</v>
      </c>
      <c r="J79" s="35" t="n">
        <f aca="false">38739.12/3</f>
        <v>12913.04</v>
      </c>
      <c r="K79" s="36" t="n">
        <f aca="false">J79*I79</f>
        <v>1846.56472</v>
      </c>
      <c r="L79" s="36" t="n">
        <f aca="false">18483.74/3</f>
        <v>6161.24666666667</v>
      </c>
      <c r="M79" s="37" t="n">
        <f aca="false">J79-K79-L79</f>
        <v>4905.22861333333</v>
      </c>
      <c r="N79" s="42"/>
      <c r="O79" s="26"/>
      <c r="P79" s="26"/>
      <c r="AMJ79" s="0"/>
    </row>
    <row r="80" s="27" customFormat="true" ht="27.75" hidden="false" customHeight="true" outlineLevel="0" collapsed="false">
      <c r="A80" s="28" t="n">
        <v>43165</v>
      </c>
      <c r="B80" s="29" t="s">
        <v>322</v>
      </c>
      <c r="C80" s="29" t="s">
        <v>323</v>
      </c>
      <c r="D80" s="40" t="s">
        <v>57</v>
      </c>
      <c r="E80" s="33" t="s">
        <v>324</v>
      </c>
      <c r="F80" s="31" t="s">
        <v>325</v>
      </c>
      <c r="G80" s="41" t="str">
        <f aca="false">G78</f>
        <v>Abebe Fulas</v>
      </c>
      <c r="H80" s="31" t="s">
        <v>327</v>
      </c>
      <c r="I80" s="34" t="n">
        <v>0.143</v>
      </c>
      <c r="J80" s="35" t="n">
        <f aca="false">38739.12/3</f>
        <v>12913.04</v>
      </c>
      <c r="K80" s="37" t="n">
        <f aca="false">J80*I80</f>
        <v>1846.56472</v>
      </c>
      <c r="L80" s="36" t="n">
        <f aca="false">18483.74/3</f>
        <v>6161.24666666667</v>
      </c>
      <c r="M80" s="37" t="n">
        <f aca="false">J80-K80-L80</f>
        <v>4905.22861333333</v>
      </c>
      <c r="N80" s="42"/>
      <c r="O80" s="26"/>
      <c r="P80" s="26"/>
      <c r="AMJ80" s="0"/>
    </row>
    <row r="81" s="27" customFormat="true" ht="33.35" hidden="false" customHeight="false" outlineLevel="0" collapsed="false">
      <c r="A81" s="44" t="n">
        <v>43040</v>
      </c>
      <c r="B81" s="29" t="s">
        <v>328</v>
      </c>
      <c r="C81" s="29" t="s">
        <v>193</v>
      </c>
      <c r="D81" s="29" t="s">
        <v>57</v>
      </c>
      <c r="E81" s="45" t="s">
        <v>194</v>
      </c>
      <c r="F81" s="31" t="s">
        <v>319</v>
      </c>
      <c r="G81" s="41" t="s">
        <v>329</v>
      </c>
      <c r="H81" s="45" t="s">
        <v>330</v>
      </c>
      <c r="I81" s="34" t="n">
        <v>0.143</v>
      </c>
      <c r="J81" s="35" t="n">
        <f aca="false">12782.6+1000+521.74</f>
        <v>14304.34</v>
      </c>
      <c r="K81" s="37" t="n">
        <f aca="false">J81*I81</f>
        <v>2045.52062</v>
      </c>
      <c r="L81" s="37" t="n">
        <f aca="false">6724.29+(2185.34/5)+(1292.71/2)</f>
        <v>7807.713</v>
      </c>
      <c r="M81" s="37" t="n">
        <f aca="false">J81-K81-L81</f>
        <v>4451.10638</v>
      </c>
      <c r="N81" s="42"/>
      <c r="O81" s="26"/>
      <c r="P81" s="26"/>
      <c r="AMJ81" s="0"/>
    </row>
    <row r="82" s="27" customFormat="true" ht="49.15" hidden="false" customHeight="false" outlineLevel="0" collapsed="false">
      <c r="A82" s="67" t="n">
        <v>42746</v>
      </c>
      <c r="B82" s="68" t="s">
        <v>331</v>
      </c>
      <c r="C82" s="68" t="n">
        <v>9333</v>
      </c>
      <c r="D82" s="68" t="s">
        <v>28</v>
      </c>
      <c r="E82" s="69" t="s">
        <v>86</v>
      </c>
      <c r="F82" s="69" t="s">
        <v>332</v>
      </c>
      <c r="G82" s="64" t="s">
        <v>333</v>
      </c>
      <c r="H82" s="69" t="s">
        <v>334</v>
      </c>
      <c r="I82" s="34" t="n">
        <v>0.143</v>
      </c>
      <c r="J82" s="36" t="n">
        <f aca="false">3052.17+12347.82+539.14</f>
        <v>15939.13</v>
      </c>
      <c r="K82" s="37" t="n">
        <f aca="false">J82*I82</f>
        <v>2279.29559</v>
      </c>
      <c r="L82" s="36" t="n">
        <f aca="false">7918.23+(1319.63/4)+(13073.7/7)</f>
        <v>10115.8089285714</v>
      </c>
      <c r="M82" s="37" t="n">
        <f aca="false">J82-K82-L82</f>
        <v>3544.02548142857</v>
      </c>
      <c r="N82" s="65"/>
      <c r="O82" s="26"/>
      <c r="P82" s="26"/>
      <c r="AMJ82" s="0"/>
    </row>
    <row r="83" s="27" customFormat="true" ht="49.15" hidden="false" customHeight="false" outlineLevel="0" collapsed="false">
      <c r="A83" s="39" t="n">
        <v>42746</v>
      </c>
      <c r="B83" s="40" t="s">
        <v>136</v>
      </c>
      <c r="C83" s="40" t="n">
        <v>9333</v>
      </c>
      <c r="D83" s="40" t="s">
        <v>28</v>
      </c>
      <c r="E83" s="31" t="s">
        <v>335</v>
      </c>
      <c r="F83" s="31" t="s">
        <v>336</v>
      </c>
      <c r="G83" s="41" t="s">
        <v>337</v>
      </c>
      <c r="H83" s="31" t="s">
        <v>338</v>
      </c>
      <c r="I83" s="34" t="n">
        <v>0.143</v>
      </c>
      <c r="J83" s="37" t="n">
        <f aca="false">3052.17+12347.82</f>
        <v>15399.99</v>
      </c>
      <c r="K83" s="37" t="n">
        <f aca="false">J83*I83</f>
        <v>2202.19857</v>
      </c>
      <c r="L83" s="36" t="n">
        <f aca="false">7918.23+(13073.7/7)</f>
        <v>9785.90142857143</v>
      </c>
      <c r="M83" s="37" t="n">
        <f aca="false">J83-K83-L83</f>
        <v>3411.89000142857</v>
      </c>
      <c r="N83" s="42"/>
      <c r="O83" s="26"/>
      <c r="P83" s="26"/>
      <c r="AMJ83" s="0"/>
    </row>
    <row r="84" s="27" customFormat="true" ht="33.35" hidden="false" customHeight="false" outlineLevel="0" collapsed="false">
      <c r="A84" s="39" t="n">
        <v>42964</v>
      </c>
      <c r="B84" s="40" t="s">
        <v>268</v>
      </c>
      <c r="C84" s="40" t="s">
        <v>339</v>
      </c>
      <c r="D84" s="40" t="s">
        <v>57</v>
      </c>
      <c r="E84" s="31" t="s">
        <v>263</v>
      </c>
      <c r="F84" s="31" t="s">
        <v>336</v>
      </c>
      <c r="G84" s="41" t="s">
        <v>340</v>
      </c>
      <c r="H84" s="31" t="s">
        <v>341</v>
      </c>
      <c r="I84" s="34" t="n">
        <v>0.143</v>
      </c>
      <c r="J84" s="37" t="n">
        <f aca="false">(10782.61/11)+15086.95</f>
        <v>16067.1872727273</v>
      </c>
      <c r="K84" s="37" t="n">
        <f aca="false">J84*I84</f>
        <v>2297.60778</v>
      </c>
      <c r="L84" s="36" t="n">
        <f aca="false">8385.19+(6914.52/11)</f>
        <v>9013.78272727273</v>
      </c>
      <c r="M84" s="37" t="n">
        <f aca="false">J84-K84-L84</f>
        <v>4755.79676545454</v>
      </c>
      <c r="N84" s="42"/>
      <c r="O84" s="26"/>
      <c r="P84" s="26"/>
      <c r="AMJ84" s="0"/>
    </row>
    <row r="85" s="27" customFormat="true" ht="33.35" hidden="false" customHeight="false" outlineLevel="0" collapsed="false">
      <c r="A85" s="70" t="n">
        <v>42830</v>
      </c>
      <c r="B85" s="40" t="s">
        <v>342</v>
      </c>
      <c r="C85" s="40" t="s">
        <v>343</v>
      </c>
      <c r="D85" s="40" t="s">
        <v>57</v>
      </c>
      <c r="E85" s="31" t="s">
        <v>344</v>
      </c>
      <c r="F85" s="31" t="s">
        <v>336</v>
      </c>
      <c r="G85" s="41" t="str">
        <f aca="false">G84</f>
        <v>Wondoson Tilahun</v>
      </c>
      <c r="H85" s="31" t="s">
        <v>345</v>
      </c>
      <c r="I85" s="34" t="n">
        <v>0.143</v>
      </c>
      <c r="J85" s="37" t="n">
        <v>3217.39</v>
      </c>
      <c r="K85" s="37" t="n">
        <f aca="false">J85*I85</f>
        <v>460.08677</v>
      </c>
      <c r="L85" s="36" t="n">
        <v>1957.44</v>
      </c>
      <c r="M85" s="37" t="n">
        <f aca="false">J85-K85-L85</f>
        <v>799.86323</v>
      </c>
      <c r="N85" s="42"/>
      <c r="O85" s="26"/>
      <c r="P85" s="26"/>
      <c r="AMJ85" s="0"/>
    </row>
    <row r="86" s="27" customFormat="true" ht="33.35" hidden="false" customHeight="false" outlineLevel="0" collapsed="false">
      <c r="A86" s="39" t="n">
        <v>42929</v>
      </c>
      <c r="B86" s="40" t="s">
        <v>346</v>
      </c>
      <c r="C86" s="40" t="s">
        <v>347</v>
      </c>
      <c r="D86" s="40" t="s">
        <v>348</v>
      </c>
      <c r="E86" s="31" t="s">
        <v>349</v>
      </c>
      <c r="F86" s="31" t="s">
        <v>281</v>
      </c>
      <c r="G86" s="41" t="s">
        <v>281</v>
      </c>
      <c r="H86" s="31" t="s">
        <v>350</v>
      </c>
      <c r="I86" s="34" t="n">
        <v>0.143</v>
      </c>
      <c r="J86" s="37" t="n">
        <v>3130.43</v>
      </c>
      <c r="K86" s="36" t="n">
        <f aca="false">J86*I86</f>
        <v>447.65149</v>
      </c>
      <c r="L86" s="36" t="n">
        <v>1782.74</v>
      </c>
      <c r="M86" s="37" t="n">
        <f aca="false">J86-K86-L86</f>
        <v>900.03851</v>
      </c>
      <c r="N86" s="42"/>
      <c r="O86" s="26"/>
      <c r="P86" s="26"/>
      <c r="AMJ86" s="0"/>
    </row>
    <row r="87" s="27" customFormat="true" ht="33.35" hidden="false" customHeight="false" outlineLevel="0" collapsed="false">
      <c r="A87" s="39" t="n">
        <v>42244</v>
      </c>
      <c r="B87" s="40" t="s">
        <v>351</v>
      </c>
      <c r="C87" s="40" t="s">
        <v>81</v>
      </c>
      <c r="D87" s="40" t="s">
        <v>82</v>
      </c>
      <c r="E87" s="31" t="s">
        <v>83</v>
      </c>
      <c r="F87" s="31" t="s">
        <v>281</v>
      </c>
      <c r="G87" s="41" t="s">
        <v>281</v>
      </c>
      <c r="H87" s="31" t="s">
        <v>352</v>
      </c>
      <c r="I87" s="34" t="n">
        <v>0.143</v>
      </c>
      <c r="J87" s="37" t="n">
        <v>3043.48</v>
      </c>
      <c r="K87" s="36" t="n">
        <f aca="false">J87*I87</f>
        <v>435.21764</v>
      </c>
      <c r="L87" s="36" t="n">
        <v>2549.56</v>
      </c>
      <c r="M87" s="37" t="n">
        <f aca="false">J87-K87-L87</f>
        <v>58.7023600000002</v>
      </c>
      <c r="N87" s="42"/>
      <c r="O87" s="26"/>
      <c r="P87" s="26"/>
      <c r="AMJ87" s="0"/>
    </row>
    <row r="88" s="27" customFormat="true" ht="33.35" hidden="false" customHeight="false" outlineLevel="0" collapsed="false">
      <c r="A88" s="39" t="n">
        <v>42244</v>
      </c>
      <c r="B88" s="40" t="s">
        <v>353</v>
      </c>
      <c r="C88" s="40" t="s">
        <v>354</v>
      </c>
      <c r="D88" s="40" t="s">
        <v>211</v>
      </c>
      <c r="E88" s="31" t="s">
        <v>83</v>
      </c>
      <c r="F88" s="31" t="s">
        <v>281</v>
      </c>
      <c r="G88" s="41" t="s">
        <v>281</v>
      </c>
      <c r="H88" s="31" t="s">
        <v>355</v>
      </c>
      <c r="I88" s="34" t="n">
        <v>0.143</v>
      </c>
      <c r="J88" s="37" t="n">
        <v>2173.91</v>
      </c>
      <c r="K88" s="36" t="n">
        <f aca="false">J88*I88</f>
        <v>310.86913</v>
      </c>
      <c r="L88" s="36" t="n">
        <v>1821.11</v>
      </c>
      <c r="M88" s="37" t="n">
        <f aca="false">J88-K88-L88</f>
        <v>41.9308699999999</v>
      </c>
      <c r="N88" s="42"/>
      <c r="O88" s="26"/>
      <c r="P88" s="26"/>
      <c r="AMJ88" s="0"/>
    </row>
    <row r="89" s="27" customFormat="true" ht="36.75" hidden="false" customHeight="true" outlineLevel="0" collapsed="false">
      <c r="A89" s="39" t="n">
        <v>43048</v>
      </c>
      <c r="B89" s="40" t="s">
        <v>80</v>
      </c>
      <c r="C89" s="40" t="n">
        <v>10235</v>
      </c>
      <c r="D89" s="40" t="s">
        <v>57</v>
      </c>
      <c r="E89" s="31" t="s">
        <v>356</v>
      </c>
      <c r="F89" s="31" t="s">
        <v>281</v>
      </c>
      <c r="G89" s="41" t="s">
        <v>281</v>
      </c>
      <c r="H89" s="31" t="s">
        <v>357</v>
      </c>
      <c r="I89" s="34" t="n">
        <v>0.143</v>
      </c>
      <c r="J89" s="37" t="n">
        <v>4043.48</v>
      </c>
      <c r="K89" s="36" t="n">
        <f aca="false">J89*I89</f>
        <v>578.21764</v>
      </c>
      <c r="L89" s="36" t="n">
        <v>2114.41</v>
      </c>
      <c r="M89" s="37" t="n">
        <f aca="false">J89-K89-L89</f>
        <v>1350.85236</v>
      </c>
      <c r="N89" s="42"/>
      <c r="O89" s="26"/>
      <c r="P89" s="26"/>
      <c r="AMJ89" s="0"/>
    </row>
    <row r="90" s="27" customFormat="true" ht="33.35" hidden="false" customHeight="false" outlineLevel="0" collapsed="false">
      <c r="A90" s="39" t="n">
        <v>42674</v>
      </c>
      <c r="B90" s="40" t="s">
        <v>353</v>
      </c>
      <c r="C90" s="40" t="s">
        <v>358</v>
      </c>
      <c r="D90" s="40" t="s">
        <v>211</v>
      </c>
      <c r="E90" s="31" t="s">
        <v>359</v>
      </c>
      <c r="F90" s="31" t="s">
        <v>281</v>
      </c>
      <c r="G90" s="41" t="s">
        <v>281</v>
      </c>
      <c r="H90" s="31" t="s">
        <v>360</v>
      </c>
      <c r="I90" s="34" t="n">
        <v>0.143</v>
      </c>
      <c r="J90" s="37" t="n">
        <f aca="false">3652.18/2</f>
        <v>1826.09</v>
      </c>
      <c r="K90" s="36" t="n">
        <f aca="false">J90*I90</f>
        <v>261.13087</v>
      </c>
      <c r="L90" s="36" t="n">
        <f aca="false">2444.92/2</f>
        <v>1222.46</v>
      </c>
      <c r="M90" s="37" t="n">
        <f aca="false">J90-K90-L90</f>
        <v>342.49913</v>
      </c>
      <c r="N90" s="42"/>
      <c r="O90" s="26"/>
      <c r="P90" s="26"/>
      <c r="AMJ90" s="0"/>
    </row>
    <row r="91" s="27" customFormat="true" ht="33.35" hidden="false" customHeight="false" outlineLevel="0" collapsed="false">
      <c r="A91" s="39" t="n">
        <v>42656</v>
      </c>
      <c r="B91" s="40" t="s">
        <v>361</v>
      </c>
      <c r="C91" s="40" t="s">
        <v>358</v>
      </c>
      <c r="D91" s="40" t="s">
        <v>211</v>
      </c>
      <c r="E91" s="31" t="s">
        <v>359</v>
      </c>
      <c r="F91" s="31" t="s">
        <v>281</v>
      </c>
      <c r="G91" s="41" t="s">
        <v>281</v>
      </c>
      <c r="H91" s="31" t="s">
        <v>362</v>
      </c>
      <c r="I91" s="34" t="n">
        <v>0.143</v>
      </c>
      <c r="J91" s="37" t="n">
        <f aca="false">3652.18/2</f>
        <v>1826.09</v>
      </c>
      <c r="K91" s="36" t="n">
        <f aca="false">J91*I91</f>
        <v>261.13087</v>
      </c>
      <c r="L91" s="36" t="n">
        <f aca="false">2444.92/2</f>
        <v>1222.46</v>
      </c>
      <c r="M91" s="37" t="n">
        <f aca="false">J91-K91-L91</f>
        <v>342.49913</v>
      </c>
      <c r="N91" s="42"/>
      <c r="O91" s="26"/>
      <c r="P91" s="26"/>
      <c r="AMJ91" s="0"/>
    </row>
    <row r="92" s="27" customFormat="true" ht="33.35" hidden="false" customHeight="false" outlineLevel="0" collapsed="false">
      <c r="A92" s="39" t="n">
        <v>42244</v>
      </c>
      <c r="B92" s="40" t="s">
        <v>363</v>
      </c>
      <c r="C92" s="40" t="s">
        <v>354</v>
      </c>
      <c r="D92" s="40" t="s">
        <v>211</v>
      </c>
      <c r="E92" s="31" t="s">
        <v>83</v>
      </c>
      <c r="F92" s="31" t="s">
        <v>281</v>
      </c>
      <c r="G92" s="41" t="s">
        <v>281</v>
      </c>
      <c r="H92" s="31" t="s">
        <v>364</v>
      </c>
      <c r="I92" s="34" t="n">
        <v>0.143</v>
      </c>
      <c r="J92" s="37" t="n">
        <v>2173.91</v>
      </c>
      <c r="K92" s="36" t="n">
        <f aca="false">J92*I92</f>
        <v>310.86913</v>
      </c>
      <c r="L92" s="36" t="n">
        <v>1821.11</v>
      </c>
      <c r="M92" s="37" t="n">
        <f aca="false">J92-K92-L92</f>
        <v>41.9308699999999</v>
      </c>
      <c r="N92" s="42"/>
      <c r="O92" s="26"/>
      <c r="P92" s="26"/>
      <c r="AMJ92" s="0"/>
    </row>
    <row r="93" s="27" customFormat="true" ht="33.35" hidden="false" customHeight="false" outlineLevel="0" collapsed="false">
      <c r="A93" s="39" t="n">
        <v>42831</v>
      </c>
      <c r="B93" s="40" t="s">
        <v>363</v>
      </c>
      <c r="C93" s="40"/>
      <c r="D93" s="40" t="s">
        <v>365</v>
      </c>
      <c r="E93" s="31" t="s">
        <v>366</v>
      </c>
      <c r="F93" s="31" t="s">
        <v>281</v>
      </c>
      <c r="G93" s="41" t="s">
        <v>281</v>
      </c>
      <c r="H93" s="31" t="s">
        <v>367</v>
      </c>
      <c r="I93" s="34" t="n">
        <v>0.143</v>
      </c>
      <c r="J93" s="37" t="n">
        <v>3130.44</v>
      </c>
      <c r="K93" s="36" t="n">
        <f aca="false">J93*I93</f>
        <v>447.65292</v>
      </c>
      <c r="L93" s="36" t="n">
        <v>1903.32</v>
      </c>
      <c r="M93" s="37" t="n">
        <f aca="false">J93-K93-L93</f>
        <v>779.46708</v>
      </c>
      <c r="N93" s="42"/>
      <c r="O93" s="26"/>
      <c r="P93" s="26"/>
      <c r="AMJ93" s="0"/>
    </row>
    <row r="94" s="27" customFormat="true" ht="33.35" hidden="false" customHeight="false" outlineLevel="0" collapsed="false">
      <c r="A94" s="39" t="n">
        <v>43019</v>
      </c>
      <c r="B94" s="40" t="s">
        <v>368</v>
      </c>
      <c r="C94" s="40" t="s">
        <v>369</v>
      </c>
      <c r="D94" s="40" t="s">
        <v>211</v>
      </c>
      <c r="E94" s="31" t="s">
        <v>134</v>
      </c>
      <c r="F94" s="31" t="s">
        <v>281</v>
      </c>
      <c r="G94" s="41" t="s">
        <v>281</v>
      </c>
      <c r="H94" s="31" t="s">
        <v>370</v>
      </c>
      <c r="I94" s="34" t="n">
        <v>0.143</v>
      </c>
      <c r="J94" s="37" t="n">
        <v>4521.73</v>
      </c>
      <c r="K94" s="36" t="n">
        <f aca="false">J94*I94</f>
        <v>646.60739</v>
      </c>
      <c r="L94" s="36" t="n">
        <v>2415.82</v>
      </c>
      <c r="M94" s="37" t="n">
        <f aca="false">J94-K94-L94</f>
        <v>1459.30261</v>
      </c>
      <c r="N94" s="42"/>
      <c r="O94" s="26"/>
      <c r="P94" s="26"/>
      <c r="AMJ94" s="0"/>
    </row>
    <row r="95" s="27" customFormat="true" ht="33.35" hidden="false" customHeight="false" outlineLevel="0" collapsed="false">
      <c r="A95" s="39" t="n">
        <v>42879</v>
      </c>
      <c r="B95" s="40" t="s">
        <v>346</v>
      </c>
      <c r="C95" s="40" t="n">
        <v>362</v>
      </c>
      <c r="D95" s="40" t="s">
        <v>348</v>
      </c>
      <c r="E95" s="31" t="s">
        <v>189</v>
      </c>
      <c r="F95" s="31" t="s">
        <v>281</v>
      </c>
      <c r="G95" s="41" t="s">
        <v>281</v>
      </c>
      <c r="H95" s="31" t="s">
        <v>371</v>
      </c>
      <c r="I95" s="34" t="n">
        <v>0.143</v>
      </c>
      <c r="J95" s="37" t="n">
        <v>3712.99</v>
      </c>
      <c r="K95" s="36" t="n">
        <f aca="false">J95*I95</f>
        <v>530.95757</v>
      </c>
      <c r="L95" s="36" t="n">
        <v>2187.76</v>
      </c>
      <c r="M95" s="37" t="n">
        <f aca="false">J95-K95-L95</f>
        <v>994.27243</v>
      </c>
      <c r="N95" s="42"/>
      <c r="O95" s="26"/>
      <c r="P95" s="26"/>
      <c r="AMJ95" s="0"/>
    </row>
    <row r="96" s="27" customFormat="true" ht="35.25" hidden="false" customHeight="true" outlineLevel="0" collapsed="false">
      <c r="A96" s="28" t="n">
        <v>43165</v>
      </c>
      <c r="B96" s="29" t="s">
        <v>322</v>
      </c>
      <c r="C96" s="29" t="s">
        <v>323</v>
      </c>
      <c r="D96" s="40" t="s">
        <v>57</v>
      </c>
      <c r="E96" s="33" t="s">
        <v>324</v>
      </c>
      <c r="F96" s="31" t="s">
        <v>281</v>
      </c>
      <c r="G96" s="41" t="s">
        <v>281</v>
      </c>
      <c r="H96" s="31" t="s">
        <v>372</v>
      </c>
      <c r="I96" s="34" t="n">
        <v>0.143</v>
      </c>
      <c r="J96" s="35" t="n">
        <f aca="false">38739.12/3</f>
        <v>12913.04</v>
      </c>
      <c r="K96" s="36" t="n">
        <f aca="false">J96*I96</f>
        <v>1846.56472</v>
      </c>
      <c r="L96" s="36" t="n">
        <f aca="false">18483.74/3</f>
        <v>6161.24666666667</v>
      </c>
      <c r="M96" s="37" t="n">
        <f aca="false">J96-K96-L96</f>
        <v>4905.22861333333</v>
      </c>
      <c r="N96" s="42"/>
      <c r="O96" s="26"/>
      <c r="P96" s="26"/>
      <c r="AMJ96" s="0"/>
    </row>
    <row r="97" s="27" customFormat="true" ht="33.35" hidden="false" customHeight="false" outlineLevel="0" collapsed="false">
      <c r="A97" s="39" t="n">
        <v>42632</v>
      </c>
      <c r="B97" s="40" t="s">
        <v>55</v>
      </c>
      <c r="C97" s="40" t="s">
        <v>176</v>
      </c>
      <c r="D97" s="40" t="s">
        <v>279</v>
      </c>
      <c r="E97" s="31" t="s">
        <v>289</v>
      </c>
      <c r="F97" s="31" t="s">
        <v>281</v>
      </c>
      <c r="G97" s="41" t="s">
        <v>373</v>
      </c>
      <c r="H97" s="31" t="s">
        <v>374</v>
      </c>
      <c r="I97" s="34" t="n">
        <v>0.143</v>
      </c>
      <c r="J97" s="37" t="n">
        <f aca="false">12000+3130.43</f>
        <v>15130.43</v>
      </c>
      <c r="K97" s="36" t="n">
        <f aca="false">J97*I97</f>
        <v>2163.65149</v>
      </c>
      <c r="L97" s="36" t="n">
        <f aca="false">8230.53+2107.89</f>
        <v>10338.42</v>
      </c>
      <c r="M97" s="37" t="n">
        <f aca="false">J97-K97-L97</f>
        <v>2628.35851</v>
      </c>
      <c r="N97" s="42"/>
      <c r="O97" s="26"/>
      <c r="P97" s="26"/>
      <c r="AMJ97" s="0"/>
    </row>
    <row r="98" s="27" customFormat="true" ht="17.35" hidden="false" customHeight="false" outlineLevel="0" collapsed="false">
      <c r="A98" s="44" t="n">
        <v>40690</v>
      </c>
      <c r="B98" s="29" t="s">
        <v>375</v>
      </c>
      <c r="C98" s="29" t="s">
        <v>376</v>
      </c>
      <c r="D98" s="29" t="s">
        <v>57</v>
      </c>
      <c r="E98" s="45" t="s">
        <v>377</v>
      </c>
      <c r="F98" s="31" t="s">
        <v>281</v>
      </c>
      <c r="G98" s="41" t="s">
        <v>373</v>
      </c>
      <c r="H98" s="45" t="s">
        <v>378</v>
      </c>
      <c r="I98" s="34" t="n">
        <v>0.143</v>
      </c>
      <c r="J98" s="35" t="n">
        <v>2208.7</v>
      </c>
      <c r="K98" s="36"/>
      <c r="L98" s="36" t="n">
        <v>2198.7</v>
      </c>
      <c r="M98" s="37" t="n">
        <f aca="false">J98-K98-L98</f>
        <v>10</v>
      </c>
      <c r="N98" s="42"/>
      <c r="O98" s="26"/>
      <c r="P98" s="26"/>
      <c r="AMJ98" s="0"/>
    </row>
    <row r="99" s="27" customFormat="true" ht="33.35" hidden="false" customHeight="false" outlineLevel="0" collapsed="false">
      <c r="A99" s="71" t="n">
        <v>44418</v>
      </c>
      <c r="B99" s="47" t="s">
        <v>379</v>
      </c>
      <c r="C99" s="72" t="s">
        <v>380</v>
      </c>
      <c r="D99" s="73" t="s">
        <v>49</v>
      </c>
      <c r="E99" s="74" t="s">
        <v>381</v>
      </c>
      <c r="F99" s="66" t="s">
        <v>245</v>
      </c>
      <c r="G99" s="49" t="s">
        <v>246</v>
      </c>
      <c r="H99" s="48" t="s">
        <v>382</v>
      </c>
      <c r="I99" s="75" t="n">
        <v>0.143</v>
      </c>
      <c r="J99" s="76" t="n">
        <v>14956.52</v>
      </c>
      <c r="K99" s="36" t="e">
        <f aca="false">#REF!*I99*J99</f>
        <v>#REF!</v>
      </c>
      <c r="L99" s="76"/>
      <c r="M99" s="37" t="e">
        <f aca="false">J99-K99-L99</f>
        <v>#REF!</v>
      </c>
      <c r="N99" s="77" t="s">
        <v>383</v>
      </c>
      <c r="O99" s="26"/>
      <c r="P99" s="26"/>
      <c r="AMJ99" s="0"/>
    </row>
    <row r="100" s="27" customFormat="true" ht="33.35" hidden="false" customHeight="false" outlineLevel="0" collapsed="false">
      <c r="A100" s="71" t="n">
        <v>44425</v>
      </c>
      <c r="B100" s="47" t="s">
        <v>384</v>
      </c>
      <c r="C100" s="72" t="s">
        <v>385</v>
      </c>
      <c r="D100" s="73" t="s">
        <v>49</v>
      </c>
      <c r="E100" s="74" t="s">
        <v>386</v>
      </c>
      <c r="F100" s="66" t="s">
        <v>172</v>
      </c>
      <c r="G100" s="49" t="s">
        <v>178</v>
      </c>
      <c r="H100" s="48" t="s">
        <v>387</v>
      </c>
      <c r="I100" s="75" t="n">
        <v>0.143</v>
      </c>
      <c r="J100" s="76" t="n">
        <v>35217.39</v>
      </c>
      <c r="K100" s="36" t="e">
        <f aca="false">#REF!*I100*J100</f>
        <v>#REF!</v>
      </c>
      <c r="L100" s="76"/>
      <c r="M100" s="37" t="e">
        <f aca="false">J100-K100-L100</f>
        <v>#REF!</v>
      </c>
      <c r="N100" s="77" t="s">
        <v>383</v>
      </c>
      <c r="O100" s="26"/>
      <c r="P100" s="26"/>
      <c r="AMJ100" s="0"/>
    </row>
    <row r="101" s="27" customFormat="true" ht="33.35" hidden="false" customHeight="false" outlineLevel="0" collapsed="false">
      <c r="A101" s="71" t="n">
        <v>44425</v>
      </c>
      <c r="B101" s="47" t="s">
        <v>384</v>
      </c>
      <c r="C101" s="72" t="s">
        <v>385</v>
      </c>
      <c r="D101" s="73" t="s">
        <v>49</v>
      </c>
      <c r="E101" s="74" t="s">
        <v>386</v>
      </c>
      <c r="F101" s="66" t="s">
        <v>172</v>
      </c>
      <c r="G101" s="49" t="s">
        <v>388</v>
      </c>
      <c r="H101" s="48" t="s">
        <v>389</v>
      </c>
      <c r="I101" s="75" t="n">
        <v>0.143</v>
      </c>
      <c r="J101" s="76" t="n">
        <v>35217.39</v>
      </c>
      <c r="K101" s="36" t="e">
        <f aca="false">#REF!*I101*J101</f>
        <v>#REF!</v>
      </c>
      <c r="L101" s="76"/>
      <c r="M101" s="37" t="e">
        <f aca="false">J101-K101-L101</f>
        <v>#REF!</v>
      </c>
      <c r="N101" s="77" t="s">
        <v>383</v>
      </c>
      <c r="O101" s="26"/>
      <c r="P101" s="26"/>
      <c r="AMJ101" s="0"/>
    </row>
    <row r="102" s="27" customFormat="true" ht="33.35" hidden="false" customHeight="false" outlineLevel="0" collapsed="false">
      <c r="A102" s="78" t="n">
        <v>44483</v>
      </c>
      <c r="B102" s="79" t="s">
        <v>390</v>
      </c>
      <c r="C102" s="79" t="s">
        <v>391</v>
      </c>
      <c r="D102" s="73" t="s">
        <v>49</v>
      </c>
      <c r="E102" s="66" t="s">
        <v>392</v>
      </c>
      <c r="F102" s="66" t="s">
        <v>172</v>
      </c>
      <c r="G102" s="49" t="s">
        <v>178</v>
      </c>
      <c r="H102" s="66" t="s">
        <v>179</v>
      </c>
      <c r="I102" s="75" t="n">
        <v>0.143</v>
      </c>
      <c r="J102" s="80" t="n">
        <v>6869.56</v>
      </c>
      <c r="K102" s="36" t="e">
        <f aca="false">#REF!*I102*J102</f>
        <v>#REF!</v>
      </c>
      <c r="L102" s="37"/>
      <c r="M102" s="37" t="e">
        <f aca="false">J102-K102-L102</f>
        <v>#REF!</v>
      </c>
      <c r="N102" s="77" t="s">
        <v>383</v>
      </c>
      <c r="O102" s="26"/>
      <c r="P102" s="26"/>
      <c r="AMJ102" s="0"/>
    </row>
    <row r="103" s="27" customFormat="true" ht="33.35" hidden="false" customHeight="false" outlineLevel="0" collapsed="false">
      <c r="A103" s="78" t="n">
        <v>44624</v>
      </c>
      <c r="B103" s="79" t="s">
        <v>393</v>
      </c>
      <c r="C103" s="79" t="s">
        <v>394</v>
      </c>
      <c r="D103" s="73" t="s">
        <v>395</v>
      </c>
      <c r="E103" s="66" t="s">
        <v>396</v>
      </c>
      <c r="F103" s="66"/>
      <c r="G103" s="49"/>
      <c r="H103" s="66"/>
      <c r="I103" s="75" t="n">
        <v>0.143</v>
      </c>
      <c r="J103" s="80" t="n">
        <f aca="false">16500</f>
        <v>16500</v>
      </c>
      <c r="K103" s="36" t="e">
        <f aca="false">#REF!*I103*J103</f>
        <v>#REF!</v>
      </c>
      <c r="L103" s="36"/>
      <c r="M103" s="37" t="e">
        <f aca="false">J103-K103-L103</f>
        <v>#REF!</v>
      </c>
      <c r="N103" s="77" t="s">
        <v>383</v>
      </c>
      <c r="O103" s="26"/>
      <c r="P103" s="26"/>
      <c r="AMJ103" s="0"/>
    </row>
    <row r="104" s="27" customFormat="true" ht="33.35" hidden="false" customHeight="false" outlineLevel="0" collapsed="false">
      <c r="A104" s="78" t="n">
        <v>44624</v>
      </c>
      <c r="B104" s="79" t="s">
        <v>393</v>
      </c>
      <c r="C104" s="79" t="s">
        <v>394</v>
      </c>
      <c r="D104" s="73" t="s">
        <v>395</v>
      </c>
      <c r="E104" s="66" t="s">
        <v>396</v>
      </c>
      <c r="F104" s="66"/>
      <c r="G104" s="49"/>
      <c r="H104" s="66"/>
      <c r="I104" s="75" t="n">
        <v>0.143</v>
      </c>
      <c r="J104" s="80" t="n">
        <f aca="false">16500</f>
        <v>16500</v>
      </c>
      <c r="K104" s="36" t="e">
        <f aca="false">#REF!*I104*J104</f>
        <v>#REF!</v>
      </c>
      <c r="L104" s="36"/>
      <c r="M104" s="37" t="e">
        <f aca="false">J104-K104-L104</f>
        <v>#REF!</v>
      </c>
      <c r="N104" s="77" t="s">
        <v>383</v>
      </c>
      <c r="O104" s="26"/>
      <c r="P104" s="26"/>
      <c r="AMJ104" s="0"/>
    </row>
    <row r="105" s="27" customFormat="true" ht="33.35" hidden="false" customHeight="false" outlineLevel="0" collapsed="false">
      <c r="A105" s="78" t="n">
        <v>44624</v>
      </c>
      <c r="B105" s="79" t="s">
        <v>393</v>
      </c>
      <c r="C105" s="79" t="s">
        <v>394</v>
      </c>
      <c r="D105" s="73" t="s">
        <v>395</v>
      </c>
      <c r="E105" s="66" t="s">
        <v>396</v>
      </c>
      <c r="F105" s="66"/>
      <c r="G105" s="49"/>
      <c r="H105" s="66"/>
      <c r="I105" s="75" t="n">
        <v>0.143</v>
      </c>
      <c r="J105" s="80" t="n">
        <f aca="false">16500</f>
        <v>16500</v>
      </c>
      <c r="K105" s="36" t="e">
        <f aca="false">#REF!*I105*J105</f>
        <v>#REF!</v>
      </c>
      <c r="L105" s="36"/>
      <c r="M105" s="37" t="e">
        <f aca="false">J105-K105-L105</f>
        <v>#REF!</v>
      </c>
      <c r="N105" s="77" t="s">
        <v>383</v>
      </c>
      <c r="O105" s="26"/>
      <c r="P105" s="26"/>
      <c r="AMJ105" s="0"/>
    </row>
    <row r="106" s="27" customFormat="true" ht="33.35" hidden="false" customHeight="false" outlineLevel="0" collapsed="false">
      <c r="A106" s="78" t="n">
        <v>44624</v>
      </c>
      <c r="B106" s="79" t="s">
        <v>393</v>
      </c>
      <c r="C106" s="79" t="s">
        <v>394</v>
      </c>
      <c r="D106" s="73" t="s">
        <v>395</v>
      </c>
      <c r="E106" s="66" t="s">
        <v>396</v>
      </c>
      <c r="F106" s="66"/>
      <c r="G106" s="49"/>
      <c r="H106" s="66"/>
      <c r="I106" s="75" t="n">
        <v>0.143</v>
      </c>
      <c r="J106" s="80" t="n">
        <f aca="false">16500</f>
        <v>16500</v>
      </c>
      <c r="K106" s="36" t="e">
        <f aca="false">#REF!*I106*J106</f>
        <v>#REF!</v>
      </c>
      <c r="L106" s="36"/>
      <c r="M106" s="37" t="e">
        <f aca="false">J106-K106-L106</f>
        <v>#REF!</v>
      </c>
      <c r="N106" s="77" t="s">
        <v>383</v>
      </c>
      <c r="O106" s="26"/>
      <c r="P106" s="26"/>
      <c r="AMJ106" s="0"/>
    </row>
    <row r="107" s="27" customFormat="true" ht="33.35" hidden="false" customHeight="false" outlineLevel="0" collapsed="false">
      <c r="A107" s="78" t="n">
        <v>44624</v>
      </c>
      <c r="B107" s="79" t="s">
        <v>393</v>
      </c>
      <c r="C107" s="79" t="s">
        <v>394</v>
      </c>
      <c r="D107" s="73" t="s">
        <v>395</v>
      </c>
      <c r="E107" s="66" t="s">
        <v>396</v>
      </c>
      <c r="F107" s="66"/>
      <c r="G107" s="49"/>
      <c r="H107" s="66"/>
      <c r="I107" s="75" t="n">
        <v>0.143</v>
      </c>
      <c r="J107" s="80" t="n">
        <f aca="false">16500</f>
        <v>16500</v>
      </c>
      <c r="K107" s="36" t="e">
        <f aca="false">#REF!*I107*J107</f>
        <v>#REF!</v>
      </c>
      <c r="L107" s="36"/>
      <c r="M107" s="37" t="e">
        <f aca="false">J107-K107-L107</f>
        <v>#REF!</v>
      </c>
      <c r="N107" s="77" t="s">
        <v>383</v>
      </c>
      <c r="O107" s="26"/>
      <c r="P107" s="26"/>
      <c r="AMJ107" s="0"/>
    </row>
    <row r="108" s="27" customFormat="true" ht="33.35" hidden="false" customHeight="false" outlineLevel="0" collapsed="false">
      <c r="A108" s="78" t="n">
        <v>44624</v>
      </c>
      <c r="B108" s="79" t="s">
        <v>393</v>
      </c>
      <c r="C108" s="79" t="s">
        <v>394</v>
      </c>
      <c r="D108" s="73" t="s">
        <v>395</v>
      </c>
      <c r="E108" s="66" t="s">
        <v>396</v>
      </c>
      <c r="F108" s="66"/>
      <c r="G108" s="49"/>
      <c r="H108" s="66"/>
      <c r="I108" s="75" t="n">
        <v>0.143</v>
      </c>
      <c r="J108" s="80" t="n">
        <f aca="false">16500</f>
        <v>16500</v>
      </c>
      <c r="K108" s="36" t="e">
        <f aca="false">#REF!*I108*J108</f>
        <v>#REF!</v>
      </c>
      <c r="L108" s="36"/>
      <c r="M108" s="37" t="e">
        <f aca="false">J108-K108-L108</f>
        <v>#REF!</v>
      </c>
      <c r="N108" s="77" t="s">
        <v>383</v>
      </c>
      <c r="O108" s="26"/>
      <c r="P108" s="26"/>
      <c r="AMJ108" s="0"/>
    </row>
    <row r="109" s="27" customFormat="true" ht="33.35" hidden="false" customHeight="false" outlineLevel="0" collapsed="false">
      <c r="A109" s="78" t="n">
        <v>44624</v>
      </c>
      <c r="B109" s="79" t="s">
        <v>393</v>
      </c>
      <c r="C109" s="79" t="s">
        <v>394</v>
      </c>
      <c r="D109" s="73" t="s">
        <v>395</v>
      </c>
      <c r="E109" s="66" t="s">
        <v>396</v>
      </c>
      <c r="F109" s="66"/>
      <c r="G109" s="49"/>
      <c r="H109" s="66"/>
      <c r="I109" s="75" t="n">
        <v>0.143</v>
      </c>
      <c r="J109" s="80" t="n">
        <f aca="false">16500</f>
        <v>16500</v>
      </c>
      <c r="K109" s="36" t="e">
        <f aca="false">#REF!*I109*J109</f>
        <v>#REF!</v>
      </c>
      <c r="L109" s="36"/>
      <c r="M109" s="37" t="e">
        <f aca="false">J109-K109-L109</f>
        <v>#REF!</v>
      </c>
      <c r="N109" s="77" t="s">
        <v>383</v>
      </c>
      <c r="O109" s="26"/>
      <c r="P109" s="26"/>
      <c r="AMJ109" s="0"/>
    </row>
    <row r="110" s="27" customFormat="true" ht="33.35" hidden="false" customHeight="false" outlineLevel="0" collapsed="false">
      <c r="A110" s="78" t="n">
        <v>44624</v>
      </c>
      <c r="B110" s="79" t="s">
        <v>393</v>
      </c>
      <c r="C110" s="79" t="s">
        <v>394</v>
      </c>
      <c r="D110" s="73" t="s">
        <v>395</v>
      </c>
      <c r="E110" s="66" t="s">
        <v>396</v>
      </c>
      <c r="F110" s="66"/>
      <c r="G110" s="49"/>
      <c r="H110" s="66"/>
      <c r="I110" s="75" t="n">
        <v>0.143</v>
      </c>
      <c r="J110" s="80" t="n">
        <f aca="false">16500</f>
        <v>16500</v>
      </c>
      <c r="K110" s="36" t="e">
        <f aca="false">#REF!*I110*J110</f>
        <v>#REF!</v>
      </c>
      <c r="L110" s="36"/>
      <c r="M110" s="37" t="e">
        <f aca="false">J110-K110-L110</f>
        <v>#REF!</v>
      </c>
      <c r="N110" s="77" t="s">
        <v>383</v>
      </c>
      <c r="O110" s="26"/>
      <c r="P110" s="26"/>
      <c r="AMJ110" s="0"/>
    </row>
    <row r="111" s="27" customFormat="true" ht="33.35" hidden="false" customHeight="false" outlineLevel="0" collapsed="false">
      <c r="A111" s="78" t="n">
        <v>44624</v>
      </c>
      <c r="B111" s="79" t="s">
        <v>393</v>
      </c>
      <c r="C111" s="79" t="s">
        <v>394</v>
      </c>
      <c r="D111" s="73" t="s">
        <v>395</v>
      </c>
      <c r="E111" s="66" t="s">
        <v>396</v>
      </c>
      <c r="F111" s="66"/>
      <c r="G111" s="49"/>
      <c r="H111" s="66"/>
      <c r="I111" s="75" t="n">
        <v>0.143</v>
      </c>
      <c r="J111" s="80" t="n">
        <f aca="false">16500</f>
        <v>16500</v>
      </c>
      <c r="K111" s="36" t="e">
        <f aca="false">#REF!*I111*J111</f>
        <v>#REF!</v>
      </c>
      <c r="L111" s="36"/>
      <c r="M111" s="37" t="e">
        <f aca="false">J111-K111-L111</f>
        <v>#REF!</v>
      </c>
      <c r="N111" s="77" t="s">
        <v>383</v>
      </c>
      <c r="O111" s="26"/>
      <c r="P111" s="26"/>
      <c r="AMJ111" s="0"/>
    </row>
    <row r="112" s="27" customFormat="true" ht="33.35" hidden="false" customHeight="false" outlineLevel="0" collapsed="false">
      <c r="A112" s="78" t="n">
        <v>44624</v>
      </c>
      <c r="B112" s="79" t="s">
        <v>393</v>
      </c>
      <c r="C112" s="79" t="s">
        <v>394</v>
      </c>
      <c r="D112" s="73" t="s">
        <v>395</v>
      </c>
      <c r="E112" s="66" t="s">
        <v>396</v>
      </c>
      <c r="F112" s="66"/>
      <c r="G112" s="49"/>
      <c r="H112" s="66"/>
      <c r="I112" s="75" t="n">
        <v>0.143</v>
      </c>
      <c r="J112" s="80" t="n">
        <f aca="false">16500</f>
        <v>16500</v>
      </c>
      <c r="K112" s="36" t="e">
        <f aca="false">#REF!*I112*J112</f>
        <v>#REF!</v>
      </c>
      <c r="L112" s="36"/>
      <c r="M112" s="37" t="e">
        <f aca="false">J112-K112-L112</f>
        <v>#REF!</v>
      </c>
      <c r="N112" s="77" t="s">
        <v>383</v>
      </c>
      <c r="O112" s="26"/>
      <c r="P112" s="26"/>
      <c r="AMJ112" s="0"/>
    </row>
    <row r="113" s="27" customFormat="true" ht="33.35" hidden="false" customHeight="false" outlineLevel="0" collapsed="false">
      <c r="A113" s="78" t="n">
        <v>44624</v>
      </c>
      <c r="B113" s="79" t="s">
        <v>397</v>
      </c>
      <c r="C113" s="79" t="s">
        <v>394</v>
      </c>
      <c r="D113" s="73" t="s">
        <v>395</v>
      </c>
      <c r="E113" s="66" t="s">
        <v>396</v>
      </c>
      <c r="F113" s="66"/>
      <c r="G113" s="49"/>
      <c r="H113" s="66"/>
      <c r="I113" s="75" t="n">
        <v>0.143</v>
      </c>
      <c r="J113" s="80" t="n">
        <f aca="false">8500</f>
        <v>8500</v>
      </c>
      <c r="K113" s="36" t="e">
        <f aca="false">#REF!*I113*J113</f>
        <v>#REF!</v>
      </c>
      <c r="L113" s="36"/>
      <c r="M113" s="37" t="e">
        <f aca="false">J113-K113-L113</f>
        <v>#REF!</v>
      </c>
      <c r="N113" s="77" t="s">
        <v>383</v>
      </c>
      <c r="O113" s="26"/>
      <c r="P113" s="26"/>
      <c r="AMJ113" s="0"/>
    </row>
    <row r="114" s="27" customFormat="true" ht="33.35" hidden="false" customHeight="false" outlineLevel="0" collapsed="false">
      <c r="A114" s="78" t="n">
        <v>44624</v>
      </c>
      <c r="B114" s="79" t="s">
        <v>397</v>
      </c>
      <c r="C114" s="79" t="s">
        <v>394</v>
      </c>
      <c r="D114" s="73" t="s">
        <v>395</v>
      </c>
      <c r="E114" s="66" t="s">
        <v>396</v>
      </c>
      <c r="F114" s="66"/>
      <c r="G114" s="49"/>
      <c r="H114" s="66"/>
      <c r="I114" s="75" t="n">
        <v>0.143</v>
      </c>
      <c r="J114" s="80" t="n">
        <f aca="false">8500</f>
        <v>8500</v>
      </c>
      <c r="K114" s="36" t="e">
        <f aca="false">#REF!*I114*J114</f>
        <v>#REF!</v>
      </c>
      <c r="L114" s="36"/>
      <c r="M114" s="37" t="e">
        <f aca="false">J114-K114-L114</f>
        <v>#REF!</v>
      </c>
      <c r="N114" s="77" t="s">
        <v>383</v>
      </c>
      <c r="O114" s="26"/>
      <c r="P114" s="26"/>
      <c r="AMJ114" s="0"/>
    </row>
    <row r="115" s="27" customFormat="true" ht="33.35" hidden="false" customHeight="false" outlineLevel="0" collapsed="false">
      <c r="A115" s="78" t="n">
        <v>44624</v>
      </c>
      <c r="B115" s="79" t="s">
        <v>397</v>
      </c>
      <c r="C115" s="79" t="s">
        <v>394</v>
      </c>
      <c r="D115" s="73" t="s">
        <v>395</v>
      </c>
      <c r="E115" s="66" t="s">
        <v>396</v>
      </c>
      <c r="F115" s="66"/>
      <c r="G115" s="49"/>
      <c r="H115" s="66"/>
      <c r="I115" s="75" t="n">
        <v>0.143</v>
      </c>
      <c r="J115" s="80" t="n">
        <f aca="false">8500</f>
        <v>8500</v>
      </c>
      <c r="K115" s="36" t="e">
        <f aca="false">#REF!*I115*J115</f>
        <v>#REF!</v>
      </c>
      <c r="L115" s="36"/>
      <c r="M115" s="37" t="e">
        <f aca="false">J115-K115-L115</f>
        <v>#REF!</v>
      </c>
      <c r="N115" s="77" t="s">
        <v>383</v>
      </c>
      <c r="O115" s="26"/>
      <c r="P115" s="26"/>
      <c r="AMJ115" s="0"/>
    </row>
    <row r="116" s="27" customFormat="true" ht="33.35" hidden="false" customHeight="false" outlineLevel="0" collapsed="false">
      <c r="A116" s="78" t="n">
        <v>44624</v>
      </c>
      <c r="B116" s="79" t="s">
        <v>398</v>
      </c>
      <c r="C116" s="79" t="s">
        <v>394</v>
      </c>
      <c r="D116" s="73" t="s">
        <v>395</v>
      </c>
      <c r="E116" s="66" t="s">
        <v>396</v>
      </c>
      <c r="F116" s="66"/>
      <c r="G116" s="49"/>
      <c r="H116" s="66"/>
      <c r="I116" s="75" t="n">
        <v>0.143</v>
      </c>
      <c r="J116" s="80" t="n">
        <f aca="false">16000</f>
        <v>16000</v>
      </c>
      <c r="K116" s="36" t="e">
        <f aca="false">#REF!*I116*J116</f>
        <v>#REF!</v>
      </c>
      <c r="L116" s="36"/>
      <c r="M116" s="37" t="e">
        <f aca="false">J116-K116-L116</f>
        <v>#REF!</v>
      </c>
      <c r="N116" s="77" t="s">
        <v>383</v>
      </c>
      <c r="O116" s="26"/>
      <c r="P116" s="26"/>
      <c r="AMJ116" s="0"/>
    </row>
    <row r="117" s="27" customFormat="true" ht="33.35" hidden="false" customHeight="false" outlineLevel="0" collapsed="false">
      <c r="A117" s="78" t="n">
        <v>44624</v>
      </c>
      <c r="B117" s="79" t="s">
        <v>398</v>
      </c>
      <c r="C117" s="79" t="s">
        <v>394</v>
      </c>
      <c r="D117" s="73" t="s">
        <v>395</v>
      </c>
      <c r="E117" s="66" t="s">
        <v>396</v>
      </c>
      <c r="F117" s="66"/>
      <c r="G117" s="49"/>
      <c r="H117" s="66"/>
      <c r="I117" s="75" t="n">
        <v>0.143</v>
      </c>
      <c r="J117" s="80" t="n">
        <f aca="false">16000</f>
        <v>16000</v>
      </c>
      <c r="K117" s="36" t="e">
        <f aca="false">#REF!*I117*J117</f>
        <v>#REF!</v>
      </c>
      <c r="L117" s="36"/>
      <c r="M117" s="37" t="e">
        <f aca="false">J117-K117-L117</f>
        <v>#REF!</v>
      </c>
      <c r="N117" s="77" t="s">
        <v>383</v>
      </c>
      <c r="O117" s="26"/>
      <c r="P117" s="26"/>
      <c r="AMJ117" s="0"/>
    </row>
    <row r="118" s="27" customFormat="true" ht="33.35" hidden="false" customHeight="false" outlineLevel="0" collapsed="false">
      <c r="A118" s="78" t="n">
        <v>44624</v>
      </c>
      <c r="B118" s="79" t="s">
        <v>399</v>
      </c>
      <c r="C118" s="79" t="s">
        <v>394</v>
      </c>
      <c r="D118" s="73" t="s">
        <v>395</v>
      </c>
      <c r="E118" s="66" t="s">
        <v>396</v>
      </c>
      <c r="F118" s="66"/>
      <c r="G118" s="49"/>
      <c r="H118" s="66"/>
      <c r="I118" s="75" t="n">
        <v>0.143</v>
      </c>
      <c r="J118" s="80" t="n">
        <f aca="false">12000</f>
        <v>12000</v>
      </c>
      <c r="K118" s="36" t="e">
        <f aca="false">#REF!*I118*J118</f>
        <v>#REF!</v>
      </c>
      <c r="L118" s="36"/>
      <c r="M118" s="37" t="e">
        <f aca="false">J118-K118-L118</f>
        <v>#REF!</v>
      </c>
      <c r="N118" s="77" t="s">
        <v>383</v>
      </c>
      <c r="O118" s="26"/>
      <c r="P118" s="26"/>
      <c r="AMJ118" s="0"/>
    </row>
    <row r="119" s="27" customFormat="true" ht="33.35" hidden="false" customHeight="false" outlineLevel="0" collapsed="false">
      <c r="A119" s="78" t="n">
        <v>44624</v>
      </c>
      <c r="B119" s="79" t="s">
        <v>399</v>
      </c>
      <c r="C119" s="79" t="s">
        <v>394</v>
      </c>
      <c r="D119" s="73" t="s">
        <v>395</v>
      </c>
      <c r="E119" s="66" t="s">
        <v>396</v>
      </c>
      <c r="F119" s="66"/>
      <c r="G119" s="49"/>
      <c r="H119" s="66"/>
      <c r="I119" s="75" t="n">
        <v>0.143</v>
      </c>
      <c r="J119" s="80" t="n">
        <f aca="false">12000</f>
        <v>12000</v>
      </c>
      <c r="K119" s="36" t="e">
        <f aca="false">#REF!*I119*J119</f>
        <v>#REF!</v>
      </c>
      <c r="L119" s="36"/>
      <c r="M119" s="37" t="e">
        <f aca="false">J119-K119-L119</f>
        <v>#REF!</v>
      </c>
      <c r="N119" s="77" t="s">
        <v>383</v>
      </c>
      <c r="O119" s="26"/>
      <c r="P119" s="26"/>
      <c r="AMJ119" s="0"/>
    </row>
    <row r="120" s="27" customFormat="true" ht="33.35" hidden="false" customHeight="false" outlineLevel="0" collapsed="false">
      <c r="A120" s="78" t="n">
        <v>44624</v>
      </c>
      <c r="B120" s="79" t="s">
        <v>400</v>
      </c>
      <c r="C120" s="79" t="s">
        <v>394</v>
      </c>
      <c r="D120" s="73" t="s">
        <v>395</v>
      </c>
      <c r="E120" s="66" t="s">
        <v>396</v>
      </c>
      <c r="F120" s="66"/>
      <c r="G120" s="49"/>
      <c r="H120" s="66"/>
      <c r="I120" s="75" t="n">
        <v>0.143</v>
      </c>
      <c r="J120" s="80" t="n">
        <f aca="false">31304.35</f>
        <v>31304.35</v>
      </c>
      <c r="K120" s="36" t="e">
        <f aca="false">#REF!*I120*J120</f>
        <v>#REF!</v>
      </c>
      <c r="L120" s="36"/>
      <c r="M120" s="37" t="e">
        <f aca="false">J120-K120-L120</f>
        <v>#REF!</v>
      </c>
      <c r="N120" s="77" t="s">
        <v>383</v>
      </c>
      <c r="O120" s="26"/>
      <c r="P120" s="26"/>
      <c r="AMJ120" s="0"/>
    </row>
    <row r="121" s="27" customFormat="true" ht="33.35" hidden="false" customHeight="false" outlineLevel="0" collapsed="false">
      <c r="A121" s="78" t="n">
        <v>44624</v>
      </c>
      <c r="B121" s="79" t="s">
        <v>400</v>
      </c>
      <c r="C121" s="79" t="s">
        <v>394</v>
      </c>
      <c r="D121" s="73" t="s">
        <v>395</v>
      </c>
      <c r="E121" s="66" t="s">
        <v>396</v>
      </c>
      <c r="F121" s="66"/>
      <c r="G121" s="49"/>
      <c r="H121" s="66"/>
      <c r="I121" s="75" t="n">
        <v>0.143</v>
      </c>
      <c r="J121" s="80" t="n">
        <f aca="false">31304.35</f>
        <v>31304.35</v>
      </c>
      <c r="K121" s="36" t="e">
        <f aca="false">#REF!*I121*J121</f>
        <v>#REF!</v>
      </c>
      <c r="L121" s="36"/>
      <c r="M121" s="37" t="e">
        <f aca="false">J121-K121-L121</f>
        <v>#REF!</v>
      </c>
      <c r="N121" s="77" t="s">
        <v>383</v>
      </c>
      <c r="O121" s="26"/>
      <c r="P121" s="26"/>
      <c r="AMJ121" s="0"/>
    </row>
    <row r="122" s="27" customFormat="true" ht="33.35" hidden="false" customHeight="false" outlineLevel="0" collapsed="false">
      <c r="A122" s="78" t="n">
        <v>44649</v>
      </c>
      <c r="B122" s="79" t="s">
        <v>401</v>
      </c>
      <c r="C122" s="79" t="s">
        <v>402</v>
      </c>
      <c r="D122" s="73" t="s">
        <v>78</v>
      </c>
      <c r="E122" s="66" t="s">
        <v>403</v>
      </c>
      <c r="F122" s="66"/>
      <c r="G122" s="49"/>
      <c r="H122" s="66"/>
      <c r="I122" s="75" t="n">
        <v>0.143</v>
      </c>
      <c r="J122" s="80" t="n">
        <v>16500</v>
      </c>
      <c r="K122" s="36" t="e">
        <f aca="false">#REF!*I122*J122</f>
        <v>#REF!</v>
      </c>
      <c r="L122" s="36"/>
      <c r="M122" s="37" t="e">
        <f aca="false">J122-K122-L122</f>
        <v>#REF!</v>
      </c>
      <c r="N122" s="77" t="s">
        <v>383</v>
      </c>
      <c r="O122" s="26"/>
      <c r="P122" s="26"/>
      <c r="AMJ122" s="0"/>
    </row>
    <row r="123" s="27" customFormat="true" ht="33.35" hidden="false" customHeight="false" outlineLevel="0" collapsed="false">
      <c r="A123" s="78" t="n">
        <v>44649</v>
      </c>
      <c r="B123" s="79" t="s">
        <v>401</v>
      </c>
      <c r="C123" s="79" t="s">
        <v>402</v>
      </c>
      <c r="D123" s="73" t="s">
        <v>78</v>
      </c>
      <c r="E123" s="66" t="s">
        <v>403</v>
      </c>
      <c r="F123" s="66"/>
      <c r="G123" s="49"/>
      <c r="H123" s="66"/>
      <c r="I123" s="75" t="n">
        <v>0.143</v>
      </c>
      <c r="J123" s="80" t="n">
        <v>16500</v>
      </c>
      <c r="K123" s="36" t="e">
        <f aca="false">#REF!*I123*J123</f>
        <v>#REF!</v>
      </c>
      <c r="L123" s="36"/>
      <c r="M123" s="37" t="e">
        <f aca="false">J123-K123-L123</f>
        <v>#REF!</v>
      </c>
      <c r="N123" s="77" t="s">
        <v>383</v>
      </c>
      <c r="O123" s="26"/>
      <c r="P123" s="26"/>
      <c r="AMJ123" s="0"/>
    </row>
    <row r="124" s="27" customFormat="true" ht="33.35" hidden="false" customHeight="false" outlineLevel="0" collapsed="false">
      <c r="A124" s="78" t="n">
        <v>44649</v>
      </c>
      <c r="B124" s="79" t="s">
        <v>401</v>
      </c>
      <c r="C124" s="79" t="s">
        <v>402</v>
      </c>
      <c r="D124" s="73" t="s">
        <v>78</v>
      </c>
      <c r="E124" s="66" t="s">
        <v>403</v>
      </c>
      <c r="F124" s="66"/>
      <c r="G124" s="49"/>
      <c r="H124" s="66"/>
      <c r="I124" s="75" t="n">
        <v>0.143</v>
      </c>
      <c r="J124" s="80" t="n">
        <v>16500</v>
      </c>
      <c r="K124" s="36" t="e">
        <f aca="false">#REF!*I124*J124</f>
        <v>#REF!</v>
      </c>
      <c r="L124" s="36"/>
      <c r="M124" s="37" t="e">
        <f aca="false">J124-K124-L124</f>
        <v>#REF!</v>
      </c>
      <c r="N124" s="77" t="s">
        <v>383</v>
      </c>
      <c r="O124" s="26"/>
      <c r="P124" s="26"/>
      <c r="AMJ124" s="0"/>
    </row>
    <row r="125" s="27" customFormat="true" ht="33.35" hidden="false" customHeight="false" outlineLevel="0" collapsed="false">
      <c r="A125" s="78" t="n">
        <v>44649</v>
      </c>
      <c r="B125" s="79" t="s">
        <v>401</v>
      </c>
      <c r="C125" s="79" t="s">
        <v>402</v>
      </c>
      <c r="D125" s="73" t="s">
        <v>78</v>
      </c>
      <c r="E125" s="66" t="s">
        <v>403</v>
      </c>
      <c r="F125" s="66"/>
      <c r="G125" s="49"/>
      <c r="H125" s="66"/>
      <c r="I125" s="75" t="n">
        <v>0.143</v>
      </c>
      <c r="J125" s="80" t="n">
        <v>16500</v>
      </c>
      <c r="K125" s="36" t="e">
        <f aca="false">#REF!*I125*J125</f>
        <v>#REF!</v>
      </c>
      <c r="L125" s="36"/>
      <c r="M125" s="37" t="e">
        <f aca="false">J125-K125-L125</f>
        <v>#REF!</v>
      </c>
      <c r="N125" s="77" t="s">
        <v>383</v>
      </c>
      <c r="O125" s="26"/>
      <c r="P125" s="26"/>
      <c r="AMJ125" s="0"/>
    </row>
    <row r="126" s="27" customFormat="true" ht="33.35" hidden="false" customHeight="false" outlineLevel="0" collapsed="false">
      <c r="A126" s="78" t="n">
        <v>44649</v>
      </c>
      <c r="B126" s="79" t="s">
        <v>401</v>
      </c>
      <c r="C126" s="79" t="s">
        <v>402</v>
      </c>
      <c r="D126" s="73" t="s">
        <v>78</v>
      </c>
      <c r="E126" s="66" t="s">
        <v>403</v>
      </c>
      <c r="F126" s="66"/>
      <c r="G126" s="49"/>
      <c r="H126" s="66"/>
      <c r="I126" s="75" t="n">
        <v>0.143</v>
      </c>
      <c r="J126" s="80" t="n">
        <v>16500</v>
      </c>
      <c r="K126" s="36" t="e">
        <f aca="false">#REF!*I126*J126</f>
        <v>#REF!</v>
      </c>
      <c r="L126" s="36"/>
      <c r="M126" s="37" t="e">
        <f aca="false">J126-K126-L126</f>
        <v>#REF!</v>
      </c>
      <c r="N126" s="77" t="s">
        <v>383</v>
      </c>
      <c r="O126" s="26"/>
      <c r="P126" s="26"/>
      <c r="AMJ126" s="0"/>
    </row>
    <row r="127" s="27" customFormat="true" ht="33.35" hidden="false" customHeight="false" outlineLevel="0" collapsed="false">
      <c r="A127" s="78" t="n">
        <v>44649</v>
      </c>
      <c r="B127" s="79" t="s">
        <v>401</v>
      </c>
      <c r="C127" s="79" t="s">
        <v>402</v>
      </c>
      <c r="D127" s="73" t="s">
        <v>78</v>
      </c>
      <c r="E127" s="66" t="s">
        <v>403</v>
      </c>
      <c r="F127" s="66"/>
      <c r="G127" s="49"/>
      <c r="H127" s="66"/>
      <c r="I127" s="75" t="n">
        <v>0.143</v>
      </c>
      <c r="J127" s="80" t="n">
        <v>16500</v>
      </c>
      <c r="K127" s="36" t="e">
        <f aca="false">#REF!*I127*J127</f>
        <v>#REF!</v>
      </c>
      <c r="L127" s="36"/>
      <c r="M127" s="37" t="e">
        <f aca="false">J127-K127-L127</f>
        <v>#REF!</v>
      </c>
      <c r="N127" s="77" t="s">
        <v>383</v>
      </c>
      <c r="O127" s="26"/>
      <c r="P127" s="26"/>
      <c r="AMJ127" s="0"/>
    </row>
    <row r="128" s="27" customFormat="true" ht="33.35" hidden="false" customHeight="false" outlineLevel="0" collapsed="false">
      <c r="A128" s="78" t="n">
        <v>44649</v>
      </c>
      <c r="B128" s="79" t="s">
        <v>401</v>
      </c>
      <c r="C128" s="79" t="s">
        <v>402</v>
      </c>
      <c r="D128" s="73" t="s">
        <v>78</v>
      </c>
      <c r="E128" s="66" t="s">
        <v>403</v>
      </c>
      <c r="F128" s="66"/>
      <c r="G128" s="49"/>
      <c r="H128" s="66"/>
      <c r="I128" s="75" t="n">
        <v>0.143</v>
      </c>
      <c r="J128" s="80" t="n">
        <v>16500</v>
      </c>
      <c r="K128" s="36" t="e">
        <f aca="false">#REF!*I128*J128</f>
        <v>#REF!</v>
      </c>
      <c r="L128" s="36"/>
      <c r="M128" s="37" t="e">
        <f aca="false">J128-K128-L128</f>
        <v>#REF!</v>
      </c>
      <c r="N128" s="77" t="s">
        <v>383</v>
      </c>
      <c r="O128" s="26"/>
      <c r="P128" s="26"/>
      <c r="AMJ128" s="0"/>
    </row>
    <row r="129" s="27" customFormat="true" ht="33.35" hidden="false" customHeight="false" outlineLevel="0" collapsed="false">
      <c r="A129" s="78" t="n">
        <v>44649</v>
      </c>
      <c r="B129" s="79" t="s">
        <v>401</v>
      </c>
      <c r="C129" s="79" t="s">
        <v>402</v>
      </c>
      <c r="D129" s="73" t="s">
        <v>78</v>
      </c>
      <c r="E129" s="66" t="s">
        <v>403</v>
      </c>
      <c r="F129" s="66"/>
      <c r="G129" s="49"/>
      <c r="H129" s="66"/>
      <c r="I129" s="75" t="n">
        <v>0.143</v>
      </c>
      <c r="J129" s="80" t="n">
        <v>16500</v>
      </c>
      <c r="K129" s="36" t="e">
        <f aca="false">#REF!*I129*J129</f>
        <v>#REF!</v>
      </c>
      <c r="L129" s="36"/>
      <c r="M129" s="37" t="e">
        <f aca="false">J129-K129-L129</f>
        <v>#REF!</v>
      </c>
      <c r="N129" s="77" t="s">
        <v>383</v>
      </c>
      <c r="O129" s="26"/>
      <c r="P129" s="26"/>
      <c r="AMJ129" s="0"/>
    </row>
    <row r="130" s="27" customFormat="true" ht="33.35" hidden="false" customHeight="false" outlineLevel="0" collapsed="false">
      <c r="A130" s="78" t="n">
        <v>44649</v>
      </c>
      <c r="B130" s="79" t="s">
        <v>401</v>
      </c>
      <c r="C130" s="79" t="s">
        <v>402</v>
      </c>
      <c r="D130" s="73" t="s">
        <v>78</v>
      </c>
      <c r="E130" s="66" t="s">
        <v>403</v>
      </c>
      <c r="F130" s="66"/>
      <c r="G130" s="49"/>
      <c r="H130" s="66"/>
      <c r="I130" s="75" t="n">
        <v>0.143</v>
      </c>
      <c r="J130" s="80" t="n">
        <v>16500</v>
      </c>
      <c r="K130" s="36" t="e">
        <f aca="false">#REF!*I130*J130</f>
        <v>#REF!</v>
      </c>
      <c r="L130" s="36"/>
      <c r="M130" s="37" t="e">
        <f aca="false">J130-K130-L130</f>
        <v>#REF!</v>
      </c>
      <c r="N130" s="77" t="s">
        <v>383</v>
      </c>
      <c r="O130" s="26"/>
      <c r="P130" s="26"/>
      <c r="AMJ130" s="0"/>
    </row>
    <row r="131" s="27" customFormat="true" ht="33.35" hidden="false" customHeight="false" outlineLevel="0" collapsed="false">
      <c r="A131" s="78" t="n">
        <v>44649</v>
      </c>
      <c r="B131" s="79" t="s">
        <v>401</v>
      </c>
      <c r="C131" s="79" t="s">
        <v>402</v>
      </c>
      <c r="D131" s="73" t="s">
        <v>78</v>
      </c>
      <c r="E131" s="66" t="s">
        <v>403</v>
      </c>
      <c r="F131" s="66"/>
      <c r="G131" s="49"/>
      <c r="H131" s="66"/>
      <c r="I131" s="75" t="n">
        <v>0.143</v>
      </c>
      <c r="J131" s="80" t="n">
        <v>16500</v>
      </c>
      <c r="K131" s="36" t="e">
        <f aca="false">#REF!*I131*J131</f>
        <v>#REF!</v>
      </c>
      <c r="L131" s="36"/>
      <c r="M131" s="37" t="e">
        <f aca="false">J131-K131-L131</f>
        <v>#REF!</v>
      </c>
      <c r="N131" s="77" t="s">
        <v>383</v>
      </c>
      <c r="O131" s="26"/>
      <c r="P131" s="26"/>
      <c r="AMJ131" s="0"/>
    </row>
    <row r="132" s="27" customFormat="true" ht="33.35" hidden="false" customHeight="false" outlineLevel="0" collapsed="false">
      <c r="A132" s="78" t="n">
        <v>44649</v>
      </c>
      <c r="B132" s="79" t="s">
        <v>401</v>
      </c>
      <c r="C132" s="79" t="s">
        <v>402</v>
      </c>
      <c r="D132" s="73" t="s">
        <v>78</v>
      </c>
      <c r="E132" s="66" t="s">
        <v>403</v>
      </c>
      <c r="F132" s="66"/>
      <c r="G132" s="49"/>
      <c r="H132" s="66"/>
      <c r="I132" s="75" t="n">
        <v>0.143</v>
      </c>
      <c r="J132" s="80" t="n">
        <v>16500</v>
      </c>
      <c r="K132" s="36" t="e">
        <f aca="false">#REF!*I132*J132</f>
        <v>#REF!</v>
      </c>
      <c r="L132" s="36"/>
      <c r="M132" s="37" t="e">
        <f aca="false">J132-K132-L132</f>
        <v>#REF!</v>
      </c>
      <c r="N132" s="77" t="s">
        <v>383</v>
      </c>
      <c r="O132" s="26"/>
      <c r="P132" s="26"/>
      <c r="AMJ132" s="0"/>
    </row>
    <row r="133" s="27" customFormat="true" ht="33.35" hidden="false" customHeight="false" outlineLevel="0" collapsed="false">
      <c r="A133" s="78" t="n">
        <v>44649</v>
      </c>
      <c r="B133" s="79" t="s">
        <v>404</v>
      </c>
      <c r="C133" s="79" t="s">
        <v>402</v>
      </c>
      <c r="D133" s="73" t="s">
        <v>78</v>
      </c>
      <c r="E133" s="66" t="s">
        <v>403</v>
      </c>
      <c r="F133" s="66"/>
      <c r="G133" s="49"/>
      <c r="H133" s="66"/>
      <c r="I133" s="75" t="n">
        <v>0.143</v>
      </c>
      <c r="J133" s="80" t="n">
        <f aca="false">13000</f>
        <v>13000</v>
      </c>
      <c r="K133" s="36" t="e">
        <f aca="false">#REF!*I133*J133</f>
        <v>#REF!</v>
      </c>
      <c r="L133" s="36"/>
      <c r="M133" s="37" t="e">
        <f aca="false">J133-K133-L133</f>
        <v>#REF!</v>
      </c>
      <c r="N133" s="77" t="s">
        <v>383</v>
      </c>
      <c r="O133" s="26"/>
      <c r="P133" s="26"/>
      <c r="AMJ133" s="0"/>
    </row>
    <row r="134" s="27" customFormat="true" ht="33.35" hidden="false" customHeight="false" outlineLevel="0" collapsed="false">
      <c r="A134" s="78" t="n">
        <v>44649</v>
      </c>
      <c r="B134" s="79" t="s">
        <v>404</v>
      </c>
      <c r="C134" s="79" t="s">
        <v>402</v>
      </c>
      <c r="D134" s="73" t="s">
        <v>78</v>
      </c>
      <c r="E134" s="66" t="s">
        <v>403</v>
      </c>
      <c r="F134" s="66"/>
      <c r="G134" s="49"/>
      <c r="H134" s="66"/>
      <c r="I134" s="75" t="n">
        <v>0.143</v>
      </c>
      <c r="J134" s="80" t="n">
        <f aca="false">13000</f>
        <v>13000</v>
      </c>
      <c r="K134" s="36" t="e">
        <f aca="false">#REF!*I134*J134</f>
        <v>#REF!</v>
      </c>
      <c r="L134" s="36"/>
      <c r="M134" s="37" t="e">
        <f aca="false">J134-K134-L134</f>
        <v>#REF!</v>
      </c>
      <c r="N134" s="77" t="s">
        <v>383</v>
      </c>
      <c r="O134" s="26"/>
      <c r="P134" s="26"/>
      <c r="AMJ134" s="0"/>
    </row>
    <row r="135" s="27" customFormat="true" ht="33.35" hidden="false" customHeight="false" outlineLevel="0" collapsed="false">
      <c r="A135" s="78" t="n">
        <v>44649</v>
      </c>
      <c r="B135" s="79" t="s">
        <v>404</v>
      </c>
      <c r="C135" s="79" t="s">
        <v>402</v>
      </c>
      <c r="D135" s="73" t="s">
        <v>78</v>
      </c>
      <c r="E135" s="66" t="s">
        <v>403</v>
      </c>
      <c r="F135" s="66"/>
      <c r="G135" s="49"/>
      <c r="H135" s="66"/>
      <c r="I135" s="75" t="n">
        <v>0.143</v>
      </c>
      <c r="J135" s="80" t="n">
        <f aca="false">13000</f>
        <v>13000</v>
      </c>
      <c r="K135" s="36" t="e">
        <f aca="false">#REF!*I135*J135</f>
        <v>#REF!</v>
      </c>
      <c r="L135" s="36"/>
      <c r="M135" s="37" t="e">
        <f aca="false">J135-K135-L135</f>
        <v>#REF!</v>
      </c>
      <c r="N135" s="77" t="s">
        <v>383</v>
      </c>
      <c r="O135" s="26"/>
      <c r="P135" s="26"/>
      <c r="AMJ135" s="0"/>
    </row>
    <row r="136" s="27" customFormat="true" ht="33.35" hidden="false" customHeight="false" outlineLevel="0" collapsed="false">
      <c r="A136" s="78" t="n">
        <v>44649</v>
      </c>
      <c r="B136" s="79" t="s">
        <v>404</v>
      </c>
      <c r="C136" s="79" t="s">
        <v>402</v>
      </c>
      <c r="D136" s="73" t="s">
        <v>78</v>
      </c>
      <c r="E136" s="66" t="s">
        <v>403</v>
      </c>
      <c r="F136" s="66"/>
      <c r="G136" s="49"/>
      <c r="H136" s="66"/>
      <c r="I136" s="75" t="n">
        <v>0.143</v>
      </c>
      <c r="J136" s="80" t="n">
        <f aca="false">13000</f>
        <v>13000</v>
      </c>
      <c r="K136" s="36" t="e">
        <f aca="false">#REF!*I136*J136</f>
        <v>#REF!</v>
      </c>
      <c r="L136" s="36"/>
      <c r="M136" s="37" t="e">
        <f aca="false">J136-K136-L136</f>
        <v>#REF!</v>
      </c>
      <c r="N136" s="77" t="s">
        <v>383</v>
      </c>
      <c r="O136" s="26"/>
      <c r="P136" s="26"/>
      <c r="AMJ136" s="0"/>
    </row>
    <row r="137" s="27" customFormat="true" ht="33.35" hidden="false" customHeight="false" outlineLevel="0" collapsed="false">
      <c r="A137" s="78" t="n">
        <v>44649</v>
      </c>
      <c r="B137" s="79" t="s">
        <v>397</v>
      </c>
      <c r="C137" s="79" t="s">
        <v>402</v>
      </c>
      <c r="D137" s="73" t="s">
        <v>78</v>
      </c>
      <c r="E137" s="66" t="s">
        <v>403</v>
      </c>
      <c r="F137" s="66"/>
      <c r="G137" s="49"/>
      <c r="H137" s="66"/>
      <c r="I137" s="75" t="n">
        <v>0.143</v>
      </c>
      <c r="J137" s="80" t="n">
        <f aca="false">8500</f>
        <v>8500</v>
      </c>
      <c r="K137" s="36" t="e">
        <f aca="false">#REF!*I137*J137</f>
        <v>#REF!</v>
      </c>
      <c r="L137" s="36"/>
      <c r="M137" s="37" t="e">
        <f aca="false">J137-K137-L137</f>
        <v>#REF!</v>
      </c>
      <c r="N137" s="77" t="s">
        <v>383</v>
      </c>
      <c r="O137" s="26"/>
      <c r="P137" s="26"/>
      <c r="AMJ137" s="0"/>
    </row>
    <row r="138" s="27" customFormat="true" ht="33.35" hidden="false" customHeight="false" outlineLevel="0" collapsed="false">
      <c r="A138" s="78" t="n">
        <v>44649</v>
      </c>
      <c r="B138" s="79" t="s">
        <v>397</v>
      </c>
      <c r="C138" s="79" t="s">
        <v>402</v>
      </c>
      <c r="D138" s="73" t="s">
        <v>78</v>
      </c>
      <c r="E138" s="66" t="s">
        <v>403</v>
      </c>
      <c r="F138" s="66"/>
      <c r="G138" s="49"/>
      <c r="H138" s="66"/>
      <c r="I138" s="75" t="n">
        <v>0.143</v>
      </c>
      <c r="J138" s="80" t="n">
        <f aca="false">8500</f>
        <v>8500</v>
      </c>
      <c r="K138" s="36" t="e">
        <f aca="false">#REF!*I138*J138</f>
        <v>#REF!</v>
      </c>
      <c r="L138" s="36"/>
      <c r="M138" s="37" t="e">
        <f aca="false">J138-K138-L138</f>
        <v>#REF!</v>
      </c>
      <c r="N138" s="77" t="s">
        <v>383</v>
      </c>
      <c r="O138" s="26"/>
      <c r="P138" s="26"/>
      <c r="AMJ138" s="0"/>
    </row>
    <row r="139" s="27" customFormat="true" ht="33.35" hidden="false" customHeight="false" outlineLevel="0" collapsed="false">
      <c r="A139" s="78" t="n">
        <v>44649</v>
      </c>
      <c r="B139" s="79" t="s">
        <v>397</v>
      </c>
      <c r="C139" s="79" t="s">
        <v>402</v>
      </c>
      <c r="D139" s="73" t="s">
        <v>78</v>
      </c>
      <c r="E139" s="66" t="s">
        <v>403</v>
      </c>
      <c r="F139" s="66"/>
      <c r="G139" s="49"/>
      <c r="H139" s="66"/>
      <c r="I139" s="75" t="n">
        <v>0.143</v>
      </c>
      <c r="J139" s="80" t="n">
        <f aca="false">8500</f>
        <v>8500</v>
      </c>
      <c r="K139" s="36" t="e">
        <f aca="false">#REF!*I139*J139</f>
        <v>#REF!</v>
      </c>
      <c r="L139" s="36"/>
      <c r="M139" s="37" t="e">
        <f aca="false">J139-K139-L139</f>
        <v>#REF!</v>
      </c>
      <c r="N139" s="77" t="s">
        <v>383</v>
      </c>
      <c r="O139" s="26"/>
      <c r="P139" s="26"/>
      <c r="AMJ139" s="0"/>
    </row>
    <row r="140" s="27" customFormat="true" ht="33.35" hidden="false" customHeight="false" outlineLevel="0" collapsed="false">
      <c r="A140" s="78" t="n">
        <v>44649</v>
      </c>
      <c r="B140" s="79" t="s">
        <v>405</v>
      </c>
      <c r="C140" s="79" t="s">
        <v>402</v>
      </c>
      <c r="D140" s="73" t="s">
        <v>78</v>
      </c>
      <c r="E140" s="66" t="s">
        <v>403</v>
      </c>
      <c r="F140" s="66"/>
      <c r="G140" s="49"/>
      <c r="H140" s="66"/>
      <c r="I140" s="75" t="n">
        <v>0.143</v>
      </c>
      <c r="J140" s="80" t="n">
        <v>8000</v>
      </c>
      <c r="K140" s="36" t="e">
        <f aca="false">#REF!*I140*J140</f>
        <v>#REF!</v>
      </c>
      <c r="L140" s="36"/>
      <c r="M140" s="37" t="e">
        <f aca="false">J140-K140-L140</f>
        <v>#REF!</v>
      </c>
      <c r="N140" s="77" t="s">
        <v>383</v>
      </c>
      <c r="O140" s="26"/>
      <c r="P140" s="26"/>
      <c r="AMJ140" s="0"/>
    </row>
    <row r="141" s="27" customFormat="true" ht="33.35" hidden="false" customHeight="false" outlineLevel="0" collapsed="false">
      <c r="A141" s="78" t="n">
        <v>44649</v>
      </c>
      <c r="B141" s="79" t="s">
        <v>406</v>
      </c>
      <c r="C141" s="79" t="s">
        <v>402</v>
      </c>
      <c r="D141" s="73" t="s">
        <v>78</v>
      </c>
      <c r="E141" s="66" t="s">
        <v>403</v>
      </c>
      <c r="F141" s="66"/>
      <c r="G141" s="49"/>
      <c r="H141" s="66"/>
      <c r="I141" s="75" t="n">
        <v>0.143</v>
      </c>
      <c r="J141" s="80" t="n">
        <f aca="false">8000</f>
        <v>8000</v>
      </c>
      <c r="K141" s="36" t="e">
        <f aca="false">#REF!*I141*J141</f>
        <v>#REF!</v>
      </c>
      <c r="L141" s="36"/>
      <c r="M141" s="37" t="e">
        <f aca="false">J141-K141-L141</f>
        <v>#REF!</v>
      </c>
      <c r="N141" s="77" t="s">
        <v>383</v>
      </c>
      <c r="O141" s="26"/>
      <c r="P141" s="26"/>
      <c r="AMJ141" s="0"/>
    </row>
    <row r="142" s="27" customFormat="true" ht="33.35" hidden="false" customHeight="false" outlineLevel="0" collapsed="false">
      <c r="A142" s="78" t="n">
        <v>44649</v>
      </c>
      <c r="B142" s="79" t="s">
        <v>407</v>
      </c>
      <c r="C142" s="79" t="s">
        <v>402</v>
      </c>
      <c r="D142" s="73" t="s">
        <v>78</v>
      </c>
      <c r="E142" s="66" t="s">
        <v>403</v>
      </c>
      <c r="F142" s="66"/>
      <c r="G142" s="49"/>
      <c r="H142" s="66"/>
      <c r="I142" s="75" t="n">
        <v>0.143</v>
      </c>
      <c r="J142" s="80" t="n">
        <v>7000</v>
      </c>
      <c r="K142" s="36" t="e">
        <f aca="false">#REF!*I142*J142</f>
        <v>#REF!</v>
      </c>
      <c r="L142" s="36"/>
      <c r="M142" s="37" t="e">
        <f aca="false">J142-K142-L142</f>
        <v>#REF!</v>
      </c>
      <c r="N142" s="77" t="s">
        <v>383</v>
      </c>
      <c r="O142" s="26"/>
      <c r="P142" s="26"/>
      <c r="AMJ142" s="0"/>
    </row>
    <row r="143" s="27" customFormat="true" ht="33.35" hidden="false" customHeight="false" outlineLevel="0" collapsed="false">
      <c r="A143" s="78" t="n">
        <v>44649</v>
      </c>
      <c r="B143" s="79" t="s">
        <v>400</v>
      </c>
      <c r="C143" s="79" t="s">
        <v>402</v>
      </c>
      <c r="D143" s="73" t="s">
        <v>78</v>
      </c>
      <c r="E143" s="66" t="s">
        <v>403</v>
      </c>
      <c r="F143" s="66"/>
      <c r="G143" s="49"/>
      <c r="H143" s="66"/>
      <c r="I143" s="75" t="n">
        <v>0.143</v>
      </c>
      <c r="J143" s="37" t="n">
        <f aca="false">31304.35</f>
        <v>31304.35</v>
      </c>
      <c r="K143" s="36" t="e">
        <f aca="false">#REF!*I143*J143</f>
        <v>#REF!</v>
      </c>
      <c r="L143" s="36"/>
      <c r="M143" s="37" t="e">
        <f aca="false">J143-K143-L143</f>
        <v>#REF!</v>
      </c>
      <c r="N143" s="77" t="s">
        <v>383</v>
      </c>
      <c r="O143" s="26"/>
      <c r="P143" s="26"/>
      <c r="AMJ143" s="0"/>
    </row>
    <row r="144" s="27" customFormat="true" ht="33.35" hidden="false" customHeight="false" outlineLevel="0" collapsed="false">
      <c r="A144" s="78" t="n">
        <v>44649</v>
      </c>
      <c r="B144" s="79" t="s">
        <v>400</v>
      </c>
      <c r="C144" s="79" t="s">
        <v>402</v>
      </c>
      <c r="D144" s="73" t="s">
        <v>78</v>
      </c>
      <c r="E144" s="66" t="s">
        <v>403</v>
      </c>
      <c r="F144" s="66"/>
      <c r="G144" s="49"/>
      <c r="H144" s="66"/>
      <c r="I144" s="75" t="n">
        <v>0.143</v>
      </c>
      <c r="J144" s="37" t="n">
        <f aca="false">31304.35</f>
        <v>31304.35</v>
      </c>
      <c r="K144" s="36" t="e">
        <f aca="false">#REF!*I144*J144</f>
        <v>#REF!</v>
      </c>
      <c r="L144" s="36"/>
      <c r="M144" s="37" t="e">
        <f aca="false">J144-K144-L144</f>
        <v>#REF!</v>
      </c>
      <c r="N144" s="77" t="s">
        <v>383</v>
      </c>
      <c r="O144" s="26"/>
      <c r="P144" s="26"/>
      <c r="AMJ144" s="0"/>
    </row>
    <row r="145" s="27" customFormat="true" ht="33.35" hidden="false" customHeight="false" outlineLevel="0" collapsed="false">
      <c r="A145" s="39" t="n">
        <v>42637</v>
      </c>
      <c r="B145" s="40" t="s">
        <v>408</v>
      </c>
      <c r="C145" s="40" t="s">
        <v>409</v>
      </c>
      <c r="D145" s="40" t="s">
        <v>410</v>
      </c>
      <c r="E145" s="31" t="s">
        <v>411</v>
      </c>
      <c r="F145" s="31" t="s">
        <v>281</v>
      </c>
      <c r="G145" s="41" t="s">
        <v>281</v>
      </c>
      <c r="H145" s="31" t="s">
        <v>412</v>
      </c>
      <c r="I145" s="34" t="n">
        <v>0.143</v>
      </c>
      <c r="J145" s="37" t="n">
        <v>6347.83</v>
      </c>
      <c r="K145" s="36" t="n">
        <f aca="false">J145*I145</f>
        <v>907.73969</v>
      </c>
      <c r="L145" s="36" t="n">
        <v>4341.41</v>
      </c>
      <c r="M145" s="37" t="n">
        <f aca="false">J145-K145-L145</f>
        <v>1098.68031</v>
      </c>
      <c r="N145" s="81" t="s">
        <v>413</v>
      </c>
      <c r="O145" s="26"/>
      <c r="P145" s="26"/>
      <c r="AMJ145" s="0"/>
    </row>
    <row r="146" s="27" customFormat="true" ht="33.35" hidden="false" customHeight="false" outlineLevel="0" collapsed="false">
      <c r="A146" s="39" t="n">
        <v>40493</v>
      </c>
      <c r="B146" s="40" t="s">
        <v>414</v>
      </c>
      <c r="C146" s="40" t="s">
        <v>415</v>
      </c>
      <c r="D146" s="40" t="s">
        <v>416</v>
      </c>
      <c r="E146" s="31" t="s">
        <v>417</v>
      </c>
      <c r="F146" s="31" t="s">
        <v>281</v>
      </c>
      <c r="G146" s="41" t="s">
        <v>281</v>
      </c>
      <c r="H146" s="31" t="s">
        <v>418</v>
      </c>
      <c r="I146" s="34" t="n">
        <v>0.143</v>
      </c>
      <c r="J146" s="37" t="n">
        <v>5217.39</v>
      </c>
      <c r="K146" s="36"/>
      <c r="L146" s="36" t="n">
        <v>5207.39</v>
      </c>
      <c r="M146" s="37" t="n">
        <f aca="false">J146-K146-L146</f>
        <v>10</v>
      </c>
      <c r="N146" s="81" t="s">
        <v>413</v>
      </c>
      <c r="O146" s="26"/>
      <c r="P146" s="26"/>
      <c r="AMJ146" s="0"/>
    </row>
    <row r="147" s="27" customFormat="true" ht="31.5" hidden="false" customHeight="true" outlineLevel="0" collapsed="false">
      <c r="A147" s="39" t="n">
        <v>42821</v>
      </c>
      <c r="B147" s="40" t="s">
        <v>419</v>
      </c>
      <c r="C147" s="40" t="s">
        <v>420</v>
      </c>
      <c r="D147" s="40" t="s">
        <v>57</v>
      </c>
      <c r="E147" s="31" t="s">
        <v>421</v>
      </c>
      <c r="F147" s="31" t="s">
        <v>281</v>
      </c>
      <c r="G147" s="41" t="s">
        <v>281</v>
      </c>
      <c r="H147" s="31" t="s">
        <v>138</v>
      </c>
      <c r="I147" s="34" t="n">
        <v>0.143</v>
      </c>
      <c r="J147" s="37" t="n">
        <v>3652.16</v>
      </c>
      <c r="K147" s="37" t="n">
        <f aca="false">J147*I147</f>
        <v>522.25888</v>
      </c>
      <c r="L147" s="36" t="n">
        <v>2234.81</v>
      </c>
      <c r="M147" s="37" t="n">
        <f aca="false">J147-K147-L147</f>
        <v>895.09112</v>
      </c>
      <c r="N147" s="81" t="s">
        <v>413</v>
      </c>
      <c r="O147" s="26"/>
      <c r="P147" s="26"/>
      <c r="AMJ147" s="0"/>
    </row>
    <row r="148" s="27" customFormat="true" ht="35.25" hidden="false" customHeight="true" outlineLevel="0" collapsed="false">
      <c r="A148" s="39" t="n">
        <v>40690</v>
      </c>
      <c r="B148" s="40" t="s">
        <v>422</v>
      </c>
      <c r="C148" s="40" t="s">
        <v>423</v>
      </c>
      <c r="D148" s="40" t="s">
        <v>57</v>
      </c>
      <c r="E148" s="31" t="s">
        <v>377</v>
      </c>
      <c r="F148" s="31" t="s">
        <v>281</v>
      </c>
      <c r="G148" s="41" t="s">
        <v>281</v>
      </c>
      <c r="H148" s="31" t="s">
        <v>424</v>
      </c>
      <c r="I148" s="34" t="n">
        <v>0.143</v>
      </c>
      <c r="J148" s="37" t="n">
        <v>4521.78</v>
      </c>
      <c r="K148" s="36" t="n">
        <v>0</v>
      </c>
      <c r="L148" s="36" t="n">
        <v>4511.78</v>
      </c>
      <c r="M148" s="37" t="n">
        <f aca="false">J148-K148-L148</f>
        <v>10</v>
      </c>
      <c r="N148" s="81" t="s">
        <v>413</v>
      </c>
      <c r="O148" s="26"/>
      <c r="P148" s="26"/>
      <c r="AMJ148" s="0"/>
    </row>
    <row r="149" s="27" customFormat="true" ht="40.5" hidden="false" customHeight="true" outlineLevel="0" collapsed="false">
      <c r="A149" s="39" t="n">
        <v>41167</v>
      </c>
      <c r="B149" s="40" t="s">
        <v>422</v>
      </c>
      <c r="C149" s="40" t="s">
        <v>425</v>
      </c>
      <c r="D149" s="40" t="s">
        <v>231</v>
      </c>
      <c r="E149" s="31" t="s">
        <v>426</v>
      </c>
      <c r="F149" s="31" t="s">
        <v>281</v>
      </c>
      <c r="G149" s="41" t="s">
        <v>281</v>
      </c>
      <c r="H149" s="31" t="s">
        <v>427</v>
      </c>
      <c r="I149" s="34" t="n">
        <v>0.143</v>
      </c>
      <c r="J149" s="37" t="n">
        <v>6086.96</v>
      </c>
      <c r="K149" s="36" t="n">
        <v>0</v>
      </c>
      <c r="L149" s="36" t="n">
        <v>6076.96</v>
      </c>
      <c r="M149" s="37" t="n">
        <f aca="false">J149-K149-L149</f>
        <v>10</v>
      </c>
      <c r="N149" s="81" t="s">
        <v>413</v>
      </c>
      <c r="O149" s="26"/>
      <c r="P149" s="26"/>
      <c r="AMJ149" s="0"/>
    </row>
    <row r="150" s="27" customFormat="true" ht="35.25" hidden="false" customHeight="true" outlineLevel="0" collapsed="false">
      <c r="A150" s="70" t="n">
        <v>41382</v>
      </c>
      <c r="B150" s="40" t="s">
        <v>428</v>
      </c>
      <c r="C150" s="40" t="s">
        <v>429</v>
      </c>
      <c r="D150" s="40" t="s">
        <v>430</v>
      </c>
      <c r="E150" s="82" t="s">
        <v>431</v>
      </c>
      <c r="F150" s="31" t="s">
        <v>281</v>
      </c>
      <c r="G150" s="41" t="s">
        <v>281</v>
      </c>
      <c r="H150" s="82" t="s">
        <v>432</v>
      </c>
      <c r="I150" s="34" t="n">
        <v>0.143</v>
      </c>
      <c r="J150" s="37" t="n">
        <v>8000</v>
      </c>
      <c r="K150" s="36" t="n">
        <v>0</v>
      </c>
      <c r="L150" s="36" t="n">
        <v>7990</v>
      </c>
      <c r="M150" s="37" t="n">
        <f aca="false">J150-K150-L150</f>
        <v>10</v>
      </c>
      <c r="N150" s="81" t="s">
        <v>413</v>
      </c>
      <c r="O150" s="26"/>
      <c r="P150" s="26"/>
      <c r="AMJ150" s="0"/>
    </row>
    <row r="151" s="27" customFormat="true" ht="63" hidden="false" customHeight="true" outlineLevel="0" collapsed="false">
      <c r="A151" s="28" t="n">
        <v>41122</v>
      </c>
      <c r="B151" s="83" t="s">
        <v>433</v>
      </c>
      <c r="C151" s="60" t="s">
        <v>434</v>
      </c>
      <c r="D151" s="29" t="s">
        <v>435</v>
      </c>
      <c r="E151" s="45" t="s">
        <v>436</v>
      </c>
      <c r="F151" s="31" t="s">
        <v>281</v>
      </c>
      <c r="G151" s="41" t="s">
        <v>281</v>
      </c>
      <c r="H151" s="45" t="s">
        <v>437</v>
      </c>
      <c r="I151" s="34" t="n">
        <v>0.143</v>
      </c>
      <c r="J151" s="61" t="n">
        <v>5956.51</v>
      </c>
      <c r="K151" s="36"/>
      <c r="L151" s="36" t="n">
        <v>5946.51</v>
      </c>
      <c r="M151" s="37" t="n">
        <f aca="false">J151-K151-L151</f>
        <v>10</v>
      </c>
      <c r="N151" s="81" t="str">
        <f aca="false">+N146</f>
        <v>Damage</v>
      </c>
      <c r="O151" s="26"/>
      <c r="P151" s="26"/>
      <c r="AMJ151" s="0"/>
    </row>
    <row r="152" s="27" customFormat="true" ht="17.35" hidden="false" customHeight="false" outlineLevel="0" collapsed="false">
      <c r="A152" s="44" t="n">
        <v>43104</v>
      </c>
      <c r="B152" s="29" t="s">
        <v>438</v>
      </c>
      <c r="C152" s="29" t="s">
        <v>90</v>
      </c>
      <c r="D152" s="29" t="s">
        <v>57</v>
      </c>
      <c r="E152" s="45" t="s">
        <v>91</v>
      </c>
      <c r="F152" s="31" t="s">
        <v>281</v>
      </c>
      <c r="G152" s="41" t="s">
        <v>281</v>
      </c>
      <c r="H152" s="45" t="s">
        <v>439</v>
      </c>
      <c r="I152" s="34" t="n">
        <v>0.143</v>
      </c>
      <c r="J152" s="35" t="n">
        <v>2217.39</v>
      </c>
      <c r="K152" s="36" t="n">
        <f aca="false">J152*I152</f>
        <v>317.08677</v>
      </c>
      <c r="L152" s="36" t="n">
        <v>1110.92</v>
      </c>
      <c r="M152" s="37" t="n">
        <f aca="false">J152-K152-L152</f>
        <v>789.38323</v>
      </c>
      <c r="N152" s="81" t="str">
        <f aca="false">+N151</f>
        <v>Damage</v>
      </c>
      <c r="O152" s="26"/>
      <c r="P152" s="26"/>
      <c r="AMJ152" s="0"/>
    </row>
    <row r="153" s="27" customFormat="true" ht="41.25" hidden="false" customHeight="true" outlineLevel="0" collapsed="false">
      <c r="A153" s="44" t="n">
        <v>41181</v>
      </c>
      <c r="B153" s="29" t="s">
        <v>440</v>
      </c>
      <c r="C153" s="29" t="s">
        <v>230</v>
      </c>
      <c r="D153" s="29" t="s">
        <v>231</v>
      </c>
      <c r="E153" s="45" t="s">
        <v>441</v>
      </c>
      <c r="F153" s="31" t="s">
        <v>281</v>
      </c>
      <c r="G153" s="41" t="s">
        <v>281</v>
      </c>
      <c r="H153" s="45" t="s">
        <v>442</v>
      </c>
      <c r="I153" s="34" t="n">
        <v>0.143</v>
      </c>
      <c r="J153" s="35" t="n">
        <v>10869.57</v>
      </c>
      <c r="K153" s="36"/>
      <c r="L153" s="37" t="n">
        <v>10859.57</v>
      </c>
      <c r="M153" s="37" t="n">
        <f aca="false">J153-K153-L153</f>
        <v>10</v>
      </c>
      <c r="N153" s="81" t="str">
        <f aca="false">+N152</f>
        <v>Damage</v>
      </c>
      <c r="O153" s="26"/>
      <c r="P153" s="26"/>
      <c r="AMJ153" s="0"/>
    </row>
    <row r="154" s="27" customFormat="true" ht="33.35" hidden="false" customHeight="false" outlineLevel="0" collapsed="false">
      <c r="A154" s="44" t="n">
        <f aca="false">A40</f>
        <v>42878</v>
      </c>
      <c r="B154" s="84" t="s">
        <v>443</v>
      </c>
      <c r="C154" s="84" t="str">
        <f aca="false">C40</f>
        <v>FS00001347</v>
      </c>
      <c r="D154" s="84" t="str">
        <f aca="false">D40</f>
        <v>Jupiter Trading </v>
      </c>
      <c r="E154" s="85" t="str">
        <f aca="false">E40</f>
        <v>CPV3022</v>
      </c>
      <c r="F154" s="85" t="s">
        <v>281</v>
      </c>
      <c r="G154" s="41" t="s">
        <v>281</v>
      </c>
      <c r="H154" s="45" t="s">
        <v>182</v>
      </c>
      <c r="I154" s="34" t="n">
        <v>0.143</v>
      </c>
      <c r="J154" s="37" t="n">
        <v>6260.87</v>
      </c>
      <c r="K154" s="36" t="n">
        <f aca="false">I154*J154</f>
        <v>895.30441</v>
      </c>
      <c r="L154" s="37" t="n">
        <v>3691.66</v>
      </c>
      <c r="M154" s="37" t="n">
        <f aca="false">J154-K154-L154</f>
        <v>1673.90559</v>
      </c>
      <c r="N154" s="81" t="str">
        <f aca="false">+N153</f>
        <v>Damage</v>
      </c>
      <c r="O154" s="26"/>
      <c r="P154" s="26"/>
      <c r="AMJ154" s="0"/>
    </row>
    <row r="155" s="27" customFormat="true" ht="33.35" hidden="false" customHeight="false" outlineLevel="0" collapsed="false">
      <c r="A155" s="28" t="n">
        <f aca="false">A40</f>
        <v>42878</v>
      </c>
      <c r="B155" s="84" t="s">
        <v>444</v>
      </c>
      <c r="C155" s="29" t="s">
        <v>445</v>
      </c>
      <c r="D155" s="29" t="s">
        <v>243</v>
      </c>
      <c r="E155" s="30" t="s">
        <v>446</v>
      </c>
      <c r="F155" s="31" t="s">
        <v>281</v>
      </c>
      <c r="G155" s="41" t="s">
        <v>281</v>
      </c>
      <c r="H155" s="45" t="s">
        <v>201</v>
      </c>
      <c r="I155" s="34" t="n">
        <v>0.143</v>
      </c>
      <c r="J155" s="35" t="n">
        <v>6260.87</v>
      </c>
      <c r="K155" s="36" t="n">
        <f aca="false">I155*J155</f>
        <v>895.30441</v>
      </c>
      <c r="L155" s="37" t="n">
        <v>4963.06</v>
      </c>
      <c r="M155" s="37" t="n">
        <f aca="false">J155-K155-L155</f>
        <v>402.50559</v>
      </c>
      <c r="N155" s="81" t="str">
        <f aca="false">+N153</f>
        <v>Damage</v>
      </c>
      <c r="O155" s="26"/>
      <c r="P155" s="26"/>
      <c r="AMJ155" s="0"/>
    </row>
    <row r="156" s="27" customFormat="true" ht="17.35" hidden="false" customHeight="false" outlineLevel="0" collapsed="false">
      <c r="A156" s="46" t="n">
        <f aca="false">A10</f>
        <v>42985</v>
      </c>
      <c r="B156" s="86" t="s">
        <v>447</v>
      </c>
      <c r="C156" s="86" t="str">
        <f aca="false">C10</f>
        <v>FS00004462</v>
      </c>
      <c r="D156" s="86" t="str">
        <f aca="false">D10</f>
        <v>Cyclops Importer</v>
      </c>
      <c r="E156" s="87" t="str">
        <f aca="false">E10</f>
        <v>CPV3261</v>
      </c>
      <c r="F156" s="66" t="s">
        <v>281</v>
      </c>
      <c r="G156" s="41" t="s">
        <v>281</v>
      </c>
      <c r="H156" s="87" t="s">
        <v>60</v>
      </c>
      <c r="I156" s="34" t="n">
        <v>0.143</v>
      </c>
      <c r="J156" s="50" t="n">
        <v>6347.83</v>
      </c>
      <c r="K156" s="36" t="n">
        <f aca="false">I156*J156</f>
        <v>907.73969</v>
      </c>
      <c r="L156" s="80" t="n">
        <v>3475.9</v>
      </c>
      <c r="M156" s="37" t="n">
        <f aca="false">J156-K156-L156</f>
        <v>1964.19031</v>
      </c>
      <c r="N156" s="81" t="str">
        <f aca="false">+N154</f>
        <v>Damage</v>
      </c>
      <c r="O156" s="26"/>
      <c r="P156" s="26"/>
      <c r="AMJ156" s="0"/>
    </row>
    <row r="157" s="27" customFormat="true" ht="33.35" hidden="false" customHeight="false" outlineLevel="0" collapsed="false">
      <c r="A157" s="18" t="n">
        <v>42838</v>
      </c>
      <c r="B157" s="19" t="s">
        <v>448</v>
      </c>
      <c r="C157" s="19" t="s">
        <v>449</v>
      </c>
      <c r="D157" s="19" t="s">
        <v>450</v>
      </c>
      <c r="E157" s="20" t="s">
        <v>451</v>
      </c>
      <c r="F157" s="20"/>
      <c r="G157" s="21"/>
      <c r="H157" s="20" t="s">
        <v>452</v>
      </c>
      <c r="I157" s="88" t="n">
        <v>0.143</v>
      </c>
      <c r="J157" s="23" t="n">
        <v>7460.87</v>
      </c>
      <c r="K157" s="23" t="n">
        <f aca="false">J157*I157</f>
        <v>1066.90441</v>
      </c>
      <c r="L157" s="23" t="n">
        <v>4515.78926402167</v>
      </c>
      <c r="M157" s="23" t="n">
        <f aca="false">J157-K157-L157</f>
        <v>1878.17632597833</v>
      </c>
      <c r="N157" s="25" t="s">
        <v>453</v>
      </c>
      <c r="O157" s="26"/>
      <c r="P157" s="26"/>
      <c r="AMJ157" s="0"/>
    </row>
    <row r="158" s="27" customFormat="true" ht="33.35" hidden="false" customHeight="false" outlineLevel="0" collapsed="false">
      <c r="A158" s="44" t="e">
        <f aca="false">#ERR520!</f>
        <v>#N/A</v>
      </c>
      <c r="B158" s="84" t="s">
        <v>454</v>
      </c>
      <c r="C158" s="84"/>
      <c r="D158" s="84"/>
      <c r="E158" s="85"/>
      <c r="F158" s="31"/>
      <c r="G158" s="41"/>
      <c r="H158" s="85" t="s">
        <v>455</v>
      </c>
      <c r="I158" s="34" t="n">
        <v>0.143</v>
      </c>
      <c r="J158" s="35" t="n">
        <v>2350</v>
      </c>
      <c r="K158" s="37"/>
      <c r="L158" s="37" t="n">
        <v>2340</v>
      </c>
      <c r="M158" s="37" t="n">
        <f aca="false">J158-K158-L158</f>
        <v>10</v>
      </c>
      <c r="N158" s="42" t="s">
        <v>453</v>
      </c>
      <c r="O158" s="26"/>
      <c r="P158" s="26"/>
      <c r="AMJ158" s="0"/>
    </row>
    <row r="159" s="27" customFormat="true" ht="17.35" hidden="false" customHeight="false" outlineLevel="0" collapsed="false">
      <c r="A159" s="44" t="e">
        <f aca="false">#ERR520!</f>
        <v>#N/A</v>
      </c>
      <c r="B159" s="84" t="e">
        <f aca="false">#ERR520!</f>
        <v>#N/A</v>
      </c>
      <c r="C159" s="84" t="e">
        <f aca="false">#ERR520!</f>
        <v>#N/A</v>
      </c>
      <c r="D159" s="84" t="e">
        <f aca="false">#ERR520!</f>
        <v>#N/A</v>
      </c>
      <c r="E159" s="85" t="e">
        <f aca="false">#ERR520!</f>
        <v>#N/A</v>
      </c>
      <c r="F159" s="31"/>
      <c r="G159" s="41"/>
      <c r="H159" s="45" t="s">
        <v>46</v>
      </c>
      <c r="I159" s="34" t="n">
        <v>0.143</v>
      </c>
      <c r="J159" s="35" t="n">
        <v>2173.91</v>
      </c>
      <c r="K159" s="37" t="n">
        <f aca="false">J159*I159</f>
        <v>310.86913</v>
      </c>
      <c r="L159" s="37" t="n">
        <v>1405.11281440096</v>
      </c>
      <c r="M159" s="37" t="n">
        <f aca="false">J159-K159-L159</f>
        <v>457.92805559904</v>
      </c>
      <c r="N159" s="42" t="s">
        <v>453</v>
      </c>
      <c r="O159" s="26"/>
      <c r="P159" s="26"/>
      <c r="AMJ159" s="0"/>
    </row>
    <row r="160" s="27" customFormat="true" ht="33.35" hidden="false" customHeight="false" outlineLevel="0" collapsed="false">
      <c r="A160" s="28" t="n">
        <v>43291</v>
      </c>
      <c r="B160" s="29" t="s">
        <v>61</v>
      </c>
      <c r="C160" s="60" t="s">
        <v>456</v>
      </c>
      <c r="D160" s="43" t="s">
        <v>457</v>
      </c>
      <c r="E160" s="62" t="s">
        <v>458</v>
      </c>
      <c r="F160" s="31"/>
      <c r="G160" s="41"/>
      <c r="H160" s="45" t="str">
        <f aca="false">H51</f>
        <v>STA-COA-001-009</v>
      </c>
      <c r="I160" s="34" t="n">
        <v>0.143</v>
      </c>
      <c r="J160" s="61" t="n">
        <v>5043.48</v>
      </c>
      <c r="K160" s="37" t="n">
        <f aca="false">J160*I160</f>
        <v>721.21764</v>
      </c>
      <c r="L160" s="61" t="n">
        <v>2156.90297656833</v>
      </c>
      <c r="M160" s="37" t="n">
        <f aca="false">J160-K160-L160</f>
        <v>2165.35938343167</v>
      </c>
      <c r="N160" s="42" t="s">
        <v>453</v>
      </c>
      <c r="O160" s="26"/>
      <c r="P160" s="26"/>
      <c r="AMJ160" s="0"/>
    </row>
    <row r="161" s="94" customFormat="true" ht="51.75" hidden="false" customHeight="false" outlineLevel="0" collapsed="false">
      <c r="A161" s="89" t="s">
        <v>459</v>
      </c>
      <c r="B161" s="53" t="s">
        <v>460</v>
      </c>
      <c r="C161" s="89" t="s">
        <v>461</v>
      </c>
      <c r="D161" s="53" t="s">
        <v>462</v>
      </c>
      <c r="E161" s="90" t="s">
        <v>463</v>
      </c>
      <c r="F161" s="56"/>
      <c r="G161" s="41"/>
      <c r="H161" s="90" t="s">
        <v>464</v>
      </c>
      <c r="I161" s="34" t="n">
        <v>0.143</v>
      </c>
      <c r="J161" s="35" t="n">
        <v>3739.13</v>
      </c>
      <c r="K161" s="37" t="n">
        <v>0</v>
      </c>
      <c r="L161" s="91" t="n">
        <v>3729.13</v>
      </c>
      <c r="M161" s="37" t="n">
        <f aca="false">J161-K161-L161</f>
        <v>10</v>
      </c>
      <c r="N161" s="92" t="s">
        <v>465</v>
      </c>
      <c r="O161" s="93"/>
      <c r="P161" s="93"/>
      <c r="AMJ161" s="0"/>
    </row>
  </sheetData>
  <mergeCells count="16">
    <mergeCell ref="G10:G11"/>
    <mergeCell ref="H10:H11"/>
    <mergeCell ref="N10:N11"/>
    <mergeCell ref="G14:G15"/>
    <mergeCell ref="H14:H15"/>
    <mergeCell ref="N14:N15"/>
    <mergeCell ref="G40:G41"/>
    <mergeCell ref="H40:H41"/>
    <mergeCell ref="N40:N41"/>
    <mergeCell ref="G44:G45"/>
    <mergeCell ref="H44:H45"/>
    <mergeCell ref="N44:N45"/>
    <mergeCell ref="G54:G56"/>
    <mergeCell ref="H54:H56"/>
    <mergeCell ref="N54:N56"/>
    <mergeCell ref="H60:H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2022-07-07T09:44:16Z</dcterms:created>
  <dc:creator/>
  <dc:description/>
  <dc:language>en-US</dc:language>
  <cp:lastModifiedBy/>
  <dcterms:modified xsi:type="dcterms:W3CDTF">2022-07-09T08:50:15Z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