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mc:AlternateContent xmlns:mc="http://schemas.openxmlformats.org/markup-compatibility/2006">
    <mc:Choice Requires="x15">
      <x15ac:absPath xmlns:x15ac="http://schemas.microsoft.com/office/spreadsheetml/2010/11/ac" url="C:\Users\18613\Desktop\cursor\FundsMonitor-CIQ\ciq reference\data\"/>
    </mc:Choice>
  </mc:AlternateContent>
  <xr:revisionPtr revIDLastSave="0" documentId="13_ncr:1_{93D92E0D-96D5-438E-8AE0-C8CA9CC29652}" xr6:coauthVersionLast="47" xr6:coauthVersionMax="47" xr10:uidLastSave="{00000000-0000-0000-0000-000000000000}"/>
  <bookViews>
    <workbookView xWindow="-110" yWindow="-110" windowWidth="25820" windowHeight="15500" firstSheet="2" activeTab="2" xr2:uid="{00000000-000D-0000-FFFF-FFFF00000000}"/>
  </bookViews>
  <sheets>
    <sheet name="__snloffice" sheetId="8" state="veryHidden" r:id="rId1"/>
    <sheet name="_CIQHiddenCacheSheet" sheetId="141" state="veryHidden" r:id="rId2"/>
    <sheet name="raw1" sheetId="12" r:id="rId3"/>
    <sheet name="raw2" sheetId="2" r:id="rId4"/>
    <sheet name="chart" sheetId="4" r:id="rId5"/>
    <sheet name="排序" sheetId="21" state="hidden" r:id="rId6"/>
    <sheet name="holdings" sheetId="20" r:id="rId7"/>
    <sheet name="weight" sheetId="22" state="hidden" r:id="rId8"/>
    <sheet name="report" sheetId="17" state="hidden" r:id="rId9"/>
    <sheet name="contribu" sheetId="19" state="hidden" r:id="rId10"/>
    <sheet name="memo" sheetId="5" r:id="rId11"/>
    <sheet name="shares" sheetId="110" r:id="rId12"/>
    <sheet name="07_30_2025_agix_holdings" sheetId="111" r:id="rId13"/>
    <sheet name="Yearly-Macro-1" sheetId="30" r:id="rId14"/>
    <sheet name="Yearly-Macro-2" sheetId="36" r:id="rId15"/>
    <sheet name="Yearly-Sector" sheetId="78" r:id="rId16"/>
    <sheet name="Yearly-Companies" sheetId="79" r:id="rId17"/>
    <sheet name="Yearly-App" sheetId="43" r:id="rId18"/>
    <sheet name="Yearly-Infra" sheetId="44" r:id="rId19"/>
    <sheet name="Yearly-Semi" sheetId="45" r:id="rId20"/>
    <sheet name="Yearly-Sector-Raw-Contribute" sheetId="49" r:id="rId21"/>
  </sheets>
  <definedNames>
    <definedName name="_xlnm._FilterDatabase" localSheetId="6" hidden="1">holdings!$A$4:$P$48</definedName>
    <definedName name="CIQWBGuid" hidden="1">"db972fdc-ba4d-4522-8167-aa2f711ca686"</definedName>
    <definedName name="CIQWBInfo" hidden="1">"{ ""CIQVersion"":""9.51.3510.3078"" }"</definedName>
    <definedName name="IQ_CH">110000</definedName>
    <definedName name="IQ_CQ">5000</definedName>
    <definedName name="IQ_CY">10000</definedName>
    <definedName name="IQ_DAILY">500000</definedName>
    <definedName name="IQ_DNTM" hidden="1">700000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MTD" hidden="1">800000</definedName>
    <definedName name="IQ_NAMES_REVISION_DATE_" hidden="1">"08/04/2025 00:55:56"</definedName>
    <definedName name="IQ_NTM">6000</definedName>
    <definedName name="IQ_QTD" hidden="1">750000</definedName>
    <definedName name="IQ_TODAY" hidden="1">0</definedName>
    <definedName name="IQ_WEEK">50000</definedName>
    <definedName name="IQ_YTD">3000</definedName>
    <definedName name="IQ_YTDMONTH" hidden="1">130000</definedName>
    <definedName name="snl__C8CA0B60_4E8F_4CD7_84CA_963B56B161DD_" localSheetId="2" hidden="1">'raw1'!#REF!</definedName>
    <definedName name="snl__C8CA0B60_4E8F_4CD7_84CA_963B56B161DD_" localSheetId="3" hidden="1">'raw2'!#REF!</definedName>
  </definedNames>
  <calcPr calcId="191029"/>
  <pivotCaches>
    <pivotCache cacheId="0" r:id="rId22"/>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5" i="20" l="1"/>
  <c r="D34" i="20"/>
  <c r="D18" i="20"/>
  <c r="K8" i="20"/>
  <c r="K38" i="20"/>
  <c r="K18" i="2"/>
  <c r="I6" i="2"/>
  <c r="AB25" i="2"/>
  <c r="AB5" i="2"/>
  <c r="D35" i="20"/>
  <c r="D19" i="20"/>
  <c r="K6" i="2"/>
  <c r="AB26" i="2"/>
  <c r="AB6" i="2"/>
  <c r="R11" i="2"/>
  <c r="R9" i="2"/>
  <c r="P10" i="2"/>
  <c r="N12" i="2"/>
  <c r="N10" i="2"/>
  <c r="G19" i="2"/>
  <c r="E22" i="2"/>
  <c r="D24" i="2"/>
  <c r="D22" i="2"/>
  <c r="X26" i="2"/>
  <c r="X15" i="2"/>
  <c r="X9" i="2"/>
  <c r="H27" i="20"/>
  <c r="H23" i="20"/>
  <c r="H19" i="20"/>
  <c r="H47" i="20"/>
  <c r="H43" i="20"/>
  <c r="H39" i="20"/>
  <c r="H35" i="20"/>
  <c r="D25" i="20"/>
  <c r="D9" i="20"/>
  <c r="H15" i="20"/>
  <c r="H11" i="20"/>
  <c r="H7" i="20"/>
  <c r="D40" i="20"/>
  <c r="D41" i="20"/>
  <c r="H31" i="20"/>
  <c r="I8" i="2"/>
  <c r="X7" i="2"/>
  <c r="AB14" i="2"/>
  <c r="R17" i="2"/>
  <c r="P18" i="2"/>
  <c r="N20" i="2"/>
  <c r="N18" i="2"/>
  <c r="G26" i="2"/>
  <c r="G7" i="2"/>
  <c r="E10" i="2"/>
  <c r="E8" i="2"/>
  <c r="D10" i="2"/>
  <c r="X22" i="2"/>
  <c r="X19" i="2"/>
  <c r="X13" i="2"/>
  <c r="H42" i="20"/>
  <c r="H29" i="20"/>
  <c r="H30" i="20"/>
  <c r="H25" i="20"/>
  <c r="H14" i="20"/>
  <c r="H9" i="20"/>
  <c r="H45" i="20"/>
  <c r="H41" i="20"/>
  <c r="H37" i="20"/>
  <c r="H18" i="20"/>
  <c r="H13" i="20"/>
  <c r="D28" i="20"/>
  <c r="D15" i="20"/>
  <c r="D38" i="20"/>
  <c r="D27" i="20"/>
  <c r="D4" i="20"/>
  <c r="H34" i="20"/>
  <c r="P24" i="2"/>
  <c r="N11" i="2"/>
  <c r="G22" i="2"/>
  <c r="G5" i="2"/>
  <c r="E13" i="2"/>
  <c r="D16" i="2"/>
  <c r="I20" i="2"/>
  <c r="K15" i="2"/>
  <c r="I13" i="2"/>
  <c r="K8" i="2"/>
  <c r="AB23" i="2"/>
  <c r="AB8" i="2"/>
  <c r="H40" i="20"/>
  <c r="D29" i="20"/>
  <c r="D16" i="20"/>
  <c r="R20" i="2"/>
  <c r="P25" i="2"/>
  <c r="P6" i="2"/>
  <c r="N13" i="2"/>
  <c r="G23" i="2"/>
  <c r="G6" i="2"/>
  <c r="E14" i="2"/>
  <c r="D17" i="2"/>
  <c r="I25" i="2"/>
  <c r="K20" i="2"/>
  <c r="X17" i="2"/>
  <c r="AB24" i="2"/>
  <c r="AB9" i="2"/>
  <c r="H28" i="20"/>
  <c r="H46" i="20"/>
  <c r="D31" i="20"/>
  <c r="R22" i="2"/>
  <c r="R5" i="2"/>
  <c r="P8" i="2"/>
  <c r="N15" i="2"/>
  <c r="G25" i="2"/>
  <c r="G9" i="2"/>
  <c r="E16" i="2"/>
  <c r="D19" i="2"/>
  <c r="I23" i="2"/>
  <c r="I18" i="2"/>
  <c r="I11" i="2"/>
  <c r="AB4" i="2"/>
  <c r="E4" i="2"/>
  <c r="H36" i="20"/>
  <c r="D37" i="20"/>
  <c r="D26" i="20"/>
  <c r="N24" i="2"/>
  <c r="N6" i="2"/>
  <c r="G17" i="2"/>
  <c r="E25" i="2"/>
  <c r="E7" i="2"/>
  <c r="D12" i="2"/>
  <c r="I24" i="2"/>
  <c r="I12" i="2"/>
  <c r="N4" i="2"/>
  <c r="AB19" i="2"/>
  <c r="R14" i="2"/>
  <c r="P17" i="2"/>
  <c r="H21" i="20"/>
  <c r="D47" i="20"/>
  <c r="D17" i="20"/>
  <c r="K22" i="2"/>
  <c r="K14" i="2"/>
  <c r="K10" i="2"/>
  <c r="AB16" i="2"/>
  <c r="R6" i="2"/>
  <c r="N26" i="2"/>
  <c r="D20" i="2"/>
  <c r="H20" i="20"/>
  <c r="D39" i="20"/>
  <c r="D6" i="20"/>
  <c r="K16" i="2"/>
  <c r="G4" i="2"/>
  <c r="AB18" i="2"/>
  <c r="R8" i="2"/>
  <c r="H38" i="20"/>
  <c r="D42" i="20"/>
  <c r="D7" i="20"/>
  <c r="K24" i="2"/>
  <c r="K12" i="2"/>
  <c r="R21" i="2"/>
  <c r="R10" i="2"/>
  <c r="N14" i="2"/>
  <c r="G13" i="2"/>
  <c r="E15" i="2"/>
  <c r="D7" i="2"/>
  <c r="H10" i="20"/>
  <c r="D43" i="20"/>
  <c r="D30" i="20"/>
  <c r="D10" i="20"/>
  <c r="X24" i="2"/>
  <c r="X20" i="2"/>
  <c r="H17" i="20"/>
  <c r="D32" i="20"/>
  <c r="D11" i="20"/>
  <c r="I9" i="2"/>
  <c r="P4" i="2"/>
  <c r="AB7" i="2"/>
  <c r="R25" i="2"/>
  <c r="P16" i="2"/>
  <c r="N19" i="2"/>
  <c r="G16" i="2"/>
  <c r="D23" i="2"/>
  <c r="D11" i="2"/>
  <c r="H26" i="20"/>
  <c r="H16" i="20"/>
  <c r="H8" i="20"/>
  <c r="D20" i="20"/>
  <c r="K23" i="2"/>
  <c r="X14" i="2"/>
  <c r="K11" i="2"/>
  <c r="D21" i="20"/>
  <c r="I19" i="2"/>
  <c r="I7" i="2"/>
  <c r="AB21" i="2"/>
  <c r="R12" i="2"/>
  <c r="P22" i="2"/>
  <c r="E5" i="2"/>
  <c r="H33" i="20"/>
  <c r="H24" i="20"/>
  <c r="H6" i="20"/>
  <c r="D23" i="20"/>
  <c r="E20" i="2"/>
  <c r="E9" i="2"/>
  <c r="K25" i="2"/>
  <c r="I17" i="2"/>
  <c r="K13" i="2"/>
  <c r="D4" i="2"/>
  <c r="R15" i="2"/>
  <c r="P7" i="2"/>
  <c r="N7" i="2"/>
  <c r="G8" i="2"/>
  <c r="H44" i="20"/>
  <c r="H32" i="20"/>
  <c r="H22" i="20"/>
  <c r="D45" i="20"/>
  <c r="D13" i="20"/>
  <c r="G21" i="2"/>
  <c r="E24" i="2"/>
  <c r="D15" i="2"/>
  <c r="AB17" i="2"/>
  <c r="R18" i="2"/>
  <c r="G15" i="2"/>
  <c r="E26" i="2"/>
  <c r="X21" i="2"/>
  <c r="AB13" i="2"/>
  <c r="R19" i="2"/>
  <c r="P12" i="2"/>
  <c r="N23" i="2"/>
  <c r="X23" i="2"/>
  <c r="X16" i="2"/>
  <c r="X6" i="2"/>
  <c r="P26" i="2"/>
  <c r="N21" i="2"/>
  <c r="G18" i="2"/>
  <c r="E11" i="2"/>
  <c r="K26" i="2"/>
  <c r="X8" i="2"/>
  <c r="D44" i="20"/>
  <c r="K9" i="2"/>
  <c r="R7" i="2"/>
  <c r="N22" i="2"/>
  <c r="G20" i="2"/>
  <c r="E12" i="2"/>
  <c r="D46" i="20"/>
  <c r="I15" i="2"/>
  <c r="AB10" i="2"/>
  <c r="P14" i="2"/>
  <c r="N25" i="2"/>
  <c r="E17" i="2"/>
  <c r="D36" i="20"/>
  <c r="P15" i="2"/>
  <c r="G10" i="2"/>
  <c r="E18" i="2"/>
  <c r="D33" i="20"/>
  <c r="I21" i="2"/>
  <c r="R4" i="2"/>
  <c r="P19" i="2"/>
  <c r="N16" i="2"/>
  <c r="G11" i="2"/>
  <c r="D25" i="2"/>
  <c r="D22" i="20"/>
  <c r="K21" i="2"/>
  <c r="I14" i="2"/>
  <c r="X4" i="2"/>
  <c r="P20" i="2"/>
  <c r="N17" i="2"/>
  <c r="D26" i="2"/>
  <c r="D24" i="20"/>
  <c r="I22" i="2"/>
  <c r="P23" i="2"/>
  <c r="K5" i="2"/>
  <c r="E6" i="2"/>
  <c r="D12" i="20"/>
  <c r="I4" i="2"/>
  <c r="P9" i="2"/>
  <c r="P5" i="2"/>
  <c r="D13" i="2"/>
  <c r="D14" i="20"/>
  <c r="X12" i="2"/>
  <c r="K4" i="2"/>
  <c r="P11" i="2"/>
  <c r="N5" i="2"/>
  <c r="D14" i="2"/>
  <c r="D5" i="20"/>
  <c r="X18" i="2"/>
  <c r="X10" i="2"/>
  <c r="R23" i="2"/>
  <c r="P13" i="2"/>
  <c r="N8" i="2"/>
  <c r="D18" i="2"/>
  <c r="D8" i="20"/>
  <c r="K19" i="2"/>
  <c r="AB20" i="2"/>
  <c r="R24" i="2"/>
  <c r="N9" i="2"/>
  <c r="H4" i="20"/>
  <c r="K17" i="2"/>
  <c r="X11" i="2"/>
  <c r="AB22" i="2"/>
  <c r="R26" i="2"/>
  <c r="G24" i="2"/>
  <c r="D6" i="2"/>
  <c r="AB11" i="2"/>
  <c r="E19" i="2"/>
  <c r="D8" i="2"/>
  <c r="H12" i="20"/>
  <c r="I10" i="2"/>
  <c r="AB12" i="2"/>
  <c r="R13" i="2"/>
  <c r="G12" i="2"/>
  <c r="E21" i="2"/>
  <c r="D9" i="2"/>
  <c r="X25" i="2"/>
  <c r="I16" i="2"/>
  <c r="AB15" i="2"/>
  <c r="R16" i="2"/>
  <c r="G14" i="2"/>
  <c r="E23" i="2"/>
  <c r="O8" i="12"/>
  <c r="M9" i="12"/>
  <c r="J9" i="12"/>
  <c r="K9" i="12"/>
  <c r="L9" i="12"/>
  <c r="P9" i="12"/>
  <c r="K7" i="12"/>
  <c r="L7" i="12"/>
  <c r="P7" i="12"/>
  <c r="O7" i="12"/>
  <c r="M8" i="12"/>
  <c r="J8" i="12"/>
  <c r="K8" i="12"/>
  <c r="L8" i="12"/>
  <c r="P8" i="12"/>
  <c r="J5" i="12"/>
  <c r="K5" i="12"/>
  <c r="L5" i="12"/>
  <c r="P5" i="12"/>
  <c r="O5" i="12"/>
  <c r="P6" i="12"/>
  <c r="O6" i="12"/>
  <c r="M7" i="12"/>
  <c r="J7" i="12"/>
  <c r="P3" i="12"/>
  <c r="O3" i="12"/>
  <c r="M4" i="12"/>
  <c r="J4" i="12"/>
  <c r="K4" i="12"/>
  <c r="L4" i="12"/>
  <c r="P4" i="12"/>
  <c r="O4" i="12"/>
  <c r="M5" i="12"/>
  <c r="M2" i="12"/>
  <c r="J2" i="12"/>
  <c r="K2" i="12"/>
  <c r="L2" i="12"/>
  <c r="Q2" i="12"/>
  <c r="M3" i="12"/>
  <c r="J3" i="12"/>
  <c r="K3" i="12"/>
  <c r="L3" i="12"/>
  <c r="E2" i="12"/>
  <c r="F2" i="12"/>
  <c r="G2" i="12"/>
  <c r="H2" i="12"/>
  <c r="I2" i="12"/>
  <c r="E3" i="12"/>
  <c r="F3" i="12"/>
  <c r="G3" i="12"/>
  <c r="H3" i="12"/>
  <c r="H16" i="12" s="1"/>
  <c r="I3" i="12"/>
  <c r="I16" i="12" s="1"/>
  <c r="E4" i="12"/>
  <c r="E17" i="12" s="1"/>
  <c r="F4" i="12"/>
  <c r="F17" i="12" s="1"/>
  <c r="G4" i="12"/>
  <c r="G17" i="12" s="1"/>
  <c r="H4" i="12"/>
  <c r="H17" i="12" s="1"/>
  <c r="I4" i="12"/>
  <c r="I17" i="12" s="1"/>
  <c r="E5" i="12"/>
  <c r="E18" i="12" s="1"/>
  <c r="F5" i="12"/>
  <c r="G5" i="12"/>
  <c r="H5" i="12"/>
  <c r="I5" i="12"/>
  <c r="E6" i="12"/>
  <c r="F6" i="12"/>
  <c r="G6" i="12"/>
  <c r="H6" i="12"/>
  <c r="I6" i="12"/>
  <c r="E7" i="12"/>
  <c r="F7" i="12"/>
  <c r="G7" i="12"/>
  <c r="H7" i="12"/>
  <c r="I7" i="12"/>
  <c r="E8" i="12"/>
  <c r="F8" i="12"/>
  <c r="G8" i="12"/>
  <c r="H8" i="12"/>
  <c r="I8" i="12"/>
  <c r="E9" i="12"/>
  <c r="F9" i="12"/>
  <c r="G9" i="12"/>
  <c r="H9" i="12"/>
  <c r="I9" i="12"/>
  <c r="E15" i="12"/>
  <c r="F15" i="12"/>
  <c r="G15" i="12"/>
  <c r="H15" i="12"/>
  <c r="I15" i="12"/>
  <c r="E16" i="12"/>
  <c r="F16" i="12"/>
  <c r="G16" i="12"/>
  <c r="F18" i="12"/>
  <c r="G18" i="12"/>
  <c r="H18" i="12"/>
  <c r="I18" i="12"/>
  <c r="A2" i="79"/>
  <c r="A3" i="79"/>
  <c r="A4" i="79"/>
  <c r="A5" i="79"/>
  <c r="A6" i="79"/>
  <c r="A7" i="79"/>
  <c r="A8" i="79"/>
  <c r="A9" i="79"/>
  <c r="A10" i="79"/>
  <c r="A11" i="79"/>
  <c r="A12" i="79"/>
  <c r="A13" i="79"/>
  <c r="A14" i="79"/>
  <c r="A15" i="79"/>
  <c r="A16" i="79"/>
  <c r="A17" i="79"/>
  <c r="A18" i="79"/>
  <c r="A19" i="79"/>
  <c r="A20" i="79"/>
  <c r="A21" i="79"/>
  <c r="A22" i="79"/>
  <c r="A23" i="79"/>
  <c r="A24" i="79"/>
  <c r="A25" i="79"/>
  <c r="A26" i="79"/>
  <c r="A27" i="79"/>
  <c r="A28" i="79"/>
  <c r="A29" i="79"/>
  <c r="A30" i="79"/>
  <c r="A31" i="79"/>
  <c r="A32" i="79"/>
  <c r="A33" i="79"/>
  <c r="A34" i="79"/>
  <c r="A35" i="79"/>
  <c r="A36" i="79"/>
  <c r="A37" i="79"/>
  <c r="A38" i="79"/>
  <c r="A39" i="79"/>
  <c r="A40" i="79"/>
  <c r="A41" i="79"/>
  <c r="A42" i="79"/>
  <c r="A43" i="79"/>
  <c r="A44" i="79"/>
  <c r="A45" i="79"/>
  <c r="H2" i="110"/>
  <c r="H3" i="110"/>
  <c r="H4" i="110"/>
  <c r="H5" i="110"/>
  <c r="H6" i="110"/>
  <c r="H7" i="110"/>
  <c r="H8" i="110"/>
  <c r="H9" i="110"/>
  <c r="H10" i="110"/>
  <c r="H11" i="110"/>
  <c r="H12" i="110"/>
  <c r="H13" i="110"/>
  <c r="H14" i="110"/>
  <c r="H15" i="110"/>
  <c r="H16" i="110"/>
  <c r="H17" i="110"/>
  <c r="H18" i="110"/>
  <c r="H19" i="110"/>
  <c r="H20" i="110"/>
  <c r="H21" i="110"/>
  <c r="H22" i="110"/>
  <c r="H23" i="110"/>
  <c r="H24" i="110"/>
  <c r="H25" i="110"/>
  <c r="H26" i="110"/>
  <c r="H27" i="110"/>
  <c r="H28" i="110"/>
  <c r="H29" i="110"/>
  <c r="H30" i="110"/>
  <c r="H31" i="110"/>
  <c r="H32" i="110"/>
  <c r="H33" i="110"/>
  <c r="H34" i="110"/>
  <c r="H35" i="110"/>
  <c r="H36" i="110"/>
  <c r="H37" i="110"/>
  <c r="H38" i="110"/>
  <c r="H39" i="110"/>
  <c r="H40" i="110"/>
  <c r="H41" i="110"/>
  <c r="H42" i="110"/>
  <c r="H43" i="110"/>
  <c r="H44" i="110"/>
  <c r="H45" i="110"/>
  <c r="D2" i="19"/>
  <c r="D3" i="19"/>
  <c r="D4" i="19"/>
  <c r="D5" i="19"/>
  <c r="D6" i="19"/>
  <c r="D7" i="19"/>
  <c r="D8" i="19"/>
  <c r="D9" i="19"/>
  <c r="J9" i="19"/>
  <c r="M9" i="19"/>
  <c r="M12" i="19"/>
  <c r="L9" i="19"/>
  <c r="D10" i="19"/>
  <c r="J10" i="19"/>
  <c r="M10" i="19"/>
  <c r="L10" i="19"/>
  <c r="D11" i="19"/>
  <c r="J11" i="19"/>
  <c r="M11" i="19"/>
  <c r="L11" i="19" s="1"/>
  <c r="D12" i="19"/>
  <c r="J12" i="19"/>
  <c r="D13" i="19"/>
  <c r="D14" i="19"/>
  <c r="D15" i="19"/>
  <c r="D16" i="19"/>
  <c r="D17" i="19"/>
  <c r="D18" i="19"/>
  <c r="D19" i="19"/>
  <c r="D20" i="19"/>
  <c r="D21" i="19"/>
  <c r="D22" i="19"/>
  <c r="D23" i="19"/>
  <c r="D24" i="19"/>
  <c r="D25" i="19"/>
  <c r="D26" i="19"/>
  <c r="D27" i="19"/>
  <c r="D28" i="19"/>
  <c r="D29" i="19"/>
  <c r="D30" i="19"/>
  <c r="D31" i="19"/>
  <c r="D32" i="19"/>
  <c r="D33" i="19"/>
  <c r="D34" i="19"/>
  <c r="D35" i="19"/>
  <c r="D36" i="19"/>
  <c r="D37" i="19"/>
  <c r="D38" i="19"/>
  <c r="D39" i="19"/>
  <c r="D40" i="19"/>
  <c r="D41" i="19"/>
  <c r="D42" i="19"/>
  <c r="D43" i="19"/>
  <c r="D44" i="19"/>
  <c r="D45" i="19"/>
  <c r="A9" i="17"/>
  <c r="O2" i="17"/>
  <c r="H2" i="17" s="1"/>
  <c r="A11" i="17"/>
  <c r="A10" i="17"/>
  <c r="P5" i="17"/>
  <c r="H1" i="20"/>
  <c r="I1" i="20"/>
  <c r="J1" i="20"/>
  <c r="K1" i="20"/>
  <c r="I2" i="20"/>
  <c r="J2" i="20"/>
  <c r="K2" i="20"/>
  <c r="F4" i="20"/>
  <c r="R4" i="20"/>
  <c r="S4" i="20"/>
  <c r="F5" i="20"/>
  <c r="R5" i="20"/>
  <c r="S5" i="20"/>
  <c r="F6" i="20"/>
  <c r="R6" i="20"/>
  <c r="S6" i="20"/>
  <c r="F7" i="20"/>
  <c r="R7" i="20"/>
  <c r="S7" i="20"/>
  <c r="F8" i="20"/>
  <c r="R8" i="20"/>
  <c r="S8" i="20"/>
  <c r="F9" i="20"/>
  <c r="R9" i="20"/>
  <c r="S9" i="20"/>
  <c r="F10" i="20"/>
  <c r="R10" i="20"/>
  <c r="S10" i="20"/>
  <c r="F11" i="20"/>
  <c r="R11" i="20"/>
  <c r="S11" i="20"/>
  <c r="F12" i="20"/>
  <c r="R12" i="20"/>
  <c r="S12" i="20"/>
  <c r="F13" i="20"/>
  <c r="R13" i="20"/>
  <c r="S13" i="20"/>
  <c r="F14" i="20"/>
  <c r="R14" i="20"/>
  <c r="S14" i="20"/>
  <c r="F15" i="20"/>
  <c r="R15" i="20"/>
  <c r="S15" i="20"/>
  <c r="F16" i="20"/>
  <c r="R16" i="20"/>
  <c r="S16" i="20"/>
  <c r="F17" i="20"/>
  <c r="R17" i="20"/>
  <c r="S17" i="20"/>
  <c r="F18" i="20"/>
  <c r="R18" i="20"/>
  <c r="S18" i="20"/>
  <c r="F19" i="20"/>
  <c r="R19" i="20"/>
  <c r="S19" i="20"/>
  <c r="F20" i="20"/>
  <c r="R20" i="20"/>
  <c r="S20" i="20"/>
  <c r="F21" i="20"/>
  <c r="R21" i="20"/>
  <c r="S21" i="20"/>
  <c r="F22" i="20"/>
  <c r="R22" i="20"/>
  <c r="S22" i="20"/>
  <c r="F23" i="20"/>
  <c r="R23" i="20"/>
  <c r="S23" i="20"/>
  <c r="F24" i="20"/>
  <c r="R24" i="20"/>
  <c r="S24" i="20"/>
  <c r="F25" i="20"/>
  <c r="R25" i="20"/>
  <c r="S25" i="20"/>
  <c r="F26" i="20"/>
  <c r="R26" i="20"/>
  <c r="S26" i="20"/>
  <c r="F27" i="20"/>
  <c r="R27" i="20"/>
  <c r="S27" i="20"/>
  <c r="F28" i="20"/>
  <c r="R28" i="20"/>
  <c r="S28" i="20"/>
  <c r="F29" i="20"/>
  <c r="R29" i="20"/>
  <c r="S29" i="20"/>
  <c r="F30" i="20"/>
  <c r="R30" i="20"/>
  <c r="S30" i="20"/>
  <c r="F31" i="20"/>
  <c r="R31" i="20"/>
  <c r="S31" i="20"/>
  <c r="F32" i="20"/>
  <c r="R32" i="20"/>
  <c r="S32" i="20"/>
  <c r="F33" i="20"/>
  <c r="R33" i="20"/>
  <c r="S33" i="20"/>
  <c r="F34" i="20"/>
  <c r="R34" i="20"/>
  <c r="S34" i="20"/>
  <c r="F35" i="20"/>
  <c r="R35" i="20"/>
  <c r="S35" i="20"/>
  <c r="F36" i="20"/>
  <c r="R36" i="20"/>
  <c r="S36" i="20"/>
  <c r="F37" i="20"/>
  <c r="R37" i="20"/>
  <c r="S37" i="20"/>
  <c r="F38" i="20"/>
  <c r="R38" i="20"/>
  <c r="S38" i="20"/>
  <c r="F39" i="20"/>
  <c r="R39" i="20"/>
  <c r="S39" i="20"/>
  <c r="F40" i="20"/>
  <c r="R40" i="20"/>
  <c r="S40" i="20"/>
  <c r="F41" i="20"/>
  <c r="R41" i="20"/>
  <c r="S41" i="20"/>
  <c r="F42" i="20"/>
  <c r="R42" i="20"/>
  <c r="S42" i="20"/>
  <c r="F43" i="20"/>
  <c r="R43" i="20"/>
  <c r="S43" i="20"/>
  <c r="F44" i="20"/>
  <c r="R44" i="20"/>
  <c r="S44" i="20"/>
  <c r="F45" i="20"/>
  <c r="R45" i="20"/>
  <c r="S45" i="20"/>
  <c r="F46" i="20"/>
  <c r="R46" i="20"/>
  <c r="S46" i="20"/>
  <c r="F47" i="20"/>
  <c r="R47" i="20"/>
  <c r="S47" i="20"/>
  <c r="E48" i="20"/>
  <c r="M2" i="4"/>
  <c r="E3" i="4"/>
  <c r="I3" i="4"/>
  <c r="J3" i="4"/>
  <c r="K3" i="4"/>
  <c r="L3" i="4"/>
  <c r="M3" i="4"/>
  <c r="I4" i="4"/>
  <c r="M4" i="4"/>
  <c r="I5" i="4"/>
  <c r="M5" i="4"/>
  <c r="I6" i="4"/>
  <c r="M6" i="4"/>
  <c r="I7" i="4"/>
  <c r="M7" i="4"/>
  <c r="I8" i="4"/>
  <c r="M8" i="4"/>
  <c r="I9" i="4"/>
  <c r="M9" i="4"/>
  <c r="I10" i="4"/>
  <c r="M10" i="4"/>
  <c r="I11" i="4"/>
  <c r="M11" i="4"/>
  <c r="I12" i="4"/>
  <c r="M12" i="4"/>
  <c r="I13" i="4"/>
  <c r="M13" i="4"/>
  <c r="I14" i="4"/>
  <c r="M14" i="4"/>
  <c r="I15" i="4"/>
  <c r="M15" i="4"/>
  <c r="I16" i="4"/>
  <c r="M16" i="4"/>
  <c r="I17" i="4"/>
  <c r="M17" i="4"/>
  <c r="I18" i="4"/>
  <c r="M18" i="4"/>
  <c r="I19" i="4"/>
  <c r="M19" i="4"/>
  <c r="I20" i="4"/>
  <c r="M20" i="4"/>
  <c r="C21" i="4"/>
  <c r="I21" i="4"/>
  <c r="M21" i="4"/>
  <c r="I22" i="4"/>
  <c r="M22" i="4"/>
  <c r="I23" i="4"/>
  <c r="M23" i="4"/>
  <c r="I24" i="4"/>
  <c r="M24" i="4"/>
  <c r="I25" i="4"/>
  <c r="M25" i="4"/>
  <c r="I26" i="4"/>
  <c r="M26" i="4"/>
  <c r="A28" i="2"/>
  <c r="A27" i="2"/>
  <c r="U2" i="2"/>
  <c r="I2" i="4" s="1"/>
  <c r="X5" i="2"/>
  <c r="Z5" i="2" s="1"/>
  <c r="J5" i="4" s="1"/>
  <c r="AD2" i="2"/>
  <c r="I5" i="2"/>
  <c r="D5" i="2"/>
  <c r="E44" i="49"/>
  <c r="E38" i="49"/>
  <c r="E31" i="49"/>
  <c r="E19" i="49"/>
  <c r="E12" i="49"/>
  <c r="E5" i="49"/>
  <c r="S15" i="45"/>
  <c r="O14" i="45"/>
  <c r="S12" i="45"/>
  <c r="Q11" i="45"/>
  <c r="S9" i="45"/>
  <c r="P8" i="45" a="1"/>
  <c r="K7" i="45"/>
  <c r="P5" i="45" a="1"/>
  <c r="L4" i="45"/>
  <c r="P2" i="45" a="1"/>
  <c r="R18" i="44" a="1"/>
  <c r="R17" i="44" a="1"/>
  <c r="M16" i="44"/>
  <c r="R14" i="44" a="1"/>
  <c r="O13" i="44"/>
  <c r="O10" i="44"/>
  <c r="M10" i="44"/>
  <c r="S8" i="44"/>
  <c r="O7" i="44"/>
  <c r="S5" i="44"/>
  <c r="Q4" i="44"/>
  <c r="S2" i="44"/>
  <c r="R13" i="43" a="1"/>
  <c r="L12" i="43"/>
  <c r="R10" i="43" a="1"/>
  <c r="M9" i="43"/>
  <c r="R7" i="43" a="1"/>
  <c r="O6" i="43"/>
  <c r="O3" i="43"/>
  <c r="M3" i="43"/>
  <c r="M7" i="36"/>
  <c r="N4" i="36"/>
  <c r="J3" i="36"/>
  <c r="M5" i="30"/>
  <c r="Q3" i="30"/>
  <c r="K2" i="30"/>
  <c r="L41" i="110" a="1"/>
  <c r="L40" i="110" a="1"/>
  <c r="L33" i="110" a="1"/>
  <c r="L32" i="110" a="1"/>
  <c r="L25" i="110" a="1"/>
  <c r="L24" i="110" a="1"/>
  <c r="L17" i="110" a="1"/>
  <c r="L16" i="110" a="1"/>
  <c r="L9" i="110" a="1"/>
  <c r="G8" i="110" a="1"/>
  <c r="L6" i="110" a="1"/>
  <c r="N4" i="17"/>
  <c r="M3" i="17"/>
  <c r="J43" i="20"/>
  <c r="J39" i="20"/>
  <c r="J35" i="20"/>
  <c r="J31" i="20"/>
  <c r="J27" i="20"/>
  <c r="J23" i="20"/>
  <c r="J19" i="20"/>
  <c r="J15" i="20"/>
  <c r="J11" i="20"/>
  <c r="J7" i="20"/>
  <c r="W26" i="2"/>
  <c r="L24" i="2"/>
  <c r="V21" i="2"/>
  <c r="V18" i="2"/>
  <c r="L15" i="2"/>
  <c r="V12" i="2"/>
  <c r="W9" i="2"/>
  <c r="L6" i="2"/>
  <c r="S8" i="2"/>
  <c r="S6" i="2"/>
  <c r="D45" i="49"/>
  <c r="D39" i="49"/>
  <c r="D27" i="49"/>
  <c r="D20" i="49"/>
  <c r="D13" i="49"/>
  <c r="D6" i="49"/>
  <c r="Q14" i="45"/>
  <c r="L13" i="45"/>
  <c r="J13" i="45"/>
  <c r="P11" i="45" a="1"/>
  <c r="J10" i="45"/>
  <c r="L7" i="45"/>
  <c r="M4" i="45"/>
  <c r="N16" i="44"/>
  <c r="Q13" i="44"/>
  <c r="S11" i="44"/>
  <c r="Q10" i="44"/>
  <c r="J9" i="44"/>
  <c r="Q7" i="44"/>
  <c r="L6" i="44"/>
  <c r="J6" i="44"/>
  <c r="P4" i="44" a="1"/>
  <c r="J3" i="44"/>
  <c r="S14" i="43"/>
  <c r="M12" i="43"/>
  <c r="N9" i="43"/>
  <c r="Q6" i="43"/>
  <c r="S4" i="43"/>
  <c r="Q3" i="43"/>
  <c r="J2" i="43"/>
  <c r="O7" i="36"/>
  <c r="N7" i="36"/>
  <c r="J6" i="36"/>
  <c r="O4" i="36"/>
  <c r="S3" i="36"/>
  <c r="N5" i="30"/>
  <c r="P3" i="30" a="1"/>
  <c r="N2" i="30"/>
  <c r="P4" i="17"/>
  <c r="K3" i="17"/>
  <c r="K43" i="20"/>
  <c r="K39" i="20"/>
  <c r="K35" i="20"/>
  <c r="K31" i="20"/>
  <c r="K27" i="20"/>
  <c r="K23" i="20"/>
  <c r="K19" i="20"/>
  <c r="K15" i="20"/>
  <c r="K11" i="20"/>
  <c r="K7" i="20"/>
  <c r="I5" i="20"/>
  <c r="V24" i="2"/>
  <c r="W21" i="2"/>
  <c r="W18" i="2"/>
  <c r="V15" i="2"/>
  <c r="W12" i="2"/>
  <c r="W6" i="2"/>
  <c r="S9" i="2"/>
  <c r="O10" i="2"/>
  <c r="F20" i="2"/>
  <c r="E45" i="49"/>
  <c r="E34" i="49"/>
  <c r="E27" i="49"/>
  <c r="E20" i="49"/>
  <c r="E13" i="49"/>
  <c r="E6" i="49"/>
  <c r="P14" i="45" a="1"/>
  <c r="M13" i="45"/>
  <c r="K13" i="45"/>
  <c r="K10" i="45"/>
  <c r="R8" i="45" a="1"/>
  <c r="M7" i="45"/>
  <c r="R5" i="45" a="1"/>
  <c r="N4" i="45"/>
  <c r="R2" i="45" a="1"/>
  <c r="S18" i="44"/>
  <c r="S17" i="44"/>
  <c r="O16" i="44"/>
  <c r="S14" i="44"/>
  <c r="D42" i="49"/>
  <c r="D35" i="49"/>
  <c r="D28" i="49"/>
  <c r="D21" i="49"/>
  <c r="D14" i="49"/>
  <c r="D2" i="49"/>
  <c r="N13" i="45"/>
  <c r="R11" i="45" a="1"/>
  <c r="N10" i="45"/>
  <c r="L10" i="45"/>
  <c r="N7" i="45"/>
  <c r="O4" i="45"/>
  <c r="K18" i="44"/>
  <c r="J18" i="44"/>
  <c r="Q16" i="44"/>
  <c r="J15" i="44"/>
  <c r="K12" i="44"/>
  <c r="L9" i="44"/>
  <c r="N6" i="44"/>
  <c r="R4" i="44" a="1"/>
  <c r="N3" i="44"/>
  <c r="L3" i="44"/>
  <c r="J14" i="43"/>
  <c r="Q12" i="43"/>
  <c r="E42" i="49"/>
  <c r="E35" i="49"/>
  <c r="E28" i="49"/>
  <c r="E21" i="49"/>
  <c r="E9" i="49"/>
  <c r="E2" i="49"/>
  <c r="R14" i="45" a="1"/>
  <c r="O13" i="45"/>
  <c r="O10" i="45"/>
  <c r="M10" i="45"/>
  <c r="S8" i="45"/>
  <c r="O7" i="45"/>
  <c r="S5" i="45"/>
  <c r="Q4" i="45"/>
  <c r="S2" i="45"/>
  <c r="L18" i="44"/>
  <c r="P16" i="44" a="1"/>
  <c r="M15" i="44"/>
  <c r="K15" i="44"/>
  <c r="R13" i="44" a="1"/>
  <c r="L12" i="44"/>
  <c r="R10" i="44" a="1"/>
  <c r="M9" i="44"/>
  <c r="R7" i="44" a="1"/>
  <c r="O6" i="44"/>
  <c r="O3" i="44"/>
  <c r="M3" i="44"/>
  <c r="K14" i="43"/>
  <c r="P12" i="43" a="1"/>
  <c r="L11" i="43"/>
  <c r="P9" i="43" a="1"/>
  <c r="M8" i="43"/>
  <c r="K8" i="43"/>
  <c r="R6" i="43" a="1"/>
  <c r="L5" i="43"/>
  <c r="R3" i="43" a="1"/>
  <c r="M2" i="43"/>
  <c r="M6" i="36"/>
  <c r="Q3" i="36"/>
  <c r="J2" i="36"/>
  <c r="P5" i="30" a="1"/>
  <c r="D43" i="49"/>
  <c r="D36" i="49"/>
  <c r="D29" i="49"/>
  <c r="D17" i="49"/>
  <c r="D10" i="49"/>
  <c r="D3" i="49"/>
  <c r="Q13" i="45"/>
  <c r="S11" i="45"/>
  <c r="Q10" i="45"/>
  <c r="J9" i="45"/>
  <c r="Q7" i="45"/>
  <c r="L6" i="45"/>
  <c r="J6" i="45"/>
  <c r="P4" i="45" a="1"/>
  <c r="J3" i="45"/>
  <c r="M18" i="44"/>
  <c r="N15" i="44"/>
  <c r="L15" i="44"/>
  <c r="M12" i="44"/>
  <c r="N9" i="44"/>
  <c r="Q6" i="44"/>
  <c r="S4" i="44"/>
  <c r="Q3" i="44"/>
  <c r="E43" i="49"/>
  <c r="E36" i="49"/>
  <c r="E24" i="49"/>
  <c r="E17" i="49"/>
  <c r="E10" i="49"/>
  <c r="E3" i="49"/>
  <c r="S14" i="45"/>
  <c r="P13" i="45" a="1"/>
  <c r="J12" i="45"/>
  <c r="P10" i="45" a="1"/>
  <c r="K9" i="45"/>
  <c r="P7" i="45" a="1"/>
  <c r="M6" i="45"/>
  <c r="K6" i="45"/>
  <c r="K3" i="45"/>
  <c r="N18" i="44"/>
  <c r="R16" i="44" a="1"/>
  <c r="O15" i="44"/>
  <c r="S13" i="44"/>
  <c r="O12" i="44"/>
  <c r="N12" i="44"/>
  <c r="S10" i="44"/>
  <c r="O9" i="44"/>
  <c r="S7" i="44"/>
  <c r="P6" i="44" a="1"/>
  <c r="J5" i="44"/>
  <c r="P3" i="44" a="1"/>
  <c r="K2" i="44"/>
  <c r="M14" i="43"/>
  <c r="R12" i="43" a="1"/>
  <c r="N11" i="43"/>
  <c r="R9" i="43" a="1"/>
  <c r="O8" i="43"/>
  <c r="S6" i="43"/>
  <c r="O5" i="43"/>
  <c r="N5" i="43"/>
  <c r="S3" i="43"/>
  <c r="O2" i="43"/>
  <c r="O6" i="36"/>
  <c r="K2" i="36"/>
  <c r="M4" i="30"/>
  <c r="K4" i="30"/>
  <c r="R2" i="30" a="1"/>
  <c r="G43" i="110" a="1"/>
  <c r="L36" i="110" a="1"/>
  <c r="G35" i="110" a="1"/>
  <c r="L28" i="110" a="1"/>
  <c r="G27" i="110" a="1"/>
  <c r="L20" i="110" a="1"/>
  <c r="G19" i="110" a="1"/>
  <c r="L12" i="110" a="1"/>
  <c r="G11" i="110" a="1"/>
  <c r="G4" i="110" a="1"/>
  <c r="L2" i="110" a="1"/>
  <c r="P3" i="17"/>
  <c r="D44" i="49"/>
  <c r="D32" i="49"/>
  <c r="D25" i="49"/>
  <c r="D18" i="49"/>
  <c r="D11" i="49"/>
  <c r="D4" i="49"/>
  <c r="J15" i="45"/>
  <c r="K12" i="45"/>
  <c r="L9" i="45"/>
  <c r="N6" i="45"/>
  <c r="R4" i="45" a="1"/>
  <c r="N3" i="45"/>
  <c r="L3" i="45"/>
  <c r="O18" i="44"/>
  <c r="Q15" i="44"/>
  <c r="J14" i="44"/>
  <c r="Q12" i="44"/>
  <c r="K11" i="44"/>
  <c r="J11" i="44"/>
  <c r="Q9" i="44"/>
  <c r="J8" i="44"/>
  <c r="K5" i="44"/>
  <c r="L2" i="44"/>
  <c r="N14" i="43"/>
  <c r="O11" i="43"/>
  <c r="Q8" i="43"/>
  <c r="J7" i="43"/>
  <c r="Q5" i="43"/>
  <c r="K4" i="43"/>
  <c r="J4" i="43"/>
  <c r="Q2" i="43"/>
  <c r="J8" i="36"/>
  <c r="Q6" i="36"/>
  <c r="J5" i="36"/>
  <c r="R3" i="36" a="1"/>
  <c r="N2" i="36"/>
  <c r="N4" i="30"/>
  <c r="L4" i="30"/>
  <c r="J3" i="17"/>
  <c r="I47" i="20"/>
  <c r="I43" i="20"/>
  <c r="I39" i="20"/>
  <c r="I35" i="20"/>
  <c r="I31" i="20"/>
  <c r="I27" i="20"/>
  <c r="I23" i="20"/>
  <c r="I19" i="20"/>
  <c r="I15" i="20"/>
  <c r="I11" i="20"/>
  <c r="I7" i="20"/>
  <c r="W25" i="2"/>
  <c r="V19" i="2"/>
  <c r="W16" i="2"/>
  <c r="H11" i="2"/>
  <c r="L4" i="2"/>
  <c r="S17" i="2"/>
  <c r="S15" i="2"/>
  <c r="O18" i="2"/>
  <c r="F8" i="2"/>
  <c r="E39" i="49"/>
  <c r="E32" i="49"/>
  <c r="E25" i="49"/>
  <c r="E18" i="49"/>
  <c r="E11" i="49"/>
  <c r="M15" i="45"/>
  <c r="K15" i="45"/>
  <c r="R13" i="45" a="1"/>
  <c r="L12" i="45"/>
  <c r="R10" i="45" a="1"/>
  <c r="M9" i="45"/>
  <c r="R7" i="45" a="1"/>
  <c r="O6" i="45"/>
  <c r="O3" i="45"/>
  <c r="M3" i="45"/>
  <c r="Q18" i="44"/>
  <c r="S16" i="44"/>
  <c r="P15" i="44" a="1"/>
  <c r="K14" i="44"/>
  <c r="P12" i="44" a="1"/>
  <c r="L11" i="44"/>
  <c r="P9" i="44" a="1"/>
  <c r="M8" i="44"/>
  <c r="K8" i="44"/>
  <c r="R6" i="44" a="1"/>
  <c r="L5" i="44"/>
  <c r="R3" i="44" a="1"/>
  <c r="M2" i="44"/>
  <c r="O14" i="43"/>
  <c r="S12" i="43"/>
  <c r="Q11" i="43"/>
  <c r="S9" i="43"/>
  <c r="P8" i="43" a="1"/>
  <c r="K7" i="43"/>
  <c r="P5" i="43" a="1"/>
  <c r="L4" i="43"/>
  <c r="P2" i="43" a="1"/>
  <c r="L8" i="36"/>
  <c r="S8" i="36"/>
  <c r="P6" i="36" a="1"/>
  <c r="S5" i="36"/>
  <c r="O2" i="36"/>
  <c r="O4" i="30"/>
  <c r="L2" i="30"/>
  <c r="G44" i="110" a="1"/>
  <c r="L43" i="110" a="1"/>
  <c r="G37" i="110" a="1"/>
  <c r="L35" i="110" a="1"/>
  <c r="G29" i="110" a="1"/>
  <c r="L27" i="110" a="1"/>
  <c r="G21" i="110" a="1"/>
  <c r="L19" i="110" a="1"/>
  <c r="G13" i="110" a="1"/>
  <c r="L11" i="110" a="1"/>
  <c r="L4" i="110" a="1"/>
  <c r="P2" i="110" a="1"/>
  <c r="M4" i="17"/>
  <c r="J45" i="20"/>
  <c r="J41" i="20"/>
  <c r="D40" i="49"/>
  <c r="D33" i="49"/>
  <c r="D26" i="49"/>
  <c r="D19" i="49"/>
  <c r="D7" i="49"/>
  <c r="N15" i="45"/>
  <c r="L15" i="45"/>
  <c r="M12" i="45"/>
  <c r="N9" i="45"/>
  <c r="Q6" i="45"/>
  <c r="S4" i="45"/>
  <c r="Q3" i="45"/>
  <c r="J2" i="45"/>
  <c r="P18" i="44" a="1"/>
  <c r="J17" i="44"/>
  <c r="L14" i="44"/>
  <c r="M11" i="44"/>
  <c r="N8" i="44"/>
  <c r="L8" i="44"/>
  <c r="M5" i="44"/>
  <c r="N2" i="44"/>
  <c r="L13" i="43"/>
  <c r="J13" i="43"/>
  <c r="P11" i="43" a="1"/>
  <c r="J10" i="43"/>
  <c r="L7" i="43"/>
  <c r="M4" i="43"/>
  <c r="M8" i="36"/>
  <c r="K8" i="36"/>
  <c r="K5" i="36"/>
  <c r="L3" i="36"/>
  <c r="Q2" i="36"/>
  <c r="Q4" i="30"/>
  <c r="M2" i="30"/>
  <c r="K4" i="17"/>
  <c r="K45" i="20"/>
  <c r="K41" i="20"/>
  <c r="K37" i="20"/>
  <c r="K33" i="20"/>
  <c r="E40" i="49"/>
  <c r="E33" i="49"/>
  <c r="E26" i="49"/>
  <c r="E14" i="49"/>
  <c r="E7" i="49"/>
  <c r="O15" i="45"/>
  <c r="S13" i="45"/>
  <c r="O12" i="45"/>
  <c r="N12" i="45"/>
  <c r="S10" i="45"/>
  <c r="O9" i="45"/>
  <c r="S7" i="45"/>
  <c r="P6" i="45" a="1"/>
  <c r="D41" i="49"/>
  <c r="D34" i="49"/>
  <c r="D22" i="49"/>
  <c r="D15" i="49"/>
  <c r="D8" i="49"/>
  <c r="Q15" i="45"/>
  <c r="J14" i="45"/>
  <c r="Q12" i="45"/>
  <c r="K11" i="45"/>
  <c r="J11" i="45"/>
  <c r="Q9" i="45"/>
  <c r="J8" i="45"/>
  <c r="K5" i="45"/>
  <c r="E41" i="49"/>
  <c r="E29" i="49"/>
  <c r="E22" i="49"/>
  <c r="E15" i="49"/>
  <c r="E8" i="49"/>
  <c r="P15" i="45" a="1"/>
  <c r="K14" i="45"/>
  <c r="P12" i="45" a="1"/>
  <c r="L11" i="45"/>
  <c r="P9" i="45" a="1"/>
  <c r="M8" i="45"/>
  <c r="K8" i="45"/>
  <c r="R6" i="45" a="1"/>
  <c r="L5" i="45"/>
  <c r="R3" i="45" a="1"/>
  <c r="M2" i="45"/>
  <c r="O17" i="44"/>
  <c r="M17" i="44"/>
  <c r="S15" i="44"/>
  <c r="O14" i="44"/>
  <c r="S12" i="44"/>
  <c r="Q11" i="44"/>
  <c r="S9" i="44"/>
  <c r="P8" i="44" a="1"/>
  <c r="D37" i="49"/>
  <c r="D30" i="49"/>
  <c r="D23" i="49"/>
  <c r="D16" i="49"/>
  <c r="D9" i="49"/>
  <c r="L14" i="45"/>
  <c r="M11" i="45"/>
  <c r="N8" i="45"/>
  <c r="L8" i="45"/>
  <c r="M5" i="45"/>
  <c r="N2" i="45"/>
  <c r="Q17" i="44"/>
  <c r="E37" i="49"/>
  <c r="E30" i="49"/>
  <c r="E23" i="49"/>
  <c r="E16" i="49"/>
  <c r="E4" i="49"/>
  <c r="R15" i="45" a="1"/>
  <c r="M14" i="45"/>
  <c r="R12" i="45" a="1"/>
  <c r="N11" i="45"/>
  <c r="R9" i="45" a="1"/>
  <c r="O8" i="45"/>
  <c r="S6" i="45"/>
  <c r="O5" i="45"/>
  <c r="N5" i="45"/>
  <c r="S3" i="45"/>
  <c r="O2" i="45"/>
  <c r="P17" i="44" a="1"/>
  <c r="K16" i="44"/>
  <c r="P14" i="44" a="1"/>
  <c r="M13" i="44"/>
  <c r="K13" i="44"/>
  <c r="K10" i="44"/>
  <c r="R8" i="44" a="1"/>
  <c r="M7" i="44"/>
  <c r="R5" i="44" a="1"/>
  <c r="N4" i="44"/>
  <c r="R2" i="44" a="1"/>
  <c r="P13" i="43" a="1"/>
  <c r="J12" i="43"/>
  <c r="P10" i="43" a="1"/>
  <c r="K9" i="43"/>
  <c r="P7" i="43" a="1"/>
  <c r="M6" i="43"/>
  <c r="K6" i="43"/>
  <c r="K3" i="43"/>
  <c r="K7" i="36"/>
  <c r="L4" i="36"/>
  <c r="L2" i="36"/>
  <c r="K5" i="30"/>
  <c r="J5" i="30"/>
  <c r="N3" i="30"/>
  <c r="L45" i="110" a="1"/>
  <c r="G40" i="110" a="1"/>
  <c r="L38" i="110" a="1"/>
  <c r="G32" i="110" a="1"/>
  <c r="L30" i="110" a="1"/>
  <c r="G24" i="110" a="1"/>
  <c r="L22" i="110" a="1"/>
  <c r="G16" i="110" a="1"/>
  <c r="L14" i="110" a="1"/>
  <c r="R7" i="110" a="1"/>
  <c r="G6" i="110" a="1"/>
  <c r="Q4" i="17"/>
  <c r="J2" i="17"/>
  <c r="D38" i="49"/>
  <c r="M14" i="44"/>
  <c r="Q5" i="44"/>
  <c r="K3" i="44"/>
  <c r="K13" i="43"/>
  <c r="K10" i="43"/>
  <c r="M7" i="43"/>
  <c r="N4" i="43"/>
  <c r="N8" i="36"/>
  <c r="N5" i="36"/>
  <c r="M3" i="36"/>
  <c r="P4" i="30" a="1"/>
  <c r="P2" i="30" a="1"/>
  <c r="G41" i="110" a="1"/>
  <c r="L2" i="17"/>
  <c r="I36" i="20"/>
  <c r="J18" i="20"/>
  <c r="D31" i="49"/>
  <c r="J4" i="45"/>
  <c r="N14" i="44"/>
  <c r="J10" i="44"/>
  <c r="P5" i="44" a="1"/>
  <c r="J2" i="44"/>
  <c r="R11" i="43" a="1"/>
  <c r="L10" i="43"/>
  <c r="N7" i="43"/>
  <c r="O4" i="43"/>
  <c r="O8" i="36"/>
  <c r="O5" i="36"/>
  <c r="J4" i="36"/>
  <c r="L23" i="110" a="1"/>
  <c r="G15" i="110" a="1"/>
  <c r="L10" i="110" a="1"/>
  <c r="G2" i="110" a="1"/>
  <c r="N2" i="17"/>
  <c r="D24" i="49"/>
  <c r="K2" i="45"/>
  <c r="D12" i="49"/>
  <c r="L2" i="45"/>
  <c r="N13" i="44"/>
  <c r="K9" i="44"/>
  <c r="Q2" i="44"/>
  <c r="S11" i="43"/>
  <c r="J9" i="43"/>
  <c r="L6" i="43"/>
  <c r="P4" i="43" a="1"/>
  <c r="P8" i="36" a="1"/>
  <c r="P5" i="36" a="1"/>
  <c r="L15" i="110" a="1"/>
  <c r="G7" i="110" a="1"/>
  <c r="P7" i="110" a="1"/>
  <c r="J47" i="20"/>
  <c r="K40" i="20"/>
  <c r="J33" i="20"/>
  <c r="K28" i="20"/>
  <c r="I24" i="20"/>
  <c r="K17" i="20"/>
  <c r="K12" i="20"/>
  <c r="D5" i="49"/>
  <c r="Q2" i="45"/>
  <c r="P13" i="44" a="1"/>
  <c r="O8" i="44"/>
  <c r="K6" i="44"/>
  <c r="Q14" i="43"/>
  <c r="K12" i="43"/>
  <c r="L9" i="43"/>
  <c r="N6" i="43"/>
  <c r="N3" i="43"/>
  <c r="R8" i="36" a="1"/>
  <c r="R5" i="36" a="1"/>
  <c r="M2" i="36"/>
  <c r="O3" i="30"/>
  <c r="G45" i="110" a="1"/>
  <c r="L37" i="110" a="1"/>
  <c r="G28" i="110" a="1"/>
  <c r="G25" i="110" a="1"/>
  <c r="K47" i="20"/>
  <c r="I41" i="20"/>
  <c r="J22" i="20"/>
  <c r="J6" i="20"/>
  <c r="H25" i="2"/>
  <c r="V22" i="2"/>
  <c r="W17" i="2"/>
  <c r="V4" i="2"/>
  <c r="S14" i="2"/>
  <c r="O26" i="2"/>
  <c r="O7" i="2"/>
  <c r="F9" i="2"/>
  <c r="R12" i="44" a="1"/>
  <c r="Q8" i="44"/>
  <c r="N5" i="44"/>
  <c r="P14" i="43" a="1"/>
  <c r="N12" i="43"/>
  <c r="O9" i="43"/>
  <c r="P6" i="43" a="1"/>
  <c r="P3" i="43" a="1"/>
  <c r="Q7" i="36"/>
  <c r="S6" i="36"/>
  <c r="K3" i="36"/>
  <c r="L7" i="110" a="1"/>
  <c r="G3" i="110" a="1"/>
  <c r="J46" i="20"/>
  <c r="I34" i="20"/>
  <c r="I29" i="20"/>
  <c r="K22" i="20"/>
  <c r="I18" i="20"/>
  <c r="I13" i="20"/>
  <c r="K6" i="20"/>
  <c r="W22" i="2"/>
  <c r="W15" i="2"/>
  <c r="W10" i="2"/>
  <c r="L8" i="2"/>
  <c r="W4" i="2"/>
  <c r="O8" i="2"/>
  <c r="F10" i="2"/>
  <c r="N14" i="45"/>
  <c r="N17" i="44"/>
  <c r="K4" i="44"/>
  <c r="R14" i="43" a="1"/>
  <c r="K11" i="43"/>
  <c r="Q9" i="43"/>
  <c r="P7" i="36" a="1"/>
  <c r="P4" i="36" a="1"/>
  <c r="N3" i="36"/>
  <c r="R3" i="30" a="1"/>
  <c r="G38" i="110" a="1"/>
  <c r="L29" i="110" a="1"/>
  <c r="G20" i="110" a="1"/>
  <c r="G17" i="110" a="1"/>
  <c r="K46" i="20"/>
  <c r="I40" i="20"/>
  <c r="J32" i="20"/>
  <c r="J21" i="20"/>
  <c r="J13" i="44"/>
  <c r="L4" i="44"/>
  <c r="S13" i="43"/>
  <c r="M11" i="43"/>
  <c r="N8" i="43"/>
  <c r="R7" i="36" a="1"/>
  <c r="R4" i="36" a="1"/>
  <c r="S2" i="36"/>
  <c r="G42" i="110" a="1"/>
  <c r="L3" i="110" a="1"/>
  <c r="J38" i="20"/>
  <c r="K32" i="20"/>
  <c r="I28" i="20"/>
  <c r="K21" i="20"/>
  <c r="K16" i="20"/>
  <c r="I12" i="20"/>
  <c r="K5" i="20"/>
  <c r="K4" i="20"/>
  <c r="L25" i="2"/>
  <c r="V20" i="2"/>
  <c r="L13" i="2"/>
  <c r="W8" i="2"/>
  <c r="S16" i="2"/>
  <c r="O11" i="2"/>
  <c r="F12" i="2"/>
  <c r="O11" i="45"/>
  <c r="K17" i="44"/>
  <c r="R11" i="44" a="1"/>
  <c r="L17" i="44"/>
  <c r="J12" i="44"/>
  <c r="S6" i="44"/>
  <c r="O4" i="44"/>
  <c r="M13" i="43"/>
  <c r="N10" i="43"/>
  <c r="M5" i="36"/>
  <c r="Q8" i="45"/>
  <c r="J16" i="44"/>
  <c r="N11" i="44"/>
  <c r="J7" i="44"/>
  <c r="N13" i="43"/>
  <c r="O10" i="43"/>
  <c r="S8" i="43"/>
  <c r="S5" i="43"/>
  <c r="S2" i="43"/>
  <c r="J7" i="36"/>
  <c r="J5" i="45"/>
  <c r="N10" i="44"/>
  <c r="N7" i="44"/>
  <c r="P2" i="44" a="1"/>
  <c r="S10" i="43"/>
  <c r="S7" i="43"/>
  <c r="J5" i="43"/>
  <c r="K2" i="43"/>
  <c r="K6" i="36"/>
  <c r="Q4" i="36"/>
  <c r="O5" i="30"/>
  <c r="J2" i="30"/>
  <c r="K4" i="45"/>
  <c r="Q14" i="44"/>
  <c r="P10" i="44" a="1"/>
  <c r="M6" i="44"/>
  <c r="O12" i="43"/>
  <c r="P3" i="45" a="1"/>
  <c r="R9" i="44" a="1"/>
  <c r="O5" i="44"/>
  <c r="L8" i="43"/>
  <c r="M5" i="43"/>
  <c r="N2" i="43"/>
  <c r="N6" i="36"/>
  <c r="P3" i="36" a="1"/>
  <c r="Q2" i="30"/>
  <c r="L31" i="110" a="1"/>
  <c r="G23" i="110" a="1"/>
  <c r="L18" i="110" a="1"/>
  <c r="G10" i="110" a="1"/>
  <c r="K2" i="17"/>
  <c r="K42" i="20"/>
  <c r="K29" i="20"/>
  <c r="K24" i="20"/>
  <c r="I20" i="20"/>
  <c r="K13" i="20"/>
  <c r="I4" i="20"/>
  <c r="H22" i="2"/>
  <c r="L19" i="2"/>
  <c r="V14" i="2"/>
  <c r="H10" i="2"/>
  <c r="V7" i="2"/>
  <c r="S7" i="2"/>
  <c r="O20" i="2"/>
  <c r="F22" i="2"/>
  <c r="J7" i="45"/>
  <c r="L14" i="43"/>
  <c r="R4" i="43" a="1"/>
  <c r="M4" i="36"/>
  <c r="L44" i="110" a="1"/>
  <c r="G33" i="110" a="1"/>
  <c r="I42" i="20"/>
  <c r="Q5" i="45"/>
  <c r="O13" i="43"/>
  <c r="K5" i="43"/>
  <c r="O3" i="36"/>
  <c r="G30" i="110" a="1"/>
  <c r="G12" i="110" a="1"/>
  <c r="J40" i="20"/>
  <c r="J29" i="20"/>
  <c r="J10" i="20"/>
  <c r="W23" i="2"/>
  <c r="H16" i="2"/>
  <c r="H6" i="2"/>
  <c r="S11" i="2"/>
  <c r="O16" i="2"/>
  <c r="F17" i="2"/>
  <c r="F5" i="2"/>
  <c r="L16" i="44"/>
  <c r="Q13" i="43"/>
  <c r="Q4" i="43"/>
  <c r="R2" i="36" a="1"/>
  <c r="L42" i="110" a="1"/>
  <c r="L4" i="17"/>
  <c r="I30" i="20"/>
  <c r="I21" i="20"/>
  <c r="K10" i="20"/>
  <c r="R15" i="44" a="1"/>
  <c r="R2" i="43" a="1"/>
  <c r="P2" i="36" a="1"/>
  <c r="L13" i="110" a="1"/>
  <c r="J4" i="17"/>
  <c r="J37" i="20"/>
  <c r="J28" i="20"/>
  <c r="J9" i="20"/>
  <c r="H24" i="2"/>
  <c r="H20" i="2"/>
  <c r="H12" i="2"/>
  <c r="V10" i="2"/>
  <c r="S13" i="2"/>
  <c r="O19" i="2"/>
  <c r="O6" i="2"/>
  <c r="L13" i="44"/>
  <c r="J3" i="43"/>
  <c r="G39" i="110" a="1"/>
  <c r="G26" i="110" a="1"/>
  <c r="Q3" i="17"/>
  <c r="J26" i="20"/>
  <c r="K18" i="20"/>
  <c r="K9" i="20"/>
  <c r="L20" i="2"/>
  <c r="L16" i="2"/>
  <c r="V8" i="2"/>
  <c r="H4" i="2"/>
  <c r="S26" i="2"/>
  <c r="O22" i="2"/>
  <c r="F23" i="2"/>
  <c r="O11" i="44"/>
  <c r="Q10" i="43"/>
  <c r="L3" i="43"/>
  <c r="R5" i="30" a="1"/>
  <c r="G14" i="110" a="1"/>
  <c r="L3" i="17"/>
  <c r="I38" i="20"/>
  <c r="K26" i="20"/>
  <c r="J17" i="20"/>
  <c r="P11" i="44" a="1"/>
  <c r="L2" i="43"/>
  <c r="L39" i="110" a="1"/>
  <c r="L26" i="110" a="1"/>
  <c r="N3" i="17"/>
  <c r="J36" i="20"/>
  <c r="J25" i="20"/>
  <c r="J16" i="20"/>
  <c r="I10" i="20"/>
  <c r="L10" i="44"/>
  <c r="J11" i="43"/>
  <c r="Q8" i="36"/>
  <c r="L5" i="30"/>
  <c r="M2" i="17"/>
  <c r="K36" i="20"/>
  <c r="K25" i="20"/>
  <c r="J8" i="20"/>
  <c r="L22" i="2"/>
  <c r="L18" i="2"/>
  <c r="H17" i="2"/>
  <c r="H13" i="2"/>
  <c r="O25" i="2"/>
  <c r="F7" i="2"/>
  <c r="P7" i="44" a="1"/>
  <c r="M10" i="43"/>
  <c r="R6" i="36" a="1"/>
  <c r="Q5" i="30"/>
  <c r="G36" i="110" a="1"/>
  <c r="N5" i="17"/>
  <c r="I37" i="20"/>
  <c r="K7" i="44"/>
  <c r="R8" i="43" a="1"/>
  <c r="S7" i="36"/>
  <c r="R4" i="30" a="1"/>
  <c r="L21" i="110" a="1"/>
  <c r="L8" i="110" a="1"/>
  <c r="I46" i="20"/>
  <c r="J34" i="20"/>
  <c r="I26" i="20"/>
  <c r="J4" i="20"/>
  <c r="H19" i="2"/>
  <c r="H7" i="2"/>
  <c r="L7" i="44"/>
  <c r="Q7" i="43"/>
  <c r="L7" i="36"/>
  <c r="J4" i="30"/>
  <c r="G34" i="110" a="1"/>
  <c r="J44" i="20"/>
  <c r="K34" i="20"/>
  <c r="J24" i="20"/>
  <c r="I16" i="20"/>
  <c r="I8" i="20"/>
  <c r="L26" i="2"/>
  <c r="L23" i="2"/>
  <c r="H15" i="2"/>
  <c r="L11" i="2"/>
  <c r="S19" i="2"/>
  <c r="O13" i="2"/>
  <c r="L5" i="2"/>
  <c r="F25" i="2"/>
  <c r="F14" i="2"/>
  <c r="L6" i="36"/>
  <c r="J3" i="30"/>
  <c r="G22" i="110" a="1"/>
  <c r="G9" i="110" a="1"/>
  <c r="K44" i="20"/>
  <c r="I25" i="20"/>
  <c r="J14" i="20"/>
  <c r="J5" i="20"/>
  <c r="M4" i="44"/>
  <c r="J8" i="43"/>
  <c r="Q5" i="36"/>
  <c r="K3" i="30"/>
  <c r="L34" i="110" a="1"/>
  <c r="I45" i="20"/>
  <c r="I33" i="20"/>
  <c r="K14" i="20"/>
  <c r="H21" i="2"/>
  <c r="W11" i="2"/>
  <c r="W7" i="2"/>
  <c r="S22" i="2"/>
  <c r="O15" i="2"/>
  <c r="S3" i="44"/>
  <c r="O7" i="43"/>
  <c r="L5" i="36"/>
  <c r="L3" i="30"/>
  <c r="G5" i="110" a="1"/>
  <c r="O2" i="44"/>
  <c r="J6" i="43"/>
  <c r="K4" i="36"/>
  <c r="O2" i="30"/>
  <c r="L5" i="110" a="1"/>
  <c r="J42" i="20"/>
  <c r="J30" i="20"/>
  <c r="J20" i="20"/>
  <c r="J12" i="20"/>
  <c r="H26" i="2"/>
  <c r="V17" i="2"/>
  <c r="H14" i="2"/>
  <c r="V9" i="2"/>
  <c r="S4" i="2"/>
  <c r="S25" i="2"/>
  <c r="F15" i="2"/>
  <c r="J4" i="44"/>
  <c r="I9" i="20"/>
  <c r="V16" i="2"/>
  <c r="O14" i="2"/>
  <c r="R5" i="43" a="1"/>
  <c r="I6" i="20"/>
  <c r="H9" i="2"/>
  <c r="S4" i="36"/>
  <c r="W24" i="2"/>
  <c r="W14" i="2"/>
  <c r="V6" i="2"/>
  <c r="M3" i="30"/>
  <c r="H23" i="2"/>
  <c r="L7" i="2"/>
  <c r="F26" i="2"/>
  <c r="G31" i="110" a="1"/>
  <c r="V23" i="2"/>
  <c r="V13" i="2"/>
  <c r="H8" i="2"/>
  <c r="S18" i="2"/>
  <c r="O5" i="2"/>
  <c r="G18" i="110" a="1"/>
  <c r="W13" i="2"/>
  <c r="S20" i="2"/>
  <c r="S23" i="2"/>
  <c r="F16" i="2"/>
  <c r="I44" i="20"/>
  <c r="L14" i="2"/>
  <c r="F4" i="2"/>
  <c r="S24" i="2"/>
  <c r="F18" i="2"/>
  <c r="I32" i="20"/>
  <c r="W19" i="2"/>
  <c r="L12" i="2"/>
  <c r="S10" i="2"/>
  <c r="F19" i="2"/>
  <c r="K30" i="20"/>
  <c r="W20" i="2"/>
  <c r="S12" i="2"/>
  <c r="F24" i="2"/>
  <c r="I22" i="20"/>
  <c r="O4" i="2"/>
  <c r="F6" i="2"/>
  <c r="K20" i="20"/>
  <c r="V11" i="2"/>
  <c r="O17" i="2"/>
  <c r="F11" i="2"/>
  <c r="I17" i="20"/>
  <c r="O23" i="2"/>
  <c r="F13" i="2"/>
  <c r="J13" i="20"/>
  <c r="V26" i="2"/>
  <c r="L17" i="2"/>
  <c r="L9" i="2"/>
  <c r="S5" i="2"/>
  <c r="O24" i="2"/>
  <c r="H5" i="2"/>
  <c r="L10" i="2"/>
  <c r="O12" i="2"/>
  <c r="I14" i="20"/>
  <c r="V25" i="2"/>
  <c r="H18" i="2"/>
  <c r="O9" i="2"/>
  <c r="Y5" i="2" l="1"/>
  <c r="H2" i="20"/>
  <c r="O6" i="17"/>
  <c r="C5" i="30"/>
  <c r="C9" i="4"/>
  <c r="D12" i="4"/>
  <c r="AC12" i="2"/>
  <c r="L12" i="4" s="1"/>
  <c r="J10" i="2"/>
  <c r="E10" i="4" s="1"/>
  <c r="D14" i="4"/>
  <c r="AC15" i="2"/>
  <c r="L15" i="4" s="1"/>
  <c r="J16" i="2"/>
  <c r="E16" i="4" s="1"/>
  <c r="Z25" i="2"/>
  <c r="J25" i="4" s="1"/>
  <c r="AA25" i="2"/>
  <c r="K25" i="4" s="1"/>
  <c r="Y25" i="2"/>
  <c r="N12" i="20"/>
  <c r="X12" i="20" s="1"/>
  <c r="B10" i="43" s="1"/>
  <c r="M12" i="20"/>
  <c r="W12" i="20" s="1"/>
  <c r="L12" i="20"/>
  <c r="V12" i="20" s="1"/>
  <c r="C8" i="4"/>
  <c r="S3" i="2"/>
  <c r="S2" i="2"/>
  <c r="AC11" i="2"/>
  <c r="L11" i="4" s="1"/>
  <c r="C6" i="4"/>
  <c r="D24" i="4"/>
  <c r="AC22" i="2"/>
  <c r="L22" i="4" s="1"/>
  <c r="Z11" i="2"/>
  <c r="J11" i="4" s="1"/>
  <c r="AA11" i="2"/>
  <c r="K11" i="4" s="1"/>
  <c r="Y11" i="2"/>
  <c r="M17" i="2"/>
  <c r="F17" i="4" s="1"/>
  <c r="L4" i="20"/>
  <c r="V4" i="20" s="1"/>
  <c r="N4" i="20"/>
  <c r="X4" i="20" s="1"/>
  <c r="B2" i="43" s="1"/>
  <c r="M4" i="20"/>
  <c r="W4" i="20" s="1"/>
  <c r="C5" i="4"/>
  <c r="D2" i="2"/>
  <c r="C2" i="4" s="1"/>
  <c r="D3" i="2"/>
  <c r="C3" i="4" s="1"/>
  <c r="AC20" i="2"/>
  <c r="L20" i="4" s="1"/>
  <c r="M19" i="2"/>
  <c r="F19" i="4" s="1"/>
  <c r="T8" i="20"/>
  <c r="C18" i="4"/>
  <c r="T13" i="2"/>
  <c r="H13" i="4" s="1"/>
  <c r="Q13" i="2"/>
  <c r="G13" i="4" s="1"/>
  <c r="AA10" i="2"/>
  <c r="K10" i="4" s="1"/>
  <c r="Y10" i="2"/>
  <c r="Z10" i="2"/>
  <c r="J10" i="4" s="1"/>
  <c r="Y18" i="2"/>
  <c r="Z18" i="2"/>
  <c r="J18" i="4" s="1"/>
  <c r="AA18" i="2"/>
  <c r="K18" i="4" s="1"/>
  <c r="T5" i="20"/>
  <c r="C14" i="4"/>
  <c r="N2" i="2"/>
  <c r="N3" i="2"/>
  <c r="Q11" i="2"/>
  <c r="G11" i="4" s="1"/>
  <c r="T11" i="2"/>
  <c r="H11" i="4" s="1"/>
  <c r="M4" i="2"/>
  <c r="F4" i="4" s="1"/>
  <c r="AA12" i="2"/>
  <c r="K12" i="4" s="1"/>
  <c r="Y12" i="2"/>
  <c r="Z12" i="2"/>
  <c r="J12" i="4" s="1"/>
  <c r="T14" i="20"/>
  <c r="C13" i="4"/>
  <c r="P2" i="2"/>
  <c r="Q5" i="2"/>
  <c r="T5" i="2"/>
  <c r="P3" i="2"/>
  <c r="T9" i="2"/>
  <c r="H9" i="4" s="1"/>
  <c r="Q9" i="2"/>
  <c r="G9" i="4" s="1"/>
  <c r="J4" i="2"/>
  <c r="E4" i="4" s="1"/>
  <c r="T12" i="20"/>
  <c r="M5" i="2"/>
  <c r="Q23" i="2"/>
  <c r="G23" i="4" s="1"/>
  <c r="T23" i="2"/>
  <c r="H23" i="4" s="1"/>
  <c r="J22" i="2"/>
  <c r="E22" i="4" s="1"/>
  <c r="T24" i="20"/>
  <c r="C26" i="4"/>
  <c r="T20" i="2"/>
  <c r="H20" i="4" s="1"/>
  <c r="Q20" i="2"/>
  <c r="G20" i="4" s="1"/>
  <c r="Z4" i="2"/>
  <c r="J4" i="4" s="1"/>
  <c r="AA4" i="2"/>
  <c r="K4" i="4" s="1"/>
  <c r="Y4" i="2"/>
  <c r="J14" i="2"/>
  <c r="E14" i="4" s="1"/>
  <c r="M21" i="2"/>
  <c r="F21" i="4" s="1"/>
  <c r="T22" i="20"/>
  <c r="C25" i="4"/>
  <c r="D11" i="4"/>
  <c r="Q19" i="2"/>
  <c r="G19" i="4" s="1"/>
  <c r="T19" i="2"/>
  <c r="H19" i="4" s="1"/>
  <c r="J21" i="2"/>
  <c r="E21" i="4" s="1"/>
  <c r="T33" i="20"/>
  <c r="G18" i="110"/>
  <c r="I18" i="110" s="1"/>
  <c r="D10" i="4"/>
  <c r="O2" i="2"/>
  <c r="O3" i="2"/>
  <c r="Q15" i="2"/>
  <c r="G15" i="4" s="1"/>
  <c r="T15" i="2"/>
  <c r="H15" i="4" s="1"/>
  <c r="T36" i="20"/>
  <c r="G31" i="110"/>
  <c r="I31" i="110" s="1"/>
  <c r="C4" i="30"/>
  <c r="T14" i="2"/>
  <c r="H14" i="4" s="1"/>
  <c r="Q14" i="2"/>
  <c r="G14" i="4" s="1"/>
  <c r="AC10" i="2"/>
  <c r="L10" i="4" s="1"/>
  <c r="J15" i="2"/>
  <c r="E15" i="4" s="1"/>
  <c r="T46" i="20"/>
  <c r="D20" i="4"/>
  <c r="M9" i="2"/>
  <c r="F9" i="4" s="1"/>
  <c r="T44" i="20"/>
  <c r="D18" i="4"/>
  <c r="Q21" i="2"/>
  <c r="G21" i="4" s="1"/>
  <c r="Q26" i="2"/>
  <c r="G26" i="4" s="1"/>
  <c r="T26" i="2"/>
  <c r="H26" i="4" s="1"/>
  <c r="Z6" i="2"/>
  <c r="J6" i="4" s="1"/>
  <c r="Y6" i="2"/>
  <c r="AA6" i="2"/>
  <c r="K6" i="4" s="1"/>
  <c r="Y16" i="2"/>
  <c r="AA16" i="2"/>
  <c r="K16" i="4" s="1"/>
  <c r="Z16" i="2"/>
  <c r="J16" i="4" s="1"/>
  <c r="Y23" i="2"/>
  <c r="Z23" i="2"/>
  <c r="J23" i="4" s="1"/>
  <c r="AA23" i="2"/>
  <c r="K23" i="4" s="1"/>
  <c r="R5" i="43"/>
  <c r="D15" i="4"/>
  <c r="AC17" i="2"/>
  <c r="L17" i="4" s="1"/>
  <c r="Z8" i="2"/>
  <c r="J8" i="4" s="1"/>
  <c r="Y8" i="2"/>
  <c r="AA8" i="2"/>
  <c r="K8" i="4" s="1"/>
  <c r="M26" i="2"/>
  <c r="F26" i="4" s="1"/>
  <c r="D4" i="44"/>
  <c r="F17" i="79" s="1"/>
  <c r="E4" i="44"/>
  <c r="G17" i="79" s="1"/>
  <c r="C4" i="44"/>
  <c r="E17" i="79" s="1"/>
  <c r="F4" i="44"/>
  <c r="H17" i="79" s="1"/>
  <c r="C15" i="4"/>
  <c r="D21" i="4"/>
  <c r="Q12" i="2"/>
  <c r="G12" i="4" s="1"/>
  <c r="T12" i="2"/>
  <c r="H12" i="4" s="1"/>
  <c r="AC13" i="2"/>
  <c r="L13" i="4" s="1"/>
  <c r="Y21" i="2"/>
  <c r="Z21" i="2"/>
  <c r="J21" i="4" s="1"/>
  <c r="AA21" i="2"/>
  <c r="K21" i="4" s="1"/>
  <c r="J26" i="2"/>
  <c r="E26" i="4" s="1"/>
  <c r="T13" i="20"/>
  <c r="T45" i="20"/>
  <c r="L5" i="110"/>
  <c r="M5" i="110" s="1"/>
  <c r="E6" i="43"/>
  <c r="C6" i="43"/>
  <c r="D6" i="43"/>
  <c r="F6" i="43"/>
  <c r="L22" i="20"/>
  <c r="V22" i="20" s="1"/>
  <c r="M22" i="20"/>
  <c r="W22" i="20" s="1"/>
  <c r="N22" i="20"/>
  <c r="X22" i="20" s="1"/>
  <c r="B7" i="44" s="1"/>
  <c r="M32" i="20"/>
  <c r="W32" i="20" s="1"/>
  <c r="N32" i="20"/>
  <c r="X32" i="20" s="1"/>
  <c r="B17" i="44" s="1"/>
  <c r="L32" i="20"/>
  <c r="V32" i="20" s="1"/>
  <c r="L44" i="20"/>
  <c r="V44" i="20" s="1"/>
  <c r="M44" i="20"/>
  <c r="W44" i="20" s="1"/>
  <c r="N44" i="20"/>
  <c r="X44" i="20" s="1"/>
  <c r="B12" i="45" s="1"/>
  <c r="G5" i="110"/>
  <c r="I5" i="110" s="1"/>
  <c r="D8" i="4"/>
  <c r="T7" i="2"/>
  <c r="H7" i="4" s="1"/>
  <c r="Q7" i="2"/>
  <c r="G7" i="4" s="1"/>
  <c r="M7" i="2"/>
  <c r="F7" i="4" s="1"/>
  <c r="C4" i="4"/>
  <c r="M13" i="2"/>
  <c r="F13" i="4" s="1"/>
  <c r="J17" i="2"/>
  <c r="E17" i="4" s="1"/>
  <c r="M25" i="2"/>
  <c r="F25" i="4" s="1"/>
  <c r="T23" i="20"/>
  <c r="N6" i="20"/>
  <c r="X6" i="20" s="1"/>
  <c r="B4" i="43" s="1"/>
  <c r="L6" i="20"/>
  <c r="V6" i="20" s="1"/>
  <c r="M6" i="20"/>
  <c r="W6" i="20" s="1"/>
  <c r="L24" i="20"/>
  <c r="V24" i="20" s="1"/>
  <c r="M24" i="20"/>
  <c r="W24" i="20" s="1"/>
  <c r="N24" i="20"/>
  <c r="X24" i="20" s="1"/>
  <c r="B9" i="44" s="1"/>
  <c r="L34" i="110"/>
  <c r="M34" i="110" s="1"/>
  <c r="F8" i="43"/>
  <c r="C8" i="43"/>
  <c r="D8" i="43"/>
  <c r="E8" i="43"/>
  <c r="N33" i="20"/>
  <c r="X33" i="20" s="1"/>
  <c r="B18" i="44" s="1"/>
  <c r="L33" i="20"/>
  <c r="V33" i="20" s="1"/>
  <c r="M33" i="20"/>
  <c r="W33" i="20" s="1"/>
  <c r="G9" i="110"/>
  <c r="I9" i="110" s="1"/>
  <c r="G22" i="110"/>
  <c r="I22" i="110" s="1"/>
  <c r="D3" i="30"/>
  <c r="E3" i="30"/>
  <c r="G3" i="30"/>
  <c r="F3" i="30"/>
  <c r="E2" i="2"/>
  <c r="E3" i="2"/>
  <c r="Q22" i="2"/>
  <c r="G22" i="4" s="1"/>
  <c r="T22" i="2"/>
  <c r="H22" i="4" s="1"/>
  <c r="AC21" i="2"/>
  <c r="L21" i="4" s="1"/>
  <c r="J7" i="2"/>
  <c r="E7" i="4" s="1"/>
  <c r="J19" i="2"/>
  <c r="E19" i="4" s="1"/>
  <c r="T21" i="20"/>
  <c r="G34" i="110"/>
  <c r="I34" i="110" s="1"/>
  <c r="D4" i="30"/>
  <c r="E4" i="30"/>
  <c r="F4" i="30"/>
  <c r="G4" i="30"/>
  <c r="M11" i="2"/>
  <c r="F11" i="4" s="1"/>
  <c r="Y14" i="2"/>
  <c r="Z14" i="2"/>
  <c r="J14" i="4" s="1"/>
  <c r="AA14" i="2"/>
  <c r="K14" i="4" s="1"/>
  <c r="M23" i="2"/>
  <c r="F23" i="4" s="1"/>
  <c r="T20" i="20"/>
  <c r="M8" i="20"/>
  <c r="W8" i="20" s="1"/>
  <c r="N8" i="20"/>
  <c r="X8" i="20" s="1"/>
  <c r="B6" i="43" s="1"/>
  <c r="L8" i="20"/>
  <c r="V8" i="20" s="1"/>
  <c r="N16" i="20"/>
  <c r="X16" i="20" s="1"/>
  <c r="B14" i="43" s="1"/>
  <c r="L16" i="20"/>
  <c r="V16" i="20" s="1"/>
  <c r="M16" i="20"/>
  <c r="W16" i="20" s="1"/>
  <c r="L8" i="110"/>
  <c r="M8" i="110" s="1"/>
  <c r="L21" i="110"/>
  <c r="M21" i="110" s="1"/>
  <c r="R4" i="30"/>
  <c r="R8" i="43"/>
  <c r="N26" i="20"/>
  <c r="X26" i="20" s="1"/>
  <c r="B11" i="44" s="1"/>
  <c r="L26" i="20"/>
  <c r="V26" i="20" s="1"/>
  <c r="M26" i="20"/>
  <c r="W26" i="20" s="1"/>
  <c r="R2" i="17"/>
  <c r="G36" i="110"/>
  <c r="I36" i="110" s="1"/>
  <c r="R6" i="36"/>
  <c r="P7" i="44"/>
  <c r="T7" i="44" s="1"/>
  <c r="C11" i="4"/>
  <c r="C23" i="4"/>
  <c r="D16" i="4"/>
  <c r="T16" i="2"/>
  <c r="H16" i="4" s="1"/>
  <c r="Q16" i="2"/>
  <c r="G16" i="4" s="1"/>
  <c r="AC7" i="2"/>
  <c r="L7" i="4" s="1"/>
  <c r="Q4" i="2"/>
  <c r="G4" i="4" s="1"/>
  <c r="T4" i="2"/>
  <c r="H4" i="4" s="1"/>
  <c r="J9" i="2"/>
  <c r="E9" i="4" s="1"/>
  <c r="T11" i="20"/>
  <c r="T32" i="20"/>
  <c r="L17" i="20"/>
  <c r="V17" i="20" s="1"/>
  <c r="M17" i="20"/>
  <c r="W17" i="20" s="1"/>
  <c r="N17" i="20"/>
  <c r="X17" i="20" s="1"/>
  <c r="B2" i="44" s="1"/>
  <c r="D15" i="79" s="1"/>
  <c r="E2" i="17"/>
  <c r="E5" i="17"/>
  <c r="I2" i="17"/>
  <c r="C11" i="43"/>
  <c r="D11" i="43"/>
  <c r="E11" i="43"/>
  <c r="F11" i="43"/>
  <c r="Y20" i="2"/>
  <c r="Z20" i="2"/>
  <c r="J20" i="4" s="1"/>
  <c r="AA20" i="2"/>
  <c r="K20" i="4" s="1"/>
  <c r="Y24" i="2"/>
  <c r="Z24" i="2"/>
  <c r="J24" i="4" s="1"/>
  <c r="AA24" i="2"/>
  <c r="K24" i="4" s="1"/>
  <c r="T10" i="20"/>
  <c r="T30" i="20"/>
  <c r="L26" i="110"/>
  <c r="M26" i="110" s="1"/>
  <c r="L39" i="110"/>
  <c r="M39" i="110" s="1"/>
  <c r="P11" i="44"/>
  <c r="T11" i="44" s="1"/>
  <c r="T43" i="20"/>
  <c r="L10" i="20"/>
  <c r="V10" i="20" s="1"/>
  <c r="N10" i="20"/>
  <c r="X10" i="20" s="1"/>
  <c r="B8" i="43" s="1"/>
  <c r="M10" i="20"/>
  <c r="W10" i="20" s="1"/>
  <c r="G3" i="17"/>
  <c r="G14" i="110"/>
  <c r="I14" i="110" s="1"/>
  <c r="R5" i="30"/>
  <c r="C7" i="4"/>
  <c r="D13" i="4"/>
  <c r="T21" i="2"/>
  <c r="H21" i="4" s="1"/>
  <c r="M12" i="2"/>
  <c r="F12" i="4" s="1"/>
  <c r="M24" i="2"/>
  <c r="F24" i="4" s="1"/>
  <c r="T7" i="20"/>
  <c r="T42" i="20"/>
  <c r="M38" i="20"/>
  <c r="W38" i="20" s="1"/>
  <c r="L38" i="20"/>
  <c r="V38" i="20" s="1"/>
  <c r="N38" i="20"/>
  <c r="X38" i="20" s="1"/>
  <c r="B6" i="45" s="1"/>
  <c r="R3" i="17"/>
  <c r="I7" i="17"/>
  <c r="G26" i="110"/>
  <c r="I26" i="110" s="1"/>
  <c r="G39" i="110"/>
  <c r="I39" i="110" s="1"/>
  <c r="C3" i="43"/>
  <c r="D3" i="43"/>
  <c r="E3" i="43"/>
  <c r="F3" i="43"/>
  <c r="AC18" i="2"/>
  <c r="L18" i="4" s="1"/>
  <c r="D4" i="4"/>
  <c r="M16" i="2"/>
  <c r="F16" i="4" s="1"/>
  <c r="T6" i="20"/>
  <c r="T39" i="20"/>
  <c r="N20" i="20"/>
  <c r="X20" i="20" s="1"/>
  <c r="B5" i="44" s="1"/>
  <c r="D18" i="79" s="1"/>
  <c r="L20" i="20"/>
  <c r="V20" i="20" s="1"/>
  <c r="M20" i="20"/>
  <c r="W20" i="20" s="1"/>
  <c r="L13" i="110"/>
  <c r="M13" i="110" s="1"/>
  <c r="P2" i="36"/>
  <c r="T2" i="36" s="1"/>
  <c r="R2" i="43"/>
  <c r="R15" i="44"/>
  <c r="G4" i="17"/>
  <c r="L42" i="110"/>
  <c r="M42" i="110" s="1"/>
  <c r="R2" i="36"/>
  <c r="C20" i="4"/>
  <c r="F2" i="2"/>
  <c r="F3" i="2"/>
  <c r="AA5" i="2"/>
  <c r="J5" i="2"/>
  <c r="AC16" i="2"/>
  <c r="L16" i="4" s="1"/>
  <c r="M10" i="2"/>
  <c r="F10" i="4" s="1"/>
  <c r="M14" i="2"/>
  <c r="F14" i="4" s="1"/>
  <c r="M22" i="2"/>
  <c r="F22" i="4" s="1"/>
  <c r="T17" i="20"/>
  <c r="T47" i="20"/>
  <c r="M21" i="20"/>
  <c r="W21" i="20" s="1"/>
  <c r="L21" i="20"/>
  <c r="V21" i="20" s="1"/>
  <c r="N21" i="20"/>
  <c r="X21" i="20" s="1"/>
  <c r="B6" i="44" s="1"/>
  <c r="G12" i="110"/>
  <c r="I12" i="110" s="1"/>
  <c r="G30" i="110"/>
  <c r="I30" i="110" s="1"/>
  <c r="G33" i="110"/>
  <c r="I33" i="110" s="1"/>
  <c r="L44" i="110"/>
  <c r="M44" i="110" s="1"/>
  <c r="R4" i="43"/>
  <c r="C7" i="45"/>
  <c r="D7" i="45"/>
  <c r="E7" i="45"/>
  <c r="F7" i="45"/>
  <c r="C12" i="4"/>
  <c r="D17" i="4"/>
  <c r="Q17" i="2"/>
  <c r="G17" i="4" s="1"/>
  <c r="T17" i="2"/>
  <c r="H17" i="4" s="1"/>
  <c r="AC19" i="2"/>
  <c r="L19" i="4" s="1"/>
  <c r="J12" i="2"/>
  <c r="E12" i="4" s="1"/>
  <c r="J24" i="2"/>
  <c r="E24" i="4" s="1"/>
  <c r="T26" i="20"/>
  <c r="T37" i="20"/>
  <c r="L36" i="20"/>
  <c r="V36" i="20" s="1"/>
  <c r="M36" i="20"/>
  <c r="W36" i="20" s="1"/>
  <c r="N36" i="20"/>
  <c r="X36" i="20" s="1"/>
  <c r="B4" i="45" s="1"/>
  <c r="G10" i="110"/>
  <c r="I10" i="110" s="1"/>
  <c r="L18" i="110"/>
  <c r="M18" i="110" s="1"/>
  <c r="G23" i="110"/>
  <c r="I23" i="110" s="1"/>
  <c r="L31" i="110"/>
  <c r="M31" i="110" s="1"/>
  <c r="P3" i="36"/>
  <c r="T3" i="36" s="1"/>
  <c r="R9" i="44"/>
  <c r="P3" i="45"/>
  <c r="P10" i="44"/>
  <c r="T10" i="44" s="1"/>
  <c r="G2" i="30"/>
  <c r="D2" i="30"/>
  <c r="D5" i="43"/>
  <c r="C5" i="43"/>
  <c r="E5" i="43"/>
  <c r="F5" i="43"/>
  <c r="P2" i="44"/>
  <c r="G2" i="44" s="1"/>
  <c r="I15" i="79" s="1"/>
  <c r="F5" i="45"/>
  <c r="C5" i="45"/>
  <c r="D5" i="45"/>
  <c r="E5" i="45"/>
  <c r="E7" i="36"/>
  <c r="C7" i="36"/>
  <c r="D7" i="36"/>
  <c r="G7" i="36"/>
  <c r="F7" i="36"/>
  <c r="D7" i="44"/>
  <c r="C7" i="44"/>
  <c r="E7" i="44"/>
  <c r="F7" i="44"/>
  <c r="D16" i="44"/>
  <c r="E16" i="44"/>
  <c r="F16" i="44"/>
  <c r="C16" i="44"/>
  <c r="D12" i="44"/>
  <c r="C12" i="44"/>
  <c r="E12" i="44"/>
  <c r="F12" i="44"/>
  <c r="R11" i="44"/>
  <c r="C3" i="30"/>
  <c r="C19" i="4"/>
  <c r="D9" i="4"/>
  <c r="D25" i="4"/>
  <c r="T8" i="2"/>
  <c r="H8" i="4" s="1"/>
  <c r="Q8" i="2"/>
  <c r="G8" i="4" s="1"/>
  <c r="R3" i="2"/>
  <c r="R2" i="2"/>
  <c r="AC4" i="2"/>
  <c r="L4" i="4" s="1"/>
  <c r="J11" i="2"/>
  <c r="E11" i="4" s="1"/>
  <c r="J18" i="2"/>
  <c r="E18" i="4" s="1"/>
  <c r="J23" i="2"/>
  <c r="E23" i="4" s="1"/>
  <c r="T31" i="20"/>
  <c r="N46" i="20"/>
  <c r="X46" i="20" s="1"/>
  <c r="B14" i="45" s="1"/>
  <c r="L46" i="20"/>
  <c r="V46" i="20" s="1"/>
  <c r="M46" i="20"/>
  <c r="W46" i="20" s="1"/>
  <c r="L3" i="110"/>
  <c r="M3" i="110" s="1"/>
  <c r="G42" i="110"/>
  <c r="I42" i="110" s="1"/>
  <c r="R4" i="36"/>
  <c r="R7" i="36"/>
  <c r="C13" i="44"/>
  <c r="F13" i="44"/>
  <c r="E13" i="44"/>
  <c r="D13" i="44"/>
  <c r="M28" i="20"/>
  <c r="W28" i="20" s="1"/>
  <c r="N28" i="20"/>
  <c r="X28" i="20" s="1"/>
  <c r="B13" i="44" s="1"/>
  <c r="L28" i="20"/>
  <c r="V28" i="20" s="1"/>
  <c r="G17" i="110"/>
  <c r="I17" i="110" s="1"/>
  <c r="G20" i="110"/>
  <c r="I20" i="110" s="1"/>
  <c r="L29" i="110"/>
  <c r="M29" i="110" s="1"/>
  <c r="G38" i="110"/>
  <c r="I38" i="110" s="1"/>
  <c r="R3" i="30"/>
  <c r="P4" i="36"/>
  <c r="T4" i="36" s="1"/>
  <c r="P7" i="36"/>
  <c r="R14" i="43"/>
  <c r="C17" i="4"/>
  <c r="D6" i="4"/>
  <c r="D23" i="4"/>
  <c r="Q6" i="2"/>
  <c r="G6" i="4" s="1"/>
  <c r="T6" i="2"/>
  <c r="H6" i="4" s="1"/>
  <c r="T25" i="2"/>
  <c r="H25" i="4" s="1"/>
  <c r="Q25" i="2"/>
  <c r="G25" i="4" s="1"/>
  <c r="AC9" i="2"/>
  <c r="L9" i="4" s="1"/>
  <c r="AC24" i="2"/>
  <c r="L24" i="4" s="1"/>
  <c r="Y17" i="2"/>
  <c r="Z17" i="2"/>
  <c r="J17" i="4" s="1"/>
  <c r="AA17" i="2"/>
  <c r="K17" i="4" s="1"/>
  <c r="M20" i="2"/>
  <c r="F20" i="4" s="1"/>
  <c r="J25" i="2"/>
  <c r="E25" i="4" s="1"/>
  <c r="T16" i="20"/>
  <c r="T29" i="20"/>
  <c r="N40" i="20"/>
  <c r="X40" i="20" s="1"/>
  <c r="B8" i="45" s="1"/>
  <c r="L40" i="20"/>
  <c r="V40" i="20" s="1"/>
  <c r="M40" i="20"/>
  <c r="W40" i="20" s="1"/>
  <c r="G3" i="110"/>
  <c r="I3" i="110" s="1"/>
  <c r="L7" i="110"/>
  <c r="M7" i="110" s="1"/>
  <c r="P3" i="43"/>
  <c r="P6" i="43"/>
  <c r="T6" i="43" s="1"/>
  <c r="P14" i="43"/>
  <c r="T14" i="43" s="1"/>
  <c r="R12" i="44"/>
  <c r="C16" i="4"/>
  <c r="D5" i="4"/>
  <c r="G2" i="2"/>
  <c r="D2" i="4" s="1"/>
  <c r="G3" i="2"/>
  <c r="D3" i="4" s="1"/>
  <c r="D22" i="4"/>
  <c r="Q24" i="2"/>
  <c r="G24" i="4" s="1"/>
  <c r="T24" i="2"/>
  <c r="H24" i="4" s="1"/>
  <c r="AC8" i="2"/>
  <c r="L8" i="4" s="1"/>
  <c r="AC23" i="2"/>
  <c r="L23" i="4" s="1"/>
  <c r="M8" i="2"/>
  <c r="F8" i="4" s="1"/>
  <c r="J13" i="2"/>
  <c r="E13" i="4" s="1"/>
  <c r="M15" i="2"/>
  <c r="F15" i="4" s="1"/>
  <c r="J20" i="2"/>
  <c r="E20" i="4" s="1"/>
  <c r="T15" i="20"/>
  <c r="T28" i="20"/>
  <c r="L13" i="20"/>
  <c r="V13" i="20" s="1"/>
  <c r="M13" i="20"/>
  <c r="W13" i="20" s="1"/>
  <c r="N13" i="20"/>
  <c r="X13" i="20" s="1"/>
  <c r="B11" i="43" s="1"/>
  <c r="L18" i="20"/>
  <c r="V18" i="20" s="1"/>
  <c r="M18" i="20"/>
  <c r="W18" i="20" s="1"/>
  <c r="N18" i="20"/>
  <c r="X18" i="20" s="1"/>
  <c r="B3" i="44" s="1"/>
  <c r="D16" i="79" s="1"/>
  <c r="N29" i="20"/>
  <c r="X29" i="20" s="1"/>
  <c r="B14" i="44" s="1"/>
  <c r="L29" i="20"/>
  <c r="V29" i="20" s="1"/>
  <c r="M29" i="20"/>
  <c r="W29" i="20" s="1"/>
  <c r="M34" i="20"/>
  <c r="W34" i="20" s="1"/>
  <c r="N34" i="20"/>
  <c r="X34" i="20" s="1"/>
  <c r="B2" i="45" s="1"/>
  <c r="D32" i="79" s="1"/>
  <c r="L34" i="20"/>
  <c r="V34" i="20" s="1"/>
  <c r="G25" i="110"/>
  <c r="I25" i="110" s="1"/>
  <c r="G28" i="110"/>
  <c r="I28" i="110" s="1"/>
  <c r="L37" i="110"/>
  <c r="M37" i="110" s="1"/>
  <c r="G45" i="110"/>
  <c r="I45" i="110" s="1"/>
  <c r="R5" i="36"/>
  <c r="R8" i="36"/>
  <c r="P13" i="44"/>
  <c r="T13" i="44" s="1"/>
  <c r="B5" i="49"/>
  <c r="P7" i="110"/>
  <c r="G7" i="110"/>
  <c r="I7" i="110" s="1"/>
  <c r="L15" i="110"/>
  <c r="M15" i="110" s="1"/>
  <c r="P5" i="36"/>
  <c r="T5" i="36" s="1"/>
  <c r="P8" i="36"/>
  <c r="H8" i="36" s="1"/>
  <c r="P4" i="43"/>
  <c r="F9" i="43"/>
  <c r="C9" i="43"/>
  <c r="D9" i="43"/>
  <c r="E9" i="43"/>
  <c r="B12" i="49"/>
  <c r="B24" i="49"/>
  <c r="G2" i="110"/>
  <c r="I2" i="110" s="1"/>
  <c r="L10" i="110"/>
  <c r="M10" i="110" s="1"/>
  <c r="G15" i="110"/>
  <c r="I15" i="110" s="1"/>
  <c r="L23" i="110"/>
  <c r="M23" i="110" s="1"/>
  <c r="G4" i="36"/>
  <c r="E4" i="36"/>
  <c r="F4" i="36"/>
  <c r="D4" i="36"/>
  <c r="C4" i="36"/>
  <c r="H5" i="36"/>
  <c r="G4" i="43"/>
  <c r="R11" i="43"/>
  <c r="D2" i="44"/>
  <c r="F15" i="79" s="1"/>
  <c r="C2" i="44"/>
  <c r="E15" i="79" s="1"/>
  <c r="E2" i="44"/>
  <c r="G15" i="79" s="1"/>
  <c r="F2" i="44"/>
  <c r="H15" i="79" s="1"/>
  <c r="P5" i="44"/>
  <c r="T5" i="44" s="1"/>
  <c r="D10" i="44"/>
  <c r="F10" i="44"/>
  <c r="C10" i="44"/>
  <c r="E10" i="44"/>
  <c r="C4" i="45"/>
  <c r="F4" i="45"/>
  <c r="D4" i="45"/>
  <c r="E4" i="45"/>
  <c r="B31" i="49"/>
  <c r="T4" i="20"/>
  <c r="D48" i="20"/>
  <c r="U20" i="20" s="1"/>
  <c r="T27" i="20"/>
  <c r="T38" i="20"/>
  <c r="N9" i="20"/>
  <c r="X9" i="20" s="1"/>
  <c r="B7" i="43" s="1"/>
  <c r="M9" i="20"/>
  <c r="W9" i="20" s="1"/>
  <c r="L9" i="20"/>
  <c r="V9" i="20" s="1"/>
  <c r="L14" i="20"/>
  <c r="V14" i="20" s="1"/>
  <c r="M14" i="20"/>
  <c r="W14" i="20" s="1"/>
  <c r="N14" i="20"/>
  <c r="X14" i="20" s="1"/>
  <c r="B12" i="43" s="1"/>
  <c r="M25" i="20"/>
  <c r="W25" i="20" s="1"/>
  <c r="L25" i="20"/>
  <c r="V25" i="20" s="1"/>
  <c r="N25" i="20"/>
  <c r="X25" i="20" s="1"/>
  <c r="B10" i="44" s="1"/>
  <c r="N30" i="20"/>
  <c r="X30" i="20" s="1"/>
  <c r="B15" i="44" s="1"/>
  <c r="L30" i="20"/>
  <c r="V30" i="20" s="1"/>
  <c r="M30" i="20"/>
  <c r="W30" i="20" s="1"/>
  <c r="M42" i="20"/>
  <c r="W42" i="20" s="1"/>
  <c r="L42" i="20"/>
  <c r="V42" i="20" s="1"/>
  <c r="N42" i="20"/>
  <c r="X42" i="20" s="1"/>
  <c r="B10" i="45" s="1"/>
  <c r="G2" i="17"/>
  <c r="G41" i="110"/>
  <c r="I41" i="110" s="1"/>
  <c r="P2" i="30"/>
  <c r="H2" i="30" s="1"/>
  <c r="P4" i="30"/>
  <c r="B38" i="49"/>
  <c r="L37" i="20"/>
  <c r="V37" i="20" s="1"/>
  <c r="M37" i="20"/>
  <c r="W37" i="20" s="1"/>
  <c r="N37" i="20"/>
  <c r="X37" i="20" s="1"/>
  <c r="B5" i="45" s="1"/>
  <c r="L41" i="20"/>
  <c r="V41" i="20" s="1"/>
  <c r="M41" i="20"/>
  <c r="W41" i="20" s="1"/>
  <c r="N41" i="20"/>
  <c r="X41" i="20" s="1"/>
  <c r="B9" i="45" s="1"/>
  <c r="M45" i="20"/>
  <c r="W45" i="20" s="1"/>
  <c r="N45" i="20"/>
  <c r="X45" i="20" s="1"/>
  <c r="B13" i="45" s="1"/>
  <c r="L45" i="20"/>
  <c r="V45" i="20" s="1"/>
  <c r="R4" i="17"/>
  <c r="P6" i="17"/>
  <c r="G6" i="110"/>
  <c r="I6" i="110" s="1"/>
  <c r="R7" i="110"/>
  <c r="L14" i="110"/>
  <c r="M14" i="110" s="1"/>
  <c r="G16" i="110"/>
  <c r="I16" i="110" s="1"/>
  <c r="L22" i="110"/>
  <c r="M22" i="110" s="1"/>
  <c r="G24" i="110"/>
  <c r="I24" i="110" s="1"/>
  <c r="L30" i="110"/>
  <c r="M30" i="110" s="1"/>
  <c r="G32" i="110"/>
  <c r="I32" i="110" s="1"/>
  <c r="L38" i="110"/>
  <c r="M38" i="110" s="1"/>
  <c r="G40" i="110"/>
  <c r="I40" i="110" s="1"/>
  <c r="L45" i="110"/>
  <c r="M45" i="110" s="1"/>
  <c r="D5" i="30"/>
  <c r="E5" i="30"/>
  <c r="F5" i="30"/>
  <c r="G5" i="30"/>
  <c r="P7" i="43"/>
  <c r="G7" i="43" s="1"/>
  <c r="P10" i="43"/>
  <c r="T10" i="43" s="1"/>
  <c r="F12" i="43"/>
  <c r="E12" i="43"/>
  <c r="D12" i="43"/>
  <c r="C12" i="43"/>
  <c r="P13" i="43"/>
  <c r="T13" i="43" s="1"/>
  <c r="R2" i="44"/>
  <c r="R5" i="44"/>
  <c r="R8" i="44"/>
  <c r="P14" i="44"/>
  <c r="P17" i="44"/>
  <c r="T17" i="44" s="1"/>
  <c r="R9" i="45"/>
  <c r="G9" i="45" s="1"/>
  <c r="R12" i="45"/>
  <c r="R15" i="45"/>
  <c r="G15" i="45" s="1"/>
  <c r="B9" i="49"/>
  <c r="B16" i="49"/>
  <c r="B23" i="49"/>
  <c r="B30" i="49"/>
  <c r="B37" i="49"/>
  <c r="P8" i="44"/>
  <c r="R3" i="45"/>
  <c r="R6" i="45"/>
  <c r="P9" i="45"/>
  <c r="P12" i="45"/>
  <c r="P15" i="45"/>
  <c r="C8" i="45"/>
  <c r="F8" i="45"/>
  <c r="D8" i="45"/>
  <c r="E8" i="45"/>
  <c r="C11" i="45"/>
  <c r="E11" i="45"/>
  <c r="F11" i="45"/>
  <c r="D11" i="45"/>
  <c r="C14" i="45"/>
  <c r="D14" i="45"/>
  <c r="E14" i="45"/>
  <c r="F14" i="45"/>
  <c r="B8" i="49"/>
  <c r="B15" i="49"/>
  <c r="B22" i="49"/>
  <c r="B34" i="49"/>
  <c r="B41" i="49"/>
  <c r="P6" i="45"/>
  <c r="G6" i="45" s="1"/>
  <c r="G12" i="45"/>
  <c r="C10" i="43"/>
  <c r="D10" i="43"/>
  <c r="E10" i="43"/>
  <c r="F10" i="43"/>
  <c r="P11" i="43"/>
  <c r="T11" i="43" s="1"/>
  <c r="C13" i="43"/>
  <c r="D13" i="43"/>
  <c r="E13" i="43"/>
  <c r="F13" i="43"/>
  <c r="C17" i="44"/>
  <c r="D17" i="44"/>
  <c r="E17" i="44"/>
  <c r="F17" i="44"/>
  <c r="P18" i="44"/>
  <c r="G18" i="44" s="1"/>
  <c r="D2" i="45"/>
  <c r="F32" i="79" s="1"/>
  <c r="E2" i="45"/>
  <c r="G32" i="79" s="1"/>
  <c r="C2" i="45"/>
  <c r="E32" i="79" s="1"/>
  <c r="F2" i="45"/>
  <c r="H32" i="79" s="1"/>
  <c r="B7" i="49"/>
  <c r="B19" i="49"/>
  <c r="B26" i="49"/>
  <c r="B33" i="49"/>
  <c r="B40" i="49"/>
  <c r="E4" i="17"/>
  <c r="H4" i="17"/>
  <c r="F4" i="17"/>
  <c r="I4" i="17"/>
  <c r="P2" i="110"/>
  <c r="L4" i="110"/>
  <c r="M4" i="110" s="1"/>
  <c r="L11" i="110"/>
  <c r="M11" i="110" s="1"/>
  <c r="G13" i="110"/>
  <c r="I13" i="110" s="1"/>
  <c r="L19" i="110"/>
  <c r="M19" i="110" s="1"/>
  <c r="G21" i="110"/>
  <c r="I21" i="110" s="1"/>
  <c r="L27" i="110"/>
  <c r="M27" i="110" s="1"/>
  <c r="G29" i="110"/>
  <c r="I29" i="110" s="1"/>
  <c r="L35" i="110"/>
  <c r="M35" i="110" s="1"/>
  <c r="G37" i="110"/>
  <c r="I37" i="110" s="1"/>
  <c r="L43" i="110"/>
  <c r="M43" i="110" s="1"/>
  <c r="G44" i="110"/>
  <c r="I44" i="110" s="1"/>
  <c r="H4" i="30"/>
  <c r="P6" i="36"/>
  <c r="T6" i="36" s="1"/>
  <c r="P2" i="43"/>
  <c r="T2" i="43" s="1"/>
  <c r="P5" i="43"/>
  <c r="T5" i="43" s="1"/>
  <c r="P8" i="43"/>
  <c r="T8" i="43" s="1"/>
  <c r="R3" i="44"/>
  <c r="R6" i="44"/>
  <c r="P9" i="44"/>
  <c r="T9" i="44" s="1"/>
  <c r="P12" i="44"/>
  <c r="T12" i="44" s="1"/>
  <c r="P15" i="44"/>
  <c r="T15" i="44" s="1"/>
  <c r="G3" i="45"/>
  <c r="R7" i="45"/>
  <c r="G7" i="45" s="1"/>
  <c r="R10" i="45"/>
  <c r="R13" i="45"/>
  <c r="C10" i="4"/>
  <c r="D7" i="4"/>
  <c r="D26" i="4"/>
  <c r="T18" i="2"/>
  <c r="H18" i="4" s="1"/>
  <c r="Q18" i="2"/>
  <c r="G18" i="4" s="1"/>
  <c r="AC14" i="2"/>
  <c r="L14" i="4" s="1"/>
  <c r="Y7" i="2"/>
  <c r="Z7" i="2"/>
  <c r="J7" i="4" s="1"/>
  <c r="AA7" i="2"/>
  <c r="K7" i="4" s="1"/>
  <c r="J8" i="2"/>
  <c r="E8" i="4" s="1"/>
  <c r="Y13" i="2"/>
  <c r="Z13" i="2"/>
  <c r="J13" i="4" s="1"/>
  <c r="AA13" i="2"/>
  <c r="K13" i="4" s="1"/>
  <c r="Y19" i="2"/>
  <c r="AA19" i="2"/>
  <c r="K19" i="4" s="1"/>
  <c r="Z19" i="2"/>
  <c r="J19" i="4" s="1"/>
  <c r="Y22" i="2"/>
  <c r="AA22" i="2"/>
  <c r="K22" i="4" s="1"/>
  <c r="Z22" i="2"/>
  <c r="J22" i="4" s="1"/>
  <c r="T9" i="20"/>
  <c r="T25" i="20"/>
  <c r="T41" i="20"/>
  <c r="R3" i="36"/>
  <c r="C5" i="36"/>
  <c r="D5" i="36"/>
  <c r="E5" i="36"/>
  <c r="F5" i="36"/>
  <c r="G5" i="36"/>
  <c r="E8" i="36"/>
  <c r="C8" i="36"/>
  <c r="D8" i="36"/>
  <c r="F8" i="36"/>
  <c r="G8" i="36"/>
  <c r="D4" i="43"/>
  <c r="C4" i="43"/>
  <c r="E4" i="43"/>
  <c r="F4" i="43"/>
  <c r="E7" i="43"/>
  <c r="G7" i="79" s="1"/>
  <c r="F7" i="43"/>
  <c r="D7" i="43"/>
  <c r="F7" i="79" s="1"/>
  <c r="C7" i="43"/>
  <c r="G11" i="43"/>
  <c r="D8" i="44"/>
  <c r="F21" i="79" s="1"/>
  <c r="E8" i="44"/>
  <c r="G21" i="79" s="1"/>
  <c r="F8" i="44"/>
  <c r="H21" i="79" s="1"/>
  <c r="C8" i="44"/>
  <c r="F11" i="44"/>
  <c r="C11" i="44"/>
  <c r="D11" i="44"/>
  <c r="E11" i="44"/>
  <c r="D14" i="44"/>
  <c r="C14" i="44"/>
  <c r="E14" i="44"/>
  <c r="F14" i="44"/>
  <c r="R4" i="45"/>
  <c r="E15" i="45"/>
  <c r="C15" i="45"/>
  <c r="D15" i="45"/>
  <c r="F15" i="45"/>
  <c r="B4" i="49"/>
  <c r="B11" i="49"/>
  <c r="B18" i="49"/>
  <c r="B25" i="49"/>
  <c r="B32" i="49"/>
  <c r="B44" i="49"/>
  <c r="T40" i="20"/>
  <c r="L7" i="20"/>
  <c r="V7" i="20" s="1"/>
  <c r="N7" i="20"/>
  <c r="X7" i="20" s="1"/>
  <c r="B5" i="43" s="1"/>
  <c r="M7" i="20"/>
  <c r="W7" i="20" s="1"/>
  <c r="M11" i="20"/>
  <c r="W11" i="20" s="1"/>
  <c r="N11" i="20"/>
  <c r="X11" i="20" s="1"/>
  <c r="B9" i="43" s="1"/>
  <c r="L11" i="20"/>
  <c r="V11" i="20" s="1"/>
  <c r="M15" i="20"/>
  <c r="W15" i="20" s="1"/>
  <c r="N15" i="20"/>
  <c r="X15" i="20" s="1"/>
  <c r="B13" i="43" s="1"/>
  <c r="L15" i="20"/>
  <c r="V15" i="20" s="1"/>
  <c r="L19" i="20"/>
  <c r="V19" i="20" s="1"/>
  <c r="M19" i="20"/>
  <c r="W19" i="20" s="1"/>
  <c r="N19" i="20"/>
  <c r="X19" i="20" s="1"/>
  <c r="B4" i="44" s="1"/>
  <c r="D17" i="79" s="1"/>
  <c r="L23" i="20"/>
  <c r="V23" i="20" s="1"/>
  <c r="M23" i="20"/>
  <c r="W23" i="20" s="1"/>
  <c r="N23" i="20"/>
  <c r="X23" i="20" s="1"/>
  <c r="B8" i="44" s="1"/>
  <c r="L27" i="20"/>
  <c r="V27" i="20" s="1"/>
  <c r="M27" i="20"/>
  <c r="W27" i="20" s="1"/>
  <c r="N27" i="20"/>
  <c r="X27" i="20" s="1"/>
  <c r="B12" i="44" s="1"/>
  <c r="L31" i="20"/>
  <c r="V31" i="20" s="1"/>
  <c r="M31" i="20"/>
  <c r="W31" i="20" s="1"/>
  <c r="N31" i="20"/>
  <c r="X31" i="20" s="1"/>
  <c r="B16" i="44" s="1"/>
  <c r="M35" i="20"/>
  <c r="W35" i="20" s="1"/>
  <c r="N35" i="20"/>
  <c r="X35" i="20" s="1"/>
  <c r="B3" i="45" s="1"/>
  <c r="L35" i="20"/>
  <c r="V35" i="20" s="1"/>
  <c r="L39" i="20"/>
  <c r="V39" i="20" s="1"/>
  <c r="N39" i="20"/>
  <c r="X39" i="20" s="1"/>
  <c r="B7" i="45" s="1"/>
  <c r="M39" i="20"/>
  <c r="W39" i="20" s="1"/>
  <c r="N43" i="20"/>
  <c r="X43" i="20" s="1"/>
  <c r="B11" i="45" s="1"/>
  <c r="L43" i="20"/>
  <c r="V43" i="20" s="1"/>
  <c r="M43" i="20"/>
  <c r="W43" i="20" s="1"/>
  <c r="L47" i="20"/>
  <c r="V47" i="20" s="1"/>
  <c r="M47" i="20"/>
  <c r="W47" i="20" s="1"/>
  <c r="N47" i="20"/>
  <c r="X47" i="20" s="1"/>
  <c r="B15" i="45" s="1"/>
  <c r="L2" i="110"/>
  <c r="M2" i="110" s="1"/>
  <c r="G4" i="110"/>
  <c r="I4" i="110" s="1"/>
  <c r="G11" i="110"/>
  <c r="I11" i="110" s="1"/>
  <c r="L12" i="110"/>
  <c r="M12" i="110" s="1"/>
  <c r="G19" i="110"/>
  <c r="I19" i="110" s="1"/>
  <c r="L20" i="110"/>
  <c r="M20" i="110" s="1"/>
  <c r="G27" i="110"/>
  <c r="I27" i="110" s="1"/>
  <c r="L28" i="110"/>
  <c r="M28" i="110" s="1"/>
  <c r="G35" i="110"/>
  <c r="I35" i="110" s="1"/>
  <c r="L36" i="110"/>
  <c r="M36" i="110" s="1"/>
  <c r="G43" i="110"/>
  <c r="I43" i="110" s="1"/>
  <c r="R2" i="30"/>
  <c r="H6" i="36"/>
  <c r="G2" i="43"/>
  <c r="G5" i="43"/>
  <c r="G8" i="43"/>
  <c r="R9" i="43"/>
  <c r="R12" i="43"/>
  <c r="P3" i="44"/>
  <c r="C5" i="44"/>
  <c r="E18" i="79" s="1"/>
  <c r="D5" i="44"/>
  <c r="F18" i="79" s="1"/>
  <c r="E5" i="44"/>
  <c r="G18" i="79" s="1"/>
  <c r="F5" i="44"/>
  <c r="H18" i="79" s="1"/>
  <c r="P6" i="44"/>
  <c r="T6" i="44" s="1"/>
  <c r="G9" i="44"/>
  <c r="G15" i="44"/>
  <c r="R16" i="44"/>
  <c r="P7" i="45"/>
  <c r="P10" i="45"/>
  <c r="T10" i="45" s="1"/>
  <c r="C12" i="45"/>
  <c r="D12" i="45"/>
  <c r="E12" i="45"/>
  <c r="F12" i="45"/>
  <c r="P13" i="45"/>
  <c r="G13" i="45" s="1"/>
  <c r="E3" i="45"/>
  <c r="C3" i="45"/>
  <c r="D3" i="45"/>
  <c r="F3" i="45"/>
  <c r="P4" i="45"/>
  <c r="T4" i="45" s="1"/>
  <c r="C6" i="45"/>
  <c r="D6" i="45"/>
  <c r="E6" i="45"/>
  <c r="F6" i="45"/>
  <c r="C9" i="45"/>
  <c r="D9" i="45"/>
  <c r="E9" i="45"/>
  <c r="F9" i="45"/>
  <c r="B3" i="49"/>
  <c r="B10" i="49"/>
  <c r="B17" i="49"/>
  <c r="B29" i="49"/>
  <c r="B36" i="49"/>
  <c r="B43" i="49"/>
  <c r="P5" i="30"/>
  <c r="S5" i="30" s="1"/>
  <c r="D2" i="36"/>
  <c r="C2" i="36"/>
  <c r="G2" i="36"/>
  <c r="R3" i="43"/>
  <c r="R6" i="43"/>
  <c r="P9" i="43"/>
  <c r="T9" i="43" s="1"/>
  <c r="P12" i="43"/>
  <c r="T12" i="43" s="1"/>
  <c r="G3" i="44"/>
  <c r="I16" i="79" s="1"/>
  <c r="R7" i="44"/>
  <c r="R10" i="44"/>
  <c r="R13" i="44"/>
  <c r="P16" i="44"/>
  <c r="T16" i="44" s="1"/>
  <c r="G10" i="45"/>
  <c r="R14" i="45"/>
  <c r="G14" i="45" s="1"/>
  <c r="C14" i="43"/>
  <c r="D14" i="43"/>
  <c r="E14" i="43"/>
  <c r="F14" i="43"/>
  <c r="R4" i="44"/>
  <c r="C15" i="44"/>
  <c r="D15" i="44"/>
  <c r="E15" i="44"/>
  <c r="F15" i="44"/>
  <c r="D18" i="44"/>
  <c r="C18" i="44"/>
  <c r="E18" i="44"/>
  <c r="F18" i="44"/>
  <c r="R11" i="45"/>
  <c r="B2" i="49"/>
  <c r="B14" i="49"/>
  <c r="B21" i="49"/>
  <c r="B28" i="49"/>
  <c r="B35" i="49"/>
  <c r="B42" i="49"/>
  <c r="R2" i="45"/>
  <c r="R5" i="45"/>
  <c r="R8" i="45"/>
  <c r="P14" i="45"/>
  <c r="C22" i="4"/>
  <c r="C24" i="4"/>
  <c r="D19" i="4"/>
  <c r="T10" i="2"/>
  <c r="H10" i="4" s="1"/>
  <c r="Q10" i="2"/>
  <c r="G10" i="4" s="1"/>
  <c r="AC6" i="2"/>
  <c r="L6" i="4" s="1"/>
  <c r="AC26" i="2"/>
  <c r="L26" i="4" s="1"/>
  <c r="M6" i="2"/>
  <c r="F6" i="4" s="1"/>
  <c r="AA9" i="2"/>
  <c r="K9" i="4" s="1"/>
  <c r="Y9" i="2"/>
  <c r="Z9" i="2"/>
  <c r="J9" i="4" s="1"/>
  <c r="AA15" i="2"/>
  <c r="K15" i="4" s="1"/>
  <c r="Y15" i="2"/>
  <c r="Z15" i="2"/>
  <c r="J15" i="4" s="1"/>
  <c r="Z26" i="2"/>
  <c r="J26" i="4" s="1"/>
  <c r="AA26" i="2"/>
  <c r="K26" i="4" s="1"/>
  <c r="Y26" i="2"/>
  <c r="T19" i="20"/>
  <c r="T35" i="20"/>
  <c r="P3" i="30"/>
  <c r="S3" i="30" s="1"/>
  <c r="C6" i="36"/>
  <c r="D6" i="36"/>
  <c r="F6" i="36"/>
  <c r="G6" i="36"/>
  <c r="E6" i="36"/>
  <c r="H7" i="36"/>
  <c r="C2" i="43"/>
  <c r="D2" i="43"/>
  <c r="E2" i="43"/>
  <c r="F2" i="43"/>
  <c r="D3" i="44"/>
  <c r="F16" i="79" s="1"/>
  <c r="E3" i="44"/>
  <c r="G16" i="79" s="1"/>
  <c r="F3" i="44"/>
  <c r="H16" i="79" s="1"/>
  <c r="C3" i="44"/>
  <c r="E16" i="79" s="1"/>
  <c r="P4" i="44"/>
  <c r="T4" i="44" s="1"/>
  <c r="D6" i="44"/>
  <c r="F6" i="44"/>
  <c r="C6" i="44"/>
  <c r="E6" i="44"/>
  <c r="E9" i="44"/>
  <c r="C9" i="44"/>
  <c r="D9" i="44"/>
  <c r="F9" i="44"/>
  <c r="C10" i="45"/>
  <c r="D10" i="45"/>
  <c r="E10" i="45"/>
  <c r="F10" i="45"/>
  <c r="P11" i="45"/>
  <c r="T11" i="45" s="1"/>
  <c r="D13" i="45"/>
  <c r="C13" i="45"/>
  <c r="E13" i="45"/>
  <c r="F13" i="45"/>
  <c r="B6" i="49"/>
  <c r="B13" i="49"/>
  <c r="B20" i="49"/>
  <c r="B27" i="49"/>
  <c r="B39" i="49"/>
  <c r="B45" i="49"/>
  <c r="AC5" i="2"/>
  <c r="AB2" i="2"/>
  <c r="AC25" i="2"/>
  <c r="L25" i="4" s="1"/>
  <c r="J6" i="2"/>
  <c r="E6" i="4" s="1"/>
  <c r="M18" i="2"/>
  <c r="F18" i="4" s="1"/>
  <c r="T18" i="20"/>
  <c r="T34" i="20"/>
  <c r="L5" i="20"/>
  <c r="V5" i="20" s="1"/>
  <c r="M5" i="20"/>
  <c r="W5" i="20" s="1"/>
  <c r="N5" i="20"/>
  <c r="X5" i="20" s="1"/>
  <c r="B3" i="43" s="1"/>
  <c r="E3" i="17"/>
  <c r="F3" i="17"/>
  <c r="H3" i="17"/>
  <c r="I3" i="17"/>
  <c r="L6" i="110"/>
  <c r="M6" i="110" s="1"/>
  <c r="G8" i="110"/>
  <c r="I8" i="110" s="1"/>
  <c r="L9" i="110"/>
  <c r="M9" i="110" s="1"/>
  <c r="L16" i="110"/>
  <c r="M16" i="110" s="1"/>
  <c r="L17" i="110"/>
  <c r="M17" i="110" s="1"/>
  <c r="L24" i="110"/>
  <c r="M24" i="110" s="1"/>
  <c r="L25" i="110"/>
  <c r="M25" i="110" s="1"/>
  <c r="L32" i="110"/>
  <c r="M32" i="110" s="1"/>
  <c r="L33" i="110"/>
  <c r="M33" i="110" s="1"/>
  <c r="L40" i="110"/>
  <c r="M40" i="110" s="1"/>
  <c r="L41" i="110"/>
  <c r="M41" i="110" s="1"/>
  <c r="D3" i="36"/>
  <c r="G3" i="36"/>
  <c r="C3" i="36"/>
  <c r="G3" i="43"/>
  <c r="G6" i="43"/>
  <c r="R7" i="43"/>
  <c r="R10" i="43"/>
  <c r="R13" i="43"/>
  <c r="G7" i="44"/>
  <c r="G10" i="44"/>
  <c r="R14" i="44"/>
  <c r="G14" i="44" s="1"/>
  <c r="R17" i="44"/>
  <c r="R18" i="44"/>
  <c r="P2" i="45"/>
  <c r="P5" i="45"/>
  <c r="P8" i="45"/>
  <c r="T8" i="45" s="1"/>
  <c r="F48" i="20"/>
  <c r="Y2" i="2" l="1"/>
  <c r="U38" i="20"/>
  <c r="U27" i="20"/>
  <c r="U17" i="20"/>
  <c r="U46" i="20"/>
  <c r="U13" i="20"/>
  <c r="U14" i="20"/>
  <c r="U4" i="20"/>
  <c r="G27" i="45" s="1"/>
  <c r="U34" i="20"/>
  <c r="U35" i="20"/>
  <c r="U25" i="20"/>
  <c r="U29" i="20"/>
  <c r="U23" i="20"/>
  <c r="U39" i="20"/>
  <c r="U18" i="20"/>
  <c r="U9" i="20"/>
  <c r="U16" i="20"/>
  <c r="U24" i="20"/>
  <c r="U40" i="20"/>
  <c r="U7" i="20"/>
  <c r="U30" i="20"/>
  <c r="U19" i="20"/>
  <c r="U47" i="20"/>
  <c r="I7" i="79"/>
  <c r="G36" i="45"/>
  <c r="I45" i="79"/>
  <c r="I39" i="79"/>
  <c r="G30" i="45"/>
  <c r="I44" i="79"/>
  <c r="G35" i="45"/>
  <c r="I36" i="79"/>
  <c r="I37" i="79"/>
  <c r="I31" i="79"/>
  <c r="I43" i="79"/>
  <c r="G35" i="44"/>
  <c r="I27" i="79"/>
  <c r="F22" i="79"/>
  <c r="D30" i="44"/>
  <c r="F28" i="79"/>
  <c r="G16" i="44"/>
  <c r="E27" i="44"/>
  <c r="G19" i="79"/>
  <c r="H14" i="79"/>
  <c r="F27" i="45"/>
  <c r="H36" i="79"/>
  <c r="F24" i="79"/>
  <c r="G30" i="79"/>
  <c r="C27" i="44"/>
  <c r="E19" i="79"/>
  <c r="G36" i="79"/>
  <c r="B32" i="45"/>
  <c r="D41" i="79"/>
  <c r="C32" i="44"/>
  <c r="E24" i="79"/>
  <c r="F30" i="79"/>
  <c r="T15" i="45"/>
  <c r="G8" i="45"/>
  <c r="T5" i="45"/>
  <c r="F27" i="44"/>
  <c r="H19" i="79"/>
  <c r="F14" i="79"/>
  <c r="D35" i="43"/>
  <c r="D27" i="45"/>
  <c r="F36" i="79"/>
  <c r="G12" i="44"/>
  <c r="F32" i="44"/>
  <c r="H24" i="79"/>
  <c r="T2" i="45"/>
  <c r="F34" i="45"/>
  <c r="H43" i="79"/>
  <c r="D27" i="44"/>
  <c r="F19" i="79"/>
  <c r="H4" i="36"/>
  <c r="E14" i="79"/>
  <c r="C27" i="45"/>
  <c r="E36" i="79"/>
  <c r="I22" i="79"/>
  <c r="G30" i="44"/>
  <c r="B28" i="45"/>
  <c r="D37" i="79"/>
  <c r="E21" i="79"/>
  <c r="C29" i="44"/>
  <c r="H2" i="36"/>
  <c r="F34" i="43"/>
  <c r="H13" i="79"/>
  <c r="T9" i="45"/>
  <c r="G2" i="45"/>
  <c r="I32" i="79" s="1"/>
  <c r="F9" i="79"/>
  <c r="E28" i="44"/>
  <c r="G20" i="79"/>
  <c r="C26" i="43"/>
  <c r="E5" i="79"/>
  <c r="E37" i="79"/>
  <c r="C24" i="43"/>
  <c r="E3" i="79"/>
  <c r="U33" i="20"/>
  <c r="B31" i="43"/>
  <c r="D10" i="79"/>
  <c r="D2" i="79"/>
  <c r="C30" i="43"/>
  <c r="E9" i="79"/>
  <c r="E20" i="79"/>
  <c r="D26" i="43"/>
  <c r="F5" i="79"/>
  <c r="G11" i="44"/>
  <c r="B39" i="44"/>
  <c r="D31" i="79"/>
  <c r="E43" i="79"/>
  <c r="F24" i="45"/>
  <c r="H33" i="79"/>
  <c r="B34" i="43"/>
  <c r="D13" i="79"/>
  <c r="F36" i="45"/>
  <c r="H45" i="79"/>
  <c r="F13" i="79"/>
  <c r="F35" i="45"/>
  <c r="H44" i="79"/>
  <c r="T14" i="44"/>
  <c r="B31" i="44"/>
  <c r="D23" i="79"/>
  <c r="F30" i="43"/>
  <c r="H9" i="79"/>
  <c r="U15" i="20"/>
  <c r="G9" i="43"/>
  <c r="U31" i="20"/>
  <c r="D28" i="44"/>
  <c r="F20" i="79"/>
  <c r="H5" i="30"/>
  <c r="U37" i="20"/>
  <c r="U32" i="20"/>
  <c r="G8" i="79"/>
  <c r="G10" i="43"/>
  <c r="E5" i="4"/>
  <c r="J2" i="2"/>
  <c r="E2" i="4" s="1"/>
  <c r="U11" i="20"/>
  <c r="D29" i="43"/>
  <c r="F8" i="79"/>
  <c r="H6" i="79"/>
  <c r="C36" i="45"/>
  <c r="E45" i="79"/>
  <c r="I11" i="79"/>
  <c r="D35" i="45"/>
  <c r="F44" i="79"/>
  <c r="D35" i="79"/>
  <c r="D25" i="45"/>
  <c r="F34" i="79"/>
  <c r="T8" i="36"/>
  <c r="T3" i="43"/>
  <c r="G11" i="45"/>
  <c r="U26" i="20"/>
  <c r="G13" i="43"/>
  <c r="AA2" i="2"/>
  <c r="K2" i="4" s="1"/>
  <c r="K5" i="4"/>
  <c r="D24" i="79"/>
  <c r="C29" i="43"/>
  <c r="E8" i="79"/>
  <c r="F6" i="79"/>
  <c r="I23" i="79"/>
  <c r="G31" i="44"/>
  <c r="F31" i="45"/>
  <c r="H40" i="79"/>
  <c r="E39" i="44"/>
  <c r="G31" i="79"/>
  <c r="B37" i="44"/>
  <c r="D29" i="79"/>
  <c r="T8" i="44"/>
  <c r="D26" i="79"/>
  <c r="H3" i="36"/>
  <c r="B27" i="45"/>
  <c r="D36" i="79"/>
  <c r="H8" i="79"/>
  <c r="C27" i="43"/>
  <c r="E6" i="79"/>
  <c r="C34" i="43"/>
  <c r="E13" i="79"/>
  <c r="E25" i="45"/>
  <c r="G34" i="79"/>
  <c r="G13" i="44"/>
  <c r="F39" i="44"/>
  <c r="H31" i="79"/>
  <c r="C24" i="45"/>
  <c r="E33" i="79"/>
  <c r="G33" i="79"/>
  <c r="F23" i="43"/>
  <c r="H2" i="79"/>
  <c r="C39" i="44"/>
  <c r="E31" i="79"/>
  <c r="E31" i="43"/>
  <c r="G10" i="79"/>
  <c r="D32" i="45"/>
  <c r="F41" i="79"/>
  <c r="F33" i="44"/>
  <c r="H25" i="79"/>
  <c r="G12" i="43"/>
  <c r="D8" i="79"/>
  <c r="B29" i="43"/>
  <c r="G6" i="79"/>
  <c r="F5" i="4"/>
  <c r="M2" i="2"/>
  <c r="F2" i="4" s="1"/>
  <c r="M3" i="2"/>
  <c r="F3" i="4" s="1"/>
  <c r="B30" i="43"/>
  <c r="D9" i="79"/>
  <c r="E36" i="45"/>
  <c r="G45" i="79"/>
  <c r="C28" i="43"/>
  <c r="E7" i="79"/>
  <c r="I33" i="79"/>
  <c r="G24" i="45"/>
  <c r="F31" i="43"/>
  <c r="H10" i="79"/>
  <c r="E31" i="45"/>
  <c r="G40" i="79"/>
  <c r="T13" i="45"/>
  <c r="T3" i="44"/>
  <c r="C25" i="45"/>
  <c r="E34" i="79"/>
  <c r="C33" i="43"/>
  <c r="E12" i="79"/>
  <c r="E31" i="44"/>
  <c r="G23" i="79"/>
  <c r="D34" i="44"/>
  <c r="F26" i="79"/>
  <c r="E33" i="44"/>
  <c r="G25" i="79"/>
  <c r="T3" i="45"/>
  <c r="F32" i="43"/>
  <c r="H11" i="79"/>
  <c r="B30" i="44"/>
  <c r="D22" i="79"/>
  <c r="U22" i="20"/>
  <c r="U12" i="20"/>
  <c r="D34" i="45"/>
  <c r="F43" i="79"/>
  <c r="B24" i="45"/>
  <c r="D33" i="79"/>
  <c r="E35" i="45"/>
  <c r="G44" i="79"/>
  <c r="T4" i="43"/>
  <c r="C35" i="45"/>
  <c r="E44" i="79"/>
  <c r="B33" i="43"/>
  <c r="D12" i="79"/>
  <c r="F25" i="45"/>
  <c r="H34" i="79"/>
  <c r="I20" i="79"/>
  <c r="D31" i="45"/>
  <c r="F40" i="79"/>
  <c r="E23" i="43"/>
  <c r="G2" i="79"/>
  <c r="T14" i="45"/>
  <c r="D39" i="44"/>
  <c r="F31" i="79"/>
  <c r="F33" i="45"/>
  <c r="H42" i="79"/>
  <c r="H7" i="79"/>
  <c r="F28" i="43"/>
  <c r="D31" i="43"/>
  <c r="F10" i="79"/>
  <c r="F32" i="45"/>
  <c r="H41" i="79"/>
  <c r="E40" i="79"/>
  <c r="D23" i="43"/>
  <c r="F2" i="79"/>
  <c r="F36" i="44"/>
  <c r="H28" i="79"/>
  <c r="E33" i="45"/>
  <c r="G42" i="79"/>
  <c r="P4" i="110"/>
  <c r="B33" i="44"/>
  <c r="D25" i="79"/>
  <c r="B26" i="43"/>
  <c r="D5" i="79"/>
  <c r="F35" i="44"/>
  <c r="H27" i="79"/>
  <c r="U41" i="20"/>
  <c r="E10" i="79"/>
  <c r="E32" i="45"/>
  <c r="G41" i="79"/>
  <c r="D33" i="43"/>
  <c r="F12" i="79"/>
  <c r="S4" i="30"/>
  <c r="C31" i="44"/>
  <c r="E23" i="79"/>
  <c r="Q7" i="110"/>
  <c r="D27" i="79"/>
  <c r="B35" i="44"/>
  <c r="E34" i="44"/>
  <c r="G26" i="79"/>
  <c r="C33" i="44"/>
  <c r="E25" i="79"/>
  <c r="D19" i="79"/>
  <c r="F2" i="17"/>
  <c r="C2" i="30"/>
  <c r="U42" i="20"/>
  <c r="U43" i="20"/>
  <c r="E32" i="43"/>
  <c r="G11" i="79"/>
  <c r="U44" i="20"/>
  <c r="E34" i="43"/>
  <c r="G13" i="79"/>
  <c r="B30" i="45"/>
  <c r="D39" i="79"/>
  <c r="I4" i="79"/>
  <c r="G25" i="43"/>
  <c r="G4" i="45"/>
  <c r="I40" i="79"/>
  <c r="G31" i="45"/>
  <c r="F33" i="79"/>
  <c r="D24" i="45"/>
  <c r="D36" i="45"/>
  <c r="F45" i="79"/>
  <c r="G17" i="44"/>
  <c r="Z2" i="2"/>
  <c r="J2" i="4" s="1"/>
  <c r="AC2" i="2"/>
  <c r="L2" i="4" s="1"/>
  <c r="L5" i="4"/>
  <c r="F30" i="44"/>
  <c r="H22" i="79"/>
  <c r="C23" i="43"/>
  <c r="E2" i="79"/>
  <c r="E36" i="44"/>
  <c r="G28" i="79"/>
  <c r="G6" i="44"/>
  <c r="H39" i="79"/>
  <c r="F30" i="45"/>
  <c r="D33" i="45"/>
  <c r="F42" i="79"/>
  <c r="I8" i="79"/>
  <c r="G29" i="43"/>
  <c r="B36" i="45"/>
  <c r="D45" i="79"/>
  <c r="E35" i="44"/>
  <c r="G27" i="79"/>
  <c r="H4" i="79"/>
  <c r="F25" i="43"/>
  <c r="C32" i="45"/>
  <c r="E41" i="79"/>
  <c r="G12" i="79"/>
  <c r="S2" i="30"/>
  <c r="F31" i="44"/>
  <c r="H23" i="79"/>
  <c r="B29" i="45"/>
  <c r="D38" i="79"/>
  <c r="F34" i="44"/>
  <c r="H26" i="79"/>
  <c r="D33" i="44"/>
  <c r="F25" i="79"/>
  <c r="E26" i="45"/>
  <c r="G35" i="79"/>
  <c r="G5" i="44"/>
  <c r="I18" i="79" s="1"/>
  <c r="U6" i="20"/>
  <c r="F11" i="79"/>
  <c r="D42" i="79"/>
  <c r="U36" i="20"/>
  <c r="E11" i="79"/>
  <c r="C32" i="43"/>
  <c r="U45" i="20"/>
  <c r="U8" i="20"/>
  <c r="C33" i="45"/>
  <c r="E42" i="79"/>
  <c r="C35" i="44"/>
  <c r="E27" i="79"/>
  <c r="I42" i="79"/>
  <c r="G33" i="45"/>
  <c r="F33" i="43"/>
  <c r="H12" i="79"/>
  <c r="C34" i="44"/>
  <c r="E26" i="79"/>
  <c r="G4" i="44"/>
  <c r="I17" i="79" s="1"/>
  <c r="D26" i="45"/>
  <c r="F35" i="79"/>
  <c r="K13" i="19"/>
  <c r="G23" i="43"/>
  <c r="I2" i="79"/>
  <c r="B29" i="44"/>
  <c r="D21" i="79"/>
  <c r="F27" i="79"/>
  <c r="D35" i="44"/>
  <c r="E4" i="79"/>
  <c r="C25" i="43"/>
  <c r="G14" i="43"/>
  <c r="T18" i="44"/>
  <c r="D29" i="45"/>
  <c r="F38" i="79"/>
  <c r="G8" i="44"/>
  <c r="E29" i="79"/>
  <c r="C37" i="44"/>
  <c r="C26" i="45"/>
  <c r="E35" i="79"/>
  <c r="O48" i="20"/>
  <c r="B35" i="43"/>
  <c r="D14" i="79"/>
  <c r="U21" i="20"/>
  <c r="D30" i="45"/>
  <c r="F39" i="79"/>
  <c r="C30" i="45"/>
  <c r="E39" i="79"/>
  <c r="E32" i="44"/>
  <c r="G24" i="79"/>
  <c r="D25" i="43"/>
  <c r="F4" i="79"/>
  <c r="F38" i="44"/>
  <c r="H30" i="79"/>
  <c r="T6" i="45"/>
  <c r="F29" i="45"/>
  <c r="H38" i="79"/>
  <c r="T7" i="43"/>
  <c r="D40" i="79"/>
  <c r="B31" i="45"/>
  <c r="B32" i="43"/>
  <c r="D11" i="79"/>
  <c r="H29" i="79"/>
  <c r="F37" i="44"/>
  <c r="F26" i="45"/>
  <c r="H35" i="79"/>
  <c r="B25" i="43"/>
  <c r="D4" i="79"/>
  <c r="I6" i="79"/>
  <c r="G27" i="43"/>
  <c r="G39" i="79"/>
  <c r="E30" i="45"/>
  <c r="E29" i="45"/>
  <c r="G38" i="79"/>
  <c r="D31" i="44"/>
  <c r="F23" i="79"/>
  <c r="C30" i="44"/>
  <c r="E22" i="79"/>
  <c r="T7" i="36"/>
  <c r="E37" i="44"/>
  <c r="G29" i="79"/>
  <c r="T2" i="44"/>
  <c r="F28" i="45"/>
  <c r="H37" i="79"/>
  <c r="F24" i="43"/>
  <c r="H3" i="79"/>
  <c r="B27" i="43"/>
  <c r="D6" i="79"/>
  <c r="B38" i="44"/>
  <c r="D30" i="79"/>
  <c r="T2" i="2"/>
  <c r="H2" i="4" s="1"/>
  <c r="T3" i="2"/>
  <c r="H3" i="4" s="1"/>
  <c r="H5" i="4"/>
  <c r="D28" i="79"/>
  <c r="B36" i="44"/>
  <c r="D44" i="79"/>
  <c r="B35" i="45"/>
  <c r="G26" i="43"/>
  <c r="I5" i="79"/>
  <c r="G4" i="79"/>
  <c r="E25" i="43"/>
  <c r="D7" i="79"/>
  <c r="B28" i="43"/>
  <c r="I3" i="79"/>
  <c r="G24" i="43"/>
  <c r="C36" i="44"/>
  <c r="E28" i="79"/>
  <c r="T7" i="45"/>
  <c r="B24" i="43"/>
  <c r="D3" i="79"/>
  <c r="G14" i="79"/>
  <c r="E35" i="43"/>
  <c r="I28" i="79"/>
  <c r="G36" i="44"/>
  <c r="H3" i="30"/>
  <c r="D37" i="44"/>
  <c r="F29" i="79"/>
  <c r="E28" i="45"/>
  <c r="G37" i="79"/>
  <c r="E24" i="43"/>
  <c r="G3" i="79"/>
  <c r="Q2" i="2"/>
  <c r="G2" i="4" s="1"/>
  <c r="G5" i="4"/>
  <c r="Q3" i="2"/>
  <c r="G3" i="4" s="1"/>
  <c r="U5" i="20"/>
  <c r="E34" i="45"/>
  <c r="G43" i="79"/>
  <c r="E30" i="44"/>
  <c r="G22" i="79"/>
  <c r="C29" i="45"/>
  <c r="E38" i="79"/>
  <c r="F26" i="43"/>
  <c r="H5" i="79"/>
  <c r="C38" i="44"/>
  <c r="E30" i="79"/>
  <c r="T12" i="45"/>
  <c r="G5" i="45"/>
  <c r="B34" i="45"/>
  <c r="D43" i="79"/>
  <c r="E30" i="43"/>
  <c r="G9" i="79"/>
  <c r="U28" i="20"/>
  <c r="F28" i="44"/>
  <c r="H20" i="79"/>
  <c r="E26" i="43"/>
  <c r="G5" i="79"/>
  <c r="B25" i="45"/>
  <c r="D34" i="79"/>
  <c r="D28" i="45"/>
  <c r="F37" i="79"/>
  <c r="D24" i="43"/>
  <c r="F3" i="79"/>
  <c r="U10" i="20"/>
  <c r="B28" i="44"/>
  <c r="D20" i="79"/>
  <c r="E27" i="45" l="1"/>
  <c r="D36" i="44"/>
  <c r="G28" i="43"/>
  <c r="B33" i="45"/>
  <c r="B4" i="78" s="1"/>
  <c r="B27" i="44"/>
  <c r="C31" i="43"/>
  <c r="C31" i="45"/>
  <c r="G28" i="44"/>
  <c r="B32" i="44"/>
  <c r="F27" i="43"/>
  <c r="C34" i="45"/>
  <c r="C28" i="45"/>
  <c r="C4" i="78" s="1"/>
  <c r="E38" i="44"/>
  <c r="G28" i="45"/>
  <c r="D32" i="43"/>
  <c r="E33" i="43"/>
  <c r="E27" i="43"/>
  <c r="E24" i="45"/>
  <c r="B34" i="44"/>
  <c r="G34" i="45"/>
  <c r="B26" i="45"/>
  <c r="E29" i="43"/>
  <c r="D34" i="43"/>
  <c r="C28" i="44"/>
  <c r="C3" i="78" s="1"/>
  <c r="C35" i="43"/>
  <c r="D32" i="44"/>
  <c r="D3" i="78" s="1"/>
  <c r="G39" i="44"/>
  <c r="F29" i="43"/>
  <c r="D27" i="43"/>
  <c r="D2" i="78" s="1"/>
  <c r="D30" i="43"/>
  <c r="G32" i="43"/>
  <c r="B23" i="43"/>
  <c r="B2" i="78" s="1"/>
  <c r="D38" i="44"/>
  <c r="F35" i="43"/>
  <c r="I10" i="79"/>
  <c r="G31" i="43"/>
  <c r="I24" i="79"/>
  <c r="G32" i="44"/>
  <c r="I25" i="79"/>
  <c r="G33" i="44"/>
  <c r="K9" i="19"/>
  <c r="K11" i="19"/>
  <c r="K10" i="19"/>
  <c r="I35" i="79"/>
  <c r="G26" i="45"/>
  <c r="I21" i="79"/>
  <c r="G29" i="44"/>
  <c r="I30" i="79"/>
  <c r="G38" i="44"/>
  <c r="K9" i="110"/>
  <c r="K17" i="110"/>
  <c r="K25" i="110"/>
  <c r="K33" i="110"/>
  <c r="K41" i="110"/>
  <c r="K2" i="110"/>
  <c r="K21" i="110"/>
  <c r="K24" i="110"/>
  <c r="K12" i="110"/>
  <c r="K15" i="110"/>
  <c r="K18" i="110"/>
  <c r="K27" i="110"/>
  <c r="K3" i="110"/>
  <c r="K30" i="110"/>
  <c r="K6" i="110"/>
  <c r="K39" i="110"/>
  <c r="K42" i="110"/>
  <c r="K16" i="110"/>
  <c r="K19" i="110"/>
  <c r="K22" i="110"/>
  <c r="K28" i="110"/>
  <c r="K4" i="110"/>
  <c r="K13" i="110"/>
  <c r="K7" i="110"/>
  <c r="K10" i="110"/>
  <c r="K34" i="110"/>
  <c r="K8" i="110"/>
  <c r="K11" i="110"/>
  <c r="K14" i="110"/>
  <c r="K38" i="110"/>
  <c r="K29" i="110"/>
  <c r="K40" i="110"/>
  <c r="K35" i="110"/>
  <c r="K44" i="110"/>
  <c r="K23" i="110"/>
  <c r="K36" i="110"/>
  <c r="K31" i="110"/>
  <c r="K5" i="110"/>
  <c r="K45" i="110"/>
  <c r="K37" i="110"/>
  <c r="K32" i="110"/>
  <c r="K26" i="110"/>
  <c r="K43" i="110"/>
  <c r="K20" i="110"/>
  <c r="E3" i="78"/>
  <c r="I19" i="79"/>
  <c r="G27" i="44"/>
  <c r="I12" i="79"/>
  <c r="G33" i="43"/>
  <c r="I14" i="79"/>
  <c r="G35" i="43"/>
  <c r="D4" i="78"/>
  <c r="F3" i="78"/>
  <c r="B3" i="78"/>
  <c r="I26" i="79"/>
  <c r="G34" i="44"/>
  <c r="I29" i="79"/>
  <c r="G37" i="44"/>
  <c r="E4" i="78"/>
  <c r="G25" i="45"/>
  <c r="I34" i="79"/>
  <c r="I13" i="79"/>
  <c r="G34" i="43"/>
  <c r="I9" i="79"/>
  <c r="G30" i="43"/>
  <c r="C2" i="78"/>
  <c r="I41" i="79"/>
  <c r="G32" i="45"/>
  <c r="F4" i="78"/>
  <c r="G29" i="45"/>
  <c r="I38" i="79"/>
  <c r="F2" i="78" l="1"/>
  <c r="E2" i="78"/>
  <c r="G3" i="78"/>
  <c r="G4" i="78"/>
  <c r="G2" i="78"/>
  <c r="C6" i="110"/>
  <c r="N6" i="110"/>
  <c r="N26" i="110"/>
  <c r="C26" i="110"/>
  <c r="C39" i="110"/>
  <c r="N39" i="110"/>
  <c r="C3" i="110"/>
  <c r="N3" i="110"/>
  <c r="N27" i="110"/>
  <c r="C27" i="110"/>
  <c r="C38" i="110"/>
  <c r="N38" i="110"/>
  <c r="C37" i="110"/>
  <c r="N37" i="110"/>
  <c r="C18" i="110"/>
  <c r="N18" i="110"/>
  <c r="C40" i="110"/>
  <c r="N40" i="110"/>
  <c r="N32" i="110"/>
  <c r="C32" i="110"/>
  <c r="N29" i="110"/>
  <c r="C29" i="110"/>
  <c r="C30" i="110"/>
  <c r="N30" i="110"/>
  <c r="C14" i="110"/>
  <c r="N14" i="110"/>
  <c r="N11" i="110"/>
  <c r="C11" i="110"/>
  <c r="N43" i="110"/>
  <c r="C43" i="110"/>
  <c r="N8" i="110"/>
  <c r="C8" i="110"/>
  <c r="C34" i="110"/>
  <c r="N34" i="110"/>
  <c r="C10" i="110"/>
  <c r="N10" i="110"/>
  <c r="C24" i="110"/>
  <c r="N24" i="110"/>
  <c r="C45" i="110"/>
  <c r="N45" i="110"/>
  <c r="C13" i="110"/>
  <c r="N13" i="110"/>
  <c r="C21" i="110"/>
  <c r="N21" i="110"/>
  <c r="N5" i="110"/>
  <c r="C5" i="110"/>
  <c r="N2" i="110"/>
  <c r="G11" i="20"/>
  <c r="G28" i="20"/>
  <c r="G45" i="20"/>
  <c r="G24" i="20"/>
  <c r="G41" i="20"/>
  <c r="G4" i="20"/>
  <c r="G7" i="20"/>
  <c r="G21" i="20"/>
  <c r="G38" i="20"/>
  <c r="G5" i="20"/>
  <c r="G14" i="20"/>
  <c r="G9" i="20"/>
  <c r="G43" i="20"/>
  <c r="G13" i="20"/>
  <c r="G23" i="20"/>
  <c r="G33" i="20"/>
  <c r="G18" i="20"/>
  <c r="G42" i="20"/>
  <c r="G8" i="20"/>
  <c r="G37" i="20"/>
  <c r="G47" i="20"/>
  <c r="G27" i="20"/>
  <c r="G12" i="20"/>
  <c r="G32" i="20"/>
  <c r="C2" i="110"/>
  <c r="G10" i="20"/>
  <c r="G15" i="20"/>
  <c r="G25" i="20"/>
  <c r="G20" i="20"/>
  <c r="G22" i="20"/>
  <c r="G31" i="20"/>
  <c r="G26" i="20"/>
  <c r="G46" i="20"/>
  <c r="G35" i="20"/>
  <c r="G40" i="20"/>
  <c r="G6" i="20"/>
  <c r="G17" i="20"/>
  <c r="G30" i="20"/>
  <c r="G19" i="20"/>
  <c r="G16" i="20"/>
  <c r="G44" i="20"/>
  <c r="G36" i="20"/>
  <c r="G39" i="20"/>
  <c r="G34" i="20"/>
  <c r="G29" i="20"/>
  <c r="C36" i="110"/>
  <c r="N36" i="110"/>
  <c r="N33" i="110"/>
  <c r="C33" i="110"/>
  <c r="C23" i="110"/>
  <c r="N23" i="110"/>
  <c r="C25" i="110"/>
  <c r="N25" i="110"/>
  <c r="C44" i="110"/>
  <c r="N44" i="110"/>
  <c r="C16" i="110"/>
  <c r="N16" i="110"/>
  <c r="C17" i="110"/>
  <c r="N17" i="110"/>
  <c r="C20" i="110"/>
  <c r="N20" i="110"/>
  <c r="C15" i="110"/>
  <c r="N15" i="110"/>
  <c r="C12" i="110"/>
  <c r="N12" i="110"/>
  <c r="C7" i="110"/>
  <c r="N7" i="110"/>
  <c r="C4" i="110"/>
  <c r="N4" i="110"/>
  <c r="C31" i="110"/>
  <c r="N31" i="110"/>
  <c r="C28" i="110"/>
  <c r="N28" i="110"/>
  <c r="C41" i="110"/>
  <c r="N41" i="110"/>
  <c r="C22" i="110"/>
  <c r="N22" i="110"/>
  <c r="N19" i="110"/>
  <c r="C19" i="110"/>
  <c r="N35" i="110"/>
  <c r="C35" i="110"/>
  <c r="C42" i="110"/>
  <c r="N42" i="110"/>
  <c r="C9" i="110"/>
  <c r="N9" i="110"/>
  <c r="E19" i="20" l="1"/>
  <c r="O19" i="20"/>
  <c r="C17" i="49"/>
  <c r="O4" i="20"/>
  <c r="E4" i="20"/>
  <c r="C2" i="49"/>
  <c r="E46" i="20"/>
  <c r="O46" i="20"/>
  <c r="C44" i="49"/>
  <c r="O18" i="20"/>
  <c r="E18" i="20"/>
  <c r="C16" i="49"/>
  <c r="O11" i="20"/>
  <c r="E11" i="20"/>
  <c r="C9" i="49"/>
  <c r="E33" i="20"/>
  <c r="O33" i="20"/>
  <c r="C31" i="49"/>
  <c r="P3" i="110"/>
  <c r="E31" i="20"/>
  <c r="O31" i="20"/>
  <c r="C29" i="49"/>
  <c r="O13" i="20"/>
  <c r="E13" i="20"/>
  <c r="C11" i="49"/>
  <c r="O20" i="20"/>
  <c r="E20" i="20"/>
  <c r="C18" i="49"/>
  <c r="E43" i="20"/>
  <c r="O43" i="20"/>
  <c r="C41" i="49"/>
  <c r="E26" i="20"/>
  <c r="O26" i="20"/>
  <c r="C24" i="49"/>
  <c r="E25" i="20"/>
  <c r="O25" i="20"/>
  <c r="C23" i="49"/>
  <c r="E23" i="20"/>
  <c r="O23" i="20"/>
  <c r="C21" i="49"/>
  <c r="E22" i="20"/>
  <c r="O22" i="20"/>
  <c r="C20" i="49"/>
  <c r="O34" i="20"/>
  <c r="E34" i="20"/>
  <c r="C32" i="49"/>
  <c r="E39" i="20"/>
  <c r="O39" i="20"/>
  <c r="C37" i="49"/>
  <c r="O15" i="20"/>
  <c r="E15" i="20"/>
  <c r="C13" i="49"/>
  <c r="E14" i="20"/>
  <c r="O14" i="20"/>
  <c r="C12" i="49"/>
  <c r="E16" i="20"/>
  <c r="O16" i="20"/>
  <c r="C14" i="49"/>
  <c r="E9" i="20"/>
  <c r="O9" i="20"/>
  <c r="C7" i="49"/>
  <c r="O10" i="20"/>
  <c r="E10" i="20"/>
  <c r="C8" i="49"/>
  <c r="E5" i="20"/>
  <c r="O5" i="20"/>
  <c r="C3" i="49"/>
  <c r="E29" i="20"/>
  <c r="O29" i="20"/>
  <c r="C27" i="49"/>
  <c r="E36" i="20"/>
  <c r="O36" i="20"/>
  <c r="C34" i="49"/>
  <c r="O44" i="20"/>
  <c r="E44" i="20"/>
  <c r="C42" i="49"/>
  <c r="E38" i="20"/>
  <c r="O38" i="20"/>
  <c r="C36" i="49"/>
  <c r="O21" i="20"/>
  <c r="E21" i="20"/>
  <c r="C19" i="49"/>
  <c r="E12" i="20"/>
  <c r="O12" i="20"/>
  <c r="C10" i="49"/>
  <c r="O7" i="20"/>
  <c r="E7" i="20"/>
  <c r="C5" i="49"/>
  <c r="O47" i="20"/>
  <c r="E47" i="20"/>
  <c r="C45" i="49"/>
  <c r="E41" i="20"/>
  <c r="O41" i="20"/>
  <c r="C39" i="49"/>
  <c r="O27" i="20"/>
  <c r="E27" i="20"/>
  <c r="C25" i="49"/>
  <c r="E32" i="20"/>
  <c r="O32" i="20"/>
  <c r="C30" i="49"/>
  <c r="O30" i="20"/>
  <c r="E30" i="20"/>
  <c r="C28" i="49"/>
  <c r="O6" i="20"/>
  <c r="E6" i="20"/>
  <c r="C4" i="49"/>
  <c r="E37" i="20"/>
  <c r="O37" i="20"/>
  <c r="C35" i="49"/>
  <c r="E24" i="20"/>
  <c r="O24" i="20"/>
  <c r="C22" i="49"/>
  <c r="O40" i="20"/>
  <c r="E40" i="20"/>
  <c r="C38" i="49"/>
  <c r="E8" i="20"/>
  <c r="O8" i="20"/>
  <c r="C6" i="49"/>
  <c r="O45" i="20"/>
  <c r="E45" i="20"/>
  <c r="C43" i="49"/>
  <c r="O17" i="20"/>
  <c r="E17" i="20"/>
  <c r="C15" i="49"/>
  <c r="O35" i="20"/>
  <c r="E35" i="20"/>
  <c r="C33" i="49"/>
  <c r="E42" i="20"/>
  <c r="O42" i="20"/>
  <c r="C40" i="49"/>
  <c r="E28" i="20"/>
  <c r="O28" i="20"/>
  <c r="C26" i="49"/>
  <c r="F14" i="49" l="1"/>
  <c r="G14" i="49" s="1"/>
  <c r="H14" i="43" s="1"/>
  <c r="J14" i="79" s="1"/>
  <c r="F8" i="49"/>
  <c r="G8" i="49" s="1"/>
  <c r="H8" i="43" s="1"/>
  <c r="J8" i="79" s="1"/>
  <c r="F41" i="49"/>
  <c r="G41" i="49" s="1"/>
  <c r="H11" i="45" s="1"/>
  <c r="J41" i="79" s="1"/>
  <c r="F39" i="49"/>
  <c r="G39" i="49" s="1"/>
  <c r="H9" i="45" s="1"/>
  <c r="J39" i="79" s="1"/>
  <c r="F42" i="49"/>
  <c r="G42" i="49" s="1"/>
  <c r="H12" i="45" s="1"/>
  <c r="J42" i="79" s="1"/>
  <c r="F20" i="49"/>
  <c r="G20" i="49" s="1"/>
  <c r="H7" i="44" s="1"/>
  <c r="J20" i="79" s="1"/>
  <c r="F15" i="49"/>
  <c r="G15" i="49" s="1"/>
  <c r="H2" i="44" s="1"/>
  <c r="F21" i="49"/>
  <c r="G21" i="49" s="1"/>
  <c r="H8" i="44" s="1"/>
  <c r="J21" i="79" s="1"/>
  <c r="C46" i="49"/>
  <c r="F5" i="49" s="1"/>
  <c r="G5" i="49" s="1"/>
  <c r="H5" i="43" s="1"/>
  <c r="J5" i="79" s="1"/>
  <c r="O2" i="20"/>
  <c r="P21" i="20" s="1"/>
  <c r="F36" i="49"/>
  <c r="G36" i="49" s="1"/>
  <c r="H6" i="45" s="1"/>
  <c r="J36" i="79" s="1"/>
  <c r="F35" i="49"/>
  <c r="G35" i="49" s="1"/>
  <c r="H5" i="45" s="1"/>
  <c r="J35" i="79" s="1"/>
  <c r="F43" i="49"/>
  <c r="G43" i="49" s="1"/>
  <c r="H13" i="45" s="1"/>
  <c r="J43" i="79" s="1"/>
  <c r="F30" i="49"/>
  <c r="G30" i="49" s="1"/>
  <c r="H17" i="44" s="1"/>
  <c r="J30" i="79" s="1"/>
  <c r="F13" i="49"/>
  <c r="G13" i="49" s="1"/>
  <c r="H13" i="43" s="1"/>
  <c r="J13" i="79" s="1"/>
  <c r="F38" i="49"/>
  <c r="G38" i="49" s="1"/>
  <c r="H8" i="45" s="1"/>
  <c r="J38" i="79" s="1"/>
  <c r="F3" i="49"/>
  <c r="G3" i="49" s="1"/>
  <c r="H3" i="43" s="1"/>
  <c r="J3" i="79" s="1"/>
  <c r="F19" i="49"/>
  <c r="G19" i="49" s="1"/>
  <c r="H6" i="44" s="1"/>
  <c r="J19" i="79" s="1"/>
  <c r="F24" i="49"/>
  <c r="G24" i="49" s="1"/>
  <c r="H11" i="44" s="1"/>
  <c r="J24" i="79" s="1"/>
  <c r="F31" i="49"/>
  <c r="G31" i="49" s="1"/>
  <c r="H18" i="44" s="1"/>
  <c r="J31" i="79" s="1"/>
  <c r="F28" i="49"/>
  <c r="G28" i="49" s="1"/>
  <c r="H15" i="44" s="1"/>
  <c r="J28" i="79" s="1"/>
  <c r="F6" i="49"/>
  <c r="G6" i="49" s="1"/>
  <c r="H6" i="43" s="1"/>
  <c r="J6" i="79" s="1"/>
  <c r="F27" i="49"/>
  <c r="G27" i="49" s="1"/>
  <c r="H14" i="44" s="1"/>
  <c r="J27" i="79" s="1"/>
  <c r="F29" i="49"/>
  <c r="G29" i="49" s="1"/>
  <c r="H16" i="44" s="1"/>
  <c r="J29" i="79" s="1"/>
  <c r="F10" i="49"/>
  <c r="G10" i="49" s="1"/>
  <c r="H10" i="43" s="1"/>
  <c r="J10" i="79" s="1"/>
  <c r="F25" i="49"/>
  <c r="G25" i="49" s="1"/>
  <c r="H12" i="44" s="1"/>
  <c r="J25" i="79" s="1"/>
  <c r="F37" i="49"/>
  <c r="G37" i="49" s="1"/>
  <c r="H7" i="45" s="1"/>
  <c r="J37" i="79" s="1"/>
  <c r="P4" i="20" l="1"/>
  <c r="P45" i="20"/>
  <c r="P17" i="20"/>
  <c r="P46" i="20"/>
  <c r="P29" i="20"/>
  <c r="P41" i="20"/>
  <c r="P10" i="20"/>
  <c r="P34" i="20"/>
  <c r="P38" i="20"/>
  <c r="P37" i="20"/>
  <c r="P31" i="20"/>
  <c r="P8" i="20"/>
  <c r="P36" i="20"/>
  <c r="P39" i="20"/>
  <c r="P9" i="20"/>
  <c r="P15" i="20"/>
  <c r="P13" i="20"/>
  <c r="P18" i="20"/>
  <c r="P33" i="20"/>
  <c r="P5" i="20"/>
  <c r="P20" i="20"/>
  <c r="P26" i="20"/>
  <c r="P22" i="20"/>
  <c r="P23" i="20"/>
  <c r="P6" i="20"/>
  <c r="P28" i="20"/>
  <c r="P25" i="20"/>
  <c r="F45" i="49"/>
  <c r="G45" i="49" s="1"/>
  <c r="H15" i="45" s="1"/>
  <c r="J45" i="79" s="1"/>
  <c r="F16" i="49"/>
  <c r="G16" i="49" s="1"/>
  <c r="H3" i="44" s="1"/>
  <c r="J16" i="79" s="1"/>
  <c r="F26" i="49"/>
  <c r="G26" i="49" s="1"/>
  <c r="H13" i="44" s="1"/>
  <c r="J26" i="79" s="1"/>
  <c r="F44" i="49"/>
  <c r="G44" i="49" s="1"/>
  <c r="H14" i="45" s="1"/>
  <c r="J44" i="79" s="1"/>
  <c r="F40" i="49"/>
  <c r="G40" i="49" s="1"/>
  <c r="H10" i="45" s="1"/>
  <c r="J40" i="79" s="1"/>
  <c r="P14" i="20"/>
  <c r="F11" i="49"/>
  <c r="G11" i="49" s="1"/>
  <c r="H11" i="43" s="1"/>
  <c r="J11" i="79" s="1"/>
  <c r="F17" i="49"/>
  <c r="G17" i="49" s="1"/>
  <c r="H4" i="44" s="1"/>
  <c r="J17" i="79" s="1"/>
  <c r="F33" i="49"/>
  <c r="G33" i="49" s="1"/>
  <c r="H3" i="45" s="1"/>
  <c r="J33" i="79" s="1"/>
  <c r="P30" i="20"/>
  <c r="F34" i="49"/>
  <c r="G34" i="49" s="1"/>
  <c r="H4" i="45" s="1"/>
  <c r="J34" i="79" s="1"/>
  <c r="P27" i="20"/>
  <c r="J15" i="79"/>
  <c r="F4" i="49"/>
  <c r="G4" i="49" s="1"/>
  <c r="H4" i="43" s="1"/>
  <c r="J4" i="79" s="1"/>
  <c r="P40" i="20"/>
  <c r="P44" i="20"/>
  <c r="F23" i="49"/>
  <c r="G23" i="49" s="1"/>
  <c r="H10" i="44" s="1"/>
  <c r="J23" i="79" s="1"/>
  <c r="F32" i="49"/>
  <c r="G32" i="49" s="1"/>
  <c r="H2" i="45" s="1"/>
  <c r="P42" i="20"/>
  <c r="F2" i="49"/>
  <c r="G2" i="49" s="1"/>
  <c r="H2" i="43" s="1"/>
  <c r="F18" i="49"/>
  <c r="G18" i="49" s="1"/>
  <c r="H5" i="44" s="1"/>
  <c r="J18" i="79" s="1"/>
  <c r="P35" i="20"/>
  <c r="P11" i="20"/>
  <c r="F7" i="49"/>
  <c r="G7" i="49" s="1"/>
  <c r="H7" i="43" s="1"/>
  <c r="J7" i="79" s="1"/>
  <c r="F9" i="49"/>
  <c r="G9" i="49" s="1"/>
  <c r="H9" i="43" s="1"/>
  <c r="J9" i="79" s="1"/>
  <c r="P7" i="20"/>
  <c r="F22" i="49"/>
  <c r="G22" i="49" s="1"/>
  <c r="H9" i="44" s="1"/>
  <c r="J22" i="79" s="1"/>
  <c r="P16" i="20"/>
  <c r="P43" i="20"/>
  <c r="P32" i="20"/>
  <c r="F12" i="49"/>
  <c r="G12" i="49" s="1"/>
  <c r="H12" i="43" s="1"/>
  <c r="J12" i="79" s="1"/>
  <c r="P12" i="20"/>
  <c r="P19" i="20"/>
  <c r="P24" i="20"/>
  <c r="P47" i="20"/>
  <c r="Y34" i="20" l="1"/>
  <c r="Y17" i="20"/>
  <c r="Y4" i="20"/>
  <c r="H15" i="43"/>
  <c r="H2" i="78" s="1"/>
  <c r="H23" i="43"/>
  <c r="J2" i="79"/>
  <c r="J32" i="79"/>
  <c r="H16" i="45"/>
  <c r="H4" i="78" s="1"/>
  <c r="H19" i="44"/>
  <c r="H3" i="78"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<sst xmlns="http://schemas.openxmlformats.org/spreadsheetml/2006/main" count="1661" uniqueCount="580">
  <si>
    <t>Name</t>
  </si>
  <si>
    <t>Ticker</t>
  </si>
  <si>
    <t>Capital IQ Ticker</t>
  </si>
  <si>
    <t>DTD</t>
  </si>
  <si>
    <t>WTD</t>
  </si>
  <si>
    <t>MTD</t>
  </si>
  <si>
    <t>YTD</t>
  </si>
  <si>
    <t>Return since 2024</t>
  </si>
  <si>
    <t>N-1 Pirce</t>
  </si>
  <si>
    <t>W Price</t>
  </si>
  <si>
    <t>M Price</t>
  </si>
  <si>
    <t>Close price</t>
  </si>
  <si>
    <t>Price-2024</t>
  </si>
  <si>
    <t>Price-2025</t>
  </si>
  <si>
    <t>ETNA</t>
  </si>
  <si>
    <t>AGIX</t>
  </si>
  <si>
    <t>S&amp;P 500 Index</t>
  </si>
  <si>
    <t>^SPX</t>
  </si>
  <si>
    <t>S&amp;P 500</t>
  </si>
  <si>
    <t>Invesco QQQ ETF</t>
  </si>
  <si>
    <t>NasdaqGM:QQQ</t>
  </si>
  <si>
    <t>QQQ</t>
  </si>
  <si>
    <t>^DJI</t>
  </si>
  <si>
    <t>DowJones</t>
  </si>
  <si>
    <t>Heng Sheng Tech Index</t>
  </si>
  <si>
    <t>HSTECH</t>
  </si>
  <si>
    <t>Global X Artificial Intelligence &amp; Technology ETF</t>
  </si>
  <si>
    <t>AIQ US</t>
  </si>
  <si>
    <t>NasdaqGM:AIQ</t>
  </si>
  <si>
    <t>AIQ</t>
  </si>
  <si>
    <t>VanEck ETF Trust - VanEck Semiconductor ETF</t>
  </si>
  <si>
    <t>NasdaqGM:SMH</t>
  </si>
  <si>
    <t>SMH</t>
  </si>
  <si>
    <t>Global X Robotics &amp; Artificial Intelligence ETF</t>
  </si>
  <si>
    <t>BOTZ US</t>
  </si>
  <si>
    <t>NasdaqGM:BOTZ</t>
  </si>
  <si>
    <t>BOTZ</t>
  </si>
  <si>
    <t>a</t>
  </si>
  <si>
    <t>Nasdaq 100 Index</t>
  </si>
  <si>
    <t>^NDX</t>
  </si>
  <si>
    <t>Nasdaq 100</t>
  </si>
  <si>
    <t>SPDR S&amp;P 500 ETF Trust </t>
  </si>
  <si>
    <t>ARCA:SPY</t>
  </si>
  <si>
    <t>n-1</t>
  </si>
  <si>
    <t>week</t>
  </si>
  <si>
    <t>Return since 2023</t>
  </si>
  <si>
    <t>Fund Asset(MLN USD)</t>
  </si>
  <si>
    <t>Equity Assets(MLN USD)</t>
  </si>
  <si>
    <t>2024 ASSET</t>
  </si>
  <si>
    <t>Volume(MLN)</t>
  </si>
  <si>
    <t xml:space="preserve"> </t>
  </si>
  <si>
    <t>Price Change</t>
  </si>
  <si>
    <t>VWAP</t>
  </si>
  <si>
    <t>Outstanding-yesterday(M)</t>
  </si>
  <si>
    <t>Daily Flow</t>
  </si>
  <si>
    <t>AVG-VWAP-2024</t>
  </si>
  <si>
    <t>OutstandingShares-2024</t>
  </si>
  <si>
    <t>OutstandingShares-Now</t>
  </si>
  <si>
    <t>YTD Flow</t>
  </si>
  <si>
    <t>AVG-VWAP-2023</t>
  </si>
  <si>
    <t>OutstandingShares-2023</t>
  </si>
  <si>
    <t>Flow since Jan 2023</t>
  </si>
  <si>
    <t>Expense Ratio</t>
  </si>
  <si>
    <t>Price-2023</t>
  </si>
  <si>
    <t>Price-today</t>
  </si>
  <si>
    <t>Annual Return2023</t>
  </si>
  <si>
    <t>Return since 2025</t>
  </si>
  <si>
    <t>30D Vol(mm)</t>
  </si>
  <si>
    <t>30D Vol</t>
  </si>
  <si>
    <t>Holdings</t>
  </si>
  <si>
    <t>Median</t>
  </si>
  <si>
    <t>KraneShares Artificial Intelligence and Technology ETF</t>
  </si>
  <si>
    <t>NasdaqGM:AGIX</t>
  </si>
  <si>
    <t>iShares Expanded Tech-Software Sector ETF</t>
  </si>
  <si>
    <t>BATS:IGV</t>
  </si>
  <si>
    <r>
      <rPr>
        <sz val="11"/>
        <rFont val="Times New Roman"/>
        <family val="1"/>
      </rPr>
      <t>BOTZ US</t>
    </r>
  </si>
  <si>
    <r>
      <rPr>
        <sz val="11"/>
        <rFont val="Times New Roman"/>
        <family val="1"/>
      </rPr>
      <t>AIQ US</t>
    </r>
  </si>
  <si>
    <r>
      <rPr>
        <sz val="11"/>
        <rFont val="Times New Roman"/>
        <family val="1"/>
      </rPr>
      <t>IRBO US</t>
    </r>
  </si>
  <si>
    <t>ARCA:ARTY</t>
  </si>
  <si>
    <r>
      <rPr>
        <sz val="11"/>
        <rFont val="Times New Roman"/>
        <family val="1"/>
      </rPr>
      <t>First Trust Nasdaq Artificial Intelligence and Robotics ETF</t>
    </r>
  </si>
  <si>
    <r>
      <rPr>
        <sz val="11"/>
        <rFont val="Times New Roman"/>
        <family val="1"/>
      </rPr>
      <t>ROBT US</t>
    </r>
  </si>
  <si>
    <t>NasdaqGM:ROBT</t>
  </si>
  <si>
    <r>
      <rPr>
        <sz val="11"/>
        <rFont val="Times New Roman"/>
        <family val="1"/>
      </rPr>
      <t>Invesco Al and Next Gen Software ETF</t>
    </r>
  </si>
  <si>
    <t>IGPT US</t>
  </si>
  <si>
    <t>ARCA:IGPT</t>
  </si>
  <si>
    <r>
      <rPr>
        <sz val="11"/>
        <rFont val="Times New Roman"/>
        <family val="1"/>
      </rPr>
      <t>WTAl US</t>
    </r>
  </si>
  <si>
    <t>BATS:WTAI</t>
  </si>
  <si>
    <t>ROBO Global Artificial Intelligence ETF</t>
  </si>
  <si>
    <r>
      <rPr>
        <sz val="11"/>
        <rFont val="Times New Roman"/>
        <family val="1"/>
      </rPr>
      <t>THNQ   US</t>
    </r>
  </si>
  <si>
    <t>ARCA:THNQ</t>
  </si>
  <si>
    <t>Fidelity Disruptive Technology ETF</t>
  </si>
  <si>
    <r>
      <rPr>
        <sz val="11"/>
        <rFont val="Times New Roman"/>
        <family val="1"/>
      </rPr>
      <t>FDTX US</t>
    </r>
  </si>
  <si>
    <t>NasdaqGM:FDTX</t>
  </si>
  <si>
    <t>Roundhill Generative Al &amp; Technology ETF</t>
  </si>
  <si>
    <r>
      <rPr>
        <sz val="11"/>
        <rFont val="Times New Roman"/>
        <family val="1"/>
      </rPr>
      <t>CHAT US</t>
    </r>
  </si>
  <si>
    <t>ARCA:CHAT</t>
  </si>
  <si>
    <r>
      <rPr>
        <sz val="11"/>
        <rFont val="Times New Roman"/>
        <family val="1"/>
      </rPr>
      <t>Innovator Deepwater Frontier Tech ETF</t>
    </r>
  </si>
  <si>
    <r>
      <rPr>
        <sz val="11"/>
        <rFont val="Times New Roman"/>
        <family val="1"/>
      </rPr>
      <t>LOUP US</t>
    </r>
  </si>
  <si>
    <t>ARCA:LOUP</t>
  </si>
  <si>
    <r>
      <rPr>
        <sz val="11"/>
        <color rgb="FF743200"/>
        <rFont val="Times New Roman"/>
        <family val="1"/>
      </rPr>
      <t>List</t>
    </r>
    <r>
      <rPr>
        <sz val="11"/>
        <rFont val="Times New Roman"/>
        <family val="1"/>
      </rPr>
      <t>ed Funds Trust TrueMark Technology Al &amp; Deep Learning ETF</t>
    </r>
  </si>
  <si>
    <r>
      <rPr>
        <sz val="11"/>
        <rFont val="Times New Roman"/>
        <family val="1"/>
      </rPr>
      <t>LRNZ US</t>
    </r>
  </si>
  <si>
    <t>ARCA:LRNZ</t>
  </si>
  <si>
    <t>Tidal Trust III - VistaShares Artificial Intelligence Supercycle ETF</t>
  </si>
  <si>
    <t>ARCA:AIS</t>
  </si>
  <si>
    <t>Themes Generative Artificial Intelligence ETF</t>
  </si>
  <si>
    <r>
      <rPr>
        <sz val="11"/>
        <rFont val="Times New Roman"/>
        <family val="1"/>
      </rPr>
      <t>WISE US</t>
    </r>
  </si>
  <si>
    <t>NasdaqGM:WISE</t>
  </si>
  <si>
    <t>iShares Automation &amp; Robotics UCITS ETF</t>
  </si>
  <si>
    <r>
      <rPr>
        <sz val="11"/>
        <rFont val="Times New Roman"/>
        <family val="1"/>
      </rPr>
      <t>RBOT LN</t>
    </r>
  </si>
  <si>
    <t>LSE:RBOT</t>
  </si>
  <si>
    <t>Xtrackers Artificial Intelligence &amp; Big Data UCITS ETF</t>
  </si>
  <si>
    <r>
      <rPr>
        <sz val="11"/>
        <rFont val="Times New Roman"/>
        <family val="1"/>
      </rPr>
      <t>XAIX GR</t>
    </r>
  </si>
  <si>
    <t>XTRA:XAIX</t>
  </si>
  <si>
    <r>
      <rPr>
        <sz val="11"/>
        <rFont val="Times New Roman"/>
        <family val="1"/>
      </rPr>
      <t>WisdomTree Artificial Intelligence UCITS ETF</t>
    </r>
  </si>
  <si>
    <r>
      <rPr>
        <sz val="11"/>
        <rFont val="Times New Roman"/>
        <family val="1"/>
      </rPr>
      <t>WTAI LN</t>
    </r>
  </si>
  <si>
    <t>BIT:WTAI</t>
  </si>
  <si>
    <r>
      <rPr>
        <sz val="11"/>
        <rFont val="Times New Roman"/>
        <family val="1"/>
      </rPr>
      <t>L&amp;G Artificial Intelligence UCITS ETF</t>
    </r>
  </si>
  <si>
    <r>
      <rPr>
        <sz val="11"/>
        <rFont val="Times New Roman"/>
        <family val="1"/>
      </rPr>
      <t>AIAI LN</t>
    </r>
  </si>
  <si>
    <t>LSE:AIAG</t>
  </si>
  <si>
    <r>
      <rPr>
        <sz val="11"/>
        <rFont val="Times New Roman"/>
        <family val="1"/>
      </rPr>
      <t>BetaShares Global Robotics And Artificial Intelligence ETF</t>
    </r>
  </si>
  <si>
    <r>
      <rPr>
        <sz val="11"/>
        <rFont val="Times New Roman"/>
        <family val="1"/>
      </rPr>
      <t>RBTZ AU</t>
    </r>
  </si>
  <si>
    <t>ASX:RBTZ</t>
  </si>
  <si>
    <t>Global X Robotics &amp; Artificial Intelligence UCITS ETF</t>
  </si>
  <si>
    <r>
      <rPr>
        <sz val="11"/>
        <rFont val="Times New Roman"/>
        <family val="1"/>
      </rPr>
      <t>BOTZ LN</t>
    </r>
  </si>
  <si>
    <t>DB:XB0T</t>
  </si>
  <si>
    <t>Nov Return</t>
  </si>
  <si>
    <t>AGIX Return since launch</t>
  </si>
  <si>
    <t>month</t>
  </si>
  <si>
    <t>Sector</t>
  </si>
  <si>
    <t>contri</t>
  </si>
  <si>
    <t>KOSE:A000660</t>
  </si>
  <si>
    <t>Semi</t>
  </si>
  <si>
    <t>Application</t>
  </si>
  <si>
    <t>TWSE:2330</t>
  </si>
  <si>
    <t>Infrastructure</t>
  </si>
  <si>
    <t>TWSE:2454</t>
  </si>
  <si>
    <t>AAPL</t>
  </si>
  <si>
    <t>ADBE</t>
  </si>
  <si>
    <t>AMZN</t>
  </si>
  <si>
    <t>ANET</t>
  </si>
  <si>
    <t>ARM</t>
  </si>
  <si>
    <t>NasdaqGS:ASML</t>
  </si>
  <si>
    <t>AVGO</t>
  </si>
  <si>
    <t>CFLT</t>
  </si>
  <si>
    <t>CRM</t>
  </si>
  <si>
    <t>DDOG</t>
  </si>
  <si>
    <t>APP</t>
  </si>
  <si>
    <t>DUOL</t>
  </si>
  <si>
    <t>ESTC</t>
  </si>
  <si>
    <t>NasdaqGS:GOOGL</t>
  </si>
  <si>
    <t>GTLB</t>
  </si>
  <si>
    <t>IOT</t>
  </si>
  <si>
    <t>MDB</t>
  </si>
  <si>
    <t>META</t>
  </si>
  <si>
    <t>MRVL</t>
  </si>
  <si>
    <t>MSFT</t>
  </si>
  <si>
    <t>MU</t>
  </si>
  <si>
    <t>NBIS</t>
  </si>
  <si>
    <t>NET</t>
  </si>
  <si>
    <t>NOW</t>
  </si>
  <si>
    <t>NVDA</t>
  </si>
  <si>
    <t>ORCL</t>
  </si>
  <si>
    <t>PANW</t>
  </si>
  <si>
    <t>PLTR</t>
  </si>
  <si>
    <t>PSTG</t>
  </si>
  <si>
    <t>QCOM</t>
  </si>
  <si>
    <t>RBLX</t>
  </si>
  <si>
    <t>SAP</t>
  </si>
  <si>
    <t>SHOP</t>
  </si>
  <si>
    <t>SNOW</t>
  </si>
  <si>
    <t>SNPS</t>
  </si>
  <si>
    <t>TEAM</t>
  </si>
  <si>
    <t>TEM</t>
  </si>
  <si>
    <t>TSLA</t>
  </si>
  <si>
    <t>VRT</t>
  </si>
  <si>
    <t>WDAY</t>
  </si>
  <si>
    <t>ZS</t>
  </si>
  <si>
    <t>Listed Funds Trust TrueMark Technology Al &amp; Deep Learning ETF</t>
  </si>
  <si>
    <t>Innovator Deepwater Frontier Tech ETF</t>
  </si>
  <si>
    <t>Wisdomtree Artificial Intelligence And Innovation Fund</t>
  </si>
  <si>
    <t>Invesco Al and Next Gen Software ETF</t>
  </si>
  <si>
    <t>First Trust Nasdaq Artificial Intelligence and Robotics ETF</t>
  </si>
  <si>
    <t>iShares Robotics and Artificial Intelligence Multisector ETF</t>
  </si>
  <si>
    <t>L&amp;G Artificial Intelligence UCITS ETF</t>
  </si>
  <si>
    <t>BetaShares Global Robotics And Artificial Intelligence ETF</t>
  </si>
  <si>
    <t>WisdomTree Artificial Intelligence UCITS ETF</t>
  </si>
  <si>
    <t>ap</t>
  </si>
  <si>
    <t>Market Capitalization</t>
  </si>
  <si>
    <t>W</t>
  </si>
  <si>
    <t>Weight</t>
  </si>
  <si>
    <t>shares</t>
  </si>
  <si>
    <t>Contribute</t>
  </si>
  <si>
    <t>Market Cap (B)</t>
  </si>
  <si>
    <t>Weight (%)</t>
  </si>
  <si>
    <t>Contribution</t>
  </si>
  <si>
    <t>META PLATFORMS INC</t>
  </si>
  <si>
    <t>SALESFORCE INC</t>
  </si>
  <si>
    <t>SERVICENOW INC</t>
  </si>
  <si>
    <t>DUOLINGO</t>
  </si>
  <si>
    <t>SAP SE</t>
  </si>
  <si>
    <t>TEMPUS AI INC</t>
  </si>
  <si>
    <t>ADOBE INC</t>
  </si>
  <si>
    <t>SAMSARA INC-CL A</t>
  </si>
  <si>
    <t>WORKDAY INC-CLASS A</t>
  </si>
  <si>
    <t>ROBLOX CORP -CLASS A</t>
  </si>
  <si>
    <t>APPLOVIN CORP-CLASS A</t>
  </si>
  <si>
    <t>SHOPIFY INC - CLASS A</t>
  </si>
  <si>
    <t>ATLASSIAN CORP-CL A</t>
  </si>
  <si>
    <t>MICROSOFT CORP</t>
  </si>
  <si>
    <t>AMAZON.COM INC</t>
  </si>
  <si>
    <t>ALPHABET INC-CL A</t>
  </si>
  <si>
    <t>TESLA INC</t>
  </si>
  <si>
    <t>PALANTIR TECHN-A</t>
  </si>
  <si>
    <t>ORACLE CORP</t>
  </si>
  <si>
    <t>NEBIUS GROUP NV</t>
  </si>
  <si>
    <t>ELASTIC NV</t>
  </si>
  <si>
    <t>SNOWFLAKE INC-CLASS A</t>
  </si>
  <si>
    <t>DATADOG INC - CLASS A</t>
  </si>
  <si>
    <t>CLOUDFLARE INC - CLASS A</t>
  </si>
  <si>
    <t>GITLAB INC-CL A</t>
  </si>
  <si>
    <t>PALO ALTO NETWORKS INC</t>
  </si>
  <si>
    <t>MONGODB INC</t>
  </si>
  <si>
    <t>PURE STORAGE-A</t>
  </si>
  <si>
    <t>ZSCALER INC</t>
  </si>
  <si>
    <t>CONFLUENT INC-CLASS A</t>
  </si>
  <si>
    <t>NVIDIA CORP</t>
  </si>
  <si>
    <t>APPLE INC</t>
  </si>
  <si>
    <t>BROADCOM INC</t>
  </si>
  <si>
    <t>TSMC</t>
  </si>
  <si>
    <t>SK HYNIX INC</t>
  </si>
  <si>
    <t>ASML HOLDING NV</t>
  </si>
  <si>
    <t>MARVELL TECHNOLOGY INC</t>
  </si>
  <si>
    <t>VERTIV HOLDINGS CO-A</t>
  </si>
  <si>
    <t>ARISTA NETWORKS INC</t>
  </si>
  <si>
    <t>MEDIATEK INC</t>
  </si>
  <si>
    <t>MICRON TECHNOLOGY INC</t>
  </si>
  <si>
    <t>QUALCOMM INC</t>
  </si>
  <si>
    <t>SYNOPSYS INC</t>
  </si>
  <si>
    <t>ARM HOLDINGS PLC-ADR</t>
  </si>
  <si>
    <t>数据说明：</t>
  </si>
  <si>
    <r>
      <rPr>
        <sz val="11"/>
        <color rgb="FF000000"/>
        <rFont val="Times New Roman"/>
        <family val="1"/>
      </rPr>
      <t xml:space="preserve">1. </t>
    </r>
    <r>
      <rPr>
        <sz val="11"/>
        <color rgb="FF000000"/>
        <rFont val="楷体"/>
        <family val="3"/>
        <charset val="134"/>
      </rPr>
      <t>由于数据来源不同，</t>
    </r>
    <r>
      <rPr>
        <sz val="11"/>
        <color rgb="FF000000"/>
        <rFont val="Times New Roman"/>
        <family val="1"/>
      </rPr>
      <t>BBG Ticker</t>
    </r>
    <r>
      <rPr>
        <sz val="11"/>
        <color rgb="FF000000"/>
        <rFont val="楷体"/>
        <family val="3"/>
        <charset val="134"/>
      </rPr>
      <t>改为</t>
    </r>
    <r>
      <rPr>
        <sz val="11"/>
        <color rgb="FF000000"/>
        <rFont val="Times New Roman"/>
        <family val="1"/>
      </rPr>
      <t>Capital IQ Ticker</t>
    </r>
  </si>
  <si>
    <r>
      <rPr>
        <sz val="11"/>
        <color rgb="FF000000"/>
        <rFont val="Times New Roman"/>
        <family val="1"/>
      </rPr>
      <t xml:space="preserve">2. Fund Asset </t>
    </r>
    <r>
      <rPr>
        <sz val="11"/>
        <color rgb="FF000000"/>
        <rFont val="楷体"/>
        <family val="3"/>
        <charset val="134"/>
      </rPr>
      <t>采用</t>
    </r>
    <r>
      <rPr>
        <sz val="11"/>
        <color rgb="FF000000"/>
        <rFont val="Times New Roman"/>
        <family val="1"/>
      </rPr>
      <t>Market Cap</t>
    </r>
    <r>
      <rPr>
        <sz val="11"/>
        <color rgb="FF000000"/>
        <rFont val="楷体"/>
        <family val="3"/>
        <charset val="134"/>
      </rPr>
      <t>衡量，即</t>
    </r>
    <r>
      <rPr>
        <sz val="11"/>
        <color rgb="FF000000"/>
        <rFont val="Times New Roman"/>
        <family val="1"/>
      </rPr>
      <t>price*shares outstanding</t>
    </r>
    <r>
      <rPr>
        <sz val="11"/>
        <color rgb="FF000000"/>
        <rFont val="楷体"/>
        <family val="3"/>
        <charset val="134"/>
      </rPr>
      <t>；</t>
    </r>
  </si>
  <si>
    <r>
      <rPr>
        <sz val="11"/>
        <color rgb="FF000000"/>
        <rFont val="Times New Roman"/>
        <family val="1"/>
      </rPr>
      <t xml:space="preserve">3.  </t>
    </r>
    <r>
      <rPr>
        <sz val="11"/>
        <color rgb="FF000000"/>
        <rFont val="楷体"/>
        <family val="3"/>
        <charset val="134"/>
      </rPr>
      <t>由于产品成立时间不同，加入年化收益率（</t>
    </r>
    <r>
      <rPr>
        <sz val="11"/>
        <color rgb="FF000000"/>
        <rFont val="Times New Roman"/>
        <family val="1"/>
      </rPr>
      <t>CHAT</t>
    </r>
    <r>
      <rPr>
        <sz val="11"/>
        <color rgb="FF000000"/>
        <rFont val="楷体"/>
        <family val="3"/>
        <charset val="134"/>
      </rPr>
      <t>，</t>
    </r>
    <r>
      <rPr>
        <sz val="11"/>
        <color rgb="FF000000"/>
        <rFont val="Times New Roman"/>
        <family val="1"/>
      </rPr>
      <t>WISE</t>
    </r>
    <r>
      <rPr>
        <sz val="11"/>
        <color rgb="FF000000"/>
        <rFont val="楷体"/>
        <family val="3"/>
        <charset val="134"/>
      </rPr>
      <t>成立时间均晚于</t>
    </r>
    <r>
      <rPr>
        <sz val="11"/>
        <color rgb="FF000000"/>
        <rFont val="Times New Roman"/>
        <family val="1"/>
      </rPr>
      <t>2023/1/1</t>
    </r>
    <r>
      <rPr>
        <sz val="11"/>
        <color rgb="FF000000"/>
        <rFont val="楷体"/>
        <family val="3"/>
        <charset val="134"/>
      </rPr>
      <t>，且</t>
    </r>
    <r>
      <rPr>
        <sz val="11"/>
        <color rgb="FF000000"/>
        <rFont val="Times New Roman"/>
        <family val="1"/>
      </rPr>
      <t>FDTX</t>
    </r>
    <r>
      <rPr>
        <sz val="11"/>
        <color rgb="FF000000"/>
        <rFont val="楷体"/>
        <family val="3"/>
        <charset val="134"/>
      </rPr>
      <t>缺少</t>
    </r>
    <r>
      <rPr>
        <sz val="11"/>
        <color rgb="FF000000"/>
        <rFont val="Times New Roman"/>
        <family val="1"/>
      </rPr>
      <t>2023</t>
    </r>
    <r>
      <rPr>
        <sz val="11"/>
        <color rgb="FF000000"/>
        <rFont val="楷体"/>
        <family val="3"/>
        <charset val="134"/>
      </rPr>
      <t>年</t>
    </r>
    <r>
      <rPr>
        <sz val="11"/>
        <color rgb="FF000000"/>
        <rFont val="Times New Roman"/>
        <family val="1"/>
      </rPr>
      <t>6</t>
    </r>
    <r>
      <rPr>
        <sz val="11"/>
        <color rgb="FF000000"/>
        <rFont val="楷体"/>
        <family val="3"/>
        <charset val="134"/>
      </rPr>
      <t>月前的公开数据，在</t>
    </r>
    <r>
      <rPr>
        <sz val="11"/>
        <color rgb="FF000000"/>
        <rFont val="Times New Roman"/>
        <family val="1"/>
      </rPr>
      <t>2023</t>
    </r>
    <r>
      <rPr>
        <sz val="11"/>
        <color rgb="FF000000"/>
        <rFont val="楷体"/>
        <family val="3"/>
        <charset val="134"/>
      </rPr>
      <t>至今的</t>
    </r>
    <r>
      <rPr>
        <sz val="11"/>
        <color rgb="FF000000"/>
        <rFont val="Times New Roman"/>
        <family val="1"/>
      </rPr>
      <t>Flow</t>
    </r>
    <r>
      <rPr>
        <sz val="11"/>
        <color rgb="FF000000"/>
        <rFont val="楷体"/>
        <family val="3"/>
        <charset val="134"/>
      </rPr>
      <t>计算中以成立日为起始，收益率也根据成立时间进行年化）；</t>
    </r>
  </si>
  <si>
    <r>
      <rPr>
        <sz val="11"/>
        <color rgb="FF000000"/>
        <rFont val="Times New Roman"/>
        <family val="1"/>
      </rPr>
      <t>4.iShares Automation &amp; Robotics UCITS ETF</t>
    </r>
    <r>
      <rPr>
        <sz val="11"/>
        <color rgb="FF000000"/>
        <rFont val="楷体"/>
        <family val="3"/>
        <charset val="134"/>
      </rPr>
      <t>在</t>
    </r>
    <r>
      <rPr>
        <sz val="11"/>
        <color rgb="FF000000"/>
        <rFont val="Times New Roman"/>
        <family val="1"/>
      </rPr>
      <t>Capital IQ</t>
    </r>
    <r>
      <rPr>
        <sz val="11"/>
        <color rgb="FF000000"/>
        <rFont val="楷体"/>
        <family val="3"/>
        <charset val="134"/>
      </rPr>
      <t>中流通股数量统计不完全导致</t>
    </r>
    <r>
      <rPr>
        <sz val="11"/>
        <color rgb="FF000000"/>
        <rFont val="Times New Roman"/>
        <family val="1"/>
      </rPr>
      <t>Fund Asset</t>
    </r>
    <r>
      <rPr>
        <sz val="11"/>
        <color rgb="FF000000"/>
        <rFont val="楷体"/>
        <family val="3"/>
        <charset val="134"/>
      </rPr>
      <t>错误，因此采用</t>
    </r>
    <r>
      <rPr>
        <sz val="11"/>
        <color rgb="FF000000"/>
        <rFont val="Times New Roman"/>
        <family val="1"/>
      </rPr>
      <t>iShare</t>
    </r>
    <r>
      <rPr>
        <sz val="11"/>
        <color rgb="FF000000"/>
        <rFont val="楷体"/>
        <family val="3"/>
        <charset val="134"/>
      </rPr>
      <t>官网数据进行更新；</t>
    </r>
  </si>
  <si>
    <r>
      <rPr>
        <sz val="11"/>
        <color rgb="FF000000"/>
        <rFont val="Times New Roman"/>
        <family val="1"/>
      </rPr>
      <t xml:space="preserve">5. </t>
    </r>
    <r>
      <rPr>
        <sz val="11"/>
        <color rgb="FF000000"/>
        <rFont val="楷体"/>
        <family val="3"/>
        <charset val="134"/>
      </rPr>
      <t>经检查，产品费率与原表全部一致，持股数量略有不同；</t>
    </r>
  </si>
  <si>
    <r>
      <rPr>
        <sz val="11"/>
        <color rgb="FF000000"/>
        <rFont val="Times New Roman"/>
        <family val="1"/>
      </rPr>
      <t>6. XAIX</t>
    </r>
    <r>
      <rPr>
        <sz val="11"/>
        <color rgb="FF000000"/>
        <rFont val="楷体"/>
        <family val="3"/>
        <charset val="134"/>
      </rPr>
      <t>和</t>
    </r>
    <r>
      <rPr>
        <sz val="11"/>
        <color rgb="FF000000"/>
        <rFont val="Times New Roman"/>
        <family val="1"/>
      </rPr>
      <t>XB0T</t>
    </r>
    <r>
      <rPr>
        <sz val="11"/>
        <color rgb="FF000000"/>
        <rFont val="楷体"/>
        <family val="3"/>
        <charset val="134"/>
      </rPr>
      <t>的</t>
    </r>
    <r>
      <rPr>
        <sz val="11"/>
        <color rgb="FF000000"/>
        <rFont val="Times New Roman"/>
        <family val="1"/>
      </rPr>
      <t>AVG VWAP</t>
    </r>
    <r>
      <rPr>
        <sz val="11"/>
        <color rgb="FF000000"/>
        <rFont val="楷体"/>
        <family val="3"/>
        <charset val="134"/>
      </rPr>
      <t>在</t>
    </r>
    <r>
      <rPr>
        <sz val="11"/>
        <color rgb="FF000000"/>
        <rFont val="Times New Roman"/>
        <family val="1"/>
      </rPr>
      <t>2023/6/30</t>
    </r>
    <r>
      <rPr>
        <sz val="11"/>
        <color rgb="FF000000"/>
        <rFont val="楷体"/>
        <family val="3"/>
        <charset val="134"/>
      </rPr>
      <t>后缺失，因此采用</t>
    </r>
    <r>
      <rPr>
        <sz val="11"/>
        <color rgb="FF000000"/>
        <rFont val="Times New Roman"/>
        <family val="1"/>
      </rPr>
      <t>2023/6/30</t>
    </r>
    <r>
      <rPr>
        <sz val="11"/>
        <color rgb="FF000000"/>
        <rFont val="楷体"/>
        <family val="3"/>
        <charset val="134"/>
      </rPr>
      <t>至今的平均</t>
    </r>
    <r>
      <rPr>
        <sz val="11"/>
        <color rgb="FF000000"/>
        <rFont val="Times New Roman"/>
        <family val="1"/>
      </rPr>
      <t>VWAP</t>
    </r>
    <r>
      <rPr>
        <sz val="11"/>
        <color rgb="FF000000"/>
        <rFont val="楷体"/>
        <family val="3"/>
        <charset val="134"/>
      </rPr>
      <t>作为</t>
    </r>
    <r>
      <rPr>
        <sz val="11"/>
        <color rgb="FF000000"/>
        <rFont val="Times New Roman"/>
        <family val="1"/>
      </rPr>
      <t>YTD</t>
    </r>
    <r>
      <rPr>
        <sz val="11"/>
        <color rgb="FF000000"/>
        <rFont val="楷体"/>
        <family val="3"/>
        <charset val="134"/>
      </rPr>
      <t>计算中的</t>
    </r>
    <r>
      <rPr>
        <sz val="11"/>
        <color rgb="FF000000"/>
        <rFont val="Times New Roman"/>
        <family val="1"/>
      </rPr>
      <t>VWAP</t>
    </r>
    <r>
      <rPr>
        <sz val="11"/>
        <color rgb="FF000000"/>
        <rFont val="楷体"/>
        <family val="3"/>
        <charset val="134"/>
      </rPr>
      <t>；</t>
    </r>
    <r>
      <rPr>
        <sz val="11"/>
        <color rgb="FF000000"/>
        <rFont val="Times New Roman"/>
        <family val="1"/>
      </rPr>
      <t>Daily VWAP</t>
    </r>
    <r>
      <rPr>
        <sz val="11"/>
        <color rgb="FF000000"/>
        <rFont val="楷体"/>
        <family val="3"/>
        <charset val="134"/>
      </rPr>
      <t>则采用</t>
    </r>
    <r>
      <rPr>
        <sz val="11"/>
        <color rgb="FF000000"/>
        <rFont val="Times New Roman"/>
        <family val="1"/>
      </rPr>
      <t>Close Price</t>
    </r>
    <r>
      <rPr>
        <sz val="11"/>
        <color rgb="FF000000"/>
        <rFont val="楷体"/>
        <family val="3"/>
        <charset val="134"/>
      </rPr>
      <t>代替</t>
    </r>
  </si>
  <si>
    <r>
      <rPr>
        <sz val="11"/>
        <color rgb="FF000000"/>
        <rFont val="Arial"/>
        <family val="2"/>
      </rPr>
      <t>行标签</t>
    </r>
  </si>
  <si>
    <r>
      <rPr>
        <sz val="11"/>
        <color rgb="FF000000"/>
        <rFont val="Arial"/>
        <family val="2"/>
      </rPr>
      <t>求和项</t>
    </r>
    <r>
      <rPr>
        <sz val="11"/>
        <color rgb="FF000000"/>
        <rFont val="Times New Roman"/>
        <family val="1"/>
      </rPr>
      <t>:contri</t>
    </r>
  </si>
  <si>
    <r>
      <rPr>
        <sz val="11"/>
        <color rgb="FF000000"/>
        <rFont val="Arial"/>
        <family val="2"/>
      </rPr>
      <t>总计</t>
    </r>
  </si>
  <si>
    <t>允䅁䍁䉕䅁䍁䅁䅁䅁流䅁䅁杄䅁䍁䅍兒卂䙁䅉睔卂䅁䅁李䅁䉁䄴䅁潁䕁䅫杢㉂䝁䅅䅢灂䝁䅑䅉䕂䝁䅅䅤求䍁䅫䅁潁䅁䅁杊䅁䍁䅧兓畂䡁䅙兙獂䝁䅫䅚杁䕁䅕杢歂䍁䅁䅒桂䡁䅑党灁䅁䅁光䅁䍁䅯䅁潁䕁䅫杢㉂䝁䅅䅢灂䝁䅑䅉䩂䝁䅑党畂䡁䅑兡浂䝁䅫党祂䍁䅫䅁湁䅁䅁杌䅁䍁䅧兓畂䡁䅙兙獂䝁䅫䅚杁䙁䅍党橂䝁䄸杢歂䍁䅁䅕桂䡁䅉䅤㕂䍁䅫䅁楁䅁䅁权䅁䍁䄰睍睁䕁䅑䅁允䅁䅁䅆䅁䑁䅅睌祁䑁䅑睌祁䑁䅁杍ㅁ䅁䅁关䅁䉁䅑䅁硁䍁䄸杍㍁䍁䄸杍睁䑁䅉兎䅁䱁䅉䅁啁䅁䅁免癁䑁䅉䅏癁䑁䅉䅍祁䑁䅕䅁ぃ䅁䅁䅆䅁䑁䅅睌祁䑁䅫睌祁䑁䅁杍ㅁ䅁䅁儴䅁䉁䅑䅁硁䍁䄸睍睁䍁䄸杍睁䑁䅉兎䅁佁䅉䅁啁䅁䅁免癁䑁䅍免癁䑁䅉䅍祁䑁䅕䅁歄䅁䅁杆䅁䑁䅅䅍癁䑁䅍免癁䑁䅉䅍祁䑁䅑䅁䕃䅁䅁杆䅁䑁䅅免癁䑁䅅兎癁䑁䅉䅍祁䑁䅑䅁䙃䅁䅁杆䅁䑁䅅免癁䑁䅅䅏癁䑁䅉䅍祁䑁䅑䅁䍃䅁䅁杆䅁䑁䅅免癁䑁䅅兏癁䑁䅉䅍祁䑁䅑䅁䅃䅁䅁杆䅁䑁䅅免癁䑁䅉䅍癁䑁䅉䅍祁䑁䅑䅁䝃䅁䅁杆䅁䑁䅅免癁䑁䅉杍癁䑁䅉䅍祁䑁䅑䅁䡃䅁䅁杆䅁䑁䅅免癁䑁䅉兎癁䑁䅉䅍祁䑁䅑䅁䥃䅁䅁杆䅁䑁䅅免癁䑁䅉李癁䑁䅉䅍祁䑁䅑䅁䩃䅁䅁杆䅁䑁䅅免癁䑁䅉睎癁䑁䅉䅍祁䑁䅑䅁䭃䅁䅁杆䅁䑁䅅免癁䑁䅉兏癁䑁䅉䅍祁䑁䅑䅁䱃䅁䅁杆䅁䑁䅅杍癁䑁䅅䅍癁䑁䅉䅍祁䑁䅑䅁元䅁䅁杆䅁䑁䅅杍癁䑁䅅免癁䑁䅉䅍祁䑁䅑䅁剃䅁䅁杆䅁䑁䅅杍癁䑁䅅睍癁䑁䅉䅍祁䑁䅑䅁呃䅁䅁杆䅁䑁䅅杍癁䑁䅅李癁䑁䅉䅍祁䑁䅑䅁千䅁䅁杆䅁䑁䅅杍癁䑁䅅睎癁䑁䅉䅍祁䑁䅑䅁啃䅁䅁杆䅁䑁䅅杍癁䑁䅅䅏癁䑁䅉䅍祁䑁䅑䅁噃䅁䅁䅆䅁䑁䅅杍癁䑁䅉睌祁䑁䅁杍ぁ䅁䅁䅪䅁䉁䅙䅁硁䑁䅉睌祁䑁䅣睌祁䑁䅁杍ぁ䅁䅁睯䅁䉁䅙䅁硁䑁䅉睌祁䑁䅫睌祁䑁䅁杍穁䅁䅁內䅁䉁䅑䅁硁䑁䅉睌穁䍁䄸杍睁䑁䅉䅎䅁䥁䄰䅁坁䅁䅁免祁䍁䄸睍睁䍁䄸杍睁䑁䅉杍䅁䥁䅍䅁坁䅁䅁免祁䍁䄸睍睁䍁䄸杍睁䑁䅉䅎䅁䭁䅉䅁坁䅁䅁免祁䍁䄸睍硁䍁䄸杍睁䑁䅉䅎䅁䱁䅍䅁啁䅁䅁免祁䍁䄸䅎癁䑁䅉䅍祁䑁䅑䅁佃䅁䅁䅆䅁䑁䅅杍癁䑁䅫睌祁䑁䅁杍ぁ䅁䅁睪䅁䉁䅑䅁祁䍁䄸免睁䍁䄸杍睁䑁䅉兎䅁佁䅳䅁啁䅁䅁杍癁䑁䅅免癁䑁䅉䅍祁䑁䅕䅁穄䅁䅁䅆䅁䑁䅉睌硁䑁䅉睌祁䑁䅁杍ㅁ䅁䅁䄹䅁䉁䅑䅁祁䍁䄸免ぁ䍁䄸杍睁䑁䅉兎䅁偁䅕䅁啁䅁䅁杍癁䑁䅅䅏癁䑁䅉䅍祁䑁䅕䅁㉄䅁䅁䅆䅁䑁䅉睌硁䑁䅫睌祁䑁䅁杍ㅁ䅁䅁眹䅁䉁䅑䅁祁䍁䄸杍硁䍁䄸杍睁䑁䅉兎䅁偁䄸䅁啁䅁䅁杍癁䑁䅉䅎癁䑁䅉䅍祁䑁䅕䅁⭄䅁䅁䅆䅁䑁䅉睌祁䑁䅕睌祁䑁䅁杍ㅁ䅁䅁儯䅁䉁䅑䅁祁䍁䄸杍㉁䍁䄸杍睁䑁䅉兎䅁䅁䉁䅁啁䅁䅁杍癁䑁䅉睎癁䑁䅉䅍祁䑁䅕䅁䉁允䅁䅆䅁䑁䅉睌祁䑁䅧睌祁䑁䅁杍ㅁ䅁䅁杁䅅䉁䅉䅁祁䍁䄸睍癁䑁䅉䅍祁䑁䅕䅁汄䅁䅁杅䅁䑁䅉睌ぁ䍁䄸杍睁䑁䅉兎䅁佁䅙䅁十䅁䅁杍癁䑁䅕睌祁䑁䅁杍ㅁ䅁䅁眵䅁䉁䅉䅁祁䍁䄸李癁䑁䅉䅍祁䑁䅕䅁潄䅁䅁杅䅁䑁䅉睌㍁䍁䄸杍睁䑁䅉兎䅁佁䅯䅁坁䅁䅁杍睁䑁䅉杍癁䑁䅅杍癁䑁䅍䅍䅁䝁䅑䅁十䅁䅁杍睁䑁䅉睍癁䑁䅅睌硁䅁䅁睈䅁䉁䅉䅁祁䑁䅁杍穁䍁䄸免癁䑁䅍䅁䍁䅁䅁杅䅁䑁䅉䅍祁䑁䅍睌硁䍁䄸䅎䅁䑁䅯䅁十䅁䅁杍睁䑁䅉睍癁䑁䅅睌ㅁ䅁䅁睌䅁䉁䅑䅁祁䑁䅁杍穁䍁䄸免硁䍁䄸兎䅁䑁䅅䅁啁䅁䅁杍睁䑁䅉睍癁䑁䅅杍癁䑁䅅䅁畁䅁䅁杆䅁䑁䅉䅍祁䑁䅍睌硁䑁䅉睌祁䑁䅫䅁坂䅁䅁杆䅁䑁䅉䅍祁䑁䅍睌硁䑁䅉睌穁䑁䅅䅁瑁䅁䅁䅆䅁䑁䅉䅍祁䑁䅍睌硁䑁䅉睌ぁ䅁䅁睏䅁䉁䅑䅁祁䑁䅁杍穁䍁䄸免祁䍁䄸兎䅁䑁䅁䅁啁䅁䅁杍睁䑁䅉睍癁䑁䅅杍癁䑁䅧䅁婁䅁䅁杅䅁䑁䅉䅍祁䑁䅍睌祁䍁䄸䅎䅁䑁䅷䅁十䅁䅁杍睁䑁䅉睍癁䑁䅍睌ぁ䅁䅁児䅁䉁䅑䅁祁䑁䅁杍穁䍁䄸兎癁䑁䅅䅏䅁䉁䅕䅁啁䅁䅁杍睁䑁䅉睍癁䑁䅙睌硁䑁䅉䅁䝁䅁䅁䅆䅁䑁䅉䅍祁䑁䅍睌㉁䍁䄸免ぁ䅁䅁兑䅁䉁䅑䅁祁䑁䅁杍穁䍁䄸李癁䑁䅍䅍䅁䕁䅉䅁十䅁䅁杍睁䑁䅉睍癁䑁䅙睌ぁ䅁䅁材䅁䉁䅉䅁祁䑁䅁杍穁䍁䄸睎癁䑁䅅䅁䑂䅁䅁杅䅁䑁䅉䅍祁䑁䅍睌㍁䍁䄸䅎䅁䕁䅁䅁十䅁䅁杍睁䑁䅉睍癁䑁䅣睌ㅁ䅁䅁杍䅁䉁䅉䅁祁䑁䅁杍穁䍁䄸䅏癁䑁䅑䅁⽁䅁䅁杅䅁䑁䅉䅍祁䑁䅑睌硁䍁䄸杍䅁䉁䅯䅁十䅁䅁杍睁䑁䅉䅎癁䑁䅅睌穁䅁䅁䅌䅁䉁䅉䅁祁䑁䅁杍ぁ䍁䄸免癁䑁䅑䅁穁䅁䅁杅䅁䑁䅉䅍祁䑁䅑睌硁䍁䄸兎䅁䑁䅑䅁十䅁䅁杍睁䑁䅉䅎癁䑁䅅睌㉁䅁䅁兎䅁䉁䅉䅁祁䑁䅁杍ぁ䍁䄸免癁䑁䅣䅁㍁䅁䅁杆䅁䑁䅉䅍祁䑁䅑睌硁䑁䅁睌硁䑁䅅䅁硂䅁䅁杆䅁䑁䅉䅍祁䑁䅑睌硁䑁䅁睌硁䑁䅕䅁祂䅁䅁杆䅁䑁䅉䅍祁䑁䅑睌硁䑁䅁睌硁䑁䅙䅁獂䅁䅁杆䅁䑁䅉䅍祁䑁䅑睌硁䑁䅁睌硁䑁䅣䅁牂䅁䅁杆䅁䑁䅉䅍祁䑁䅑睌硁䑁䅁睌硁䑁䅧䅁⽂䅁䅁杆䅁䑁䅉䅍祁䑁䅑睌硁䑁䅁睌祁䑁䅕䅁⭂䅁䅁杆䅁䑁䅉䅍祁䑁䅑睌硁䑁䅁睌穁䑁䅁䅁㥂䅁䅁杆䅁䑁䅉䅍祁䑁䅑睌硁䑁䅁睌穁䑁䅅䅁㡂䅁䅁䅆䅁䑁䅉䅍祁䑁䅑睌硁䑁䅁睌ぁ䅁䅁来䅁䉁䅑䅁祁䑁䅁杍ぁ䍁䄸免硁䍁䄸免䅁䡁䅳䅁坁䅁䅁杍睁䑁䅉䅎癁䑁䅅免癁䑁䅉兏䅁䩁䅳䅁坁䅁䅁杍睁䑁䅉䅎癁䑁䅅免癁䑁䅍䅍䅁䭁䅧䅁坁䅁䅁杍睁䑁䅉䅎癁䑁䅅杍癁䑁䅅睍䅁䩁䅯䅁坁䅁䅁杍睁䑁䅉䅎癁䑁䅅杍癁䑁䅅李䅁䭁䅅䅁坁䅁䅁杍睁䑁䅉䅎癁䑁䅅杍癁䑁䅅䅏䅁䩁䅣䅁坁䅁䅁杍睁䑁䅉䅎癁䑁䅅杍癁䑁䅅兏䅁䩁䅙䅁坁䅁䅁杍睁䑁䅉䅎癁䑁䅅杍癁䑁䅉䅍䅁䩁䅧䅁坁䅁䅁杍睁䑁䅉䅎癁䑁䅅杍癁䑁䅉睍䅁䭁䅁䅁坁䅁䅁杍睁䑁䅉䅎癁䑁䅅杍癁䑁䅉李䅁䩁䄸䅁坁䅁䅁杍睁䑁䅉䅎癁䑁䅅杍癁䑁䅉睎䅁䩁䄴䅁坁䅁䅁杍睁䑁䅉䅎癁䑁䅅杍癁䑁䅍䅍䅁䭁䅣䅁坁䅁䅁杍睁䑁䅉䅎癁䑁䅅杍癁䑁䅍免䅁䭁䅕䅁啁䅁䅁杍睁䑁䅉䅎癁䑁䅅杍癁䑁䅕䅁婃䅁䅁䅆䅁䑁䅉䅍祁䑁䅑睌硁䑁䅉睌㉁䅁䅁兮䅁䉁䅉䅁祁䑁䅁杍ぁ䍁䄸杍癁䑁䅣䅁㑁䅁䅁䅆䅁䑁䅉䅍祁䑁䅑睌穁䍁䄸免硁䅁䅁䅒䅁䉁䅑䅁祁䑁䅁杍ぁ䍁䄸睍癁䑁䅅杍䅁䕁䅕䅁十䅁䅁杍睁䑁䅉䅎癁䑁䅍睌㍁䅁䅁兏䅁䉁䅉䅁祁䑁䅁杍ぁ䍁䄸睍癁䑁䅧䅁䥁䅁䅁䅆䅁䑁䅉䅍祁䑁䅑睌ぁ䍁䄸免硁䅁䅁䅔䅁䉁䅑䅁祁䑁䅁杍ぁ䍁䄸兎癁䑁䅅睎䅁䕁䄰䅁十䅁䅁杍睁䑁䅉䅎癁䑁䅕睌祁䅁䅁兓䅁䉁䅑䅁祁䑁䅁杍ぁ䍁䄸兎癁䑁䅉免䅁䕁䄴䅁啁䅁䅁杍睁䑁䅉䅎癁䑁䅕睌祁䑁䅉䅁偂䅁䅁䅆䅁䑁䅉䅍祁䑁䅑睌ㅁ䍁䄸杍ぁ䅁䅁䅕䅁䉁䅑䅁祁䑁䅁杍ぁ䍁䄸李癁䑁䅅睎䅁䙁䅅䅁啁䅁䅁杍睁䑁䅉䅎癁䑁䅙睌祁䑁䅧䅁奂䅁䅁䅆䅁䑁䅉䅍祁䑁䅑睌㍁䍁䄸免硁䅁䅁杕䅁䉁䅑䅁祁䑁䅁杍ぁ䍁䄸睎癁䑁䅅杍䅁䙁䅍䅁啁䅁䅁杍睁䑁䅉䅎癁䑁䅣睌硁䑁䅧䅁扂䅁䅁䅆䅁䑁䅉䅍祁䑁䅑睌㍁䍁䄸免㕁䅁䅁睘䅁䉁䅑䅁祁䑁䅁杍ぁ䍁䄸睎癁䑁䅉杍䅁䝁䅣䅁啁䅁䅁杍睁䑁䅉䅎癁䑁䅣睌祁䑁䅍䅁杂䅁䅁䅆䅁䑁䅉䅍祁䑁䅑睌㍁䍁䄸杍ぁ䅁䅁睙䅁䉁䅑䅁祁䑁䅁杍ぁ䍁䄸睎癁䑁䅉兎䅁䝁䅧䅁啁䅁䅁杍睁䑁䅉䅎癁䑁䅣睌祁䑁䅙䅁敂䅁䅁䅆䅁䑁䅉䅍祁䑁䅑睌㍁䍁䄸杍㕁䅁䅁兙䅁䉁䅑䅁祁䑁䅁杍ぁ䍁䄸睎癁䑁䅍䅍䅁䝁䅙䅁啁䅁䅁杍睁䑁䅉䅎癁䑁䅣睌穁䑁䅅䅁灂䅁䅁杅䅁䑁䅉䅍祁䑁䅑睌㍁䍁䄸兎䅁䙁䅣䅁十䅁䅁杍睁䑁䅉䅎癁䑁䅧睌硁䅁䅁杙䅁䉁䅑䅁祁䑁䅁杍ぁ䍁䄸䅏癁䑁䅅李䅁䝁䄸䅁十䅁䅁杍睁䑁䅉䅎癁䑁䅧睌祁䅁䅁党䅁䉁䅑䅁祁䑁䅁杍ぁ䍁䄸䅏癁䑁䅉睍䅁䝁䄰䅁啁䅁䅁杍睁䑁䅉䅎癁䑁䅧睌穁䑁䅁䅁穂䅁䅁杅䅁䑁䅉䅍祁䑁䅑睌㑁䍁䄸兎䅁䙁䄰䅁十䅁䅁杍睁䑁䅉䅎癁䑁䅧睌㉁䅁䅁兗䅁䉁䅉䅁祁䑁䅁杍ぁ䍁䄸䅏癁䑁䅫䅁㑂䅁䅁䅆䅁䑁䅉䅍祁䑁䅑睌㕁䍁䄸免穁䅁䅁杤䅁䉁䅑䅁祁䑁䅁杍ぁ䍁䄸兏癁䑁䅉䅍䅁䡁䅣䅁啁䅁䅁杍睁䑁䅉䅎癁䑁䅫睌祁䑁䅣䅁ㅂ䅁䅁䅆䅁䑁䅉䅍祁䑁䅑睌㕁䍁䄸睍睁䅁䅁䅤䅁䉁䅉䅁祁䑁䅁杍ぁ䍁䄸兏癁䑁䅙䅁㕂䅁䅁䅆䅁䑁䅉䅍祁䑁䅕睌硁䍁䄸免睁䅁䅁杲䅁䉁䅑䅁祁䑁䅁杍ㅁ䍁䄸免癁䑁䅅李䅁䱁䅁䅁啁䅁䅁杍睁䑁䅉兎癁䑁䅅睌硁䑁䅣䅁癃䅁䅁杅䅁䑁䅉䅍祁䑁䅕睌硁䍁䄸杍䅁䭁䅙䅁啁䅁䅁杍睁䑁䅉兎癁䑁䅅睌祁䑁䅅䅁獃䅁䅁䅆䅁䑁䅉䅍祁䑁䅕睌硁䍁䄸杍祁䅁䅁兲䅁䉁䅑䅁祁䑁䅁杍ㅁ䍁䄸免癁䑁䅉䅎䅁佁䅁䅁啁䅁䅁杍睁䑁䅉兎癁䑁䅅睌祁䑁䅕䅁晄䅁䅁杅䅁䑁䅉䅍祁䑁䅕睌硁䍁䄸睍䅁䭁䅑䅁啁䅁䅁杍睁䑁䅉兎癁䑁䅅睌穁䑁䅅䅁㙄䅁䅁杅䅁䑁䅉䅍祁䑁䅕睌硁䍁䄸李䅁䭁䅯䅁十䅁䅁杍睁䑁䅉兎癁䑁䅅睌㍁䅁䅁共䅁䉁䅉䅁祁䑁䅁杍ㅁ䍁䄸免癁䑁䅧䅁牃䅁䅁䅆䅁䑁䅉䅍祁䑁䅕睌祁䍁䄸免ぁ䅁䅁䄯䅁䉁䅑䅁祁䑁䅁杍ㅁ䍁䄸杍癁䑁䅉䅍䅁偁䅳䅁啁䅁䅁杍睁䑁䅉兎癁䑁䅉睌祁䑁䅅䅁㑄䅁䅁䅆䅁䑁䅉䅍祁䑁䅕睌祁䍁䄸杍ぁ䅁䅁儫䅁䉁䅑䅁祁䑁䅁杍ㅁ䍁䄸杍癁䑁䅉䅏䅁䉁䉕䅁啁䅁䅁杍睁䑁䅉兎癁䑁䅍睌硁䑁䅑䅁坁允䅁䅆䅁䑁䅉䅍祁䑁䅕睌穁䍁䄸杍㍁䅁䅁睅䅅䉁䅑䅁祁䑁䅁杍ㅁ䍁䄸睍癁䑁䅉䅏䅁䉁䉑䅁啁䅁䅁杍睁䑁䅉兎癁䑁䅍睌穁䑁䅅䅁塁允䅁䅆䅁䑁䅉䅍祁䑁䅕睌ぁ䍁䄸免硁䅁䅁杇䅅䉁䅑䅁祁䑁䅁杍ㅁ䍁䄸䅎癁䑁䅅䅎䅁䉁䉳䅁啁䅁䅁杍睁䑁䅉兎癁䑁䅑睌硁䑁䅙䅁婁允䅁䅆䅁䑁䅉䅍祁䑁䅕睌ぁ䍁䄸免㍁䅁䅁䅇䅅䉁䅉䅁祁䑁䅁杍ㅁ䍁䄸䅎癁䑁䅉䅁十允䅁䅆䅁䑁䅉䅍祁䑁䅕睌ぁ䍁䄸杍ぁ䅁䅁杈䅅䉁䅑䅁祁䑁䅁杍ㅁ䍁䄸䅎癁䑁䅉兎䅁䉁䉷䅁啁䅁䅁杍睁䑁䅉兎癁䑁䅑睌祁䑁䅧䅁摁允䅁杅䅁䑁䅉䅍祁䑁䅕睌ぁ䍁䄸睍䅁䉁䉅䅁啁䅁䅁杍睁䑁䅉兎癁䑁䅕睌穁䑁䅁䅁楁允䅁䅆䅁䑁䅉䅍祁䑁䅕睌㉁䍁䄸免祁䅁䅁睈䅅䉁䅑䅁祁䑁䅁杍ㅁ䍁䄸李癁䑁䅅睍䅁䍁䉁䅁十䅁䅁杍睁䑁䅉兎癁䑁䅙睌㉁䅁䅁光䅅䉁䅑䅁穁䍁䄸免睁䍁䄸杍睁䑁䅉兎䅁䅁䉧䅁啁䅁䅁睍癁䑁䅅免癁䑁䅉䅍祁䑁䅕䅁䩁允䅁䅆䅁䑁䅍睌硁䑁䅉睌祁䑁䅁杍ㅁ䅁䅁权䅅䉁䅑䅁穁䍁䄸免穁䍁䄸杍睁䑁䅉兎䅁䅁䉳䅁啁䅁䅁睍癁䑁䅅䅎癁䑁䅉䅍祁䑁䅕䅁䵁允䅁䅆䅁䑁䅍睌硁䑁䅣睌祁䑁䅁杍ㅁ䅁䅁兄䅅䉁䅑䅁穁䍁䄸免㑁䍁䄸杍睁䑁䅉兎䅁䅁䈴䅁啁䅁䅁睍癁䑁䅅兏癁䑁䅉䅍祁䑁䅕䅁偁允䅁䅆䅁䑁䅍睌祁䑁䅁睌祁䑁䅁杍ㅁ䅁䅁䅅䅅䉁䅉䅁穁䍁䄸睍癁䑁䅉䅍祁䑁䅕䅁䑁允䅁杅䅁䑁䅍睌ぁ䍁䄸杍睁䑁䅉兎䅁䅁䉑䅁十䅁䅁睍癁䑁䅕睌祁䑁䅁杍ㅁ䅁䅁兂䅅䉁䅉䅁穁䍁䄸李癁䑁䅉䅍祁䑁䅕䅁䝁允䅁杅䅁䑁䅍睌㍁䍁䄸杍睁䑁䅉兎䅁䅁䉣䅁䭁䅁䅁兑䉂䙁䅁䅔䅁乁䅁䅁䭁䅁䅁兑䕂䕁䅉兒䅁䱁䅕䅁䭁䅁䅁兑䡂䕁䅫䅗䅁䙁䅯䅁䥁䅁䅁兑乂䕁䅑䅁⭃䅁䅁权䅁䕁䅅兔慂䕁䄴䅁啄䅁䅁权䅁䕁䅅杔䙂䙁䅑䅁䅄䅁䅁䅃䅁䕁䅅䅕兂䅁䅁䅊䅅䉁䅉䅁䉂䙁䅉睑䉂䑁䅯兑䩂䙁䅍䅁橁允䅁䅆䅁䕁䅅杕䑂䕁䅅杏䉂䕁䅫杖䩂䅁䅁睆䅁䉁䅑䅁䉂䙁䅉睑䉂䑁䅯兑卂䙁䅑兗䅁䡁䅁䅁啁䅁䅁兑卂䕁䅍兑㙁䕁䅍䅓䉂䙁䅑䅁啁䅁䅁䅆䅁䕁䅅杕䑂䕁䅅杏䩂䕁䅣䅕啂䅁䅁杅䅁䉁䅑䅁䉂䙁䅉睑䉂䑁䅯兓卂䕁䅉睔䅁䉁䅅䅁啁䅁䅁兑卂䕁䅍兑㙁䕁䅷睔噂䙁䅁䅁奁䅁䅁䅆䅁䕁䅅杕䑂䕁䅅杏䵂䙁䅉杔慂䅁䅁杆䅁䉁䅑䅁䉂䙁䅉睑䉂䑁䅯䅖䥂䕁䄴兕䅁䅁䅫䅁䥁䅁䅁兑卂䕁䄰䅁䱄䅁䅁杅䅁䕁䅅睕奂䑁䅯杕䍂䙁䅑杗䅁䅁䅯䅁䭁䅁䅁兑坂䕁䅣睔䅁䱁䅙䅁十䅁䅁村䉂䙁䅑睕㙁䕁䅫睒坂䅁䅁儶䅁䉁䅑䅁䍂䕁䅅䅖呂䑁䅯睖啂䕁䅅兓䅁䅁䅷䅁十䅁䅁村䩂䙁䅑杏塂䙁䅑兑䩂䅁䅁杄䅁䅁䅯䅁䑂䕁䅙䅔啂䅁䅁眷䅁䅁䅧䅁䑂䙁䅉兔䅁䵁䅑䅁允䅁䅁䅒䍂䑁䅯䅗䍂䑁䅁䅖䅁䉁䄰䅁䭁䅁䅁䅒䕂䕁䄸睒䅁䱁䅣䅁䭁䅁䅁䅒䙂䕁䅷䅔䅁偁䅁䅁䥁䅁䅁䅒啂䕁䅑䅁㥃䅁䅁权䅁䕁䅑兖偂䕁䅷䅁㑃䅁䅁杊䅁䕁䅑兙灂䝁䅷入杁䙁䅙兙獂䡁䅕党杁䙁䅑杣桂䝁䅑党歂䅁䅁兊䅁䉁䅯䅁䕂䝁䅅兡獂䡁䅫䅉坂䝁䄸䅢ㅂ䝁䄰党䅁䍁䅯䅁䭁䅁䅁兒呂䙁䅑睑䅁乁䅉䅁䭁䅁䅁睒啂䕁䅷村䅁乁䅅䅁佁䅁䅁䅓呂䙁䅑兒䑂䕁䅧䅁畂䅁䅁权䅁䕁䅫杔啂䙁䅕䅁䙄䅁䅁䅃䅁䕁䅫睔啂䅁䅁朷䅁䉁䅉䅁䩂䙁䅅睘䑂䕁䅫睘乂䙁䅙䅁橄䅁䅁䅈䅁䕁䅫兕時䕁䅍䅔偂䙁䅍兒兂䙁䅉兓䑂䕁䅕䅁䕁䅁䅁䅇䅁䕁䅫兕時䕁䅙兖佂䕁䅑睘佂䕁䅅杖䅁䕁䅙䅁ぁ䅁䅁兓剂䙁䄸䅓偂䕁䅷䅒䩂䕁䄴睒呂䙁䄸兒剂䙁䅕兓啂䙁䅫睘䉂䙁䅍睕䙂䙁䅑睕䅁䅁䅳䅁慁䅁䅁兓剂䙁䄸兔䉂䙁䅉睓䙂䙁䅑睑䉂䙁䅁䅁䉁䅁䅁䅆䅁䕁䅫兕時䕁䄴兑坂䙁䄸杕䙂䅁䅁睓䅁䑁䅯䅁䩂䙁䅅睘佂䕁䅕䅖䥂䕁䄸兖呂䕁䅕睘䍂䙁䅉睔䱂䕁䅕杕時䕁䄴兒啂䙁䄸杖䉂䕁䅷兖䙂䅁䅁䅉䅁䍁䅉䅁䩂䙁䅅睘佂䕁䅕䅖䥂䕁䄸兖呂䕁䅕睘坂䙁䅣兑兂䅁䅁杈䅁䉁䅯䅁䩂䙁䅅睘偂䙁䅁兒佂䙁䅁杕䩂䕁䅍兒䅁䕁䅣䅁煁䅁䅁兓剂䙁䄸睕䥂䕁䅅杕䙂䙁䅍睔噂䙁䅑睕啂䕁䅅杔䕂䕁䅫杔䡂䅁䅁睋䅁䍁䅁䅁䩂䙁䅅睘坂䕁䅅䅔噂䕁䅕睘啂䙁䅉兑䕂䕁䅕䅒䅁䍁䅍䅁啁䅁䅁兓剂䙁䄸杖偂䕁䅷兖乂䕁䅕䅁偁䅁䅁䅅䅁䕁䅫兕時䙁䅙睖䉂䙁䅁䅁灁䅁䅁杇䅁䕁䅳睔呂䕁䅕杏䉂䑁䅁䅍睁䑁䅙李睁䅁䅁眰䅁䉁䅉䅁䵂䙁䅍兒㙁䕁䅅兓䉂䕁䅣䅁扁䅁䅁杅䅁䕁䅷睕䙂䑁䅯杕䍂䕁䄸䅖䅁䉁䅍䅁䥁䅁䅁兔䕂䕁䅉䅁䍄䅁䅁权䅁䕁䄰兒啂䕁䅅䅁䵄䅁䅁权䅁䕁䄰杕坂䕁䅷䅁敄䅁䅁权䅁䕁䄰睕䝂䙁䅑䅁奄䅁䅁杂䅁䕁䄰兖䅁䱁䅫䅁䭁䅁䅁杔䍂䕁䅫睕䅁佁䅷䅁䥁䅁䅁杔䙂䙁䅑䅁䝄䅁䅁䅃䅁䕁䄴睔塂䅁䅁䅶䅁䅁䅯䅁佂䙁䅙䅒䉂䅁䅁杹䅁䉁䅷䅁佂䝁䅅督歂䝁䅅兣䡂䕁䄰杏䉂䕁䅣兓奂䅁䅁䅘䅁䉁䅯䅁佂䝁䅅督歂䝁䅅兣䡂䕁䄰杏䉂䕁䅫兕䅁䅁䄰䅁捁䅁䅁杔桂䡁䅍䅚桂䡁䅅睒乂䑁䅯村偂䙁䅑杗䅁䅁䅁䅁捁䅁䅁杔桂䡁䅍䅚桂䡁䅅睒乂䑁䅯杒䕂䙁䅑䅗䅁䅁䅕䅁慁䅁䅁杔桂䡁䅍䅚桂䡁䅅睒乂䑁䅯兕剂䙁䅅䅁䥂䅁䅁䅈䅁䕁䄴兙穂䝁䅑兙硂䕁䅣兔㙁䙁䅉睔䍂䙁䅑䅁䑁䅁䅁杇䅁䕁䄴兙穂䝁䅑兙硂䕁䅣兔㙁䙁䅍兔䥂䅁䅁杓䅁䉁䅷䅁佂䝁䅅督歂䝁䅅兣䡂䕁䄰杏塂䕁䅫睕䙂䅁䅁睂䅁䉁䅷䅁佂䝁䅅督歂䝁䅅兣䡂䙁䅍杏䉂䙁䅍兔䵂䅁䅁䄳䅁䉁䄴䅁佂䝁䅅督歂䝁䅅兣䡂䙁䅍杏䡂䕁䄸睔䡂䕁䅷䅁䡄䅁䅁权䅁䕁䄸杕䑂䕁䅷䅁䥄䅁䅁权䅁䙁䅁兑佂䙁䅣䅁婄䅁䅁权䅁䙁䅁䅔啂䙁䅉䅁偄䅁䅁权䅁䙁䅁睕啂䕁䅣䅁慄䅁䅁权䅁䙁䅅睑偂䕁䄰䅁坄䅁䅁䅃䅁䙁䅅兕剂䅁䅁条䅁䅁䅯䅁卂䕁䅉䅔奂䅁䅁兹䅁䅁䅧䅁呂䕁䅅䅕䅁䵁䅅䅁䭁䅁䅁睕䥂䕁䄸䅕䅁偁䅉䅁䭁䅁䅁睕佂䕁䄸睖䅁䵁䄰䅁䭁䅁䅁睕佂䙁䅁睕䅁乁䅳䅁䭁䅁䅁䅖䙂䕁䅅兔䅁偁䅅䅁䥁䅁䅁䅖䙂䕁䄰䅁瑄䅁䅁权䅁䙁䅑睕䵂䕁䅅䅁摄䅁䅁䅆䅁䙁䅑睖呂䕁䅕杏祁䑁䅍睍睁䅁䅁睵䅁䉁䅑䅁啂䙁䅣睕䙂䑁䅯杍ぁ䑁䅕䅎䅁乁䅣䅁䥁䅁䅁兖呂䕁䅑䅁歁䅁䅁䅃䅁䙁䅙杕啂䅁䅁睷䅁䅁䅯䅁塂䕁䅑兑婂䅁䅁杺䅁䅁䅧䅁塂䙁䅑䅒䅁䱁䅯䅁啁䅁䅁䅗啂䙁䅉兑㙁䙁䅧兑䩂䙁䅧䅁捁䅁䅁䅃䅁䙁䅫䅖䕂䅁䅁睶䅁䅁䅙䅁慂䙁䅍䅁噄䅁䅁权䅁䙁䄴䅒䭂䕁䅫䅁噂䅁䅁权䅁䙁䄴杔䕂䙁䅧䅁捃䅁䅁权䅁䙁䄴睕兂䙁䅧䅁啂䅁䅁䄱䅉䅁杷允䅁䅁䅑䅁䑁䝁䅑䅁䭁䉁䅉䅁䭁䅁䅅䅁䭁䭁䅕䅁䉁䅁䅁允䅁䅁䅕敨剴䉵砵啥䵁䅉䅅䅁䕁䅁䅁睁歂䅁䅁权橁允䅁权牁䅁䅁权坂䅁䅁允䅁䅁䅅䅁䙁䅁䅁䅁䅁䅁䅁䍄䉁䅁䅁䅂䅁䅁䅍䅚䅁䅁䅯杗䅁䅁䅯䅂䅁䅁䅯睚䅁䅁䅅䅁䉁䅁䅁兂浂浚浚杚㕙䅑杷允䅁䅁䅕䅁䑁䝁䅑䅁䭁䙁䅯䅁䭁䅁䅑䅁䭁䉁䈸䅁䭁䍁䅑䅁䉁䅁䅁允䅁䅁䅕硥畓⭒㙆歐䵁䅉䅅䅁䕁䅁䅁睁歂䅁䅁权睂䅁䅁权灁䅁䅁兂䅁䅁䅁䙯洯䅑䅅䅁䉁䅁䅁兂桄桥畓睒䑆䅑杷允䅁䅁䅕䅁䑁䝁䅑䅁䭁䙁䅯䅁䭁䕁䅙䅁䭁䙁䄸䅁䭁䍁䅑䅁䉁䅁䅁允䅁䅁䅕䅁䅁䅁䅁䅁䵁䅉䅅䅁䕁䅁䅁睁歂䅁䅁权䅁䅁䅁权偁䅁䅁兂䅁䅁䅁䙯洯䅑䅅䅁䉁䅁䅁兂湂汮呸䱉晐睐杷允䅁䅁䅕䅁䑁䝁䅑䅁䭁䙁䅯䅁䭁䅁䅑䅁䭁䍁䉅䅁䭁䍁䅑䅁䉁䅁䅁允䅁䅁䅕牕敧敨剴歐䵁䅉䅅䅁䕁䅁䅁睁歂䅁䅁权乁䅁䅁权䉁䅁䅁权汃䅁䅁允䅁䅁䅅䅁䙁䵁䐷啃偺慚䅒䍄䉁䅁䅁兂䅁䅁䅍䅚䅁䅁䅯朲䅁䅁䅯䅂䅁䅁䅕䅁䅁䥁時欵䭁䍁䅑䅁䉁䅁䅁允䅁䅁䅕㑈牘払⭧こ䵁䅉䅅䅁䕁䅁䅁睁歂䅁䅁权捁䅁䅁权䕁䅁䅁兂䅁䅁䅁䙯洯䅑䅅䅁䉁䅁䅁兂獄払敧奨杴䅑杷允䅁䅁䅑䅁䑁䝁䅑䅁䭁䍁䉍䅁䭁䍁䅳䅁䭁䭁䅕䅁䉁䅁䅁允䅁䅁䅕灭婭婭婭呭䴸䅉䅅䅁䙁䅁䅁睁歂䅁䅁权瑄䅁䅁权䉁䅁䅁兂䅁䅁䅁䙯洯䅑䅯䅊䅁䅁䅅䅁䉁䅁䅁兂摂扰牶䈳䥮䅑杷允䅁䅁䅕䅁䑁䝁䅑䅁䭁䙁䅯䅁䭁䅁䅑䅁䙁䅁䅁䅁䅃⭘䅚权歁䅁䅁允䅁䅁䅅䅁䙁䡁啳歲桦橥䄵䍄䉁䅁䅁兂䅁䅁䅍䅚䅁䅁䅯䅵䅁䅁䅯允䅁䅁䅕䅁䅁䭁時欵䭁䍁䅑䅁䉁䅁䅁允䅁䅁䅕煈单橮㥷唱䵁䅉䅅䅁䙁䅁䅁睁歂䅁䅁权䭂䅁䅁权䕁䅁䅁权杁允䅁权歁䅁䅁允䅁䅁䅅䅁䙁䭁睒児塲㍄䅂䍄䉁䅁䅁兂䅁䅁䅍䅚䅁䅁䅯杺䅁䅁䅯䅂䅁䅁䅕䅁䅁䵁敂欵䭁䍁䅑䅁䉁䅁䅁允䅁䅁䅕㘱睎児塱ぢ䵁䅉䅅䅁䕁䅁䅁睁歂䅁䅁权䙁䅁䅁权䕁䅁䅁权䝁䅁䅁允䅁䅁䅅䅁䙁偁䍪䭚杰䑨䅬䍄䉁䅁䅁兂䅁䅁䅍䅚䅁䅁䅯兖䅁䅁䅯䅂䅁䅁䅯睢䅁䅁䅯䅊䅁䅁䅅䅁䉁䅁䅁兂䍂牨獬乥橲䅑杷允䅁䅁䅕䅁䑁䝁䅣䅁䭁䉁䅷䅁䭁䅁䄸䅁䭁䉁䅁䅁䙁䅁䅁䅁权⭘䅚允䅁䅁䅅䅁䙁䭁䥒㉗⭅煳⽑䍄䉁䅁䅁杂䅁䅁䅍睚䅁䅁䅯䅆䅁䅁䅯克䅁䅁䅯杖䅁䅁䅕䅁䅁䭁時欵䭁䍁䅑䅁䉁䅁䅁允䅁䅁䅕㝗㉇䕕䭥歑䵁䅉䅅䅁䕁䅁䅁睁歂䅁䅁权坁䅁䅁权䕁䅁䅁权汃䅁䅁允䅁䅁䅅䅁䙁䅁さ呅㡙啦䅎䍄䉁䅁䅁䅂䅁䅁䅍䅚䅁䅁䅯权䅁䅁䅯允䅁䅁䅯兰䅁䅁䅅䅁䉁䅁䅁兂㍃敥歏偣砱䅑杷允䅁䅁䅑䅁䑁䝁䅑䅁䭁䕁䅧䅁䭁䅁䅑䅁䭁䭁䅕䅁䉁䅁䅁允䅁䅁䅕体㙆䭆稷て䵁䅉䅅䅁䙁䅁䅁睁歂䅁䅁权剄䅁䅁权䕁䅁䅁兂䅁䅁䅁䙷洷䅑䅯䅊䅁䅁䅅䅁䉁䅁䅁兂䑄匹捨㉪䥊䅑杷允䅁䅁䅑䅁䑁䝁䅑䅁䭁䉁䅧䅁䭁䅁䅑䅁䙁䅁䅁䅁䅃⭘䅚允䅁䅁䅅䅁䙁䑁䬰㘱睎啶䅸䍄䉁䅁䅁兂䅁䅁䅍䅚䅁䅁䅯䅓䅁䅁䅯䅂䅁䅁䅯䅉䅅䅁䅯䅊䅁䅁䅅䅁䉁䅁䅁兂䥂場啯湲䅥䅑杷允䅁䅁䅑䅁䑁䝁䅑䅁䭁䕁䅯䅁䭁䅁䅳䅁䙁䅁䅁䅁权⭘䅚允䅁䅁䅅䅁䙁䝁浚浚浙瑰䅤䍄䉁䅁䅁兂䅁䅁䅍䅚䅁䅁䅯䅓䅁䅁䅯䅂䅁䅁䅯光䅅䅁䅯䅊䅁䅁䅅䅁䉁䅁䅁兂偃癷潕䥘䄫䅑杷允䅁䅁䅕䅁䑁䝁䅣䅁䭁䉁䅑䅁䭁䅁䄸䅁䭁䉁䅁䅁䙁䅁䅁䅁权⭘䅚允䅁䅁䅅䅁䙁䱁晱祊睤牃⽑䍄䉁䅁䅁兂䅁䅁䅍䅚䅁䅁䅯䅖䅁䅁䅯䅂䅁䅁䅯䅉䅅䅁䅯䅊䅁䅁䅅䅁䉁䅁䅁兂敃堶䑊ㄹ㍩䅑杷允䅁䅁䅑䅁䑁䝁䅑䅁䭁䕁䅯䅁䭁䅁䅑䅁䭁䙁䅙䅁䉁䅁䅁允䅁䅁䅕䡰㥁瑃扦啚䵁䅉䅅䅁䙁䅁䅁睁歂䅁䅁权啂䅁䅁权䕁䅁䅁权汃䅁䅁权歁䅁䅁允䅁䅁䅅䅁䙁佁潭慪朲戫䅚䍄䉁䅁䅁䅂䅁䅁䅍䅚䅁䅁䅯睁䅁䅁䅯䅂䅁䅁䅯兰䅁䅁䅅䅁䉁䅁䅁兂䙃ㄶ㑇潈䝖䅑杷允䅁䅁䅕䅁䑁䝁䅑䅁䭁䩁䅷䅁䭁䅁䅑䅁䙁䅁䅁䅁杁⭓䅚权歁䅁䅁允䅁䅁䅅䅁䙁乁慓栵䰰摨䅒䍄䉁䅁䅁兂䅁䅁䅍䅚䅁䅁䅯睸䅁䅁䅯䅂䅁䅁䅕䅁䅁䵁敂欵䭁䍁䅑䅁䉁䅁䅁允䅁䅁䅕椹捨㡪ㅋ啚䵁䅉䅅䅁䕁䅁䅁睁歂䅁䅁权䅁䅁䅁权䉁䅁䅁兂䅁䅁䅁䙯洯䅑䅅䅁䉁䅁䅁兂湂䝒癬偕樫䅑杷允䅁䅁䅑䅁䑁䝁䅑䅁䭁䉁䅑䅁䭁䅁䄸䅁䙁䅁䅁䅁权⭘䅚允䅁䅁䅅䅁䙁䑁獎偬扗扩⽅䍄䉁䅁䅁兂䅁䅁䅍䅚䅁䅁䅯䄳䅁䅁䅯䅂䅁䅁䅕䅁䅁䥁時欵䭁䍁䅑䅁䉁䅁䅁允䅁䅁䅕体㙆䭆制䕩䵁䅉䅅䅁䙁䅁䅁睁歂䅁䅁权摄䅁䅁权䕁䅁䅁兂䅁䅁䅁䕉浶䅑䅯䅊䅁䅁䅅䅁䉁䅁䅁兂㥁瑃橥䑣㔱䅑杷允䅁䅁䅑䅁䑁䝁䅑䅁䭁䅁䄰䅁䭁䍁䅫䅁䙁䅁䅁䅁权⭘䅚允䅁䅁䅅䅁䙁䱁敧敨剴䔲䅒䍄䉁䅁䅁䅂䅁䅁䅍䅚䅁䅁䅯䅈䅁䅁䅯䅂䅁䅁䅯杖䅁䅁䅅䅁䉁䅁䅁兂硂児塲硯婂䅑杷允䅁䅁䅕䅁䑁䝁䅑䅁䭁乁䅧䅁䭁䅁䅑䅁䙁䅁䅁䅁䅄畘䅚权歁䅁䅁允䅁䅁䅅䅁䙁䭁䠵場啯湚䄱䍄䉁䅁䅁杂䅁䅁䅍睚䅁䅁䅯䅓䅁䅁䅯克䅁䅁䅯兰䅁䅁䅕䅁䅁䭁時欵䭁䍁䅑䅁䉁䅁䅁允䅁䅁䅕䍁䍤浤㈸て䵁䅉䅅䅁䕁䅁䅁睁歂䅁䅁权乁䅁䅁权䕁䅁䅁兂䅁䅁䅁䙯洯䅑䅅䅁䉁䅁䅁兂乄䵺䵺䵺䕸䅑杷允䅁䅁䅙䅁䑁䝁䅣䅁䭁䅁䅍䅁䭁䍁䅫䅁䭁䙁䅙䅁䙁䅁䅁䅁权⭘䅚权歁䅁䅁允䅁䅁䅅䅁䙁䥁䍫慁䩸欵䅖䍄䉁䅁䅁兂䅁䅁䅍䅚䅁䅁䅯睵䅁䅁䅯䅂䅁䅁䅕䅁䅁䥁時欵䭁䍁䅑䅁䉁䅁䅁允䅁䅁䅕牘䜰䍖穱啑䵁䅉䅅䅁䕁䅁䅁睁歂䅁䅁权䥂䅁䅁权䕁䅁䅁权坂䅁䅁允䅁䅁䅅䅁䙁䱁敧敨剴䡭䅬䍄䉁䅁䅁兂䅁䅁䅍䅚䅁䅁䅯儳䅁䅁䅯䅂䅁䅁䅕䅁䅁䵁敂欵䭁䍁䅑䅁䉁䅁䅁允䅁䅁䅕瑃橥䑣礱正䵁䅉䅅䅁䙁䅁䅁睁歂䅁䅁权䥂䅁䅁权䕁䅁䅁权㑂䅁䅁权歁䅁䅁允䅁䅁䅅䅁䙁䵁ㅐ䙋偹湊䅸䍄䉁䅁䅁兂䅁䅁䅍睚䅁䅁䅯睂䅁䅁䅯睄䅁䅁䅯䅅䅁䅁䅕䅁䅁䭁時欵䉁䅁䅁允䅁䅁䅕塴坮䩲䨰䑥䴸䅉䅅䅁䕁䅁䅁睁歂䅁䅁权慂䅁䅁权䕁䅁䅁权桂䅁䅁允䅁䅁䅅䅁䙁䭁䠵場啯橄䅨䍄䉁䅁䅁兂䅁䅁䅍䅚䅁䅁䅯䅺䅁䅁䅯䅂䅁䅁䅕䅁䅁䥁時欵䭁䍁䅑䅁䉁䅁䅁允䅁䅁䅕硥畓⭒煇啨䵁䅉䅅䅁䝁䅁䅁睁湂䅁䅁权䑁䅁䅁权灁䅁䅁权汃䅁䅁兂䅁䅁䅁䙯洯䅑䅯䅊䅁䅁䅅䅁䉁䅁䅁兂杁䌹㉰偱䙖䅑杷允䅁䅁䅕䅁䑁䝁䅑䅁䭁䅁䄰䅁䭁䅁䅑䅁䭁䍁䉁䅁䭁䍁䅑䅁䉁䅁䅁允䅁䅁䅕捺䵺䵺䵺䕒䵁䅉䅅䅁䕁䅁䅁睁歂䅁䅁权啁䅁䅁权牁䅁䅁权汃䅁䅁允䅁䅁䅅䅁䙁䵁䴳䵺䵺䉔䅚䍄䉁䅁䅁䅂䅁䅁䅍䅚䅁䅁䅯䅘䅁䅁䅯睋䅁䅁䅕䅁䅁䭁時欵䉁䅁䅁允䅁䅁䅕爫䭓琯䵄䐷䴸䅉䅅䅁䙁䅁䅁睁歂䅁䅁权慂䅁䅁权䕁䅁䅁权㑂䅁䅁权歁䅁䅁允䅁䅁䅅䅁䙁䝁眯捨啬呍䅤䍄䉁䅁䅁兂䅁䅁䅍䅚䅁䅁䅯朳䅁䅁䅯䅂䅁䅁䅕䅁䅁䭁時欵䭁䍁䅑䅁䉁䅁䅁允䅁䅁䅕䥘䌯匹䵪䕕䵁䅉䅅䅁䕁䅁䅁睁歂䅁䅁权䵁䅁䅁权牁䅁䅁兂䅁䅁䅁䙧洯䅑䅅䅁䉁䅁䅁兂穁積積積桍䅑杷允䅁䅁䅕䅁䑁䝁䅑䅁䭁䙁䅑䅁䭁䅁䅑䅁䭁䙁䄴䅁䭁䍁䅑䅁䉁䅁䅁允䅁䅁䅕獤甴砷周啴䵁䅉䅅䅁䙁䅁䅁睁歂䅁䅁权啂䅁䅁权䕁䅁䅁权楁允䅁权歁䅁䅁允䅁䅁䅅䅁䙁偁㐸獆瘲㝆䅤䍄䉁䅁䅁兂䅁䅁䅍睚䅁䅁䅯杅䅁䅁䅯睄䅁䅁䅯䅅䅁䅁䅕䅁䅁䭁時欵䉁䅁䅁允䅁䅁䅕䕃䍵挫奅橲䴸䅉䅅䅁䕁䅁䅁睁歂䅁䅁权䅁䅁䅁权䕁䅁䅁权坂䅁䅁允䅁䅁䅅䅁䙁䅁䅁䅁䅁䑧䅸䍄䉁䅁䅁兂䅁䅁䅍䅚䅁䅁䅯睴䅁䅁䅯䅂䅁䅁䅕䅁䅁䍁䱂欵䭁䍁䅑䅁䉁䅁䅁允䅁䅁䅕䭆䠵場捲啙䵁䅉䅅䅁䕁䅁䅁睁歂䅁䅁权乁䅁䅁权偁䅁䅁兂䅁䅁䅁䙯洯䅑䅅䅁䉁䅁䅁兂坂牵佶癨湺睐杷允䅁䅁䅕䅁䑁䝁䅑䅁䭁䵁䅷䅁䭁䅁䅑䅁䙁䅁䅁䅁杁⭓䅚权歁䅁䅁允䅁䅁䅅䅁䙁䭁䠵場啯䥔䅊䍄䉁䅁䅁兂䅁䅁䅍䅚䅁䅁䅯杗䅁䅁䅯䅂䅁䅁䅯杉䅅䅁䅯䅊䅁䅁䅅䅁䉁䅁䅁兂㑃潈牘晕㡧䅑杷允䅁䅁䅑䅁䑁䝁䅑䅁䭁䅁䅫䅁䭁䍁䅳䅁䭁䙁䅙䅁䉁䅁䅁允䅁䅁䅕捺䵺䵺䵺䕃䵁䅉䅅䅁䕁䅁䅁睁歂䅁䅁权扁䅁䅁权䕁䅁䅁兂䅁䅁䅁䙧洯䅑䅅䅁䉁䅁䅁兂敃㘷䝦硓硣䅑杷允䅁䅁䅑䅁䑁䝁䅑䅁䭁䅁䄰䅁䭁䅁䅅䅁䙁䅁䅁䅁权⭘䅚允䅁䅁䅅䅁䙁䕁㑪琳㐹慥䅰䍄䉁䅁䅁䅂䅁䅁䅍䅚䅁䅁䅯䅓䅁䅁䅯䅂䅁䅁䅕䅁䅁䭁時欵䉁䅁䅁允䅁䅁䅕体㙆䭆㌵䕧䵁䅉䅅䅁䙁䅁䅁睁歂䅁䅁权ㅃ䅁䅁权䕁䅁䅁兂䅁䅁䅁䙧洯䅑䅯䅊䅁䅁䅅䅁䉁䅁䅁兂㝂䭆䠵搴㕰䅑杷允䅁䅁䅑䅁䑁䝁䅑䅁䭁䅁䄴䅁䭁䅁䅑䅁䭁䙁䅙䅁䉁䅁䅁允䅁䅁䅕䉵䘶ㄶ㑈こ䵁䅉䅅䅁䕁䅁䅁睁歂䅁䅁权灄䅁䅁权䕁䅁䅁兂䅁䅁䅁䙯洯䅑䅅䅁䉁䅁䅁兂桄桥畓㕒慆䅑杷允䅁䅁䅑䅁䑁䝁䅑䅁䭁䉁䅧䅁䭁䅁䅳䅁䙁䅁䅁䅁权⭘䅚允䅁䅁䅅䅁䙁佁㙆䭆䠵噁䅤䍄䉁䅁䅁兂䅁䅁䅍䅚䅁䅁䅯兖䅁䅁䅯䅂䅁䅁䅯光䅅䅁䅯䅊䅁䅁䅅䅁䉁䅁䅁兂㑁剷䙺⭗歈䅑杷允䅁䅁䅙䅁䑁䝁䅣䅁䭁䍁䉍䅁䭁䍁䅫䅁䭁䭁䅕䅁䙁䅁䅁䅁权⭘䅚权歁䅁䅁允䅁䅁䅅䅁䙁䥁㠯剤㡲橫䅤䍄䉁䅁䅁䅂䅁䅁䅍䅚䅁䅁䅯睂䅁䅁䅯䅂䅁䅁䅯兰䅁䅁䅅䅁䉁䅁䅁兂偃癷潕䍘䐹䅑杷允䅁䅁䅑䅁䑁䝁䅑䅁䭁䉁䅑䅁䭁䍁䅳䅁䙁䅁䅁䅁权⭘䅚允䅁䅁䅅䅁䙁䑁積積積硳䅰䍄䉁䅁䅁兂䅁䅁䅍䅚䅁䅁䅯䅊䅅䅁䅯䅂䅁䅁䅕䅁䅁䵁敂欵䭁䍁䅑䅁䉁䅁䅁允䅁䅁䅕瑃橥䑣攰步䵁䅉䅅䅁䕁䅁䅁睁歂䅁䅁权摁䅁䅁权䱁䅁䅁兂䅁䅁䅁䙯洯䅑䅅䅁䉁䅁䅁兂啁歲桦癥啒䅑杷允䅁䅁䅕䅁䑁䝁䅑䅁䭁乁䅯䅁䭁䅁䅑䅁䙁䅁䅁䅁权⭘䅚权歁䅁䅁允䅁䅁䅅䅁䙁䑁積積積〰䅬䍄䉁䅁䅁兂䅁䅁䅍䅚䅁䅁䅯䅖䅁䅁䅯䅂䅁䅁䅯睈䅅䅁䅯䅊䅁䅁䅅䅁䉁䅁䅁兂敁瑓穆婑㌲䅑杷允䅁䅁䅕䅁䑁䝁䅑䅁䭁乁䅑䅁䭁䅁䅑䅁䙁䅁䅁䅁杁⭓䅚权歁䅁䅁允䅁䅁䅅䅁䙁䉁畓⭒㙆䝢䅴䍄䉁䅁䅁杂䅁䅁䅍睚䅁䅁䅯睅䅁䅁䅯克䅁䅁䅯兰䅁䅁䅕䅁䅁䭁時欵䭁䍁䅑䅁䉁䅁䅁允䅁䅁䅕爲㡘洸坓か䵁䅉䅅䅁䝁䅁䅁睁湂䅁䅁权䥂䅁䅁权灁䅁䅁权坂䅁䅁兂䅁䅁䅁䙯洯䅑䅯䅊䅁䅁䅅䅁䉁䅁䅁兂楂䙇晑扙㥎䅑杷允䅁䅁䅕䅁䑁䝁䅑䅁䭁䙁䅕䅁䭁䅁䅑䅁䭁䡁䅯䅁䭁䍁䅑䅁䉁䅁䅁允䅁䅁䅕䱐癩砸略䔵䵁䅉䅅䅁䙁䅁䅁睁歂䅁䅁权慂䅁䅁权䕁䅁䅁权杁允䅁权歁䅁䅁允䅁䅁䅅䅁䙁䥁牘払敧呂䄵䍄䉁䅁䅁兂䅁䅁䅍䅚䅁䅁䅯䅓䅁䅁䅯䅂䅁䅁䅯睈䅅䅁䅯䅊䅁䅁䅅䅁䉁䅁䅁兂桄桥畓㙒䄲䅑杷允䅁䅁䅑䅁䑁䝁䅑䅁䭁䅁䅫䅁䭁䅁䅑䅁䭁䭁䅕䅁䉁䅁䅁允䅁䅁䅕䅁䅁䅁䅃䕓䵁䅉䅅䅁䙁䅁䅁睁歂䅁䅁权噂䅁䅁权䕁䅁䅁权杁允䅁权歁䅁䅁允䅁䅁䅅䅁䙁䥁昱剃㔫畭䅒䍄䉁䅁䅁䅂䅁䅁䅍䅚䅁䅁䅯权䅁䅁䅯睋䅁䅁䅯兰䅁䅁䅅䅁䉁䅁䅁兂浄㕲㕃歍穑䅑杷允䅁䅁䅕䅁䑁䝁䅑䅁䭁䱁䅳䅁䭁䅁䅑䅁䙁䅁䅁䅁杁⭓䅚权歁䅁䅁允䅁䅁䅅䅁䙁䙁剭㍨畓啚䅂䍄䉁䅁䅁䅂䅁䅁䅍䅚䅁䅁䅯䅓䅁䅁䅯睃䅁䅁䅕䅁䅁䭁時欵䉁䅁䅁允䅁䅁䅕積積㉍坔䕆䵅䅉䅅䅁䙁䅁䅁睁湂䅁䅁权橁允䅁权偁䅁䅁权允䅁䅁兂䅁䅁䅁䙯洯䅑䅅䅁䉁䅁䅁兂䩃㕖〸瑡䰲睐杷允䅁䅁䅕䅁䑁䝁䅑䅁䭁䵁䄸䅁䭁䅁䅑䅁䙁䅁䅁䅁䅄畘䅚权歁䅁䅁允䅁䅁䅅䅁䙁䭁䠵場啯氷䄹䍄䉁䅁䅁䅂䅁䅁䅍䅚䅁䅁䅯䅇䅁䅁䅯睋䅁䅁䅯杖䅁䅁䅅䅁䉁䅁䅁兂奄橒婺捺睺睐杷允䅁䅁䅕䅁䑁䝁䅑䅁䭁佁䄴䅁䭁䅁䅑䅁䙁䅁䅁䅁杁⭓䅚权歁䅁䅁允䅁䅁䅅䅁䙁䱁敧敨剴䔲䅖䍄䉁䅁䅁䅂䅁䅁䅍䅚䅁䅁䅯睉䅅䅁䅯允䅁䅁䅯兰䅁䅁䅅䅁䉁䅁䅁兂晁䥨㡂剃橘睐杷允䅁䅁䅕䅁䑁䝁䅑䅁䭁䙁䅯䅁䭁䕁䅙䅁䭁䝁䅣䅁䭁䍁䅑䅁䉁䅁䅁允䅁䅁䅕䅁䅁䅁䅁䅁䵁䅉䅅䅁䙁䅁䅁睁歂䅁䅁权獄䅁䅁权䕁䅁䅁兂䅁䅁䅁䙯洯䅑䅯䅊䅁䅁䅅䅁䉁䅁䅁兂硂児塲㕯䡂䅑杷允䅁䅁䅕䅁䑁䝁䅑䅁䭁䵁䅣䅁䭁䅁䅑䅁䙁䅁䅁䅁权⭘䅚权歁䅁䅁允䅁䅁䅅䅁䙁䑁䬰㘱睎圱䅖䍄䉁䅁䅁兂䅁䅁䅍䅚䅁䅁䅯䅸䅁䅁䅯允䅁䅁䅕䅁䅁䭁時欵䭁䍁䅑䅁䉁䅁䅁允䅁䅁䅕積積㝍湍歄䵅䅉䅅䅁䙁䅁䅁睁歂䅁䅁权䩄䅁䅁权䕁䅁䅁兂䅁䅁䅁䙯洯䅑䅯䅊䅁䅁䅅䅁䉁䅁䅁兂㝂䭆䠵唴奰䅑杷允䅁䅁䅕䅁䑁䝁䅑䅁䭁乁䅳䅁䭁䅁䅑䅁䙁䅁䅁䅁权⭘䅚权歁䅁䅁允䅁䅁䅅䅁䙁偁潙䥘䌯堷䄱䍄䉁䅁䅁䅂䅁䅁䅍䅚䅁䅁䅯兂䅁䅁䅯允䅁䅁䅯兰䅁䅁䅅䅁䉁䅁䅁兂㉃䥔橢啥歚䅑杷允䅁䅁䅕䅁䑁䝁䅑䅁䭁乁䅉䅁䭁䅁䅑䅁䙁䅁䅁䅁杁⭓䅚权歁䅁䅁允䅁䅁䅅䅁䙁䥁牘払敧噸䅨䍄䉁䅁䅁兂䅁䅁䅍䅚䅁䅁䅯杓䅁䅁䅯䅂䅁䅁䅯光䅅䅁䅯䅊䅁䅁䅅䅁䉁䅁䅁兂偃癷潕䩘癤䅑杷允䅁䅁䅕䅁䑁䝁䅑䅁䭁䅁䅁䅁䭁䅁䅑䅁䭁䭁䅕䅁䭁䍁䅑䅁䉁䅁䅁允䅁䅁䅕積積積穐ぐ䵁䅉䅅䅁䙁䅁䅁睁歂䅁䅁权捃䅁䅁权䕁䅁䅁兂䅁䅁䅁䙯洯䅑䅯䅊䅁䅁䅅䅁䉁䅁䅁兂䱁楒ㅖ桷嘯䅑杷允䅁䅁䅕䅁䑁䝁䅑䅁䭁䕁䅧䅁䭁䅁䅑䅁䭁䍁䉉䅁䭁䍁䅑䅁䉁䅁䅁允䅁䅁䅕硥畓⭒㑅䕧䵁䅉䅅䅁䙁䅁䅁睁歂䅁䅁权䥂䅁䅁权䕁䅁䅁权敂䅁䅁权歁䅁䅁允䅁䅁䅅䅁䙁佁剸䉵䘶㌷䅸䍄䉁䅁䅁兂䅁䅁䅍䅚䅁䅁䅯朱䅁䅁䅯允䅁䅁䅕䅁䅁䭁時欵䭁䍁䅑䅁䉁䅁䅁允䅁䅁䅕樲乮流噌䕂䵅䅉䅅䅁䙁䅁䅁睁歂䅁䅁权啂䅁䅁权䕁䅁䅁权桁允䅁权歁䅁䅁允䅁䅁䅅䅁䙁䩁卵⭇慰䱣䅤䍄䉁䅁䅁兂䅁䅁䅍䅚䅁䅁䅯兖䅁䅁䅯䅂䅁䅁䅯睈䅅䅁䅯䅊䅁䅁䅅䅁䉁䅁䅁兂㥂䡉慪⼸歲䅑杷允䅁䅁䅑䅁䑁䝁䅑䅁䭁䉁䄰䅁䭁䅁䅑䅁䙁䅁䅁䅁权⭘䅚允䅁䅁䅅䅁䙁䕁㍷啩杆呰䅆䍄䉁䅁䅁兂䅁䅁䅍䅚䅁䅁䅯杢䅁䅁䅯䅂䅁䅁䅯兰䅁䅁䅯䅊䅁䅁䅅䅁䉁䅁䅁权湁䅁䅁䍄䉁䅁䅁兂䅁䅁䅍䅚䅁䅁䅯朰䅁䅁䅯䅂䅁䅁䅕䅁䅁䥁時欵䭁䍁䅑䅁䉁䅁䅁允䅁䅁䅕䅁䅁䅁兄䕖䵁䅉䅅䅁䕁䅁䅁睁歂䅁䅁权乁䅁䅁权牁䅁䅁权汃䅁䅁允䅁䅁䅅䅁䙁佁灕⭱㙬䘵䅂䍄䉁䅁䅁䅂䅁䅁䅍䅚䅁䅁䅯杅䅁䅁䅯䅂䅁䅁䅯杖䅁䅁䅅䅁䉁䅁䅁兂畃⭒㙆䕆䐵䅑杷允䅁䅁䅕䅁䑁䝁䅑䅁䭁䕁䅧䅁䭁䅁䅑䅁䭁䙁䅙䅁䭁䍁䅑䅁䉁䅁䅁允䅁䅁䅕䉵䘶ㄶ奇啥䵁䅉䅅䅁䕁䅁䅁睁歂䅁䅁权乁䅁䅁权䕁䅁䅁权坂䅁䅁允䅁䅁䅅䅁䙁䭁䠵場啯橌䄹䍄䉁䅁䅁兂䅁䅁䅍䅚䅁䅁䅯兄䅁䅁䅯䅂䅁䅁䅯杉䅅䅁䅯䅊䅁䅁䅅䅁䉁䅁䅁兂浂浚浚楚䕚䅑杷允䅁䅁䅑䅁䑁䝁䅑䅁䭁䙁䅷䅁䭁䍁䅳䅁䙁䅁䅁䅁䅃⭘䅚允䅁䅁䅅䅁䙁䝁扅圸㍑⭍⽳䍄䉁䅁䅁䅂䅁䅁䅍䅚䅁䅁䅯杗䅁䅁䅯䅂䅁䅁䅯兡䅁䅁䅅䅁䉁䅁䅁兂坁㠫當坹㑍䅑杷允䅁䅁䅑䅁䑁䝁䅑䅁䭁䙁䅷䅁䭁䅁䅑䅁䙁䅁䅁䅁权⭘䅚允䅁䅁䅅䅁䙁䥁牘払敧呂䄵䍄䉁䅁䅁兂䅁䅁䅍䅚䅁䅁䅯䅹䅁䅁䅯䅂䅁䅁䅕䅁䅁䭁時欵䭁䍁䅑䅁䉁䅁䅁允䅁䅁䅕㘱睎児湲歡䵁䅉䅅䅁䕁䅁䅁睁歂䅁䅁权䭂䅁䅁权牁䅁䅁权坂䅁䅁允䅁䅁䅅䅁䙁偁㡭焴䡬䙈䅆䍄䉁䅁䅁兂䅁䅁䅍䅚䅁䅁䅯䅺䅁䅁䅯允䅁䅁䅕䅁䅁䭁時欵䭁䍁䅑䅁䉁䅁䅁允䅁䅁䅕牁䙷瑰礴歏䵅䅉䅅䅁䙁䅁䅁睁歂䅁䅁权噂䅁䅁权䕁䅁䅁权楁允䅁权歁䅁䅁允䅁䅁䅅䅁䙁䉁が䙸䍄⭯䅒䍄䉁䅁䅁䅂䅁䅁䅍䅚䅁䅁䅯䅇䅁䅁䅯䅂䅁䅁䅕䅁䅁䭁時欵䉁䅁䅁允䅁䅁䅕敎㐸啒煣䕔䵁䅉䅅䅁䕁䅁䅁睁歂䅁䅁权䥂䅁䅁权䉁䅁䅁兂䅁䅁䅁䙯洯䅑䅅䅁䉁䅁䅁兂䩄牤昶潅啯兑杷允䅁䅁䅕䅁䑁䝁䅑䅁䭁䙁䅑䅁䭁䅁䅑䅁䭁䡁䅕䅁䭁䍁䅑䅁䉁䅁䅁允䅁䅁䅕桧㝘匫煴歴䵁䅉䅅䅁䙁䅁䅁睁歂䅁䅁权瑄䅁䅁权䕁䅁䅁兂䅁䅁䅁䙯洯䅑䅯䅊䅁䅁䅅䅁䉁䅁䅁兂卂䉵䘶㤶剆䅑杷允䅁䅁䅕䅁䑁䝁䅣䅁䭁䅁䅍䅁䭁䅁䄸䅁䭁䉁䅁䅁䙁䅁䅁䅁权⭘䅚允䅁䅁䅅䅁䙁䭁⽢㤹㥏䭵⽕䍄䉁䅁䅁䅂䅁䅁䅍䅚䅁䅁䅯睇䅁䅁䅯䅂䅁䅁䅯兰䅁䅁䅅䅁䉁䅁䅁兂啁歲桦汥硑䅑杷允䅁䅁䅙䅁䑁䝁䅣䅁䭁䕁䅯䅁䭁䍁䅫䅁䭁䭁䅕䅁䙁䅁䅁䅁权⭘䅚权歁䅁䅁允䅁䅁䅅䅁䙁䙁⼱祋ㅄ㉆䄱䍄䉁䅁䅁䅂䅁䅁䅍䅚䅁䅁䅯杅䅁䅁䅯睃䅁䅁䅕䅁䅁䭁時欵䉁䅁䅁允䅁䅁䅕児塲㍯䩃づ䵁䅉䅅䅁䙁䅁䅁睁歂䅁䅁权乁䅁䅁权䕁䅁䅁权晁允䅁权歁䅁䅁允䅁䅁䅅䅁䙁䱁敧敨剴䕇䅖䍄䉁䅁䅁兂䅁䅁䅍䅚䅁䅁䅯朱䅁䅁䅯䅂䅁䅁䅕䅁䅁䵁敂欵䭁䍁䅑䅁䉁䅁䅁允䅁䅁䅕体㙆䭆渶歙䵁䅉䅅䅁䙁䅁䅁睁歂䅁䅁权乁䅁䅁权䕁䅁䅁权桁允䅁权歁䅁䅁允䅁䅁䅅䅁䙁䥁䌯匹捨ぺ䅒䍄䉁䅁䅁兂䅁䅁䅍䅚䅁䅁䅯兵䅁䅁䅯䅂䅁䅁䅕䅁䅁䭁時欵䭁䍁䅑䅁䉁䅁䅁允䅁䅁䅕浚浚浚浢䕘䵁䅉䅅䅁䙁䅁䅁睁歂䅁䅁权䩄䅁䅁权䉁䅁䅁兂䅁䅁䅁䙯洯䅑䅯䅊䅁䅁䅅䅁䉁䅁䅁兂杂硏硧桔睦䅑杷允䅁䅁䅑䅁䑁䝁䅑䅁䭁䙁䅷䅁䭁䅁䅅䅁䙁䅁䅁䅁权⭘䅚允䅁䅁䅅䅁䙁䭁摊婨晓䑂䅴䍄䉁䅁䅁兂䅁䅁䅍䅚䅁䅁䅯兖䅁䅁䅯䅂䅁䅁䅯杖䅁䅁䅯䅊䅁䅁䅅䅁䉁䅁䅁兂䅂䈴欸坍楦䅑杷允䅁䅁䅑䅁䑁䝁䅑䅁䭁䡁䅁䅁䭁䅁䅑䅁䭁䭁䅕䅁䉁䅁䅁允䅁䅁䅕噋偹癷䥗歑䵁䅉䅅䅁䝁䅁䅁睁湂䅁䅁权䭁䅁䅁权灁䅁䅁权汃䅁䅁兂䅁䅁䅁䙯洯䅑䅯䅊䅁䅁䅅䅁䉁䅁䅁兂慃丯穔搸桯䅑杷允䅁䅁䅕䅁䑁䝁䅑䅁䭁䙁䅑䅁䭁䅁䅑䅁䭁䡁䅫䅁䭁䍁䅑䅁䉁䅁䅁允䅁䅁䅕㍨歹坅杷啴䵁䅉䅅䅁䕁䅁䅁睁歂䅁䅁权灄䅁䅁权䕁䅁䅁权汃䅁䅁允䅁䅁䅅䅁䙁䕁桪桥畓ㅂ䅬䍄䉁䅁䅁兂䅁䅁䅍䅚䅁䅁䅯杷䅁䅁䅯䅂䅁䅁䅕䅁䅁䥁時欵䭁䍁䅑䅁䉁䅁䅁允䅁䅁䅕敨剴䉵嘵歡䵁䅉䅅䅁䕁䅁䅁睁歂䅁䅁权橁允䅁权偁䅁䅁兂䅁䅁䅁䙯洯䅑䅅䅁䉁䅁䅁兂㕁⽊兢汐兡睐杷允䅁䅁䅑䅁䑁䝁䅑䅁䭁䙁䅯䅁䭁䅁䅑䅁䭁䝁䅉䅁䉁䅁䅁允䅁䅁䅕楁䡵瑆佭ぎ䵁䅉䅅䅁䙁䅁䅁睁歂䅁䅁权慂䅁䅁权䕁䅁䅁权汃䅁䅁权歁䅁䅁允䅁䅁䅅䅁䙁䭁䠵場啯橢䅸䍄䉁䅁䅁䅂䅁䅁䅍䅚䅁䅁䅯权䅁䅁䅯睋䅁䅁䅕䅁䅁䥁時欵䉁䅁䅁允䅁䅁䅕䉔㍢㕈煫䕎䵁䅉䅅䅁䙁䅁䅁睁歂䅁䅁权䭂䅁䅁权䕁䅁䅁权晁允䅁权歁䅁䅁允䅁䅁䅅䅁䙁䝁浚浚浚湣䅂䍄䉁䅁䅁兂䅁䅁䅍䅚䅁䅁䅯䅖䅁䅁䅯䅂䅁䅁䅯兢䅁䅁䅯䅊䅁䅁䅅䅁䉁䅁䅁兂䭄捹奙睭㉋䅑杷允䅁䅁䅑䅁䑁䝁䅑䅁䭁䉁䄰䅁䭁䍁䅳䅁䙁䅁䅁䅁䅃⭘䅚允䅁䅁䅅䅁䙁䙁㑋潈牘兕䅸䍄䉁䅁䅁䅂䅁䅁䅍䅚䅁䅁䅯䅓䅁䅁䅯克䅁䅁䅕䅁䅁䭁時欵䉁䅁䅁允䅁䅁䅕䘷㑇潈䑗䕧䵁䅉䅅䅁䕁䅁䅁睁歂䅁䅁权䭂䅁䅁权偁䅁䅁兂䅁䅁䅁䙯洯䅑䅅䅁䉁䅁䅁兂㙂佸㕩敨湙䅑杷允䅁䅁䅕䅁䑁䝁䅑䅁䭁䙁䅯䅁䭁䅁䅑䅁䭁䙁䄸䅁䭁䍁䅑䅁䉁䅁䅁允䅁䅁䅕㝸㑱兪条䕏䵁䅉䅅䅁䙁䅁䅁睁歂䅁䅁权慂䅁䅁权䕁䅁䅁权求䅁䅁权歁䅁䅁允䅁䅁䅅䅁䙁䕁煶䑂剑橸䅚䍄䉁䅁䅁兂䅁䅁䅍䅚䅁䅁䅯眷䅁䅁䅯䅂䅁䅁䅕䅁䅁䥁時欵䭁䍁䅑䅁䉁䅁䅁允䅁䅁䅕噋偹癷潖䕏䵁䅉䅅䅁䙁䅁䅁睁歂䅁䅁权䥂䅁䅁权䕁䅁䅁权汃䅁䅁权歁䅁䅁允䅁䅁䅅䅁䙁䕁桪桥畓㌸䄹䍄䉁䅁䅁䅂䅁䅁䅍䅚䅁䅁䅯䅈䅁䅁䅯䅂䅁䅁䅯睰䅁䅁䅅䅁䉁䅁䅁兂偃癷潕乘朹䅑杷允䅁䅁䅕䅁䑁䝁䅑䅁䭁䕁䅯䅁䭁䅁䅑䅁䭁䍁䉉䅁䭁䍁䅑䅁䉁䅁䅁允䅁䅁䅕䅁䅁䅁㑄啢䵁䅉䅅䅁䙁䅁䅁睁歂䅁䅁权䅁䅁䅁权䕁䅁䅁权晁允䅁权歁䅁䅁允䅁䅁䅅䅁䙁䍁捬㡪ㅌ䑡䄹䍄䉁䅁䅁䅂䅁䅁䅍䅚䅁䅁䅯儶䅁䅁䅯睋䅁䅁䅯兰䅁䅁䅅䅁䉁䅁䅁兂浂浚浚歚塚䅑杷允䅁䅁䅕䅁䑁䝁䅑䅁䭁䅁䅁䅁䭁䅁䅑䅁䭁䍁䉅䅁䭁䍁䅑䅁䉁䅁䅁允䅁䅁䅕浚浚浚浚ぐ䵁䅉䅅䅁䙁䅁䅁睁歂䅁䅁权啂䅁䅁权䕁䅁䅁兂䅁䅁䅁䉉洳䅑䅯䅊䅁䅁䅅䅁䉁䅁䅁兂桄䔯啎䬱祇䅑杷允䅁䅁䅕䅁䑁䝁䅑䅁䭁䙁䅯䅁䭁䅁䅑䅁䭁䡁䅣䅁䭁䍁䅑䅁䉁䅁䅁允䅁䅁䅕䥕堲桢呉問䵁䅉䅅䅁䙁䅁䅁睁歂䅁䅁权䵄䅁䅁权䕁䅁䅁兂䅁䅁䅁䙯洯䅑䅯䅊䅁䅁䅅䅁䉁䅁䅁兂灁䥘䌯嘹䙡䅑杷允䅁䅁䅙䅁䑁䝁䅣䅁䭁䅁䅕䅁䭁䍁䅫䅁䭁䙁䅙䅁䙁䅁䅁䅁权⭘䅚权歁䅁䅁允䅁䅁䅅䅁䙁䑁焯瑏敷䕨䅂䍄䉁䅁䅁兂䅁䅁䅍䅚䅁䅁䅯䅁䅁䅁䅯䅂䅁䅁䅯杉䅅䅁䅯䅊䅁䅁䅅䅁䉁䅁䅁兂浂浚浚畚⭙䅑杷允䅁䅁䅑䅁䑁䝁䅑䅁䭁䅁䄴䅁䭁䅁䅑䅁䙁䅁䅁䅁权⭘䅚允䅁䅁䅅䅁䙁䍁捬㡪ㅌ䕱䄱䍄䉁䅁䅁兂䅁䅁䅍䅚䅁䅁䅯兖䅁䅁䅯䅂䅁䅁䅯睘䅁䅁䅯䅊䅁䅁䅅䅁䉁䅁䅁兂獄乬の䬸橶䅑杷允䅁䅁䅕䅁䑁䝁䅑䅁䭁䕁䅯䅁䭁䅁䅑䅁䭁䭁䅕䅁䭁䍁䅑䅁䉁䅁䅁允䅁䅁䅕児塲㍯䙂止䵁䅉䅅䅁䙁䅁䅁睁歂䅁䅁权噄䅁䅁权䕁䅁䅁兂䅁䅁䅁䙷洷䅑䅯䅊䅁䅁䅅䅁䉁䅁䅁兂啁歲桦癥祂䅑杷允䅁䅁䅙䅁䑁䝁䅣䅁䭁䉁䅉䅁䭁䍁䅫䅁䭁䭁䅕䅁䙁䅁䅁䅁权⭘䅚权歁䅁䅁允䅁䅁䅅䅁䙁䭁倹具㉊啂䅚䍄䉁䅁䅁䅂䅁䅁䅍䅚䅁䅁䅯杓䅁䅁䅯允䅁䅁䅕䅁䅁䭁時欵䉁䅁䅁允䅁䅁䅕稷慦噣乲〱䵁䅉䅅䅁䕁䅁䅁睁歂䅁䅁权慂䅁䅁权䕁䅁䅁权橂䅁䅁允䅁䅁䅅䅁䙁䕁呁捙呐稫䅤䍄䉁䅁䅁兂䅁䅁䅍䅚䅁䅁䅯䅹䅁䅁䅯䅂䅁䅁䅕䅁䅁䵁敂欵䭁䍁䅑䅁䉁䅁䅁允䅁䅁䅕呣䬰㘱䅐啚䵁䅉䅅䅁䕁䅁䅁睁歂䅁䅁权慂䅁䅁权䕁䅁䅁权杂䅁䅁允䅁䅁䅅䅁䙁䝁买㐸吵䑒䅬䍄䉁䅁䅁兂䅁䅁䅍䅚䅁䅁䅯䅁䅁䅁䅯䅂䅁䅁䅯䅉䅅䅁䅯䅊䅁䅁䅅䅁䉁䅁䅁兂灁䥘䌯改⭧䅑杷允䅁䅁䅕䅁䑁䝁䅑䅁䭁䝁䄴䅁䭁䅁䅑䅁䭁䙁䅙䅁䭁䍁䅑䅁䉁䅁䅁允䅁䅁䅯睊䅁䅁杷允䅁䅁䅑䅁䑁䝁䅑䅁䭁䡁䅁䅁䭁䍁䅳䅁䭁䙁䅙䅁䉁䅁䅁允䅁䅁䅕浚浚浚浚啍䵁䅉䅅䅁䙁䅁䅁睁歂䅁䅁权啂䅁䅁权䕁䅁䅁权坂䅁䅁权歁䅁䅁允䅁䅁䅅䅁䙁佁㡈ㅑ啔扯䅊䍄䉁䅁䅁兂䅁䅁䅍䅚䅁䅁䅯睸䅁䅁䅯䅂䅁䅁䅕䅁䅁䍁䱂欵䭁䍁䅑䅁䉁䅁䅁允䅁䅁䅕灭婭婭灭ず䵁䅉䅅䅁䙁䅁䅁睁歂䅁䅁权啂䅁䅁权䕁䅁䅁兂䅁䅁䅁䙧洯䅑䅯䅊䅁䅁䅅䅁䉁䅁䅁兂敁瑓穆婑㌲䅑杷允䅁䅁䅑䅁䑁䝁䅑䅁䭁䉁䅍䅁䭁䅁䅑䅁䭁䭁䅕䅁䉁䅁䅁允䅁䅁䅕䅁䅁䅁䅄か䵁䅉䅅䅁䕁䅁䅁睁歂䅁䅁权坁䅁䅁权䕁䅁䅁兂䅁䅁䅁䙧洯䅑䅅䅁䉁䅁䅁兂流睕橗歫䙰䅑杷允䅁䅁䅕䅁䑁䝁䅑䅁䭁䙁䅕䅁䭁䅁䅑䅁䭁䭁䅕䅁䭁䍁䅑䅁䉁䅁䅁允䅁䅁䅕䔰歺䅊䝦䔵䵁䅉䅅䅁䕁䅁䅁睁歂䅁䅁权䙁䅁䅁权䕁䅁䅁兂䅁䅁䅁䙧洯䅑䅅䅁䉁䅁䅁兂歃䑣䬰㘱䍎䅑杷允䅁䅁䅕䅁䑁䝁䅑䅁䭁䅁䄰䅁䭁䅁䅑䅁䭁䙁䅙䅁䭁䍁䅑䅁䉁䅁䅁允䅁䅁䅕歲桦桥畑ぐ䵁䅉䅅䅁䕁䅁䅁睁歂䅁䅁权捂䅁䅁权牁䅁䅁权坂䅁䅁允䅁䅁䅅䅁䙁䅁䅁䅁䅁䅁䅁䍄䉁䅁䅁䅂䅁䅁䅍䅚䅁䅁䅯儶䅁䅁䅯䅂䅁䅁䅯杖䅁䅁䅅䅁䉁䅁䅁兂噄佥浫啍啨䅑杷允䅁䅁䅕䅁䑁䝁䅑䅁䭁䅁䄰䅁䭁䅁䅑䅁䭁䭁䅕䅁䭁䍁䅑䅁䉁䅁䅁允䅁䅁䅕牕敧敨剴け䵁䅉䅅䅁䙁䅁䅁睁歂䅁䅁权噄䅁䅁权䕁䅁䅁兂䅁䅁䅁䕉浶䅑䅯䅊䅁䅁䅅䅁䉁䅁䅁兂䙃ㄶ㑇潈洱䅑杷允䅁䅁䅕䅁䑁䝁䅑䅁䭁䕁䅯䅁䭁䅁䅑䅁䭁䙁䅙䅁䭁䍁䅑䅁䉁䅁䅁允䅁䅁䅕䡰㥁瑃扦啚䵁䅉䅅䅁䕁䅁䅁睁歂䅁䅁权佁䅁䅁权牁䅁䅁兂䅁䅁䅁䙯洯䅑䅅䅁䉁䅁䅁兂敂婨晓䝖湳䅑杷允䅁䅁䅑䅁䑁䝁䅑䅁䭁䕁䅧䅁䭁䍁䅳䅁䙁䅁䅁䅁䅃⭘䅚允䅁䅁䅅䅁䙁䅁䅁䅁䅁䤷䅎䍄䉁䅁䅁兂䅁䅁䅍䅚䅁䅁䅯杸䅁䅁䅯䅂䅁䅁䅕䅁䅁䥁時欵䭁䍁䅑䅁䉁䅁䅁允䅁䅁䅕牕敧敨婴啚䵁䅉䅅䅁䕁䅁䅁睁歂䅁䅁权䥂䅁䅁权牁䅁䅁兂䅁䅁䅁䙯洯䅑䅅䅁䉁䅁䅁兂乄䵺䵺偺䑓䅑杷允䅁䅁䅑䅁䑁䝁䅑䅁䭁䙁䅷䅁䭁䍁䅫䅁䙁䅁䅁䅁权⭘䅚允䅁䅁䅅䅁䙁佁㙆䭆䠵呉䄵䍄䉁䅁䅁兂䅁䅁䅍䅚䅁䅁䅯兺䅁䅁䅯䅂䅁䅁䅕䅁䅁䍁䱂欵䭁䍁䅑䅁䉁䅁䅁允䅁䅁䅕敨剴䉵丵す䵁䅉䅅䅁䙁䅁䅁睁湂䅁䅁权扁䅁䅁权偁䅁䅁权允䅁䅁兂䅁䅁䅁䙯洯䅑䅅䅁䉁䅁䅁兂㍁卵㡰倹畃睐杷允䅁䅁䅑䅁䑁䝁䅑䅁䭁䉁䅧䅁䭁䍁䅳䅁䭁䭁䅕䅁䉁䅁䅁允䅁䅁䅕㍃癰䅄䅅䐹䴸䅉䅅䅁䝁䅁䅁睁湂䅁䅁权奁䅁䅁权灁䅁䅁权汃䅁䅁兂䅁䅁䅁䙯洯䅑䅯䅊䅁䅁䅅䅁䉁䅁䅁兂硂兹のす䭬䅑杷允䅁䅁䅑䅁䑁䝁䅑䅁䭁䅁䅁䅁䭁䅁䅑䅁䭁䭁䅕䅁䉁䅁䅁允䅁䅁䅕積積積穐ぐ䵁䅉䅅䅁䙁䅁䅁睁歂䅁䅁权慂䅁䅁权䕁䅁䅁兂䅁䅁䅁䙷洷䅑䅯䅊䅁䅁䅅䅁䉁䅁䅁兂卂䉵䘶ㄶ⭅䅑杷允䅁䅁䅑䅁䑁䝁䅑䅁䭁䅁䄰䅁䭁䍁䅳䅁䙁䅁䅁䅁权⭘䅚允䅁䅁䅅䅁䙁䅁䜶煏睸噘䅒䍄䉁䅁䅁䅂䅁䅁䅍䅚䅁䅁䅯杓䅁䅁䅯克䅁䅁䅕䅁䅁䭁時欵䉁䅁䅁允䅁䅁䅕児塲㍯桁䕣䵁䅉䅅䅁䝁䅁䅁睁湂䅁䅁权䡁䅁䅁权灁䅁䅁权坂䅁䅁兂䅁䅁䅁䙯洯䅑䅯䅊䅁䅁䅅䅁䉁䅁䅁兂䥃刴穋支⭫䅑杷允䅁䅁䅑䅁䑁䝁䅑䅁䭁䉁䅷䅁䭁䅁䅳䅁䙁䅁䅁䅁权⭘䅚允䅁䅁䅅䅁䙁䩁婱婭婭㙲䄵䍄䉁䅁䅁䅂䅁䅁䅍䅚䅁䅁䅯杄䅁䅁䅯允䅁䅁䅯兰䅁䅁䅅䅁䉁䅁䅁兂噃䡋䱴儫䥱䅑杷允䅁䅁䅕䅁䑁䝁䅑䅁䭁䙁䅯䅁䭁䕁䅙䅁䭁䙁䅳䅁䭁䍁䅑䅁䉁䅁䅁允䅁䅁䅕䅁䅁䅁䅁䅁䵁䅉䅅䅁䝁䅁䅁睁湂䅁䅁权䵁䅁䅁权灁䅁䅁权坂䅁䅁兂䅁䅁䅁䙯洯䅑䅯䅊䅁䅁䅅䅁䉁䅁䅁兂楄䕺潗牱に䅑杷允䅁䅁䅕䅁䑁䝁䅑䅁䭁乁䅧䅁䭁䅁䅅䅁䙁䅁䅁䅁权⭘䅚权歁䅁䅁允䅁䅁䅅䅁䙁䕁䰴潘奔欷䉰䍄䉁䅁䅁䅂䅁䅁䅍䅚䅁䅁䅯杓䅁䅁䅯睋䅁䅁䅕䅁䅁䥁時欵䉁䅁䅁允䅁䅁䅕偌噁堳晱ざ䵁䅉䅅䅁䙁䅁䅁睁歂䅁䅁权㉃䅁䅁权䕁䅁䅁兂䅁䅁䅁䙯洯䅑䅯䅊䅁䅁䅅䅁䉁䅁䅁兂浂浚浚桚癚䅑杷允䅁䅁䅙䅁䑁䝁䅣䅁䭁䉁䅧䅁䭁䍁䅫䅁䭁䙁䅙䅁䙁䅁䅁䅁权⭘䅚权歁䅁䅁允䅁䅁䅅䅁䙁䅁䥆數䱩啧䅨䍄䉁䅁䅁䅂䅁䅁䅍䅚䅁䅁䅯睂䅁䅁䅯䅂䅁䅁䅕䅁䅁䥁時欵䉁䅁䅁允䅁䅁䅕体㙆䭆䠴啑䵁䅉䅅䅁䕁䅁䅁睁歂䅁䅁权䭁䅁䅁权䕁䅁䅁权坂䅁䅁允䅁䅁䅅䅁䙁䵁䴳䵺䵺䍔䅬䍄䉁䅁䅁兂䅁䅁䅍䅚䅁䅁䅯儰䅁䅁䅯允䅁䅁䅕䅁䅁䭁時欵䭁䍁䅑䅁䉁䅁䅁允䅁䅁䅕䙂余呌手歵䵁䅉䅅䅁䕁䅁䅁睁歂䅁䅁权坁䅁䅁权牁䅁䅁权汃䅁䅁允䅁䅁䅅䅁䙁乁橥䑣䬰⬱⽳䍄䉁䅁䅁兂䅁䅁䅍䅚䅁䅁䅯睺䅁䅁䅯䅂䅁䅁䅕䅁䅁䥁時欵䭁䍁䅑䅁䉁䅁䅁允䅁䅁䅕歲桦桥浔䕙䵁䅉䅅䅁䙁䅁䅁睁歂䅁䅁权䥂䅁䅁权䕁䅁䅁权⽂䅁䅁权歁䅁䅁允䅁䅁䅅䅁䙁佁剸䉵䘶㌵䄵䍄䉁䅁䅁兂䅁䅁䅍䅚䅁䅁䅯具䅁䅁䅯䅂䅁䅁䅕䅁䅁䍁䱂欵䭁䍁䅑䅁䉁䅁䅁允䅁䅁䅕䅁䅁䅁䅁䅁䵁䅉䅅䅁䕁䅁䅁睁歂䅁䅁权灄䅁䅁权牁䅁䅁兂䅁䅁䅁䙧洯䅑䅅䅁䉁䅁䅁兂䅁䅁䅁佁扂䅑杷允䅁䅁䅑䅁䑁䝁䅑䅁䭁䉁䅍䅁䭁䍁䅫䅁䙁䅁䅁䅁权⭘䅚允䅁䅁䅅䅁䙁䱁普卯兪祴䅸䍄䉁䅁䅁兂䅁䅁䅍䅚䅁䅁䅯睸䅁䅁䅯䅂䅁䅁䅕䅁䅁䥁時欵䭁䍁䅑䅁䉁䅁䅁允䅁䅁䅕浚浚浚㉢啚䵁䅉䅅䅁䕁䅁䅁睁歂䅁䅁权扁䅁䅁权䕁䅁䅁权坂䅁䅁允䅁䅁䅅䅁䙁佁兘瑉㕶楶䅸䍄䉁䅁䅁䅂䅁䅁䅍䅚䅁䅁䅯杓䅁䅁䅯䅂䅁䅁䅯兰䅁䅁䅅䅁䉁䅁䅁兂㥁瑃橥䕣畖䅑杷允䅁䅁䅕䅁䑁䝁䅑䅁䭁偁䅅䅁䭁䅁䅑䅁䙁䅁䅁䅁䅃⭘䅚权歁䅁䅁允䅁䅁䅅䅁䙁䅁塲㍯㥁洶䅨䍄䉁䅁䅁兂䅁䅁䅍䅚䅁䅁䅯兖䅁䅁䅯䅂䅁䅁䅯睤䅁䅁䅯䅊䅁䅁䅅䅁䉁䅁䅁兂㑁㕊祊㐶歮䅑杷允䅁䅁䅕䅁䑁䝁䅑䅁䭁䝁䅯䅁䭁䅁䅑䅁䭁䙁䅧䅁䭁䍁䅑䅁䉁䅁䅁允䅁䅁䅕椹捨㡪硌啦䵁䅉䅅䅁䕁䅁䅁睁歂䅁䅁权䭂䅁䅁权䕁䅁䅁兂䅁䅁䅁䙯洯䅑䅅䅁䉁䅁䅁兂歃䑣䬰眱眹䅑杷允䅁䅁䅑䅁䑁䝁䅑䅁䭁䅁䅍䅁䭁䍁䅳䅁䭁䙁䅙䅁䉁䅁䅁允䅁䅁䅕䡈ㅩ䨳婭啊䵁䅉䅅䅁䕁䅁䅁睁歂䅁䅁权䡁䅁䅁权䱁䅁䅁兂䅁䅁䅁䙯洯䅑䅅䅁䉁䅁䅁兂䅁䅁䅁䅁㡁䅑杷允䅁䅁䅑䅁䑁䝁䅑䅁䭁䡁䅁䅁䭁䅁䅑䅁䭁䙁䅙䅁䉁䅁䅁允䅁䅁䅕䅁䅁䅁䅂啑䵁䅉䅅䅁䕁䅁䅁睁歂䅁䅁权䅁䅁䅁权䕁䅁䅁兂䅁䅁䅁䙯洯䅑䅅䅁䉁䅁䅁兂灁䥘䌯改⭧䅑杷允䅁䅁䅕䅁䑁䝁䅑䅁䭁䵁䅅䅁䭁䅁䅑䅁䙁䅁䅁䅁䅃⭘䅚权歁䅁䅁允䅁䅁䅅䅁䙁䉁乏湱捅䠵䅊䍄䉁䅁䅁䅂䅁䅁䅍䅚䅁䅁䅯儶䅁䅁䅯睄䅁䅁䅕䅁䅁䭁時欵䉁䅁䅁允䅁䅁䅕䥪䵡㙒ぬ䕅䵁䅉䅅䅁䕁䅁䅁睁歂䅁䅁权乁䅁䅁权䕁䅁䅁权汃䅁䅁允䅁䅁䅅䅁䙁䙁㑋潈牘啕䅎䍄䉁䅁䅁䅂䅁䅁䅍䅚䅁䅁䅯䅁䅁䅁䅯允䅁䅁䅯兰䅁䅁䅅䅁䉁䅁䅁兂婁䙂余卲欲䅑杷允䅁䅁䅑䅁䑁䝁䅑䅁䭁䅁䅕䅁䭁䅁䅑䅁䙁䅁䅁䅁权⭘䅚允䅁䅁䅅䅁䙁䅁䅁䅁䅁䕑䅊䍄䉁䅁䅁䅂䅁䅁䅍䅚䅁䅁䅯䅣䅁䅁䅯䅂䅁䅁䅕䅁䅁䭁時欵䉁䅁䅁允䅁䅁䅕積積積穐歑䵁䅉䅅䅁䙁䅁䅁睁歂䅁䅁权啂䅁䅁权䕁䅁䅁权呂䅁䅁权歁䅁䅁允䅁䅁䅅䅁䙁䭁睫こ婨㜷䅖䍄䉁䅁䅁兂䅁䅁䅍䅚䅁䅁䅯兖䅁䅁䅯䅂䅁䅁䅯督䅁䅁䅯䅊䅁䅁䅅䅁䉁䅁䅁兂捃楒湃歙歶䅑杷允䅁䅁䅕䅁䑁䝁䅑䅁䭁䝁䅯䅁䭁䅁䅑䅁䭁䝁䅫䅁䭁䍁䅑䅁䉁䅁䅁允䅁䅁䅕敨剴䉵砵啦䵁䅉䅅䅁䕁䅁䅁睁歂䅁䅁权奁䅁䅁权牁䅁䅁兂䅁䅁䅁䙯洯䅑䅅䅁䉁䅁䅁兂汃睅浭灭㕮睐杷允䅁䅁䅕䅁䑁䝁䅑䅁䭁乁䅉䅁䭁䅁䅑䅁䙁䅁䅁䅁权⭘䅚权歁䅁䅁允䅁䅁䅅䅁䙁䍁捬㡪ㅌ䘲䅎䍄䉁䅁䅁䅂䅁䅁䅍䅚䅁䅁䅯兂䅁䅁䅯克䅁䅁䅕䅁䅁䭁時欵䉁䅁䅁允䅁䅁䅕䅁䅁䅁杂歑䵁䅉䅅䅁䕁䅁䅁睁歂䅁䅁权䑁䅁䅁权䕁䅁䅁权坂䅁䅁允䅁䅁䅅䅁䙁䭁睒児塲ぷ䅚䍄䉁䅁䅁䅂䅁䅁䅍䅚䅁䅁䅯睁䅁䅁䅯䅂䅁䅁䅕䅁䅁䭁時欵䉁䅁䅁允䅁䅁䅕場啯歲䉦歒䵁䅉䅅䅁䕁䅁䅁睁歂䅁䅁权灄䅁䅁权䉁䅁䅁权汃䅁䅁允䅁䅁䅅䅁䙁䡁呗䅇坓䵎䅊䍄䉁䅁䅁䅂䅁䅁䅍䅚䅁䅁䅯杅䅁䅁䅯䅂䅁䅁䅯兰䅁䅁䅅䅁䉁䅁䅁兂㥁瑃橥䩣䜱䅑杷允䅁䅁䅑䅁䑁䝁䅑䅁䭁䉁䅑䅁䭁䅁䅳䅁䙁䅁䅁䅁权⭘䅚允䅁䅁䅅䅁䙁佁剸䉵䘶㍨䅊䍄䉁䅁䅁兂䅁䅁䅍睚䅁䅁䅯䅓䅁䅁䅯睄䅁䅁䅯䅅䅁䅁䅕䅁䅁䭁時欵䉁䅁䅁允䅁䅁䅕欫積㙔〷䕓䵁䅉䅅䅁䕁䅁䅁睁歂䅁䅁权十䅁䅁权䕁䅁䅁兂䅁䅁䅁䙯洯䅑䅅䅁䉁䅁䅁兂䅁䅁䅁䅁䡂䅑杷允䅁䅁䅑䅁䑁䝁䅑䅁䭁䅁䅷䅁䭁䅁䅑䅁䭁䙁䅙䅁䉁䅁䅁允䅁䅁䅕呣䬰㘱睏䕎䵁䅉䅅䅁䕁䅁䅁睁歂䅁䅁权十䅁䅁权牁䅁䅁权汃䅁䅁允䅁䅁䅅䅁䙁䅁䅁䅁䅁䍁䅊䍄䉁䅁䅁䅂䅁䅁䅍䅚䅁䅁䅯睇䅁䅁䅯允䅁䅁䅯兰䅁䅁䅅䅁䉁䅁䅁兂佃㡫㡋㝰䍃䅑杷允䅁䅁䅕䅁䑁䝁䅑䅁䭁䵁䅑䅁䭁䅁䅑䅁䙁䅁䅁䅁䅄畘䅚权歁䅁䅁允䅁䅁䅅䅁䙁䙁偹癷潕䡋䅆䍄䉁䅁䅁兂䅁䅁䅍䅚䅁䅁䅯䄳䅁䅁䅯䅂䅁䅁䅕䅁䅁䵁敂欵䭁䍁䅑䅁䉁䅁䅁允䅁䅁䅕䥘䌯匹䥩と䵁䅉䅅䅁䙁䅁䅁睁歂䅁䅁权呄䅁䅁权䉁䅁䅁兂䅁䅁䅁䙯洯䅑䅯䅊䅁䅁䅅䅁䉁䅁䅁兂塂砷半䉑㥢䅑杷允䅁䅁䅕䅁䑁䝁䅑䅁䭁乁䅑䅁䭁䅁䅑䅁䙁䅁䅁䅁䅄畘䅚权歁䅁䅁允䅁䅁䅅䅁䙁䅁塲㍯㥁浳䅰䍄䉁䅁䅁䅂䅁䅁䅍䅚䅁䅁䅯䅄䅁䅁䅯䅂䅁䅁䅯兰䅁䅁䅅䅁䉁䅁䅁兂䅁䅁䅁䅁㉁䅑杷允䅁䅁䅑䅁䑁䝁䅑䅁䭁䅁䅣䅁䭁䅁䄸䅁䙁䅁䅁䅁权⭘䅚允䅁䅁䅅䅁䙁䅁⽄䍬剰渹⽙䍄䉁䅁䅁䅂䅁䅁䅍䅚䅁䅁䅯杆䅁䅁䅯睄䅁䅁䅕䅁䅁䭁時欵䉁䅁䅁允䅁䅁䅕㘶䅰兌偙穧䴸䅉䅅䅁䙁䅁䅁睁歂䅁䅁权呄䅁䅁权䕁䅁䅁兂䅁䅁䅁䙷洷䅑䅯䅊䅁䅁䅅䅁䉁䅁䅁兂䅁䅁䅁䅁䅁䅁杷允䅁䅁䅑䅁䑁䝁䅑䅁䭁䉁䅙䅁䭁䍁䅳䅁䭁䙁䅙䅁䉁䅁䅁允䅁䅁䅕䉵䘶ㄶ㑇樷䴸䅉䅅䅁䕁䅁䅁睁歂䅁䅁权奁䅁䅁权偁䅁䅁兂䅁䅁䅁䙯洯䅑䅅䅁䉁䅁䅁兂啁汐䡳㍂穴睐杷允䅁䅁䅑䅁䑁䝁䅑䅁䭁䉁䄰䅁䭁䍁䅳䅁䭁䙁䅙䅁䉁䅁䅁允䅁䅁䅕䘷㑇潈牘启䴸䅉䅅䅁䙁䅁䅁睁歂䅁䅁权卄䅁䅁权䕁䅁䅁兂䅁䅁䅁䙷洷䅑䅯䅊䅁䅁䅅䅁䉁䅁䅁兂灁䥘䌯娹器䅑杷允䅁䅁䅑䅁䑁䝁䅑䅁䭁䅁䅯䅁䭁䅁䄸䅁䙁䅁䅁䅁权⭘䅚允䅁䅁䅅䅁䙁䡁塶䍯㤫戯⽅䍄䉁䅁䅁䅂䅁䅁䅍䅚䅁䅁䅯䅄䅁䅁䅯䅂䅁䅁䅕䅁䅁䭁時欵䉁䅁䅁允䅁䅁䅕噋偹癷潗歎䵁䅉䅅䅁䕁䅁䅁睁歂䅁䅁权䩁䅁䅁权䕁䅁䅁权坂䅁䅁允䅁䅁䅅䅁䙁䉁奂扏䥔歮䅒䍄䉁䅁䅁杂䅁䅁䅍睚䅁䅁䅯䅘䅁䅁䅯克䅁䅁䅯杖䅁䅁䅕䅁䅁䭁時欵䭁䍁䅑䅁䉁䅁䅁允䅁䅁䅕橖䱱匶浺歏䵁䅉䅅䅁䕁䅁䅁睁歂䅁䅁权坁䅁䅁权䉁䅁䅁权汃䅁䅁允䅁䅁䅅䅁䙁䕁瑌㍴楡䔹䅂䍄䉁䅁䅁兂䅁䅁䅍䅚䅁䅁䅯杸䅁䅁䅯䅂䅁䅁䅕䅁䅁䵁敂欵䭁䍁䅑䅁䉁䅁䅁允䅁䅁䅕児塲㍯ㅂ歚䵁䅉䅅䅁䕁䅁䅁睁歂䅁䅁权睂䅁䅁权牁䅁䅁兂䅁䅁䅁䙯洯䅑䅅䅁䉁䅁䅁兂浂浚浚畚㕙䅑杷允䅁䅁䅕䅁䑁䝁䅑䅁䭁䱁䅕䅁䭁䅁䅑䅁䙁䅁䅁䅁䅄畘䅚权歁䅁䅁允䅁䅁䅅䅁䙁䉁䘫ㄶ㑇湄䅰䍄䉁䅁䅁䅂䅁䅁䅍䅚䅁䅁䅯元䅁䅁䅯䅂䅁䅁䅕䅁䅁䭁時欵䉁䅁䅁允䅁䅁䅕物桄娶䍘啓䵁䅉䅅䅁䝁䅁䅁睁湂䅁䅁权坁䅁䅁权灁䅁䅁权坂䅁䅁兂䅁䅁䅁䙯洯䅑䅯䅊䅁䅁䅅䅁䉁䅁䅁兂敂坂焳䙌䑎䅑杷允䅁䅁䅕䅁䑁䝁䅑䅁䭁䙁䅯䅁䭁䅁䅑䅁䭁䡁䅍䅁䭁䍁䅑䅁䉁䅁䅁允䅁䅁䅕呣䬰㘱兏䕏䵁䅉䅅䅁䙁䅁䅁睁湂䅁䅁权䅁䅁䅁权偁䅁䅁权允䅁䅁兂䅁䅁䅁䙯洯䅑䅅䅁䉁䅁䅁兂睄焹⽑档桘睐杷允䅁䅁䅕䅁䑁䝁䅑䅁䭁佁䄴䅁䭁䅁䅑䅁䙁䅁䅁䅁䅄畘䅚权歁䅁䅁允䅁䅁䅅䅁䙁䵁䴳䵺䵺䕪䅚䍄䉁䅁䅁兂䅁䅁䅍䅚䅁䅁䅯䄲䅁䅁䅯䅂䅁䅁䅕䅁䅁䥁時欵䭁䍁䅑䅁䉁䅁䅁允䅁䅁䅕牕敧敨瑶啦䵁䅉䅅䅁䙁䅁䅁睁歂䅁䅁权摄䅁䅁权䕁䅁䅁兂䅁䅁䅁䙧洯䅑䅯䅊䅁䅁䅅䅁䉁䅁䅁兂㉄䙋偹癷穆䅑杷允䅁䅁䅕䅁䑁䝁䅑䅁䭁䙁䅕䅁䭁䅁䅑䅁䭁䝁䄰䅁䭁䍁䅑䅁䉁䅁䅁允䅁䅁䅕䡺㉃⭯慉䔵䵁䅉䅅䅁䙁䅁䅁睁歂䅁䅁权䉄䅁䅁权䕁䅁䅁兂䅁䅁䅁䙯洯䅑䅯䅊䅁䅁䅅䅁䉁䅁䅁兂䑂㝪单䝭祤䅑杷允䅁䅁䅙䅁䑁䝁䅣䅁䭁䅁䄴䅁䭁䍁䅫䅁䭁䭁䅕䅁䙁䅁䅁䅁权⭘䅚权歁䅁䅁允䅁䅁䅅䅁䙁䝁ㄯ㠷瑇汊䅂䍄䉁䅁䅁䅂䅁䅁䅍䅚䅁䅁䅯睁䅁䅁䅯睄䅁䅁䅕䅁䅁䭁時欵䉁䅁䅁允䅁䅁䅕䬯䙖婦㝉䑮䴸䅉䅅䅁䕁䅁䅁睁歂䅁䅁权捁䅁䅁权䉁䅁䅁权汃䅁䅁允䅁䅁䅅䅁䙁䑁祍䙹䔲䱄䅂䍄䉁䅁䅁兂䅁䅁䅍䅚䅁䅁䅯杗䅁䅁䅯䅂䅁䅁䅕䅁䅁䭁時欵䭁䍁䅑䅁䉁䅁䅁允䅁䅁䅕敨剴䉵䘴歐䵁䅉䅅䅁䕁䅁䅁睁歂䅁䅁权䙁䅁䅁权䕁䅁䅁权汃䅁䅁允䅁䅁䅅䅁䙁䵁䴳䵺䵺䕲䅆䍄䉁䅁䅁䅂䅁䅁䅍䅚䅁䅁䅯䅆䅁䅁䅯䅂䅁䅁䅕䅁䅁䥁時欵䉁䅁䅁允䅁䅁䅕歲桦桥佔歒䵁䅉䅅䅁䕁䅁䅁睁歂䅁䅁权啁䅁䅁权䕁䅁䅁权噁䅁䅁允䅁䅁䅅䅁䙁䅁倵㕲汒䐶䅬䍄䉁䅁䅁䅂䅁䅁䅍䅚䅁䅁䅯䅆䅁䅁䅯䅂䅁䅁䅯兰䅁䅁䅅䅁䉁䅁䅁兂㝂䭆䠵吴䕰䅑杷允䅁䅁䅙䅁䑁䝁䅣䅁䭁䅁䅯䅁䭁䍁䅫䅁䭁䙁䅙䅁䙁䅁䅁䅁权⭘䅚权歁䅁䅁允䅁䅁䅅䅁䙁佁䰷剳㕖楌䅊䍄䉁䅁䅁䅂䅁䅁䅍䅚䅁䅁䅯䅆䅁䅁䅯䅂䅁䅁䅕䅁䅁䭁時欵䉁䅁䅁允䅁䅁䅕瑃橥䑣焱歒䵁䅉䅅䅁䕁䅁䅁睁歂䅁䅁权橁允䅁权䕁䅁䅁兂䅁䅁䅁䙧洯䅑䅅䅁䉁䅁䅁兂䵄猷䑮湑㘰䅑杷允䅁䅁䅑䅁䑁䝁䅑䅁䭁䉁䅧䅁䭁䅁䅑䅁䭁䙁䅙䅁䉁䅁䅁允䅁䅁䅕剗㍥儰浄啒䵁䅉䅅䅁䕁䅁䅁睁歂䅁䅁权奁䅁䅁权䕁䅁䅁权汃䅁䅁允䅁䅁䅅䅁䙁䵁䤶琰朷ぱ䅰䍄䉁䅁䅁兂䅁䅁䅍䅚䅁䅁䅯䅖䅁䅁䅯䅂䅁䅁䅕䅁䅁䵁敂欵䭁䍁䅑䅁䉁䅁䅁允䅁䅁䅕㕭扉氶睰ぴ䵁䅉䅅䅁䙁䅁䅁睁歂䅁䅁权䕄䅁䅁权䕁䅁䅁兂䅁䅁䅁䙯洯䅑䅯䅊䅁䅁䅅䅁䉁䅁䅁兂浂浚浚楚睚䅑杷允䅁䅁䅑䅁䑁䝁䅑䅁䭁䉁䅙䅁䭁䅁䅑䅁䙁䅁䅁䅁权⭘䅚允䅁䅁䅅䅁䙁䉁奂扏䥔欯䅒䍄䉁䅁䅁䅂䅁䅁䅍䅚䅁䅁䅯杆䅁䅁䅯䅂䅁䅁䅯杖䅁䅁䅅䅁䉁䅁䅁兂兄乒睪䈹䑰䅑杷允䅁䅁䅑䅁䑁䝁䅑䅁䭁䍁䉍䅁䭁䅁䅑䅁䭁䙁䅙䅁䉁䅁䅁允䅁䅁䅕䅁䅁䅁䅁䅁䵁䅉䅅䅁䕁䅁䅁睁歂䅁䅁权䙁䅁䅁权偁䅁䅁兂䅁䅁䅁䙯洯䅑䅅䅁䉁䅁䅁兂扃㥇呍湬兩睐杷允䅁䅁䅕䅁䑁䝁䅑䅁䭁乁䄰䅁䭁䅁䅅䅁䙁䅁䅁䅁权⭘䅚权歁䅁䅁允䅁䅁䅅䅁䙁䡁啳潲䍣椫䈹䍄䉁䅁䅁䅂䅁䅁䅍䅚䅁䅁䅯睂䅁䅁䅯允䅁䅁䅯兰䅁䅁䅅䅁䉁䅁䅁兂煁剱児䱒で䅑杷允䅁䅁䅕䅁䑁䝁䅑䅁䭁䱁䅫䅁䭁䅁䅅䅁䙁䅁䅁䅁权⭘䅚权歁䅁䅁允䅁䅁䅅䅁䙁䡁〵欶ば癩䄹䍄䉁䅁䅁兂䅁䅁䅍䅚䅁䅁䅯睹䅁䅁䅯䅂䅁䅁䅕䅁䅁䵁敂欵䭁䍁䅑䅁䉁䅁䅁允䅁䅁䅕䘷㑇潈橗䕙䵁䅉䅅䅁䕁䅁䅁睁歂䅁䅁权橁允䅁权䕁䅁䅁权汃䅁䅁允䅁䅁䅅䅁䙁䩁䵨奆䭸樲䅤䍄䉁䅁䅁杂䅁䅁䅍睚䅁䅁䅯䅈䅁䅁䅯克䅁䅁䅯村䅁䅁䅕䅁䅁䭁時欵䭁䍁䅑䅁䉁䅁䅁允䅁䅁䅕戸欫㉴䭏ざ䵁䅉䅅䅁䕁䅁䅁睁歂䅁䅁权橁允䅁权䕁䅁䅁兂䅁䅁䅁䙯洯䅑䅅䅁䉁䅁䅁兂啁歲桦癥㕑䅑杷允䅁䅁䅑䅁䑁䝁䅑䅁䭁䅁䅫䅁䭁䍁䅫䅁䙁䅁䅁䅁权⭘䅚允䅁䅁䅅䅁䙁佁剸䉵䘶〶䅬䍄䉁䅁䅁兂䅁䅁䅍睚䅁䅁䅯先䅁䅁䅯睄䅁䅁䅯䅅䅁䅁䅕䅁䅁䭁時欵䉁䅁䅁允䅁䅁䅕䅁䅁䅁䅁䅁䵁䅉䅅䅁䕁䅁䅁睁歂䅁䅁权灄䅁䅁权䉁䅁䅁兂䅁䅁䅁䙯洯䅑䅅䅁䉁䅁䅁兂畄䑦ㄸ橦䡔䅑杷允䅁䅁䅕䅁䑁䝁䅑䅁䭁乁䅉䅁䭁䅁䅅䅁䙁䅁䅁䅁权⭘䅚权歁䅁䅁允䅁䅁䅅䅁䙁䭁呵硍ㅑ捘䅂䍄䉁䅁䅁䅂䅁䅁䅍䅚䅁䅁䅯权䅁䅁䅯䅂䅁䅁䅕䅁䅁䭁時欵䉁䅁䅁允䅁䅁䅕体㙆䭆䠵か䵁䅉䅅䅁䕁䅁䅁睁歂䅁䅁权呁䅁䅁权䕁䅁䅁权坂䅁䅁允䅁䅁䅅䅁䙁䵁䴳䵺䵺䍔䅰䍄䉁䅁䅁兂䅁䅁䅍䅚䅁䅁䅯䅶䅁䅁䅯允䅁䅁䅕䅁䅁䭁時欵䭁䍁䅑䅁䉁䅁䅁允䅁䅁䅕癳杆ㅋ䩣啃䵅䅉䅅䅁䕁䅁䅁睁歂䅁䅁权䡁䅁䅁权䕁䅁䅁权婁䅁䅁允䅁䅁䅅䅁䙁偁住㍕歑穚䅬䍄䉁䅁䅁䅂䅁䅁䅍䅚䅁䅁䅯䅓䅁䅁䅯睋䅁䅁䅯杖䅁䅁䅅䅁䉁䅁䅁兂乄䵺䵺䥺䉋䅑杷允䅁䅁䅕䅁䑁䝁䅑䅁䭁䵁䅍䅁䭁䅁䅅䅁䙁䅁䅁䅁权⭘䅚权歁䅁䅁允䅁䅁䅅䅁䙁偁㉑牎湴異䅒䍄䉁䅁䅁兂䅁䅁䅍䅚䅁䅁䅯眰䅁䅁䅯䅂䅁䅁䅕䅁䅁䥁時欵䭁䍁䅑䅁䉁䅁䅁允䅁䅁䅕瑊猹㉣穏啚䵁䅉䅅䅁䕁䅁䅁睁歂䅁䅁权乁䅁䅁权牁䅁䅁权坂䅁䅁允䅁䅁䅅䅁䙁䩁⬵䉕灣䐳䅸䍄䉁䅁䅁䅂䅁䅁䅍䅚䅁䅁䅯杄䅁䅁䅯睋䅁䅁䅯杖䅁䅁䅅䅁䉁䅁䅁兂⭂兎䥣瀵湧䅑杷允䅁䅁䅑䅁䑁䝁䅑䅁䭁䉁䅧䅁䭁䍁䅳䅁䙁䅁䅁䅁䅃⭘䅚允䅁䅁䅅䅁䙁䭁呕慃慡晭⽫䍄䉁䅁䅁兂䅁䅁䅍䅚䅁䅁䅯兺䅁䅁䅯䅂䅁䅁䅕䅁䅁䭁時欵䭁䍁䅑䅁䉁䅁䅁允䅁䅁䅕椹捨㡪䙉歡䵁䅉䅅䅁䙁䅁䅁睁歂䅁䅁权兄䅁䅁权䕁䅁䅁兂䅁䅁䅁䕉浶䅑䅯䅊䅁䅁䅅䅁䉁䅁䅁兂㥁瑃橥䕣瘱䅑杷允䅁䅁䅑䅁䑁䝁䅑䅁䭁䉁䅙䅁䭁䅁䅳䅁䙁䅁䅁䅁权⭘䅚允䅁䅁䅅䅁䙁佁剸䉵䘶ぱ䅂䍄䉁䅁䅁䅂䅁䅁䅍䅚䅁䅁䅯杆䅁䅁䅯睋䅁䅁䅕䅁䅁䥁時欵䉁䅁䅁允䅁䅁䅕椹捨㡪ㅌ䐶䴸䅉䅅䅁䙁䅁䅁睁湂䅁䅁权坁䅁䅁权偁䅁䅁权允䅁䅁兂䅁䅁䅁䙯洯䅑䅅䅁䉁䅁䅁兂䅄䡖䕮浦㤵睐杷允䅁䅁䅑䅁䑁䝁䅑䅁䭁䅁䅣䅁䭁䅁䅑䅁䙁䅁䅁䅁权⭘䅚允䅁䅁䅅䅁䙁䍁捬㡪ㅌ䕩䅂䍄䉁䅁䅁䅂䅁䅁䅍䅚䅁䅁䅯䅁䅁䅁䅯睋䅁䅁䅯兰䅁䅁䅅䅁䉁䅁䅁兂㉄䙋偹橷啖䅑杷允䅁䅁䅕䅁䑁䝁䅑䅁䭁䕁䅧䅁䭁䅁䅑䅁䭁䙁䄸䅁䭁䍁䅑䅁䉁䅁䅁允䅁䅁䅕䡰㥁瑃穥啦䵁䅉䅅䅁䙁䅁䅁睁歂䅁䅁权㕃䅁䅁权䕁䅁䅁兂䅁䅁䅁䙧洯䅑䅯䅊䅁䅁䅅䅁䉁䅁䅁兂獄払敧全摴䅑杷允䅁䅁䅕䅁䑁䝁䅑䅁䭁乁䄴䅁䭁䅁䅑䅁䙁䅁䅁䅁䅃⭘䅚权歁䅁䅁允䅁䅁䅅䅁䙁䍁捬㡪ㅌ䙡䅆䍄䉁䅁䅁兂䅁䅁䅍䅚䅁䅁䅯䅶䅁䅁䅯䅂䅁䅁䅕䅁䅁䭁時欵䭁䍁䅑䅁䉁䅁䅁允䅁䅁䅕場啯歲汦歪䵁䅉䅅䅁䕁䅁䅁睁歂䅁䅁权呁䅁䅁权䕁䅁䅁兂䅁䅁䅁䙯洯䅑䅅䅁䉁䅁䅁兂䙃ㄶ㑇獈獕䅑杷允䅁䅁䅕䅁䑁䝁䅑䅁䭁乁䅫䅁䭁䅁䅑䅁䙁䅁䅁䅁权⭘䅚权歁䅁䅁允䅁䅁䅅䅁䙁䡁㥅瑃橥䝩䅨䍄䉁䅁䅁兂䅁䅁䅍䅚䅁䅁䅯䅖䅁䅁䅯䅂䅁䅁䅕䅁䅁䭁時欵䭁䍁䅑䅁䉁䅁䅁允䅁䅁䅕畮祬⽑奤ぴ䵁䅉䅅䅁䕁䅁䅁睁歂䅁䅁权佁䅁䅁权䕁䅁䅁权湃䅁䅁允䅁䅁䅅䅁䙁䕁桪桥畓ㅸ䅂䍄䉁䅁䅁兂䅁䅁䅍䅚䅁䅁䅯眱䅁䅁䅯䅂䅁䅁䅕䅁䅁䥁時欵䭁䍁䅑䅁䉁䅁䅁允䅁䅁䅕䐱儫搱䑄啒䵁䅉䅅䅁䙁䅁䅁睁歂䅁䅁权慂䅁䅁权䕁䅁䅁兂䅁䅁䅁䘴洳䅑䅯䅊䅁䅁䅅䅁䉁䅁䅁兂㑃潈牘晕㡧䅑杷允䅁䅁䅑䅁䑁䝁䅑䅁䭁䅁䅯䅁䭁䅁䅳䅁䙁䅁䅁䅁权⭘䅚允䅁䅁䅅䅁䙁䉁畓⭒㙆䝶䅚䍄䉁䅁䅁兂䅁䅁䅍䅚䅁䅁䅯䄱䅁䅁䅯䅂䅁䅁䅕䅁䅁䭁時欵䭁䍁䅑䅁䉁䅁䅁允䅁䅁䅕積積積䑏歡䵁䅉䅅䅁䕁䅁䅁睁歂䅁䅁权摁䅁䅁权牁䅁䅁兂䅁䅁䅁䙯洯䅑䅅䅁䉁䅁䅁兂卂䉵䘶ㄶ䵅䅑杷允䅁䅁䅑䅁䑁䝁䅑䅁䭁䉁䅳䅁䭁䅁䅑䅁䙁䅁䅁䅁权⭘䅚允䅁䅁䅅䅁䙁乁佮ㄹ橐吵䅂䍄䉁䅁䅁䅂䅁䅁䅍䅚䅁䅁䅯权䅁䅁䅯䅂䅁䅁䅯兰䅁䅁䅅䅁䉁䅁䅁兂桄桥畓⭒瑅䅑杷允䅁䅁䅑䅁䑁䝁䅑䅁䭁䅁䄴䅁䭁䍁䅳䅁䭁䭁䅕䅁䉁䅁䅁允䅁䅁䅕歂杺琱猳歊䵁䅉䅅䅁䕁䅁䅁睁歂䅁䅁权啁䅁䅁权牁䅁䅁权坂䅁䅁允䅁䅁䅅䅁䙁䩁婱婭婭六䅂䍄䉁䅁䅁䅂䅁䅁䅍䅚䅁䅁䅯睂䅁䅁䅯睋䅁䅁䅕䅁䅁䭁時欵䉁䅁䅁允䅁䅁䅕児塲㍯㥁樶䴸䅉䅅䅁䝁䅁䅁睁湂䅁䅁权摁䅁䅁权灁䅁䅁权䍂䅁䅁兂䅁䅁䅁䙯洯䅑䅯䅊䅁䅁䅅䅁䉁䅁䅁兂䵄䕆捶㕮礰䅑杷允䅁䅁䅑䅁䑁䝁䅑䅁䭁䉁䄰䅁䭁䅁䅑䅁䭁䙁䅙䅁䉁䅁䅁允䅁䅁䅕敨剴䉵䘴啍䵁䅉䅅䅁䕁䅁䅁睁歂䅁䅁权䙁䅁䅁权牁䅁䅁兂䅁䅁䅁䙯洯䅑䅅䅁䉁䅁䅁兂䑂塐䔰猯十䅑杷允䅁䅁䅕䅁䑁䝁䅑䅁䭁䙁䅑䅁䭁䅁䅑䅁䭁䝁䄸䅁䭁䍁䅑䅁䉁䅁䅁允䅁䅁䅕潧湏啒祃啴䵁䅉䅅䅁䕁䅁䅁睁歂䅁䅁权摁䅁䅁权䕁䅁䅁权湃䅁䅁允䅁䅁䅅䅁䙁䭁䠵場啯橢䅒䍄䉁䅁䅁䅂䅁䅁䅍䅚䅁䅁䅯先䅁䅁䅯允䅁䅁䅕䅁䅁䭁時欵䉁䅁䅁允䅁䅁䅕呥䍶捡㝅ご䵁䅉䅅䅁䕁䅁䅁睁歂䅁䅁权睂䅁䅁权䉁䅁䅁兂䅁䅁䅁䙯洯䅑䅅䅁䉁䅁䅁兂㝂䭆䠵愴佹䅑杷允䅁䅁䅑䅁䑁䝁䅑䅁䭁䉁䅙䅁䭁䍁䅳䅁䙁䅁䅁䅁权⭘䅚允䅁䅁䅅䅁䙁偁潙䥘䌯改⽧䍄䉁䅁䅁兂䅁䅁䅍睚䅁䅁䅯䅘䅁䅁䅯睄䅁䅁䅯䅅䅁䅁䅕䅁䅁䭁時欵䉁䅁䅁允䅁䅁䅕扰⬯う止䑪䴸䅉䅅䅁䙁䅁䅁睁歂䅁䅁权噂䅁䅁权䕁䅁䅁权敂䅁䅁权歁䅁䅁允䅁䅁䅅䅁䙁乁䨶䵑煱攰䅎䍄䉁䅁䅁兂䅁䅁䅍䅚䅁䅁䅯朱䅁䅁䅯䅂䅁䅁䅕䅁䅁䥁時欵䭁䍁䅑䅁䉁䅁䅁允䅁䅁䅕浚浚浚坢す䵁䅉䅅䅁䙁䅁䅁睁歂䅁䅁权佄䅁䅁权䕁䅁䅁兂䅁䅁䅁䙧洯䅑䅯䅊䅁䅁䅅䅁䉁䅁䅁兂畃⭒㙆䙆癚䅑杷允䅁䅁䅕䅁䑁䝁䅑䅁䭁乁䅅䅁䭁䅁䅑䅁䙁䅁䅁䅁杁⭓䅚权歁䅁䅁允䅁䅁䅅䅁䙁䵁䴳䵺䵺䕌䅸䍄䉁䅁䅁兂䅁䅁䅍䅚䅁䅁䅯杹䅁䅁䅯允䅁䅁䅕䅁䅁䭁時欵䭁䍁䅑䅁䉁䅁䅁允䅁䅁䅕䅁䅁䵁瑊歓䵅䅉䅅䅁䙁䅁䅁睁湂䅁䅁权䭂䅁䅁权偁䅁䅁权允䅁䅁兂䅁䅁䅁䙯洯䅑䅅䅁䉁䅁䅁兂㝁㑹噭湨攴䅑杷允䅁䅁䅑䅁䑁䝁䅑䅁䭁䅁䅁䅁䭁䅁䅑䅁䙁䅁䅁䅁䅃⭘䅚允䅁䅁䅅䅁䙁䍁捬㡪ㅌ䑡䄹䍄䉁䅁䅁䅂䅁䅁䅍䅚䅁䅁䅯䅇䅁䅁䅯允䅁䅁䅯兰䅁䅁䅅䅁䉁䅁䅁兂千漵瀹慢兴䅑杷允䅁䅁䅑䅁䑁䝁䅑䅁䭁䉁䅳䅁䭁䅁䅳䅁䙁䅁䅁䅁权⭘䅚允䅁䅁䅅䅁䙁䙁㑋潈牘奵䅨䍄䉁䅁䅁兂䅁䅁䅍䅚䅁䅁䅯䅶䅁䅁䅯䅂䅁䅁䅕䅁䅁䍁䱂欵䭁䍁䅑䅁䉁䅁䅁允䅁䅁䅕䭆䠵場共䕫䵁䅉䅅䅁䙁䅁䅁睁歂䅁䅁权獄䅁䅁权䕁䅁䅁兂䅁䅁䅁䙷洷䅑䅯䅊䅁䅁䅅䅁䉁䅁䅁兂歃䑣䬰礱䥎䅑杷允䅁䅁䅕䅁䑁䝁䅣䅁䭁佁䅫䅁䭁䅁䄸䅁䭁䉁䅁䅁䙁䅁䅁䅁权⭘䅚允䅁䅁䅅䅁䙁䥁㕹䩔捨硱䅆䍄䉁䅁䅁䅂䅁䅁䅍䅚䅁䅁䅯䅄䅁䅁䅯䅂䅁䅁䅕䅁䅁䥁時欵䉁䅁䅁允䅁䅁䅕㑈牘払敧ぎ䵁䅉䅅䅁䕁䅁䅁睁歂䅁䅁权扁䅁䅁权牁䅁䅁兂䅁䅁䅁䙯洯䅑䅅䅁䉁䅁䅁兂畄牤〰晒䑒䅑杷允䅁䅁䅕䅁䑁䝁䅣䅁䭁䅁䅷䅁䭁䅁䄸䅁䭁䉁䅁䅁䙁䅁䅁䅁权⭘䅚允䅁䅁䅅䅁䙁偁灂㥕愯䬱⽧䍄䉁䅁䅁䅂䅁䅁䅍䅚䅁䅁䅯䅆䅁䅁䅯克䅁䅁䅕䅁䅁䭁時欵䉁䅁䅁允䅁䅁䅕䘷㑇潈䱗歒䵁䅉䅅䅁䙁䅁䅁睁湂䅁䅁权乁䅁䅁权偁䅁䅁权允䅁䅁兂䅁䅁䅁䙯洯䅑䅅䅁䉁䅁䅁兂⽃橹㙦塔桘睐杷允䅁䅁䅑䅁䑁䝁䅑䅁䭁䅁䅍䅁䭁䅁䅅䅁䙁䅁䅁䅁权⭘䅚允䅁䅁䅅䅁䙁乁摐呤歡㍊䄱䍄䉁䅁䅁䅂䅁䅁䅍䅚䅁䅁䅯䅄䅁䅁䅯睋䅁䅁䅯兰䅁䅁䅅䅁䉁䅁䅁兂浂浚浚浚楙䅑杷允䅁䅁䅑䅁䑁䝁䅑䅁䭁䉁䅷䅁䭁䅁䄸䅁䙁䅁䅁䅁权⭘䅚允䅁䅁䅅䅁䙁䡁橎獥卉㙄⽁䍄䉁䅁䅁兂䅁䅁䅍睚䅁䅁䅯䅣䅁䅁䅯睄䅁䅁䅯䅅䅁䅁䅕䅁䅁䭁時欵䉁䅁䅁允䅁䅁䅕桦瑲䔵湱呺䴸䅉䅅䅁䙁䅁䅁睁歂䅁䅁权㝃䅁䅁权䕁䅁䅁兂䅁䅁䅁䙷洷䅑䅯䅊䅁䅁䅅䅁䉁䅁䅁兂剄吲㡒䩌䅤䅑杷允䅁䅁䅕䅁䑁䝁䅑䅁䭁䵁䅉䅁䭁䅁䅑䅁䙁䅁䅁䅁杁⭓䅚权歁䅁䅁允䅁䅁䅅䅁䙁䙁㑋潈牘均䄱䍄䉁䅁䅁杂䅁䅁䅍睚䅁䅁䅯杆䅁䅁䅯克䅁䅁䅯兰䅁䅁䅕䅁䅁䭁時欵䭁䍁䅑䅁䉁䅁䅁允䅁䅁䅕湲獨㝥㘵け䵁䅉䅅䅁䙁䅁䅁睁湂䅁䅁权䩁䅁䅁权偁䅁䅁权允䅁䅁兂䅁䅁䅁䙯洯䅑䅅䅁䉁䅁䅁兂晃慒㝮畡伫睐杷允䅁䅁䅕䅁䑁䝁䅣䅁䭁䅁䅕䅁䭁䅁䄸䅁䭁䉁䅁䅁䙁䅁䅁䅁权⭘䅚允䅁䅁䅅䅁䙁䥁㑳坮牓㕹⽅䍄䉁䅁䅁兂䅁䅁䅍䅚䅁䅁䅯䅷䅁䅁䅯䅂䅁䅁䅕䅁䅁䥁時欵䭁䍁䅑䅁䉁䅁䅁允䅁䅁䅕場啯歲硦ざ䵁䅉䅅䅁䕁䅁䅁睁歂䅁䅁权十䅁䅁权偁䅁䅁兂䅁䅁䅁䙯洯䅑䅅䅁䉁䅁䅁兂䱄焲㑚䙘䉔睐杷允䅁䅁䅕䅁䑁䝁䅣䅁䭁䉁䅧䅁䭁䅁䄸䅁䭁䉁䅁䅁䙁䅁䅁䅁权⭘䅚允䅁䅁䅅䅁䙁䅁呤䈷䌱湈⽣䍄䉁䅁䅁兂䅁䅁䅍䅚䅁䅁䅯䅖䅁䅁䅯䅂䅁䅁䅕䅁䅁䍁䱂欵䭁䍁䅑䅁䉁䅁䅁允䅁䅁䅕愶乩慲㕄歴䵁䅉䅅䅁䙁䅁䅁睁歂䅁䅁权噄䅁䅁权䕁䅁䅁兂䅁䅁䅁䙯洯䅑䅯䅊䅁䅁䅅䅁䉁䅁䅁兂穁積積㥍礹䅑杷允䅁䅁䅕䅁䑁䝁䅣䅁䭁䉁䅍䅁䭁䅁䄸䅁䭁䉁䅁䅁䙁䅁䅁䅁权⭘䅚允䅁䅁䅅䅁䙁偁㥧坔框㙌⽫䍄䉁䅁䅁兂䅁䅁䅍睚䅁䅁䅯杄䅁䅁䅯睄䅁䅁䅯䅅䅁䅁䅕䅁䅁䭁時欵䉁䅁䅁允䅁䅁䅕婔䬹㡯朴穨䴸䅉䅅䅁䕁䅁䅁睁歂䅁䅁权扁䅁䅁权灁䅁䅁兂䅁䅁䅁䙯洯䅑䅅䅁䉁䅁䅁兂ㅄ穚匹䵒睉䅑杷允䅁䅁䅙䅁䑁䝁䅣䅁䭁䉁䅷䅁䭁䍁䅫䅁䭁䙁䅙䅁䙁䅁䅁䅁权⭘䅚权歁䅁䅁允䅁䅁䅅䅁䙁䅁䅁䅁䅁䅁䅁䍄䉁䅁䅁兂䅁䅁䅍睚䅁䅁䅯权䅁䅁䅯睄䅁䅁䅯䅅䅁䅁䅕䅁䅁䭁時欵䉁䅁䅁允䅁䅁䅕㙵㕏䅪浖䑰䴸䅉䅅䅁䕁䅁䅁睁歂䅁䅁权䅁䅁䅁权灁䅁䅁兂䅁䅁䅁䙯洯䅑䅅䅁䉁䅁䅁兂㑃潈牘晕⭧䅑杷允䅁䅁䅑䅁䑁䝁䅑䅁䭁䅁䅷䅁䭁䅁䅳䅁䙁䅁䅁䅁权⭘䅚允䅁䅁䅅䅁䙁䅁䅁䅁䅁䝙䅬䍄䉁䅁䅁兂䅁䅁䅍䅚䅁䅁䅯兹䅁䅁䅯䅂䅁䅁䅕䅁䅁䵁敂欵䭁䍁䅑䅁䉁䅁䅁允䅁䅁䅕積積積穐ざ䵁䅉䅅䅁䕁䅁䅁睁歂䅁䅁权䅁䅁䅁权牁䅁䅁兂䅁䅁䅁䙧洯䅑䅅䅁䉁䅁䅁兂歃䑣䬰㜱啎䅑杷允䅁䅁䅑䅁䑁䝁䅑䅁䭁䉁䅷䅁䭁䍁䅳䅁䙁䅁䅁䅁权⭘䅚允䅁䅁䅅䅁䙁䅁眴砸㠳歗䅂䍄䉁䅁䅁䅂䅁䅁䅍䅚䅁䅁䅯兄䅁䅁䅯睋䅁䅁䅕䅁䅁䥁時欵䉁䅁䅁允䅁䅁䅕潄㙙䡲摂䕖䵁䅉䅅䅁䙁䅁䅁睁歂䅁䅁权奄䅁䅁权䕁䅁䅁兂䅁䅁䅁䙯洯䅑䅯䅊䅁䅁䅅䅁䉁䅁䅁兂偃癷潕䭘㤹䅑杷允䅁䅁䅑䅁䑁䝁䅑䅁䭁䕁䅧䅁䭁䅁䅑䅁䙁䅁䅁䅁䅃⭘䅚允䅁䅁䅅䅁䙁佁㙆䭆䠵奲䅂䍄䉁䅁䅁䅂䅁䅁䅍䅚䅁䅁䅯䅄䅁䅁䅯睋䅁䅁䅯杖䅁䅁䅅䅁䉁䅁䅁兂慃婭婭剭橫䅑杷允䅁䅁䅕䅁䑁䝁䅑䅁䭁䙁䅕䅁䭁䅁䅑䅁䭁䡁䄸䅁䭁䍁䅑䅁䉁䅁䅁允䅁䅁䅕䱄晪䡅栰唵䵁䅉䅅䅁䙁䅁䅁睁歂䅁䅁权婄䅁䅁权䕁䅁䅁兂䅁䅁䅁䙧洯䅑䅯䅊䅁䅁䅅䅁䉁䅁䅁兂㥁瑃橥䱣潖䅑杷允䅁䅁䅑䅁䑁䝁䅑䅁䭁䅁䄰䅁䭁䅁䅑䅁䙁䅁䅁䅁䅃⭘䅚允䅁䅁䅅䅁䙁䱁敧敨剴䕇䅖䍄䉁䅁䅁兂䅁䅁䅍䅚䅁䅁䅯䅊䅅䅁䅯䅂䅁䅁䅕䅁䅁䭁時欵䭁䍁䅑䅁䉁䅁䅁允䅁䅁䅕䡰㥁瑃䡦此䵁䅉䅅䅁䕁䅁䅁睁歂䅁䅁权睂䅁䅁权牁䅁䅁兂䅁䅁䅁䙧洯䅑䅅䅁䉁䅁䅁兂乄䵺䵺䭺㕷䅑杷允䅁䅁䅑䅁䑁䝁䅑䅁䭁䅁䅍䅁䭁䍁䅫䅁䙁䅁䅁䅁权⭘䅚允䅁䅁䅅䅁䙁䡁啳歲桦欲䅚䍄䉁䅁䅁兂䅁䅁䅍䅚䅁䅁䅯䅓䅁䅁䅯䅂䅁䅁䅯来䅁䅁䅯䅊䅁䅁䅅䅁䉁䅁䅁兂䙃ㄶ㑇湈⭖䅑杷允䅁䅁䅑䅁䑁䝁䅑䅁䭁䅁䅯䅁䭁䅁䅅䅁䙁䅁䅁䅁权⭘䅚允䅁䅁䅅䅁䙁佁硴㈳摯塍䅆䍄䉁䅁䅁䅂䅁䅁䅍䅚䅁䅁䅯儶䅁䅁䅯睋䅁䅁䅯杖䅁䅁䅅䅁䉁䅁䅁兂䅁䅁䅁䉁塂䅑杷允䅁䅁䅕䅁䑁䝁䅑䅁䭁乁䅍䅁䭁䅁䅑䅁䙁䅁䅁䅁杁⭓䅚权歁䅁䅁允䅁䅁䅅䅁䙁䅁䅁䅁䅁䅁䅁䍄䉁䅁䅁䅂䅁䅁䅍䅚䅁䅁䅯杄䅁䅁䅯允䅁䅁䅕䅁䅁䭁時欵䉁䅁䅁允䅁䅁䅕䩚㥙敃べ啨䵁䅉䅅䅁䕁䅁䅁睁歂䅁䅁权䑁䅁䅁权牁䅁䅁兂䅁䅁䅁䙧洯䅑䅅䅁䉁䅁䅁兂灄䥒灋浚歙䅑杷允䅁䅁䅕䅁䑁䝁䅑䅁䭁佁䄸䅁䭁䅁䅑䅁䙁䅁䅁䅁䅄畘䅚权歁䅁䅁允䅁䅁䅅䅁䙁䙁偹癷潕䑘䅨䍄䉁䅁䅁䅂䅁䅁䅍䅚䅁䅁䅯睂䅁䅁䅯克䅁䅁䅕䅁䅁䭁時欵䉁䅁䅁允䅁䅁䅕敨剴䉵氶䕑䵁䅉䅅䅁䕁䅁䅁睁歂䅁䅁权十䅁䅁权灁䅁䅁兂䅁䅁䅁䙯洯䅑䅅䅁䉁䅁䅁兂乄䵺䵺䍺䡸䅑杷允䅁䅁䅑䅁䑁䝁䅑䅁䭁佁䅫䅁䭁䅁䅑䅁䙁䅁䅁䅁䅃⭘䅚允䅁䅁䅅䅁䙁䵁ㅐ䙋偹汷䅰䍄䉁䅁䅁䅂䅁䅁䅍䅚䅁䅁䅯权䅁䅁䅯克䅁䅁䅕䅁䅁䭁時欵䉁䅁䅁允䅁䅁䅕䅷䙭䑃啨か䵁䅉䅅䅁䕁䅁䅁睁歂䅁䅁权十䅁䅁权牁䅁䅁兂䅁䅁䅁䙧洯䅑䅅䅁䉁䅁䅁兂䥂場啯歲橣䅑杷允䅁䅁䅑䅁䑁䝁䅑䅁䭁䅁䅷䅁䭁䍁䅫䅁䙁䅁䅁䅁权⭘䅚允䅁䅁䅅䅁䙁䩁婱婭婭吲䅚䍄䉁䅁䅁䅂䅁䅁䅍䅚䅁䅁䅯兂䅁䅁䅯允䅁䅁䅕䅁䅁䭁時欵䉁䅁䅁允䅁䅁䅕歗牫楶歆啚䵁䅉䅅䅁䕁䅁䅁睁歂䅁䅁权䡁䅁䅁权牁䅁䅁兂䅁䅁䅁䙧洯䅑䅅䅁䉁䅁䅁兂㥁瑃橥䑣焳睐杷允䅁䅁䅙䅁䑁䝁䅣䅁䭁䅁䅣䅁䭁䍁䅫䅁䭁䭁䅕䅁䙁䅁䅁䅁权⭘䅚权歁䅁䅁允䅁䅁䅅䅁䙁佁䕧爫ぇ欵䅂䍄䉁䅁䅁䅂䅁䅁䅍䅚䅁䅁䅯儶䅁䅁䅯睋䅁䅁䅕䅁䅁䭁時欵䉁䅁䅁允䅁䅁䅕積積積穐し䵁䅉䅅䅁䝁䅁䅁睁湂䅁䅁权佁䅁䅁权灁䅁䅁权坂䅁䅁兂䅁䅁䅁䙯洯䅑䅯䅊䅁䅁䅅䅁䉁䅁䅁兂桁瑆䕔乴倹䅑杷允䅁䅁䅑䅁䑁䝁䅑䅁䭁䅁䅫䅁䭁䍁䅳䅁䙁䅁䅁䅁䅃⭘䅚允䅁䅁䅅䅁䙁䩁婱婭婭六䅸䍄䉁䅁䅁䅂䅁䅁䅍䅚䅁䅁䅯睇䅁䅁䅯睋䅁䅁䅯兰䅁䅁䅅䅁䉁䅁䅁兂求噎倱䕤䉆䅑杷允䅁䅁䅕䅁䑁䝁䅑䅁䭁乁䅫䅁䭁䅁䅑䅁䙁䅁䅁䅁䅄畘䅚权歁䅁䅁允䅁䅁䅅䅁䙁䑁積積積㈸䅨䍄䉁䅁䅁䅂䅁䅁䅍䅚䅁䅁䅯兂䅁䅁䅯睋䅁䅁䅕䅁䅁䥁時欵䉁䅁䅁允䅁䅁䅕穑㤱偂䄷歅䵁䅉䅅䅁䙁䅁䅁睁歂䅁䅁权䱄䅁䅁权䕁䅁䅁兂䅁䅁䅁䕉浶䅑䅯䅊䅁䅁䅅䅁䉁䅁䅁兂塄㍯㥁瑃敤䅑杷允䅁䅁䅑䅁䑁䝁䅑䅁䭁䅁䅫䅁䭁䅁䅅䅁䭁䭁䅕䅁䉁䅁䅁允䅁䅁䅕浚浚浚畡歙䵁䅉䅅䅁䕁䅁䅁睁歂䅁䅁权䭂䅁䅁权䉁䅁䅁权汃䅁䅁允䅁䅁䅅䅁䙁䵁慩啫㕇瑷䅚䍄䉁䅁䅁兂䅁䅁䅍䅚䅁䅁䅯儱䅁䅁䅯䅂䅁䅁䅕䅁䅁䥁時欵䭁䍁䅑䅁䉁䅁䅁允䅁䅁䅕硥畓⭒坈正䵁䅉䅅䅁䕁䅁䅁睁歂䅁䅁权橁允䅁权䉁䅁䅁兂䅁䅁䅁䙯洯䅑䅅䅁䉁䅁䅁兂扁㥌欰潂硕䅑杷允䅁䅁䅑䅁䑁䝁䅑䅁䭁䉁䅑䅁䭁䍁䅳䅁䙁䅁䅁䅁䅃⭘䅚允䅁䅁䅅䅁䙁䑁積積積硳䅰䍄䉁䅁䅁兂䅁䅁䅍䅚䅁䅁䅯杴䅁䅁䅯允䅁䅁䅕䅁䅁䭁時欵䭁䍁䅑䅁䉁䅁䅁允䅁䅁䅕䨲䑹ㅏ婮啍䵅䅉䅅䅁䕁䅁䅁睁歂䅁䅁权摁䅁䅁权牁䅁䅁权汃䅁䅁允䅁䅁䅅䅁䙁䅁䅁䅁䅁䅁䅨䍄䉁䅁䅁兂䅁䅁䅍䅚䅁䅁䅯杺䅁䅁䅯䅂䅁䅁䅕䅁䅁䍁䱂欵䭁䍁䅑䅁䉁䅁䅁允䅁䅁䅕䭆䠵場杯䕣䵁䅉䅅䅁䙁䅁䅁睁歂䅁䅁权歁允䅁权䉁䅁䅁兂䅁䅁䅁䙯洯䅑䅯䅊䅁䅁䅅䅁䉁䅁䅁兂煁奸䜴桱⭺䅑杷允䅁䅁䅑䅁䑁䝁䅑䅁䭁䉁䅧䅁䭁䍁䅫䅁䙁䅁䅁䅁权⭘䅚允䅁䅁䅅䅁䙁偁潙䥘䌯啖䅸䍄䉁䅁䅁兂䅁䅁䅍䅚䅁䅁䅯䄲䅁䅁䅯䅂䅁䅁䅕䅁䅁䍁䱂欵䭁䍁䅑䅁䉁䅁䅁允䅁䅁䅕䅁䅁䅁奂步䵁䅉䅅䅁䕁䅁䅁睁歂䅁䅁权坁䅁䅁权灁䅁䅁兂䅁䅁䅁䙯洯䅑䅅䅁䉁䅁䅁兂㑃潈牘剕䙨䅑杷允䅁䅁䅑䅁䑁䝁䅑䅁䭁䉁䅳䅁䭁䅁䅅䅁䙁䅁䅁䅁权⭘䅚允䅁䅁䅅䅁䙁䡁牍乨㑘潅䅖䍄䉁䅁䅁杂䅁䅁䅍睚䅁䅁䅯䅄䅁䅁䅯克䅁䅁䅯兰䅁䅁䅕䅁䅁䭁時欵䭁䍁䅑䅁䉁䅁䅁允䅁䅁䅕佌乐䝉剚啎䵁䅉䅅䅁䙁䅁䅁睁歂䅁䅁权䕄䅁䅁权䕁䅁䅁兂䅁䅁䅁䕉浶䅑䅯䅊䅁䅁䅅䅁䉁䅁䅁兂桄桥畓⭒ざ䅑杷允䅁䅁䅙䅁䑁䝁䅣䅁䭁䅁䅫䅁䭁䍁䅫䅁䭁䙁䅙䅁䙁䅁䅁䅁权⭘䅚权歁䅁䅁允䅁䅁䅅䅁䙁䥁䉂癵㠰欫䅚䍄䉁䅁䅁杂䅁䅁䅍睚䅁䅁䅯先䅁䅁䅯克䅁䅁䅯杖䅁䅁䅕䅁䅁䭁時欵䭁䍁䅑䅁䉁䅁䅁允䅁䅁䅕䅁䅁䅁䅁䅁䵁䅉䅅䅁䕁䅁䅁睁歂䅁䅁权摁䅁䅁权䕁䅁䅁兂䅁䅁䅁䙧洯䅑䅅䅁䉁䅁䅁兂呃䅇坒畄砰䅑杷允䅁䅁䅑䅁䑁䝁䅑䅁䭁䡁䅁䅁䭁䅁䄸䅁䙁䅁䅁䅁权⭘䅚允䅁䅁䅅䅁䙁䅁灖煸灌丷⽁䍄䉁䅁䅁䅂䅁䅁䅍䅚䅁䅁䅯睉䅅䅁䅯克䅁䅁䅕䅁䅁䭁時欵䉁䅁䅁允䅁䅁䅕㘱睎児塯歏䵁䅉䅅䅁䕁䅁䅁睁歂䅁䅁权扁䅁䅁权牁䅁䅁兂䅁䅁䅁䙧洯䅑䅅䅁䉁䅁䅁兂楁癱湂佥䑤䅑杷允䅁䅁䅑䅁䑁䝁䅑䅁䭁䍁䉍䅁䭁䍁䅳䅁䙁䅁䅁䅁䅃⭘䅚允䅁䅁䅅䅁䙁䩁婱婭婭敭⽕䍄䉁䅁䅁杂䅁䅁䅍睚䅁䅁䅯䅣䅁䅁䅯克䅁䅁䅯兰䅁䅁䅕䅁䅁䭁時欵䭁䍁䅑䅁䉁䅁䅁允䅁䅁䅕穃奉噪坐啑䵁䅉䅅䅁䙁䅁䅁睁歂䅁䅁权䥄䅁䅁权䕁䅁䅁兂䅁䅁䅁䕉浶䅑䅯䅊䅁䅁䅅䅁䉁䅁䅁兂啁歲桦瑥歒䅑杷允䅁䅁䅕䅁䑁䝁䅑䅁䭁佁䅷䅁䭁䅁䅑䅁䙁䅁䅁䅁杁⭓䅚权歁䅁䅁允䅁䅁䅅䅁䙁䑁積積積穳䅴䍄䉁䅁䅁䅂䅁䅁䅍䅚䅁䅁䅯䅓䅁䅁䅯睋䅁䅁䅯兰䅁䅁䅅䅁䉁䅁䅁兂穁積積き䑭䅑杷允䅁䅁䅕䅁䑁䝁䅑䅁䭁䕁䅧䅁䭁䅁䅑䅁䭁䙁䅍䅁䭁䍁䅑䅁䉁䅁䅁允䅁䅁䅕敨剴䉵琷武䵁䅉䅅䅁䙁䅁䅁睁歂䅁䅁权䡄䅁䅁权䉁䅁䅁兂䅁䅁䅁䙯洯䅑䅯䅊䅁䅁䅅䅁䉁䅁䅁兂䩁楕祫穳䅨兑杷允䅁䅁䅑䅁䑁䝁䅑䅁䭁䉁䄰䅁䭁䅁䄸䅁䙁䅁䅁䅁权⭘䅚允䅁䅁䅅䅁䙁䅁䅁䅁䅁䅁䅁䍄䉁䅁䅁杂䅁䅁䅍睚䅁䅁䅯䅘䅁䅁䅯克䅁䅁䅯兰䅁䅁䅕䅁䅁䭁時欵䭁䍁䅑䅁䉁䅁䅁允䅁䅁䅕㝒歮偂硱く䵁䅉䅅䅁䕁䅁䅁睁歂䅁䅁权捂䅁䅁权牁䅁䅁权汃䅁䅁允䅁䅁䅅䅁䙁偁灖晆栲摭⽫䍄䉁䅁䅁䅂䅁䅁䅍䅚䅁䅁䅯杓䅁䅁䅯睋䅁䅁䅯兰䅁䅁䅅䅁䉁䅁䅁兂獁䈸摘来夹䅑杷允䅁䅁䅑䅁䑁䝁䅑䅁䭁䅁䅣䅁䭁䅁䅅䅁䙁䅁䅁䅁权⭘䅚允䅁䅁䅅䅁䙁佁䵥佋丰橈䅴䍄䉁䅁䅁䅂䅁䅁䅍䅚䅁䅁䅯杓䅁䅁䅯睋䅁䅁䅕䅁䅁䭁時欵䉁䅁䅁允䅁䅁䅕ㅫ㡚⭑ㅇざ䵁䅉䅅䅁䙁䅁䅁睁歂䅁䅁权祄䅁䅁权䕁䅁䅁兂䅁䅁䅁䙧洯䅑䅯䅊䅁䅁䅅䅁䉁䅁䅁兂㥁瑃橥䕣戱䅑杷允䅁䅁䅙䅁䑁䝁䅣䅁䭁佁䅫䅁䭁䍁䅫䅁䭁䭁䅕䅁䙁䅁䅁䅁权⭘䅚权歁䅁䅁允䅁䅁䅅䅁䙁䵁㙈制晲汧䅨䍄䉁䅁䅁杂䅁䅁䅍睚䅁䅁䅯䅁䅁䅁䅯克䅁䅁䅯兰䅁䅁䅕䅁䅁䭁時欵䭁䍁䅑䅁䉁䅁䅁允䅁䅁䅕煊湴䉓桮歐䵁䅉䅅䅁䕁䅁䅁睁歂䅁䅁权䅁䅁䅁权牁䅁䅁兂䅁䅁䅁䙯洯䅑䅅䅁䉁䅁䅁兂歃䑣䬰㜱啎䅑杷允䅁䅁䅕䅁䑁䝁䅑䅁䭁乁䅳䅁䭁䅁䅑䅁䙁䅁䅁䅁䅃⭘䅚权歁䅁䅁允䅁䅁䅅䅁䙁䭁睒児塲㌷䄵䍄䉁䅁䅁䅂䅁䅁䅍䅚䅁䅁䅯䅣䅁䅁䅯睋䅁䅁䅯兰䅁䅁䅅䅁䉁䅁䅁兂浂浚浚浚穙䅑杷允䅁䅁䅙䅁䑁䝁䅣䅁䭁䅁䄰䅁䭁䍁䅫䅁䭁䭁䅕䅁䙁䅁䅁䅁权⭘䅚权歁䅁䅁允䅁䅁䅅䅁䙁䵁㐲捁祘啙䅎䍄䉁䅁䅁䅂䅁䅁䅍䅚䅁䅁䅯睁䅁䅁䅯睋䅁䅁䅯兰䅁䅁䅅䅁䉁䅁䅁兂㉃啅㈹㝍橍䅑杷允䅁䅁䅕䅁䑁䝁䅑䅁䭁䵁䄴䅁䭁䅁䅑䅁䙁䅁䅁䅁权⭘䅚权歁䅁䅁允䅁䅁䅅䅁䙁佁㙆䭆䠵坫䄵䍄䉁䅁䅁杂䅁䅁䅍睚䅁䅁䅯睇䅁䅁䅯克䅁䅁䅯兰䅁䅁䅕䅁䅁䭁時欵䭁䍁䅑䅁䉁䅁䅁允䅁䅁䅕䰰祪夫慓啎䵁䅉䅅䅁䕁䅁䅁睁歂䅁䅁权䑁䅁䅁权牁䅁䅁兂䅁䅁䅁䙯洯䅑䅅䅁䉁䅁䅁兂䑃栳䑴䥁歁䅑杷允䅁䅁䅕䅁䑁䝁䅑䅁䭁䙁䅯䅁䭁䅁䅑䅁䭁䡁䅫䅁䭁䍁䅑䅁䉁䅁䅁允䅁䅁䅕橥牡汐䱦歎䵁䅉䅅䅁䙁䅁䅁睁歂䅁䅁权啄䅁䅁权䕁䅁䅁兂䅁䅁䅁䙧洯䅑䅯䅊䅁䅁䅅䅁䉁䅁䅁兂䥂場啯煲煤䅑杷允䅁䅁䅑䅁䑁䝁䅑䅁䭁䉁䅉䅁䭁䍁䅳䅁䙁䅁䅁䅁权⭘䅚允䅁䅁䅅䅁䙁䅁䅁䅁䅁䍧䅎䍄䉁䅁䅁兂䅁䅁䅍䅚䅁䅁䅯朱䅁䅁䅯䅂䅁䅁䅕䅁䅁䭁時欵䭁䍁䅑䅁䉁䅁䅁允䅁䅁䅕㘱睎児塰す䵁䅉䅅䅁䕁䅁䅁睁歂䅁䅁权䭂䅁䅁权䕁䅁䅁兂䅁䅁䅁䙧洯䅑䅅䅁䉁䅁䅁兂浂浚浚湚睊䅑杷允䅁䅁䅕䅁䑁䝁䅑䅁䭁䱁䅳䅁䭁䅁䅅䅁䙁䅁䅁䅁权⭘䅚权歁䅁䅁允䅁䅁䅅䅁䙁䥁䨯䕯噆卬䉴䍄䉁䅁䅁䅂䅁䅁䅍䅚䅁䅁䅯䅄䅁䅁䅯睋䅁䅁䅕䅁䅁䭁時欵䉁䅁䅁允䅁䅁䅕積積積積啉䵁䅉䅅䅁䕁䅁䅁睁歂䅁䅁权呁䅁䅁权䱁䅁䅁兂䅁䅁䅁䙯洯䅑䅅䅁䉁䅁䅁兂乄䵺䵺䵺灵䅑杷允䅁䅁䅙䅁䑁䝁䅣䅁䭁䅁䅫䅁䭁䍁䅫䅁䭁䭁䅕䅁䙁䅁䅁䅁权⭘䅚权歁䅁䅁允䅁䅁䅅䅁䙁䭁㍢㉥䡨䕢䅨䍄䉁䅁䅁䅂䅁䅁䅍䅚䅁䅁䅯元䅁䅁䅯睋䅁䅁䅯兰䅁䅁䅅䅁䉁䅁䅁兂浂浚浚浚䥙䅑杷允䅁䅁䅕䅁䑁䝁䅑䅁䭁䙁䅯䅁䭁䅁䅑䅁䭁䝁䄸䅁䭁䍁䅑䅁䉁䅁䅁允䅁䅁䅕佂䵥佋丳䕏䵁䅉䅅䅁䙁䅁䅁睁歂䅁䅁权慂䅁䅁权䕁䅁䅁权ㅂ䅁䅁权歁䅁䅁允䅁䅁䅅䅁䙁䙁䙍㕯㙉呙䅬䍄䉁䅁䅁䅂䅁䅁䅍䅚䅁䅁䅯元䅁䅁䅯睋䅁䅁䅕䅁䅁䭁時欵䉁䅁䅁允䅁䅁䅕灭婭婭婭䕄䵁䅉䅅䅁䙁䅁䅁睁歂䅁䅁权䥂䅁䅁权䕁䅁䅁权奂䅁䅁权歁䅁䅁允䅁䅁䅅䅁䙁偁潙䥘䌯堸䄱䍄䉁䅁䅁杂䅁䅁䅍睚䅁䅁䅯杓䅁䅁䅯克䅁䅁䅯杖䅁䅁䅕䅁䅁䭁時欵䭁䍁䅑䅁䉁䅁䅁允䅁䅁䅕煄獨㡍䉳啢䵁䅉䅅䅁䙁䅁䅁睁歂䅁䅁权䕄䅁䅁权䕁䅁䅁兂䅁䅁䅁䙧洯䅑䅯䅊䅁䅁䅅䅁䉁䅁䅁兂䑄匹捨㙪眵䅑杷允䅁䅁䅕䅁䑁䝁䅑䅁䭁乁䅁䅁䭁䅁䅑䅁䙁䅁䅁䅁权⭘䅚权歁䅁䅁允䅁䅁䅅䅁䙁䝁浚浚浚浪䅨䍄䉁䅁䅁杂䅁䅁䅍睚䅁䅁䅯兂䅁䅁䅯克䅁䅁䅯兰䅁䅁䅕䅁䅁䭁時欵䭁䍁䅑䅁䉁䅁䅁允䅁䅁䅕堸ㅺ稰⭕啑䵁䅉䅅䅁䕁䅁䅁睁歂䅁䅁权䙁䅁䅁权牁䅁䅁权汃䅁䅁允䅁䅁䅅䅁䙁乁坺灆堶桗䅊䍄䉁䅁䅁兂䅁䅁䅍䅚䅁䅁䅯䅊䅅䅁䅯䅂䅁䅁䅕䅁䅁䥁時欵䭁䍁䅑䅁䉁䅁䅁允䅁䅁䅕場啯歲䩦つ䵁䅉䅅䅁䙁䅁䅁睁歂䅁䅁权瑄䅁䅁权䕁䅁䅁兂䅁䅁䅁䙧洯䅑䅯䅊䅁䅁䅅䅁䉁䅁䅁兂晁敨剴䵵刵䅑杷允䅁䅁䅙䅁䑁䝁䅣䅁䭁䉁䅑䅁䭁䍁䅫䅁䭁䭁䅕䅁䙁䅁䅁䅁权⭘䅚权歁䅁䅁允䅁䅁䅅䅁䙁䕁畖㝂場歱䅎䍄䉁䅁䅁兂䅁䅁䅍䅚䅁䅁䅯杹䅁䅁䅯䅂䅁䅁䅕䅁䅁䵁敂欵䭁䍁䅑䅁䉁䅁䅁允䅁䅁䅕㘱睎児㍱啙䵁䅉䅅䅁䙁䅁䅁睁歂䅁䅁权䥂䅁䅁权䕁䅁䅁权硂䅁䅁权歁䅁䅁允䅁䅁䅅䅁䙁偁潙䥘䌯報䄵䍄䉁䅁䅁䅂䅁䅁䅍䅚䅁䅁䅯睅䅁䅁䅯䅂䅁䅁䅕䅁䅁䥁時欵䉁䅁䅁允䅁䅁䅕噋偹癷潕啌䵁䅉䅅䅁䙁䅁䅁睁歂䅁䅁权䥂䅁䅁权䕁䅁䅁权塂䅁䅁权歁䅁䅁允䅁䅁䅅䅁䙁䵁ㅐ䙋偹湁䄹䍄䉁䅁䅁兂䅁䅁䅍䅚䅁䅁䅯睹䅁䅁䅯允䅁䅁䅕䅁䅁䭁時欵䭁䍁䅑䅁䉁䅁䅁允䅁䅁䅕汯戹ㅦ㝎啁䵅䅉䅅䅁䙁䅁䅁睁歂䅁䅁权捄䅁䅁权䉁䅁䅁兂䅁䅁䅁䙯洯䅑䅯䅊䅁䅁䅅䅁䉁䅁䅁兂桂㉒夸堲十兑杷允䅁䅁䅑䅁䑁䝁䅑䅁䭁䅁䅫䅁䭁䅁䄸䅁䙁䅁䅁䅁权⭘䅚允䅁䅁䅅䅁䙁䩁㑺歡硤潪⽯䍄䉁䅁䅁兂䅁䅁䅍䅚䅁䅁䅯䅹䅁䅁䅯䅂䅁䅁䅕䅁䅁䥁時欵䭁䍁䅑䅁䉁䅁䅁允䅁䅁䅕䘷㑇潈㝘䕡䵁䅉䅅䅁䕁䅁䅁睁歂䅁䅁权橁允䅁权牁䅁䅁兂䅁䅁䅁䙯洯䅑䅅䅁䉁䅁䅁兂慃婭婭婭汮睐杷允䅁䅁䅑䅁䑁䝁䅑䅁䭁䅁䅫䅁䭁䅁䅳䅁䙁䅁䅁䅁权⭘䅚允䅁䅁䅅䅁䙁䭁䠵場啯浪䅤䍄䉁䅁䅁䅂䅁䅁䅍䅚䅁䅁䅯杅䅁䅁䅯允䅁䅁䅕䅁䅁䭁時欵䉁䅁䅁允䅁䅁䅕䅁䅁䅁䥁䕦䵁䅉䅅䅁䕁䅁䅁睁歂䅁䅁权䡁䅁䅁权牁䅁䅁权汃䅁䅁允䅁䅁䅅䅁䙁䕁桪桥畓⭒⽅䍄䉁䅁䅁兂䅁䅁䅍䅚䅁䅁䅯䅖䅁䅁䅯䅂䅁䅁䅯睘䅁䅁䅯䅊䅁䅁䅅䅁䉁䅁䅁兂灁獢䭌䥁ㅇ䅑杷允䅁䅁䅕䅁䑁䝁䅑䅁䭁䱁䅧䅁䭁䅁䅑䅁䙁䅁䅁䅁杁⭓䅚权歁䅁䅁允䅁䅁䅅䅁䙁䕁桪桥畓㍑䅒䍄䉁䅁䅁兂䅁䅁䅍䅚䅁䅁䅯䅮䅁䅁䅯䅂䅁䅁䅕䅁䅁䵁敂欵䭁䍁䅑䅁䉁䅁䅁允䅁䅁䅕歕摭䡧䅊唱䵁䅉䅅䅁䝁䅁䅁睁湂䅁䅁权乁䅁䅁权灁䅁䅁权坂䅁䅁兂䅁䅁䅁䙯洯䅑䅯䅊䅁䅁䅅䅁䉁䅁䅁兂㑁䑙瀯桪䍊䅑杷允䅁䅁䅙䅁䑁䝁䅣䅁䭁佁䅫䅁䭁䍁䅫䅁䭁䙁䅙䅁䙁䅁䅁䅁权⭘䅚权歁䅁䅁允䅁䅁䅅䅁䙁䩁呆瘷㔯汶䅚䍄䉁䅁䅁杂䅁䅁䅍睚䅁䅁䅯䅁䅁䅁䅯克䅁䅁䅯杖䅁䅁䅕䅁䅁䭁時欵䭁䍁䅑䅁䉁䅁䅁允䅁䅁䅕启䵘捦㝺歐䵁䅉䅅䅁䕁䅁䅁睁歂䅁䅁权䅁䅁䅁权牁䅁䅁权坂䅁䅁允䅁䅁䅅䅁䙁䭁睒児塲ㅷ䅖䍄䉁䅁䅁䅂䅁䅁䅍䅚䅁䅁䅯䅆䅁䅁䅯允䅁䅁䅯兰䅁䅁䅅䅁䉁䅁䅁兂祄欰椱䑅獊䅑杷允䅁䅁䅙䅁䑁䝁䅣䅁䭁䡁䅁䅁䭁䍁䅫䅁䭁䙁䅙䅁䙁䅁䅁䅁权⭘䅚权歁䅁䅁允䅁䅁䅅䅁䙁䭁ㅘ婃摫啔䅆䍄䉁䅁䅁䅂䅁䅁䅍䅚䅁䅁䅯䅘䅁䅁䅯允䅁䅁䅯兰䅁䅁䅅䅁䉁䅁䅁兂灄武䈵牦洴䅑杷允䅁䅁䅙䅁䑁䝁䅣䅁䭁䉁䅉䅁䭁䍁䅫䅁䭁䙁䅙䅁䙁䅁䅁䅁权⭘䅚权歁䅁䅁允䅁䅁䅅䅁䙁䩁䭏㍊攳䕏䅚䍄䉁䅁䅁䅂䅁䅁䅍䅚䅁䅁䅯杅䅁䅁䅯睋䅁䅁䅯杖䅁䅁䅅䅁䉁䅁䅁兂䭁㘱睎児呯䅑杷允䅁䅁䅑䅁䑁䝁䅑䅁䭁䅁䅕䅁䭁䍁䅳䅁䭁䙁䅙䅁䉁䅁䅁允䅁䅁䅕歕䡦挱佨歄䵁䅉䅅䅁䙁䅁䅁睁歂䅁䅁权噂䅁䅁权䕁䅁䅁权呂䅁䅁权歁䅁䅁允䅁䅁䅅䅁䙁佁䱓牗挸佩䅎䍄䉁䅁䅁杂䅁䅁䅍睚䅁䅁䅯睉䅅䅁䅯克䅁䅁䅯杖䅁䅁䅕䅁䅁䭁時欵䭁䍁䅑䅁䉁䅁䅁允䅁䅁䅕卢⭐敎⽋ぎ䵁䅉䅅䅁䕁䅁䅁睁歂䅁䅁权䡁䅁䅁权牁䅁䅁权坂䅁䅁允䅁䅁䅅䅁䙁䱁敧敨剴䭵⼴䍄䉁䅁䅁䅂䅁䅁䅍䅚䅁䅁䅯䅄䅁䅁䅯允䅁䅁䅕䅁䅁䭁時欵䉁䅁䅁允䅁䅁䅕敥浫免捨䕡䵁䅉䅅䅁䕁䅁䅁睁歂䅁䅁权䥂䅁䅁权䉁䅁䅁权汃䅁䅁允䅁䅁䅅䅁䙁䭁扡䝸䝄剑䉎䍄䉁䅁䅁䅂䅁䅁䅍䅚䅁䅁䅯䅓䅁䅁䅯睄䅁䅁䅕䅁䅁䭁時欵䉁䅁䅁允䅁䅁䅕牙兯穱漯こ䵁䅉䅅䅁䙁䅁䅁睁歂䅁䅁权㝃䅁䅁权䕁䅁䅁兂䅁䅁䅁䙯洯䅑䅯䅊䅁䅁䅅䅁䉁䅁䅁兂㕁慈搯坓䈱䅑杷允䅁䅁䅕䅁䑁䝁䅑䅁䭁䵁䅙䅁䭁䅁䅅䅁䙁䅁䅁䅁权⭘䅚权歁䅁䅁允䅁䅁䅅䅁䙁乁硇㡧卲畇䄱䍄䉁䅁䅁兂䅁䅁䅍䅚䅁䅁䅯朷䅁䅁䅯䅂䅁䅁䅕䅁䅁䥁時欵䭁䍁䅑䅁䉁䅁䅁允䅁䅁䅕䉵䘶ㄶ奆䕒䵁䅉䅅䅁䕁䅁䅁睁歂䅁䅁权乁䅁䅁权䱁䅁䅁兂䅁䅁䅁䙯洯䅑䅅䅁䉁䅁䅁兂浂浚浚桚焲䅑杷允䅁䅁䅕䅁䑁䝁䅑䅁䭁佁䅷䅁䭁䅁䅅䅁䙁䅁䅁䅁权⭘䅚权歁䅁䅁允䅁䅁䅅䅁䙁䩁桦㥐䤰㠶䅖䍄䉁䅁䅁兂䅁䅁䅍䅚䅁䅁䅯儸䅁䅁䅯䅂䅁䅁䅕䅁䅁䵁敂欵䭁䍁䅑䅁䉁䅁䅁允䅁䅁䅕䉵䘶ㄶ先歡䵁䅉䅅䅁䕁䅁䅁睁歂䅁䅁权捂䅁䅁权䱁䅁䅁兂䅁䅁䅁䙯洯䅑䅅䅁䉁䅁䅁兂桄桥畓㙒㑅䅑杷允䅁䅁䅕䅁䑁䝁䅑䅁䭁䵁䅁䅁䭁䅁䅑䅁䙁䅁䅁䅁䅄畘䅚权歁䅁䅁允䅁䅁䅅䅁䙁䅁䅁䅁䅁䙕䅨䍄䉁䅁䅁䅂䅁䅁䅍䅚䅁䅁䅯䅘䅁䅁䅯睄䅁䅁䅕䅁䅁䭁時欵䉁䅁䅁允䅁䅁䅕潦倶浆䵣穧䴸䅉䅅䅁䕁䅁䅁睁歂䅁䅁权捂䅁䅁权䕁䅁䅁兂䅁䅁䅁䙧洯䅑䅅䅁䉁䅁䅁兂㝂䭆䠵場⭯䅑杷允䅁䅁䅑䅁䑁䝁䅑䅁䭁佁䅫䅁䭁䅁䅳䅁䙁䅁䅁䅁权⭘䅚允䅁䅁䅅䅁䙁偁潙䥘䌸捷䅚䍄䉁䅁䅁䅂䅁䅁䅍䅚䅁䅁䅯䅁䅁䅁䅯睃䅁䅁䅕䅁䅁䭁時欵䉁䅁䅁允䅁䅁䅕椹捨な剉䕰䵁䅉䅅䅁䙁䅁䅁睁歂䅁䅁权歁允䅁权䕁䅁䅁兂䅁䅁䅁䕉浶䅑䅯䅊䅁䅁䅅䅁䉁䅁䅁兂桄桥畓穒〱䅑杷允䅁䅁䅕䅁䑁䝁䅑䅁䭁䵁䅧䅁䭁䅁䅅䅁䙁䅁䅁䅁权⭘䅚权歁䅁䅁允䅁䅁䅅䅁䙁䑁䔱㍯佳祡䉊䍄䉁䅁䅁兂䅁䅁䅍䅚䅁䅁䅯儲䅁䅁䅯允䅁䅁䅕䅁䅁䭁時欵䭁䍁䅑䅁䉁䅁䅁允䅁䅁䅕㑎䉬䥙稳〯䵁䅉䅅䅁䕁䅁䅁睁歂䅁䅁权䩁䅁䅁权䕁䅁䅁兂䅁䅁䅁䙧洯䅑䅅䅁䉁䅁䅁兂㝁啁䔲啄䭤䅑杷允䅁䅁䅑䅁䑁䝁䅑䅁䭁䉁䅙䅁䭁䅁䅅䅁䙁䅁䅁䅁权⭘䅚允䅁䅁䅅䅁䙁偁汩瑦唵䕙䅂䍄䉁䅁䅁䅂䅁䅁䅍䅚䅁䅁䅯权䅁䅁䅯睋䅁䅁䅯杖䅁䅁䅅䅁䉁䅁䅁兂㥂畬䉦戳眰䅑杷允䅁䅁䅑䅁䑁䝁䅑䅁䭁䡁䅁䅁䭁䅁䅳䅁䙁䅁䅁䅁权⭘䅚允䅁䅁䅅䅁䙁乁橥䑣䬰奣䄵䍄䉁䅁䅁兂䅁䅁䅍䅚䅁䅁䅯眷䅁䅁䅯允䅁䅁䅕䅁䅁䭁時欵䭁䍁䅑䅁䉁䅁䅁允䅁䅁䅕䑬啍穤票ぶ䵁䅉䅅䅁䕁䅁䅁睁歂䅁䅁权睂䅁䅁权䉁䅁䅁权汃䅁䅁允䅁䅁䅅䅁䙁䍁䝕婧䑖奥䅚䍄䉁䅁䅁兂䅁䅁䅍䅚䅁䅁䅯眰䅁䅁䅯䅂䅁䅁䅕䅁䅁䅁䱂欵䭁䍁䅑䅁䉁䅁䅁允䅁䅁䅕䬲桗噯⭰啘䵁䅉䅅䅁䙁䅁䅁睁歂䅁䅁权乄䅁䅁权䕁䅁䅁兂䅁䅁䅁䙧洯䅑䅯䅊䅁䅁䅅䅁䉁䅁䅁兂灁䥘䌯圹煨䅑杷允䅁䅁䅑䅁䑁䝁䅑䅁䭁䡁䅁䅁䭁䅁䅑䅁䙁䅁䅁䅁䅃⭘䅚允䅁䅁䅅䅁䙁䡁㥅瑃橥䕕䅎䍄䉁䅁䅁兂䅁䅁䅍䅚䅁䅁䅯䄷䅁䅁䅯䅂䅁䅁䅕䅁䅁䥁時欵䭁䍁䅑䅁䉁䅁䅁允䅁䅁䅕䡰㥁瑃橣啓䵁䅉䅅䅁䕁䅁䅁睁歂䅁䅁权䑁䅁䅁权䱁䅁䅁兂䅁䅁䅁䙯洯䅑䅅䅁䉁䅁䅁兂塄㍯㥁潃㤹䅑杷允䅁䅁䅑䅁䑁䝁䅑䅁䭁䅁䅍䅁䭁䅁䅅䅁䭁䭁䅕䅁䉁䅁䅁允䅁䅁䅕丵兰啍㘶づ䵁䅉䅅䅁䕁䅁䅁睁歂䅁䅁权䑁䅁䅁权䕁䅁䅁兂䅁䅁䅁䙧洯䅑䅅䅁䉁䅁䅁兂畃⭒㙆䍆䠵䅑杷允䅁䅁䅕䅁䑁䝁䅑䅁䭁乁䅅䅁䭁䅁䅑䅁䙁䅁䅁䅁权⭘䅚权歁䅁䅁允䅁䅁䅅䅁䙁䑁䬰㘱睎啮䅒䍄䉁䅁䅁䅂䅁䅁䅍䅚䅁䅁䅯杅䅁䅁䅯䅂䅁䅁䅕䅁䅁䥁時欵䉁䅁䅁允䅁䅁䅕歲桦桥畒げ䵁䅉䅅䅁䕁䅁䅁睁歂䅁䅁权呁䅁䅁权偁䅁䅁兂䅁䅁䅁䙯洯䅑䅅䅁䉁䅁䅁兂䱄睅㝧慸灱睐杷允䅁䅁䅑䅁䑁䝁䅑䅁䭁䅁䅯䅁䭁䅁䅑䅁䙁䅁䅁䅁䅃⭘䅚允䅁䅁䅅䅁䙁䑁䬰㘱睎卶䅴䍄䉁䅁䅁兂䅁䅁䅍䅚䅁䅁䅯朸䅁䅁䅯䅂䅁䅁䅕䅁䅁䍁䱂欵䭁䍁䅑䅁䉁䅁䅁允䅁䅁䅕敨剴䉵嘶歗䵁䅉䅅䅁䕁䅁䅁睁歂䅁䅁权䵁䅁䅁权䉁䅁䅁权汃䅁䅁允䅁䅁䅅䅁䙁䵁䴳䵺䵺䝔䅬䍄䉁䅁䅁䅂䅁䅁䅍䅚䅁䅁䅯䅄䅁䅁䅯睄䅁䅁䅕䅁䅁䭁時欵䉁䅁䅁允䅁䅁䅕䥍睄啯䱒橵䴸䅉䅅䅁䙁䅁䅁睁歂䅁䅁权偄䅁䅁权䕁䅁䅁兂䅁䅁䅁䕉浶䅑䅯䅊䅁䅁䅅䅁䉁䅁䅁兂㑃潈牘敕卨䅑杷允䅁䅁䅑䅁䑁䝁䅑䅁䭁䅁䅫䅁䭁䅁䅅䅁䙁䅁䅁䅁权⭘䅚允䅁䅁䅅䅁䙁䩁䍗楢瀯坂䅤䍄䉁䅁䅁䅂䅁䅁䅍䅚䅁䅁䅯兂䅁䅁䅯睃䅁䅁䅕䅁䅁䭁時欵䉁䅁䅁允䅁䅁䅕㑈牘払䝪啚䵁䅉䅅䅁䙁䅁䅁睁歂䅁䅁权慂䅁䅁权䕁䅁䅁权硂䅁䅁权歁䅁䅁允䅁䅁䅅䅁䙁䱁敧敨剴䑗䅰䍄䉁䅁䅁兂䅁䅁䅍䅚䅁䅁䅯䅮䅁䅁䅯䅂䅁䅁䅕䅁䅁䥁時欵䭁䍁䅑䅁䉁䅁䅁允䅁䅁䅕灏䱌ㅦ浒唱䵁䅉䅅䅁䙁䅁䅁睁歂䅁䅁权慂䅁䅁权䕁䅁䅁权⽂䅁䅁权歁䅁䅁允䅁䅁䅅䅁䙁䡁䴶坵䩳呓䅰䍄䉁䅁䅁䅂䅁䅁䅍䅚䅁䅁䅯䅆䅁䅁䅯允䅁䅁䅕䅁䅁䭁時欵䉁䅁䅁允䅁䅁䅕〰椱久穩正䵁䅉䅅䅁䕁䅁䅁睁歂䅁䅁权橁允䅁权䱁䅁䅁兂䅁䅁䅁䙯洯䅑䅅䅁䉁䅁䅁兂䅁䅁䅁䅁噁䅑杷允䅁䅁䅕䅁䑁䝁䅑䅁䭁䙁䅕䅁䭁䅁䅑䅁䭁䙁䅧䅁䭁䍁䅑䅁䉁䅁䅁允䅁䅁䅕㜷㘫㥰婳〴䵁䅉䅅䅁䕁䅁䅁睁歂䅁䅁权奁䅁䅁权䉁䅁䅁兂䅁䅁䅁䙯洯䅑䅅䅁䉁䅁䅁兂い杆瘯奏坨䅑杷允䅁䅁䅕䅁䑁䝁䅑䅁䭁䙁䅕䅁䭁䅁䅑䅁䭁䡁䅕䅁䭁䍁䅑䅁䉁䅁䅁允䅁䅁䅕捕番祅灃䔵䵁䅉䅅䅁䙁䅁䅁睁歂䅁䅁权慂䅁䅁权䝂䅁䅁权杂䅁䅁权歁䅁䅁允䅁䅁䅅䅁䙁䅁䅁䅁䅁䅁䅁䍄䉁䅁䅁䅂䅁䅁䅍䅚䅁䅁䅯䅈䅁䅁䅯允䅁䅁䅕䅁䅁䭁時欵䉁䅁䅁允䅁䅁䅕䵳睶㕮灲䕳䵁䅉䅅䅁䕁䅁䅁睁歂䅁䅁权捁䅁䅁权䕁䅁䅁兂䅁䅁䅁䙧洯䅑䅅䅁䉁䅁䅁兂歃䑣䬰㘱李䅑杷允䅁䅁䅑䅁䑁䝁䅑䅁䭁䅁䄴䅁䭁䅁䅳䅁䙁䅁䅁䅁权⭘䅚允䅁䅁䅅䅁䙁䅁䅁䅁䅁潚䅬䍄䉁䅁䅁䅂䅁䅁䅍䅚䅁䅁䅯杄䅁䅁䅯睄䅁䅁䅕䅁䅁䭁時欵䉁䅁䅁允䅁䅁䅕䤹㝢䭹䨱穨䴸䅉䅅䅁䙁䅁䅁睁歂䅁䅁权佄䅁䅁权䉁䅁䅁兂䅁䅁䅁䙯洯䅑䅯䅊䅁䅁䅅䅁䉁䅁䅁兂扂獊硐㤱発䅑杷允䅁䅁䅑䅁䑁䝁䅑䅁䭁䅁䄴䅁䭁䅁䅑䅁䙁䅁䅁䅁䅃⭘䅚允䅁䅁䅅䅁䙁䉁畓⭒㙆䔹䄱䍄䉁䅁䅁兂䅁䅁䅍䅚䅁䅁䅯朸䅁䅁䅯䅂䅁䅁䅕䅁䅁䵁敂欵䭁䍁䅑䅁䉁䅁䅁允䅁䅁䅕瑃橥䑣愳し䵁䅉䅅䅁䙁䅁䅁睁歂䅁䅁权䩄䅁䅁权䕁䅁䅁兂䅁䅁䅁䙧洯䅑䅯䅊䅁䅁䅅䅁䉁䅁䅁兂塄㍯㥁獃塤䅑杷允䅁䅁䅕䅁䑁䝁䅑䅁䭁䵁䅯䅁䭁䅁䅑䅁䙁䅁䅁䅁权⭘䅚权歁䅁䅁允䅁䅁䅅䅁䙁乁橥䑣䬰㉶䅆䍄䉁䅁䅁兂䅁䅁䅍䅚䅁䅁䅯朲䅁䅁䅯允䅁䅁䅕䅁䅁䭁時欵䭁䍁䅑䅁䉁䅁䅁允䅁䅁䅕杴㔹穹㡚䔰䵁䅉䅅䅁䕁䅁䅁睁歂䅁䅁权扁䅁䅁权牁䅁䅁权坂䅁䅁允䅁䅁䅅䅁䙁䩁港硔噶吳䄱䍄䉁䅁䅁䅂䅁䅁䅍䅚䅁䅁䅯睇䅁䅁䅯睄䅁䅁䅕䅁䅁䭁時欵䉁䅁䅁允䅁䅁䅕㙫塧䩦呱穵䴸䅉䅅䅁䙁䅁䅁睁歂䅁䅁权㉃䅁䅁权䕁䅁䅁兂䅁䅁䅁䙧洯䅑䅯䅊䅁䅁䅅䅁䉁䅁䅁兂䙃ㄶ㑇杈睆䅑杷允䅁䅁䅑䅁䑁䝁䅑䅁䭁䅁䄴䅁䭁䍁䅫䅁䙁䅁䅁䅁权⭘䅚允䅁䅁䅅䅁䙁䡁乑積敓䕦䄱䍄䉁䅁䅁兂䅁䅁䅍䅚䅁䅁䅯䅓䅁䅁䅯䅂䅁䅁䅯兢䅁䅁䅯䅊䅁䅁䅅䅁䉁䅁䅁兂䅁䅁䅁䅁⭂䅑杷允䅁䅁䅑䅁䑁䝁䅑䅁䭁䙁䅯䅁䭁䅁䅑䅁䭁䝁䅧䅁䉁䅁䅁允䅁䅁䅕体㙆䭆渷ぎ䵁䅉䅅䅁䕁䅁䅁睁歂䅁䅁权捁䅁䅁权牁䅁䅁兂䅁䅁䅁䙧洯䅑䅅䅁䉁䅁䅁兂佁偍摍䘯䅰䅑杷允䅁䅁䅑䅁䑁䝁䅑䅁䭁䅁䄴䅁䭁䍁䅳䅁䙁䅁䅁䅁䅃⭘䅚允䅁䅁䅅䅁䙁䙁䘶䩬唹祡䅤䍄䉁䅁䅁兂䅁䅁䅍䅚䅁䅁䅯䅮䅁䅁䅯䅂䅁䅁䅯睭䅁䅁䅯䅊䅁䅁䅅䅁䉁䅁䅁兂穄㥈癊㍬啄䅑杷允䅁䅁䅕䅁䑁䝁䅑䅁䭁䱁䅷䅁䭁䅁䅑䅁䙁䅁䅁䅁䅄畘䅚权歁䅁䅁允䅁䅁䅅䅁䙁䭁睒児塲䩇䅂䍄䉁䅁䅁䅂䅁䅁䅍䅚䅁䅁䅯䅈䅁䅁䅯睋䅁䅁䅯杖䅁䅁䅅䅁䉁䅁䅁兂㥄兌㑈㕰癷䅑杷允䅁䅁䅕䅁䑁䝁䅑䅁䭁䵁䅅䅁䭁䅁䅑䅁䙁䅁䅁䅁䅄畘䅚权歁䅁䅁允䅁䅁䅅䅁䙁䱁偙䜲䥇湙䅎䍄䉁䅁䅁兂䅁䅁䅍䅚䅁䅁䅯睷䅁䅁䅯䅂䅁䅁䅕䅁䅁䍁䱂欵䭁䍁䅑䅁䉁䅁䅁允䅁䅁䅕㘱睎児湰䕘䵁䅉䅅䅁䕁䅁䅁睁歂䅁䅁权捁䅁䅁权牁䅁䅁权汃䅁䅁允䅁䅁䅅䅁䙁䝁瀲㝧敷䑣䄵䍄䉁䅁䅁䅂䅁䅁䅍䅚䅁䅁䅯权䅁䅁䅯睋䅁䅁䅕䅁䅁䭁時欵䉁䅁䅁允䅁䅁䅕䉔㍢㕈煫䕎䵁䅉䅅䅁䝁䅁䅁睁湂䅁䅁权呁䅁䅁权灁䅁䅁权坂䅁䅁兂䅁䅁䅁䙯洯䅑䅯䅊䅁䅁䅅䅁䉁䅁䅁兂䑄䱹㕹敇煑䅑杷允䅁䅁䅙䅁䑁䝁䅣䅁䭁䉁䅳䅁䭁䍁䅫䅁䭁䙁䅙䅁䙁䅁䅁䅁权⭘䅚权歁䅁䅁允䅁䅁䅅䅁䙁䕁䍤危灱穑䅒䍄䉁䅁䅁兂䅁䅁䅍䅚䅁䅁䅯䅮䅁䅁䅯䅂䅁䅁䅕䅁䅁佁摂欵䭁䍁䅑䅁䉁䅁䅁允䅁䅁䅕牕敧周堯䔱䵁䅉䅅䅁䙁䅁䅁睁歂䅁䅁权㍃䅁䅁权䕁䅁䅁兂䅁䅁䅁䙷洷䅑䅯䅊䅁䅁䅅䅁䉁䅁䅁兂䭁㘱睎奐数䅑杷允䅁䅁䅑䅁䑁䝁䅑䅁䭁䉁䄰䅁䭁䅁䅅䅁䭁䭁䅕䅁䉁䅁䅁允䅁䅁䅕敨剴䉵氶歔䵁䅉䅅䅁䙁䅁䅁睁歂䅁䅁权慂䅁䅁权䕁䅁䅁权扃䅁䅁权歁䅁䅁允䅁䅁䅅䅁䙁䡁啳歲桦橏䅸䍄䉁䅁䅁兂䅁䅁䅍䅚䅁䅁䅯䅖䅁䅁䅯䅂䅁䅁䅕䅁䅁佁摂欵䭁䍁䅑䅁䉁䅁䅁允䅁䅁䅕稯坧慺堸ぴ䵁䅉䅅䅁䙁䅁䅁睁歂䅁䅁权啂䅁䅁权䕁䅁䅁权扃䅁䅁权歁䅁䅁允䅁䅁䅅䅁䙁䭁䅶㈱楨䱫䅤䍄䉁䅁䅁兂䅁䅁䅍䅚䅁䅁䅯䅓䅁䅁䅯䅂䅁䅁䅯睤䅁䅁䅯䅊䅁䅁䅅䅁䉁䅁䅁兂塄㍯㥁楃⭤䅑杷允䅁䅁䅕䅁䑁䝁䅑䅁䭁乁䅳䅁䭁䅁䅅䅁䙁䅁䅁䅁权⭘䅚权歁䅁䅁允䅁䅁䅅䅁䙁䭁䕊㥓䘷⽉䅊䍄䉁䅁䅁兂䅁䅁䅍䅚䅁䅁䅯䅮䅁䅁䅯䅂䅁䅁䅕䅁䅁䍁摁欵䭁䍁䅑䅁䉁䅁䅁允䅁䅁䅕扭坵䡫畴䔰䵁䅉䅅䅁䙁䅁䅁睁歂䅁䅁权畄䅁䅁权䉁䅁䅁兂䅁䅁䅁䙯洯䅑䅯䅊䅁䅁䅅䅁䉁䅁䅁兂噃䄱潬猶噺䅑杷允䅁䅁䅕䅁䑁䝁䅑䅁䭁䙁䅯䅁䭁䕁䅙䅁䭁䝁䅍䅁䭁䍁䅑䅁䉁䅁䅁允䅁䅁䅕䅁䅁䅁䅁䅁䵁䅉䅅䅁䕁䅁䅁睁歂䅁䅁权慂䅁䅁权䕁䅁䅁权敂䅁䅁允䅁䅁䅅䅁䙁䩁汖䝩摎䑄䅨䍄䉁䅁䅁䅂䅁䅁䅍䅚䅁䅁䅯杗䅁䅁䅯䅂䅁䅁䅯杚䅁䅁䅅䅁䉁䅁䅁兂い䙢㥚湲㍙䅑杷允䅁䅁䅕䅁䑁䝁䅑䅁䭁䵁䅷䅁䭁䅁䅑䅁䙁䅁䅁䅁䅄畘䅚权歁䅁䅁允䅁䅁䅅䅁䙁䕁桪桥畓奺䅖䍄䉁䅁䅁兂䅁䅁䅍䅚䅁䅁䅯䄱䅁䅁䅯允䅁䅁䅕䅁䅁䭁時欵䭁䍁䅑䅁䉁䅁䅁允䅁䅁䅕祸㙫佌瑧啑䵅䅉䅅䅁䙁䅁䅁睁歂䅁䅁权啂䅁䅁权䕁䅁䅁权⽂䅁䅁权歁䅁䅁允䅁䅁䅅䅁䙁䡁桩⽘煹䰶䅚䍄䉁䅁䅁兂䅁䅁䅍䅚䅁䅁䅯䅶䅁䅁䅯䅂䅁䅁䅕䅁䅁䥁時欵䭁䍁䅑䅁䉁䅁䅁允䅁䅁䅕噋偹癷㙖な䵁䅉䅅䅁䙁䅁䅁睁歂䅁䅁权㑃䅁䅁权䕁䅁䅁兂䅁䅁䅁䙯洯䅑䅯䅊䅁䅁䅅䅁䉁䅁䅁兂䥂場啯畲㥤䅑杷允䅁䅁䅕䅁䑁䝁䅑䅁䭁䱁䅧䅁䭁䅁䅑䅁䙁䅁䅁䅁䅃⭘䅚权歁䅁䅁允䅁䅁䅅䅁䙁䕁桪桥畓㍆䄵䍄䉁䅁䅁兂䅁䅁䅍䅚䅁䅁䅯䅵䅁䅁䅯䅂䅁䅁䅕䅁䅁䵁敂欵䭁䍁䅑䅁䉁䅁䅁允䅁䅁䅕灭婭婭䡫䕧䵁䅉䅅䅁䙁䅁䅁睁歂䅁䅁权瑄䅁䅁权䕁䅁䅁兂䅁䅁䅁䙷洷䅑䅯䅊䅁䅁䅅䅁䉁䅁䅁兂灁䥘䌯儹偨䅑杷允䅁䅁䅕䅁䑁䝁䅑䅁䭁佁䄰䅁䭁䅁䅑䅁䙁䅁䅁䅁杁⭓䅚权歁䅁䅁允䅁䅁䅅䅁䙁佁㙆䭆䠵唴䅂䍄䉁䅁䅁兂䅁䅁䅍䅚䅁䅁䅯兴䅁䅁䅯䅂䅁䅁䅕䅁䅁䭁時欵䭁䍁䅑䅁䉁䅁䅁允䅁䅁䅕硥畓⭒㙆䕥䵁䅉䅅䅁䙁䅁䅁睁歂䅁䅁权ㅃ䅁䅁权䕁䅁䅁兂䅁䅁䅁䕉浶䅑䅯䅊䅁䅁䅅䅁䉁䅁䅁兂㝂䭆䠵挴㝰䅑杷允䅁䅁䅕䅁䑁䝁䅑䅁䭁佁䄴䅁䭁䅁䅑䅁䙁䅁䅁䅁权⭘䅚权歁䅁䅁允䅁䅁䅅䅁䙁䡁啳歲桦歭䅎䍄䉁䅁䅁兂䅁䅁䅍䅚䅁䅁䅯兹䅁䅁䅯䅂䅁䅁䅕䅁䅁䍁䱂欵䭁䍁䅑䅁䉁䅁䅁允䅁䅁䅕歲桦桥畔䕔䵁䅉䅅䅁䙁䅁䅁睁歂䅁䅁权塄䅁䅁权䕁䅁䅁兂䅁䅁䅁䕉浶䅑䅯䅊䅁䅁䅅䅁䉁䅁䅁兂䭄䑮㡢婕䙖䅑杷允䅁䅁䅕䅁䑁䝁䅑䅁䭁偁䅉䅁䭁䅁䅑䅁䙁䅁䅁䅁权⭘䅚权歁䅁䅁允䅁䅁䅅䅁䙁偁潙䥘䌯噖䅰䍄䉁䅁䅁兂䅁䅁䅍䅚䅁䅁䅯具䅁䅁䅯允䅁䅁䅕䅁䅁䭁時欵䭁䍁䅑䅁䉁䅁䅁允䅁䅁䅕歐入䬯㍶䕆䵅䅉䅅䅁䙁䅁䅁睁歂䅁䅁权硄䅁䅁权䕁䅁䅁兂䅁䅁䅁䙯洯䅑䅯䅊䅁䅁䅅䅁䉁䅁䅁兂䭁㘱睎婐潰䅑杷允䅁䅁䅕䅁䑁䝁䅑䅁䭁乁䅁䅁䭁䅁䅑䅁䙁䅁䅁䅁䅃⭘䅚权歁䅁䅁允䅁䅁䅅䅁䙁䝁浚浚浚洵䅨䍄䉁䅁䅁兂䅁䅁䅍䅚䅁䅁䅯儸䅁䅁䅯䅂䅁䅁䅕䅁䅁䍁䱂欵䭁䍁䅑䅁䉁䅁䅁允䅁䅁䅕䥘䌯匹獨止䵁䅉䅅䅁䙁䅁䅁睁歂䅁䅁权䥂䅁䅁权䕁䅁䅁权求䅁䅁权歁䅁䅁允䅁䅁䅅䅁䙁䅁䅁䅁䅁䡄䅸䍄䉁䅁䅁兂䅁䅁䅍䅚䅁䅁䅯儳䅁䅁䅯䅂䅁䅁䅕䅁䅁䭁時欵䭁䍁䅑䅁䉁䅁䅁允䅁䅁䅕噋偹癷啖䕤䵁䅉䅅䅁䙁䅁䅁睁歂䅁䅁权䥂䅁䅁权䕁䅁䅁权療䅁䅁权歁䅁䅁允䅁䅁䅅䅁䙁䉁畓⭒㙆䡳䄱䍄䉁䅁䅁兂䅁䅁䅍䅚䅁䅁䅯䅖䅁䅁䅯䅂䅁䅁䅯党䅁䅁䅯䅊䅁䅁䅅䅁䉁䅁䅁兂剄慗砰佫か䅑杷允䅁䅁䅕䅁䑁䝁䅑䅁䭁䵁䄸䅁䭁䅁䅑䅁䙁䅁䅁䅁权⭘䅚权歁䅁䅁允䅁䅁䅅䅁䙁䵁䴳䵺䵺䝌䅆䍄䉁䅁䅁兂䅁䅁䅍䅚䅁䅁䅯兺䅁䅁䅯䅂䅁䅁䅕䅁䅁䵁敂欵䭁䍁䅑䅁䉁䅁䅁允䅁䅁䅕硥畓⭒慆歡䵁䅉䅅䅁䙁䅁䅁睁歂䅁䅁权㍃䅁䅁权䕁䅁䅁兂䅁䅁䅁䙧洯䅑䅯䅊䅁䅁䅅䅁䉁䅁䅁兂獄払敧慨整䅑杷允䅁䅁䅕䅁䑁䝁䅑䅁䭁䱁䅣䅁䭁䅁䅑䅁䙁䅁䅁䅁权⭘䅚权歁䅁䅁允䅁䅁䅅䅁䙁䵁䴳䵺䵺䙈䄵䍄䉁䅁䅁兂䅁䅁䅍䅚䅁䅁䅯杸䅁䅁䅯䅂䅁䅁䅕䅁䅁䭁時欵䭁䍁䅑䅁䉁䅁䅁允䅁䅁䅕㘱睎児⽰啚䵁䅉䅅䅁䙁䅁䅁睁歂䅁䅁权䝄䅁䅁权䕁䅁䅁兂䅁䅁䅁䕉浶䅑䅯䅊䅁䅁䅅䅁䉁䅁䅁兂獄払敧敨慴䅑杷允䅁䅁䅕䅁䑁䝁䅑䅁䭁乁䅅䅁䭁䅁䅑䅁䙁䅁䅁䅁䅃⭘䅚权歁䅁䅁允䅁䅁䅅䅁䙁䡁啳歲桦欲䅖䍄䉁䅁䅁兂䅁䅁䅍䅚䅁䅁䅯䅖䅁䅁䅯䅂䅁䅁䅯督䅁䅁䅯䅊䅁䅁䅅䅁䉁䅁䅁兂䙂啦硥剚㉃䅑杷允䅁䅁䅕䅁䑁䝁䅑䅁䭁乁䅫䅁䭁䅁䅑䅁䙁䅁䅁䅁杁⭓䅚权歁䅁䅁允䅁䅁䅅䅁䙁䉁䘫ㄶ㑇浶䅚䍄䉁䅁䅁兂䅁䅁䅍䅚䅁䅁䅯䅖䅁䅁䅯䅂䅁䅁䅯兣䅁䅁䅯䅊䅁䅁䅅䅁䉁䅁䅁兂䝂潩乗䱃㉥䅑杷允䅁䅁䅕䅁䑁䝁䅑䅁䭁䵁䅉䅁䭁䅁䅑䅁䙁䅁䅁䅁权⭘䅚权歁䅁䅁允䅁䅁䅅䅁䙁䙁偹癷潕䝴䅬䍄䉁䅁䅁兂䅁䅁䅍䅚䅁䅁䅯䄳䅁䅁䅯䅂䅁䅁䅕䅁䅁䭁時欵䭁䍁䅑䅁䉁䅁䅁允䅁䅁䅕䅁䅁䅁䥄と䵁䅉䅅䅁䙁䅁䅁睁歂䅁䅁权䍄䅁䅁权䕁䅁䅁兂䅁䅁䅁䙷洷䅑䅯䅊䅁䅁䅅䅁䉁䅁䅁兂啁歲桦潥牒䅑杷允䅁䅁䅕䅁䑁䝁䅑䅁䭁䵁䅳䅁䭁䅁䅑䅁䙁䅁䅁䅁权⭘䅚权歁䅁䅁允䅁䅁䅅䅁䙁䩁婱婭婭圸䅂䍄䉁䅁䅁兂䅁䅁䅍䅚䅁䅁䅯朲䅁䅁䅯䅂䅁䅁䅕䅁䅁䵁敂欵䭁䍁䅑䅁䉁䅁䅁允䅁䅁䅕敨剴䉵氶こ䵁䅉䅅䅁䙁䅁䅁睁歂䅁䅁权慄䅁䅁权䕁䅁䅁兂䅁䅁䅁䕉浶䅑䅯䅊䅁䅁䅅䅁䉁䅁䅁兂塄㍯㥁牃佤䅑杷允䅁䅁䅕䅁䑁䝁䅑䅁䭁佁䄸䅁䭁䅁䅑䅁䙁䅁䅁䅁权⭘䅚权歁䅁䅁允䅁䅁䅅䅁䙁䝁浚浚浚橰䅤䍄䉁䅁䅁兂䅁䅁䅍䅚䅁䅁䅯䅖䅁䅁䅯䅂䅁䅁䅯杤䅁䅁䅯䅊䅁䅁䅅䅁䉁䅁䅁兂䵃䅘䑈偂ㅱ䅑杷允䅁䅁䅕䅁䑁䝁䅑䅁䭁佁䄸䅁䭁䅁䅑䅁䙁䅁䅁䅁杁⭓䅚权歁䅁䅁允䅁䅁䅅䅁䙁偁潙䥘䌯吹䅴䍄䉁䅁䅁兂䅁䅁䅍䅚䅁䅁䅯杹䅁䅁䅯䅂䅁䅁䅕䅁䅁䥁時欵䭁䍁䅑䅁䉁䅁䅁允䅁䅁䅕䅁䅁䅁杁歙䵁䅉䅅䅁䙁䅁䅁睁歂䅁䅁权䭄䅁䅁权䕁䅁䅁兂䅁䅁䅁䕉浶䅑䅯䅊䅁䅁䅅䅁䉁䅁䅁兂桄桥畓㡒杬䅑杷允䅁䅁䅕䅁䑁䝁䅑䅁䭁乁䅁䅁䭁䅁䅑䅁䙁䅁䅁䅁䅄畘䅚权歁䅁䅁允䅁䅁䅅䅁䙁䑁䬰㘱睎坦䅬䍄䉁䅁䅁兂䅁䅁䅍䅚䅁䅁䅯杴䅁䅁䅯䅂䅁䅁䅕䅁䅁䵁敂欵䭁䍁䅑䅁䉁䅁䅁允䅁䅁䅕椹捨㡪摌止䵁䅉䅅䅁䙁䅁䅁睁歂䅁䅁权㉃䅁䅁权䕁䅁䅁兂䅁䅁䅁䕉浶䅑䅯䅊䅁䅁䅅䅁䉁䅁䅁兂㝂䭆䠵昴獰䅑杷允䅁䅁䅕䅁䑁䝁䅑䅁䭁乁䅍䅁䭁䅁䅑䅁䙁䅁䅁䅁权⭘䅚权歁䅁䅁允䅁䅁䅅䅁䙁䝁礱䬫呓浫䅖䍄䉁䅁䅁兂䅁䅁䅍䅚䅁䅁䅯睹䅁䅁䅯䅂䅁䅁䅕䅁䅁䥁時欵䭁䍁䅑䅁䉁䅁䅁允䅁䅁䅕䡰㥁瑃呤啙䵁䅉䅅䅁䙁䅁䅁睁歂䅁䅁权捄䅁䅁权䕁䅁䅁兂䅁䅁䅁䕉浶䅑䅯䅊䅁䅁䅅䅁䉁䅁䅁兂硂児塲㙯䙩䅑杷允䅁䅁䅕䅁䑁䝁䅑䅁䭁乁䄴䅁䭁䅁䅑䅁䙁䅁䅁䅁䅄畘䅚权歁䅁䅁允䅁䅁䅅䅁䙁䝁浚浚浚汆䅆䍄䉁䅁䅁兂䅁䅁䅍䅚䅁䅁䅯朳䅁䅁䅯䅂䅁䅁䅕䅁䅁䍁䱂欵䭁䍁䅑䅁䉁䅁䅁允䅁䅁䅕捺䵺䵺捹し䵁䅉䅅䅁䙁䅁䅁睁歂䅁䅁权䑄䅁䅁权䕁䅁䅁兂䅁䅁䅁䙯洯䅑䅯䅊䅁䅁䅅䅁䉁䅁䅁兂畃⭒㙆䱆戵䅑杷允䅁䅁䅕䅁䑁䝁䅑䅁䭁䵁䅍䅁䭁䅁䅑䅁䙁䅁䅁䅁䅃⭘䅚权歁䅁䅁允䅁䅁䅅䅁䙁䅁䅁䅁䅁䙯䅸䍄䉁䅁䅁兂䅁䅁䅍䅚䅁䅁䅯睷䅁䅁䅯䅂䅁䅁䅕䅁䅁䵁敂欵䭁䍁䅑䅁䉁䅁䅁允䅁䅁䅕㘱睎児塲䕘䵁䅉䅅䅁䙁䅁䅁睁歂䅁䅁权䅄䅁䅁权䕁䅁䅁兂䅁䅁䅁䙯洯䅑䅯䅊䅁䅁䅅䅁䉁䅁䅁兂浂浚浚桚塚䅑杷允䅁䅁䅕䅁䑁䝁䅑䅁䭁䵁䅁䅁䭁䅁䅑䅁䙁䅁䅁䅁杁⭓䅚权歁䅁䅁允䅁䅁䅅䅁䙁䙁㑋潈牘噯䅴䍄䉁䅁䅁兂䅁䅁䅍䅚䅁䅁䅯眱䅁䅁䅯䅂䅁䅁䅕䅁䅁䭁時欵䭁䍁䅑䅁䉁䅁䅁允䅁䅁䅕樱䝫䍚洸啒䵁䅉䅅䅁䙁䅁䅁睁歂䅁䅁权塄䅁䅁权䕁䅁䅁兂䅁䅁䅁䙷洷䅑䅯䅊䅁䅁䅅䅁䉁䅁䅁兂㑄祚眹ㅳ䙤䅑杷允䅁䅁䅕䅁䑁䝁䅑䅁䭁䱁䅫䅁䭁䅁䅑䅁䙁䅁䅁䅁䅄畘䅚权歁䅁䅁允䅁䅁䅅䅁䙁䭁睒児塲ㅉ䅴䍄䉁䅁䅁兂䅁䅁䅍䅚䅁䅁䅯兵䅁䅁䅯䅂䅁䅁䅕䅁䅁䍁䱂欵䭁䍁䅑䅁䉁䅁䅁允䅁䅁䅕瑃橥䑣䬰啖䵁䅉䅅䅁䙁䅁䅁睁歂䅁䅁权坄䅁䅁权䕁䅁䅁兂䅁䅁䅁䕉浶䅑䅯䅊䅁䅁䅅䅁䉁䅁䅁兂歃䑣䬰稱橎䅑杷允䅁䅁䅕䅁䑁䝁䅑䅁䭁乁䅳䅁䭁䅁䅑䅁䙁䅁䅁䅁䅄畘䅚权歁䅁䅁允䅁䅁䅅䅁䙁䅁䅁䅁䅁䡙䄵䍄䉁䅁䅁兂䅁䅁䅍䅚䅁䅁䅯眲䅁䅁䅯䅂䅁䅁䅕䅁䅁䍁䱂欵䭁䍁䅑䅁䉁䅁䅁允䅁䅁䅕椹捨㡪噊武䵁䅉䅅䅁䙁䅁䅁睁歂䅁䅁权ㅃ䅁䅁权䉁䅁䅁兂䅁䅁䅁䙯洯䅑䅯䅊䅁䅁䅅䅁䉁䅁䅁兂浃㡭村䝳䕁兑杷允䅁䅁䅕䅁䑁䝁䅑䅁䭁偁䅉䅁䭁䅁䅅䅁䙁䅁䅁䅁权⭘䅚权歁䅁䅁允䅁䅁䅅䅁䙁乁汸㡶儷杲䉂䍄䉁䅁䅁兂䅁䅁䅍䅚䅁䅁䅯杗䅁䅁䅯䅂䅁䅁䅯杘䅁䅁䅯䅊䅁䅁䅅䅁䉁䅁䅁兂噃奚橨兘㑷䅑杷允䅁䅁䅕䅁䑁䝁䅑䅁䭁偁䅅䅁䭁䅁䅅䅁䙁䅁䅁䅁权⭘䅚权歁䅁䅁允䅁䅁䅅䅁䙁䵁漳㡒䵎畏䅬䍄䉁䅁䅁兂䅁䅁䅍䅚䅁䅁䅯兖䅁䅁䅯䅂䅁䅁䅯兣䅁䅁䅯䅊䅁䅁䅅䅁䉁䅁䅁兂扄剚晃⬫欳䅑杷允䅁䅁䅕䅁䑁䝁䅑䅁䭁䵁䄸䅁䭁䅁䅅䅁䙁䅁䅁䅁权⭘䅚权歁䅁䅁允䅁䅁䅅䅁䙁佁汶㥤癰桹䉎䍄䉁䅁䅁兂䅁䅁䅍䅚䅁䅁䅯兺䅁䅁䅯允䅁䅁䅕䅁䅁䭁時欵䭁䍁䅑䅁䉁䅁䅁允䅁䅁䅕灳瘳㥰ㅲ䔸䵁䅉䅅䅁䙁䅁䅁睁歂䅁䅁权㍃䅁䅁权䉁䅁䅁兂䅁䅁䅁䙯洯䅑䅯䅊䅁䅁䅅䅁䉁䅁䅁兂祄䙥⭰啵欯䅑杷允䅁䅁䅕䅁䑁䝁䅑䅁䭁䵁䅉䅁䭁䅁䅅䅁䙁䅁䅁䅁权⭘䅚权歁䅁䅁允䅁䅁䅅䅁䙁䍁㑙夹㙇乡䅂䍄䉁䅁䅁兂䅁䅁䅍䅚䅁䅁䅯儱䅁䅁䅯允䅁䅁䅕䅁䅁䭁時欵䭁䍁䅑䅁䉁䅁䅁允䅁䅁䅕汐祸䤳の欵䵁䅉䅅䅁䙁䅁䅁睁歂䅁䅁权兄䅁䅁权䉁䅁䅁兂䅁䅁䅁䙯洯䅑䅯䅊䅁䅁䅅䅁䉁䅁䅁兂摂欯䍏㉶䝊兑杷允䅁䅁䅕䅁䑁䝁䅑䅁䭁乁䄴䅁䭁䅁䅅䅁䙁䅁䅁䅁权⭘䅚权歁䅁䅁允䅁䅁䅅䅁䙁乁楅⼲浬敓䅸䍄䉁䅁䅁兂䅁䅁䅍䅚䅁䅁䅯䅷䅁䅁䅯允䅁䅁䅕䅁䅁䭁時欵䭁䍁䅑䅁䉁䅁䅁允䅁䅁䅕婦浏內剖䔯䵁䅉䅅䅁䙁䅁䅁睁歂䅁䅁权塄䅁䅁权䉁䅁䅁兂䅁䅁䅁䙯洯䅑䅯䅊䅁䅁䅅䅁䉁䅁䅁兂坁㘷䨹䡮睘䅑杷允䅁䅁䅕䅁䑁䝁䅑䅁䭁䙁䅑䅁䭁䅁䅑䅁䭁</t>
  </si>
  <si>
    <t>䙁䅧䅁䭁䍁䅑䅁䉁䅁䅁允䅁䅁䅕䕪偕塪啴啴䵁䅉䅅䅁䙁䅁䅁睁歂䅁䅁权啂䅁䅁权䕁䅁䅁权塂䅁䅁权歁䅁䅁允䅁䅁䅅䅁䙁䩁䵘牧眰㝶䅖䍄䉁䅁䅁兂䅁䅁䅍䅚䅁䅁䅯兖䅁䅁䅯䅂䅁䅁䅯睖䅁䅁䅯䅊䅁䅁䅅䅁䉁䅁䅁兂瑃㉹㥩稫橮䅑杷允䅁䅁䅕䅁䑁䝁䅑䅁䭁䙁䅕䅁䭁䅁䅑䅁䭁䝁䅕䅁䭁䍁䅑䅁䉁䅁䅁允䅁䅁䅕⬯娹卖湨〴䵁䅉䅅䅁䙁䅁䅁睁歂䅁䅁权啂䅁䅁权䕁䅁䅁权㑂䅁䅁权歁䅁䅁允䅁䅁䅅䅁䙁乁㌰硑煍䰴䅒䍄䉁䅁䅁兂䅁䅁䅍䅚䅁䅁䅯兖䅁䅁䅯䅂䅁䅁䅯䅥䅁䅁䅯䅊䅁䅁䅅䅁䉁䅁䅁兂乃洷汅啍橮䅑杷允䅁䅁䅕䅁䑁䝁䅑䅁䭁䕁䅧䅁䭁䅁䅑䅁䭁䡁䅍䅁䭁䍁䅑䅁䉁䅁䅁允䅁䅁䅕䉵䘶ㄶ䕈啦䵁䅉䅅䅁䙁䅁䅁睁歂䅁䅁权䥂䅁䅁权䕁䅁䅁权㕂䅁䅁权歁䅁䅁允䅁䅁䅅䅁䙁乁橥䑣䬰㍃䅸䍄䉁䅁䅁兂䅁䅁䅍䅚䅁䅁䅯兖䅁䅁䅯䅂䅁䅁䅯入䅁䅁䅯䅊䅁䅁䅅䅁䉁䅁䅁兂䉃㙓佷扌橐䅑杷允䅁䅁䅕䅁䑁䝁䅑䅁䭁䕁䅧䅁䭁䅁䅑䅁䭁䡁䅙䅁䭁䍁䅑䅁䉁䅁䅁允䅁䅁䅕児塲㍯ㅃ啦䵁䅉䅅䅁䙁䅁䅁睁歂䅁䅁权噂䅁䅁权䕁䅁䅁权㉂䅁䅁权歁䅁䅁允䅁䅁䅅䅁䙁䩁䉸副㕫畎䅒䍄䉁䅁䅁兂䅁䅁䅍䅚䅁䅁䅯䅖䅁䅁䅯䅂䅁䅁䅯睤䅁䅁䅯䅊䅁䅁䅅䅁䉁䅁䅁兂歁摚睁䕪㉡䅑杷允䅁䅁䅕䅁䑁䝁䅑䅁䭁䕁䅧䅁䭁䅁䅑䅁䭁䡁䅕䅁䭁䍁䅑䅁䉁䅁䅁允䅁䅁䅕䅁䅁䅁獂武䵁䅉䅅䅁䙁䅁䅁睁歂䅁䅁权啂䅁䅁权䕁䅁䅁权㙂䅁䅁权歁䅁䅁允䅁䅁䅅䅁䙁偁挰塒剕㝤䅚䍄䉁䅁䅁兂䅁䅁䅍䅚䅁䅁䅯杗䅁䅁䅯䅂䅁䅁䅯兢䅁䅁䅯䅊䅁䅁䅅䅁䉁䅁䅁兂㑃潈牘晕㑧䅑杷允䅁䅁䅕䅁䑁䝁䅑䅁䭁䙁䅯䅁䭁䅁䅑䅁䭁䡁䅙䅁䭁䍁䅑䅁䉁䅁䅁允䅁䅁䅕䵣䤶琰朶䕏䵁䅉䅅䅁䙁䅁䅁睁歂䅁䅁权慂䅁䅁权䕁䅁䅁权㙂䅁䅁权歁䅁䅁允䅁䅁䅅䅁䙁䱁䵍慣䱹穩䅬䍄䉁䅁䅁兂䅁䅁䅍䅚䅁䅁䅯䅖䅁䅁䅯䅂䅁䅁䅯兡䅁䅁䅯䅊䅁䅁䅅䅁䉁䅁䅁兂䭂祸䘵婔ㅋ䅑杷允䅁䅁䅕䅁䑁䝁䅑䅁䭁䙁䅕䅁䭁䅁䅑䅁䭁䝁䅫䅁䭁䍁䅑䅁䉁䅁䅁允䅁䅁䅕捍楉汗确〴䵁䅉䅅䅁䙁䅁䅁睁歂䅁䅁权䉄䅁䅁权䕁䅁䅁兂䅁䅁䅁䕁浶䅑䅯䅊䅁䅁䅅䅁䉁䅁䅁兂䩂扅祆䭮畖䅑杷允䅁䅁䅕䅁䑁䝁䅑䅁䭁乁䅍䅁䭁䅁䅑䅁䙁䅁䅁䅁权畘䅚权歁䅁䅁允䅁䅁䅅䅁䙁䵁婂灓呙䝵䅒</t>
  </si>
  <si>
    <t>As of 2025-05-08</t>
  </si>
  <si>
    <t>Holdings Are Subject To Change</t>
  </si>
  <si>
    <t>Company Name</t>
  </si>
  <si>
    <t>% of Net Assets</t>
  </si>
  <si>
    <t>EURO</t>
  </si>
  <si>
    <t>KOREAN WON</t>
  </si>
  <si>
    <t>CANADIAN DOLLAR</t>
  </si>
  <si>
    <t>TAIWAN DOLLAR</t>
  </si>
  <si>
    <t>Cash</t>
  </si>
  <si>
    <t xml:space="preserve"> </t>
    <phoneticPr fontId="24" type="noConversion"/>
  </si>
  <si>
    <t>AGIX</t>
    <phoneticPr fontId="31"/>
  </si>
  <si>
    <t>YTD</t>
    <phoneticPr fontId="31"/>
  </si>
  <si>
    <t>3M Return</t>
    <phoneticPr fontId="31"/>
  </si>
  <si>
    <t>Return since ChatGPT Launch</t>
    <phoneticPr fontId="31"/>
  </si>
  <si>
    <t>Return since GPT-4 Launch</t>
    <phoneticPr fontId="31"/>
  </si>
  <si>
    <t>Return since AGIX ETF Launch</t>
    <phoneticPr fontId="31"/>
  </si>
  <si>
    <t>3M Price</t>
    <phoneticPr fontId="24" type="noConversion"/>
  </si>
  <si>
    <t>2025/7/17</t>
    <phoneticPr fontId="31"/>
  </si>
  <si>
    <t>2025/4/17</t>
    <phoneticPr fontId="31"/>
  </si>
  <si>
    <t>Close</t>
    <phoneticPr fontId="31"/>
  </si>
  <si>
    <t>3M Price</t>
    <phoneticPr fontId="31"/>
  </si>
  <si>
    <t>ChatGPT Launch Price</t>
    <phoneticPr fontId="31"/>
  </si>
  <si>
    <t>2022/11/30</t>
    <phoneticPr fontId="31"/>
  </si>
  <si>
    <t>Launch Day Open</t>
    <phoneticPr fontId="31"/>
  </si>
  <si>
    <t>2024/7/18</t>
    <phoneticPr fontId="31"/>
  </si>
  <si>
    <t>Yearly High</t>
    <phoneticPr fontId="31"/>
  </si>
  <si>
    <t>QQQ</t>
    <phoneticPr fontId="24" type="noConversion"/>
  </si>
  <si>
    <t>S&amp;P 500</t>
    <phoneticPr fontId="24" type="noConversion"/>
  </si>
  <si>
    <t>DowJones</t>
    <phoneticPr fontId="24" type="noConversion"/>
  </si>
  <si>
    <t>GPT4 Launch Price</t>
    <phoneticPr fontId="31"/>
  </si>
  <si>
    <t>2023/3/14</t>
    <phoneticPr fontId="31"/>
  </si>
  <si>
    <t>/</t>
    <phoneticPr fontId="31"/>
  </si>
  <si>
    <t>Yearly Low</t>
    <phoneticPr fontId="31"/>
  </si>
  <si>
    <t>^SPX</t>
    <phoneticPr fontId="24" type="noConversion"/>
  </si>
  <si>
    <t>NasdaqGM:QQQ</t>
    <phoneticPr fontId="24" type="noConversion"/>
  </si>
  <si>
    <t>QQQ</t>
    <phoneticPr fontId="31"/>
  </si>
  <si>
    <t>^SPX</t>
    <phoneticPr fontId="31"/>
  </si>
  <si>
    <t>^DJI</t>
    <phoneticPr fontId="31"/>
  </si>
  <si>
    <t>Roundhill Generative Al &amp; Technology ETF</t>
    <phoneticPr fontId="24" type="noConversion"/>
  </si>
  <si>
    <t>Roundhill Generative Al &amp; Technology ETF (CHAT)</t>
    <phoneticPr fontId="31"/>
  </si>
  <si>
    <t>Global X Artificial Intelligence &amp; Technology ETF</t>
    <phoneticPr fontId="24" type="noConversion"/>
  </si>
  <si>
    <t>Global X Artificial Intelligence &amp; Technology ETF (AIQ)</t>
    <phoneticPr fontId="31"/>
  </si>
  <si>
    <t>Global X Robotics &amp; Artificial Intelligence ETF</t>
    <phoneticPr fontId="24" type="noConversion"/>
  </si>
  <si>
    <t>Global X Robotics &amp; Artificial Intelligence ETF (BOTZ)</t>
    <phoneticPr fontId="31"/>
  </si>
  <si>
    <t>Wisdomtree Artificial Intelligence And Innovation Fund</t>
    <phoneticPr fontId="24" type="noConversion"/>
  </si>
  <si>
    <t>Wisdomtree Artificial Intelligence And Innovation Fund (WTAI)</t>
    <phoneticPr fontId="31"/>
  </si>
  <si>
    <t>iShares Robotics and Artificial Intelligence Multisector ETF</t>
    <phoneticPr fontId="24" type="noConversion"/>
  </si>
  <si>
    <t>iShares Robotics and Artificial Intelligence Multisector ETF (ARTY)</t>
    <phoneticPr fontId="31"/>
  </si>
  <si>
    <t>iShares Automation &amp; Robotics UCITS ETF</t>
    <phoneticPr fontId="24" type="noConversion"/>
  </si>
  <si>
    <t>iShares Automation &amp; Robotics UCITS ETF (ROBT)</t>
    <phoneticPr fontId="31"/>
  </si>
  <si>
    <t>2024/12/31</t>
    <phoneticPr fontId="31"/>
  </si>
  <si>
    <t>Price-2025</t>
    <phoneticPr fontId="31"/>
  </si>
  <si>
    <t>Contribute</t>
    <phoneticPr fontId="31"/>
  </si>
  <si>
    <t>Year Diff</t>
    <phoneticPr fontId="31"/>
  </si>
  <si>
    <t>value based percent</t>
    <phoneticPr fontId="31"/>
  </si>
  <si>
    <t>Value based Contribute</t>
    <phoneticPr fontId="31"/>
  </si>
  <si>
    <t>AGIX ETF Contribution</t>
    <phoneticPr fontId="31"/>
  </si>
  <si>
    <t>Yearly High Time</t>
    <phoneticPr fontId="31"/>
  </si>
  <si>
    <t>Yearly Low Time</t>
    <phoneticPr fontId="31"/>
  </si>
  <si>
    <t>52 Weeks Max Rally/Drawdown</t>
    <phoneticPr fontId="31"/>
  </si>
  <si>
    <t>Time Gap</t>
    <phoneticPr fontId="31"/>
  </si>
  <si>
    <t>Application</t>
    <phoneticPr fontId="31"/>
  </si>
  <si>
    <t>Infrastructure</t>
    <phoneticPr fontId="31"/>
  </si>
  <si>
    <t>Semiconductor</t>
    <phoneticPr fontId="31"/>
  </si>
  <si>
    <t>Weighted</t>
    <phoneticPr fontId="31"/>
  </si>
  <si>
    <t>Ticker</t>
    <phoneticPr fontId="31"/>
  </si>
  <si>
    <t>Company</t>
    <phoneticPr fontId="31"/>
  </si>
  <si>
    <t>Sector</t>
    <phoneticPr fontId="31"/>
  </si>
  <si>
    <t>Index</t>
    <phoneticPr fontId="31"/>
  </si>
  <si>
    <t>ETF</t>
    <phoneticPr fontId="31"/>
  </si>
  <si>
    <t>ARCA:CHAT</t>
    <phoneticPr fontId="31"/>
  </si>
  <si>
    <r>
      <rPr>
        <sz val="12"/>
        <color rgb="FF000000"/>
        <rFont val="Noto Sans JP"/>
        <family val="2"/>
        <charset val="134"/>
      </rPr>
      <t>更新</t>
    </r>
    <r>
      <rPr>
        <sz val="12"/>
        <color rgb="FF000000"/>
        <rFont val="微软雅黑"/>
        <family val="2"/>
        <charset val="134"/>
      </rPr>
      <t>标题</t>
    </r>
    <r>
      <rPr>
        <sz val="12"/>
        <color rgb="FF000000"/>
        <rFont val="Noto Sans JP"/>
        <family val="2"/>
        <charset val="134"/>
      </rPr>
      <t>日期！</t>
    </r>
    <phoneticPr fontId="24" type="noConversion"/>
  </si>
  <si>
    <t>ANTHROPIC, PBC</t>
    <phoneticPr fontId="24" type="noConversion"/>
  </si>
  <si>
    <t>NAME</t>
  </si>
  <si>
    <t>Date</t>
    <phoneticPr fontId="36"/>
  </si>
  <si>
    <t>Price Diff</t>
    <phoneticPr fontId="36"/>
  </si>
  <si>
    <t>Share per ETF</t>
    <phoneticPr fontId="36"/>
  </si>
  <si>
    <t>Price Diff*Shares per ETF</t>
    <phoneticPr fontId="36"/>
  </si>
  <si>
    <t>Adjuestment Coefficient</t>
    <phoneticPr fontId="36"/>
  </si>
  <si>
    <t>Adjusted Share per ETF</t>
    <phoneticPr fontId="36"/>
  </si>
  <si>
    <t>Prices</t>
    <phoneticPr fontId="36"/>
  </si>
  <si>
    <t>Original Price Add Term</t>
    <phoneticPr fontId="36"/>
  </si>
  <si>
    <t>Weighted Price Add Term</t>
    <phoneticPr fontId="36"/>
  </si>
  <si>
    <t>For Checking</t>
    <phoneticPr fontId="36"/>
  </si>
  <si>
    <t>ETF Shares Outstanding</t>
    <phoneticPr fontId="36"/>
  </si>
  <si>
    <t>AGIX Close</t>
    <phoneticPr fontId="36"/>
  </si>
  <si>
    <t>TAIWAN SEMICONDUCTOR MANUFAC</t>
  </si>
  <si>
    <t>Weighted Price Sum</t>
    <phoneticPr fontId="36"/>
  </si>
  <si>
    <t>MEDIATEK</t>
  </si>
  <si>
    <t>Check tickers and share difference after every portfolio change</t>
    <phoneticPr fontId="36"/>
  </si>
  <si>
    <t>Original Price Sum</t>
    <phoneticPr fontId="36"/>
  </si>
  <si>
    <t xml:space="preserve"> </t>
    <phoneticPr fontId="36"/>
  </si>
  <si>
    <t>AGIX</t>
    <phoneticPr fontId="36"/>
  </si>
  <si>
    <t>ARM HOLDINGS ADR</t>
  </si>
  <si>
    <t>NasdaqGS:ASML</t>
    <phoneticPr fontId="36"/>
  </si>
  <si>
    <t>DATADOG INC</t>
  </si>
  <si>
    <t>DUOLINGO INC</t>
  </si>
  <si>
    <t>SAMSARA INC</t>
  </si>
  <si>
    <t>PALANTIR TECHNOLOGIES INC</t>
  </si>
  <si>
    <t>PURE STORAGE INC - CLASS A</t>
  </si>
  <si>
    <t>ROBLOX CORP</t>
  </si>
  <si>
    <t>SHOPIFY INC</t>
  </si>
  <si>
    <t>SNOWFLAKE INC</t>
  </si>
  <si>
    <t>ATLASSIAN CORPORATION PLC</t>
  </si>
  <si>
    <t>VERTIV HOLDINGS CO</t>
  </si>
  <si>
    <t>WORKDAY INC</t>
  </si>
  <si>
    <t>ANTHROPIC, PBC</t>
  </si>
  <si>
    <t>XAI HOLDINGS CORP</t>
  </si>
  <si>
    <t>Market Value($)</t>
  </si>
  <si>
    <t>Shares Held</t>
  </si>
  <si>
    <t>Rank</t>
  </si>
  <si>
    <t>As of 2025-07-30</t>
  </si>
  <si>
    <t>AGIX Holdings</t>
  </si>
  <si>
    <t>DowJones Index</t>
    <phoneticPr fontId="24" type="noConversion"/>
  </si>
  <si>
    <t>215</t>
  </si>
  <si>
    <t>BAABTAVMT0NBTAFI/////wFQDQcAACNDSVEuXlNQWC5JUV9PUEVOUFJJQ0UuMjAyNC83LzE4LlVTRAEAAACbuCgAAgAAAAc1NjA4LjU2ALuQu4qR2d0ILMdMi5HZ3QgiQ0lRLl5TUFguSVFfWUVBUkhJR0guMjAyNS83LzE3LlVTRAEAAACbuCgAAgAAABA2Mjk3LjM2MTkwOTQ0MDQ1AMu3u4qR2d0Irf9Ni5HZ3QghQ0lRLl5TUFguSVFfWUVBUkxPVy4yMDI1LzcvMTcuVVNEAQAAAJu4KAACAAAAEDQ5ODIuNzcwMzEzMjY5NDIAy7e7ipHZ3Qjzwk6LkdndCBlDSVEuXlNQWC5JUV9ZRUFSSElHSF9EQVRFAQAAAJu4KAAFAAAACTIwMjUvNy8yOADLt7uKkdndCBjTUIuR2d0IGENJUS5eU1BYLklRX1lFQVJMT1dfREFURQEAAACbuCgABQAAAAgyMDI1LzQvOADLt7uKkdndCOtSWIuR2d0IJENJUS5eREpJLklRX0NMT1NFUFJJQ0UuMjAyNS83LzE3LlVTRAEAAAD4tCgAAgAAABA0NDQ4NC40ODYyNDk5MTQ2AMu3u4qR2d0IC0pQi5HZ3QgkQ0lRLl5ESkkuSVFfQ0xPU0VQUklDRS4yMDI1LzQvMTcuVVNEAQAAAPi0KAACAAAAEDM5MTQyLjIzMTk0ODM4ODQAy7e7ipHZ3QgLSlCLkdndCCVDSVEuXkRKSS5JUV9DTE9TRVBSSUNFLjIwMjIvMTEvMzAuVVNEAQAAAPi0KAACAAAAEDM0NTg5Ljc2ODUxNDM2MDgAy7e7ipHZ3QhT3VeLkdndCCRDSVEuXkRKSS5JUV9DTE9TRVBSSUNFLjIwMjMvMy8xNC5VU0QBAAAA+LQoAAIA</t>
  </si>
  <si>
    <t>AAAQMzIxNTUuNDA0NjkyMjUyNwDLt7uKkdndCCS8R4uR2d0II0NJUS5eREpJLklRX09QRU5QUklDRS4yMDI0LzcvMTguVVNEAQAAAPi0KAACAAAACDQxMTU2LjU2AMu3u4qR2d0IyuFIi5HZ3QgiQ0lRLl5ESkkuSVFfWUVBUkhJR0guMjAyNS83LzE3LlVTRAEAAAD4tCgAAgAAABA0NTAxNC4wNDAwNTA0ODU4AMu3u4qR2d0IfcxUi5HZ3QghQ0lRLl5ESkkuSVFfWUVBUkxPVy4yMDI1LzcvMTcuVVNEAQAAAPi0KAACAAAAEDM3NjQ1LjU4OTM1NTY2NTQAy7e7ipHZ3Qh9K1iLkdndCBlDSVEuXkRKSS5JUV9ZRUFSSElHSF9EQVRFAQAAAPi0KAAFAAAACTIwMjQvMTIvNADLt7uKkdndCI+lSouR2d0IGENJUS5eREpJLklRX1lFQVJMT1dfREFURQEAAAD4tCgABQAAAAgyMDI1LzQvOADLt7uKkdndCMZlV4uR2d0IJENJUS5BR0lYLklRX0NMT1NFUFJJQ0UuMjAyNS83LzE3LlVTRAEAAAAj9wBwAgAAAAYzMS45NTUAk7rCipHZ3Qh9zFSLkdndCCVDSVEuQUdJWC5JUV9DTE9TRVBSSUNFLjIwMjQvMTIvMzEuVVNEAQAAACP3AHACAAAABTI4LjQzAJMkwoqR2d0I61JYi5HZ3QgkQ0lRLkFHSVguSVFfQ0xPU0VQUklDRS4yMDI1LzQvMTcuVVNEAQAAACP3AHACAAAABzIzLjIxMjMAk7rCipHZ3QjGnUuLkdndCCNDSVEuQUdJWC5JUV9PUEVOUFJJQ0UuMjAyNC83LzE4LlVTRAEAAAAj9wBwAgAAAAUyNS4zNgCTusKKkdnd</t>
  </si>
  <si>
    <t>CCzHTIuR2d0IIkNJUS5BR0lYLklRX1lFQVJISUdILjIwMjUvNy8xNy5VU0QBAAAAI/cAcAIAAAAFMzEuOTkAk7rCipHZ3QhBA1qLkdndCCFDSVEuQUdJWC5JUV9ZRUFSTE9XLjIwMjUvNy8xNy5VU0QBAAAAI/cAcAIAAAAGMjAuODE1AJO6woqR2d0IcPNUi5HZ3QgZQ0lRLkFHSVguSVFfWUVBUkhJR0hfREFURQEAAAAj9wBwBQAAAAgyMDI1LzgvNwCTusKKkdndCHZ7VouR2d0IGENJUS5BR0lYLklRX1lFQVJMT1dfREFURQEAAAAj9wBwBQAAAAgyMDI1LzQvNwCTusKKkdndCFpUVouR2d0IJUNJUS5BR0lYLklRX0NMT1NFUFJJQ0UuMjAyMi8xMS8zMC5VU0QBAAAAI/cAcAMAAAAAAJO6woqR2d0IC0pQi5HZ3QgkQ0lRLkFHSVguSVFfQ0xPU0VQUklDRS4yMDIzLzMvMTQuVVNEAQAAACP3AHADAAAAAACTusKKkdndCOINUouR2d0IKUNJUS5BUkNBOkNIQVQuSVFfQ0xPU0VQUklDRS4yMDI1LzcvMTcuVVNEAQAAAAAwNW0CAAAABTQ5Ljg1AMu3u4qR2d0IJLxHi5HZ3QgqQ0lRLkFSQ0E6Q0hBVC5JUV9DTE9TRVBSSUNFLjIwMjQvMTIvMzEuVVNEAQAAAAAwNW0CAAAABTQwLjQ2AMu3u4qR2d0IyuFIi5HZ3QgpQ0lRLkFSQ0E6Q0hBVC5JUV9DTE9TRVBSSUNFLjIwMjUvNC8xNy5VU0QBAAAAADA1bQIAAAAFMzIuNjMAy7e7ipHZ3Qgk0VKLkdndCChDSVEuQVJDQTpDSEFULklRX09QRU5QUklDRS4yMDI0LzcvMTgu</t>
  </si>
  <si>
    <t>VVNEAQAAAAAwNW0CAAAABTM2Ljk4AMu3u4qR2d0I1IFTi5HZ3QgnQ0lRLkFSQ0E6Q0hBVC5JUV9ZRUFSSElHSC4yMDI1LzcvMTcuVVNEAQAAAAAwNW0CAAAABzQ5LjkzOTUAy7e7ipHZ3QiU31WLkdndCCZDSVEuQVJDQTpDSEFULklRX1lFQVJMT1cuMjAyNS83LzE3LlVTRAEAAAAAMDVtAgAAAAcyOC45NjA5AMu3u4qR2d0Ij6VKi5HZ3QgeQ0lRLkFSQ0E6Q0hBVC5JUV9ZRUFSSElHSF9EQVRFAQAAAAAwNW0FAAAACTIwMjUvOC8xMQDLt7uKkdndCHDzVIuR2d0IHUNJUS5BUkNBOkNIQVQuSVFfWUVBUkxPV19EQVRFAQAAAAAwNW0FAAAACDIwMjUvNC83AMu3u4qR2d0ILMdMi5HZ3QgqQ0lRLkFSQ0E6Q0hBVC5JUV9DTE9TRVBSSUNFLjIwMjIvMTEvMzAuVVNEAQAAAAAwNW0DAAAAAADLt7uKkdndCPPCTouR2d0IKUNJUS5BUkNBOkNIQVQuSVFfQ0xPU0VQUklDRS4yMDIzLzMvMTQuVVNEAQAAAAAwNW0DAAAAAADLt7uKkdndCBjTUIuR2d0ILENJUS5OQVNEQVFHTTpBSVEuSVFfQ0xPU0VQUklDRS4yMDI1LzcvMTcuVVNEAQAAAOncYiECAAAABTQ0LjQzAMu3u4qR2d0I9TVRi5HZ3QgtQ0lRLk5BU0RBUUdNOkFJUS5JUV9DTE9TRVBSSUNFLjIwMjQvMTIvMzEuVVNEAQAAAOncYiECAAAABTM4LjY0AG7mWZmR2d0IsWh1mZHZ3QgsQ0lRLk5BU0RBUUdNOkFJUS5JUV9DTE9TRVBSSUNFLjIwMjUvNC8xNy5VU0QB</t>
  </si>
  <si>
    <t>AAAA6dxiIQIAAAAEMzMuOQDLt7uKkdndCEEDWouR2d0ILUNJUS5OQVNEQVFHTTpBSVEuSVFfQ0xPU0VQUklDRS4yMDIyLzExLzMwLlVTRAEAAADp3GIhAgAAAAUyMS43NADLt7uKkdndCAtKUIuR2d0ILENJUS5OQVNEQVFHTTpBSVEuSVFfQ0xPU0VQUklDRS4yMDIzLzMvMTQuVVNEAQAAAOncYiECAAAABTIyLjM4AMu3u4qR2d0IILhVi5HZ3QgrQ0lRLk5BU0RBUUdNOkFJUS5JUV9PUEVOUFJJQ0UuMjAyNC83LzE4LlVTRAEAAADp3GIhAgAAAAUzNS45MwDLt7uKkdndCCS8R4uR2d0IKkNJUS5OQVNEQVFHTTpBSVEuSVFfWUVBUkhJR0guMjAyNS83LzE3LlVTRAEAAADp3GIhAgAAAAQ0NC41AMu3u4qR2d0IyuFIi5HZ3QgpQ0lRLk5BU0RBUUdNOkFJUS5JUV9ZRUFSTE9XLjIwMjUvNy8xNy5VU0QBAAAA6dxiIQIAAAAEMzAuNgDLt7uKkdndCH3MVIuR2d0IIUNJUS5OQVNEQVFHTTpBSVEuSVFfWUVBUkhJR0hfREFURQEAAADp3GIhBQAAAAkyMDI1LzcvMjkAy7e7ipHZ3QjUgVOLkdndCCBDSVEuTkFTREFRR006QUlRLklRX1lFQVJMT1dfREFURQEAAADp3GIhBQAAAAgyMDI1LzQvNwDLt7uKkdndCAXRU4uR2d0ILUNJUS5OQVNEQVFHTTpCT1RaLklRX0NMT1NFUFJJQ0UuMjAyNS83LzE3LlVTRAEAAAD3/QgWAgAAAAUzMy4yMgDLt7uKkdndCCzHTIuR2d0ILkNJUS5OQVNEQVFHTTpCT1RaLklRX0NMT1NFUFJJ</t>
  </si>
  <si>
    <t>Q0UuMjAyNC8xMi8zMS5VU0QBAAAA9/0IFgIAAAAFMzEuOTUAbuZZmZHZ3QjxUnWZkdndCC1DSVEuTkFTREFRR006Qk9UWi5JUV9DTE9TRVBSSUNFLjIwMjUvNC8xNy5VU0QBAAAA9/0IFgIAAAAFMjYuNjIAy7e7ipHZ3Qjzwk6LkdndCC5DSVEuTkFTREFRR006Qk9UWi5JUV9DTE9TRVBSSUNFLjIwMjIvMTEvMzAuVVNEAQAAAPf9CBYCAAAABTIxLjQzAMu3u4qR2d0IZ9lZi5HZ3QgtQ0lRLk5BU0RBUUdNOkJPVFouSVFfQ0xPU0VQUklDRS4yMDIzLzMvMTQuVVNEAQAAAPf9CBYCAAAABTIzLjcxAMu3u4qR2d0Ij35Ui5HZ3QgsQ0lRLk5BU0RBUUdNOkJPVFouSVFfT1BFTlBSSUNFLjIwMjQvNy8xOC5VU0QBAAAA9/0IFgIAAAAEMzEuNADLt7uKkdndCBjTUIuR2d0IK0NJUS5OQVNEQVFHTTpCT1RaLklRX1lFQVJISUdILjIwMjUvNy8xNy5VU0QBAAAA9/0IFgIAAAAJMzQuODU1OTAyAMu3u4qR2d0I9TVRi5HZ3QgqQ0lRLk5BU0RBUUdNOkJPVFouSVFfWUVBUkxPVy4yMDI1LzcvMTcuVVNEAQAAAPf9CBYCAAAABjIzLjgxNQDLt7uKkdndCP5jWYuR2d0IIkNJUS5OQVNEQVFHTTpCT1RaLklRX1lFQVJISUdIX0RBVEUBAAAA9/0IFgUAAAAJMjAyNS8xLzI0AMu3u4qR2d0IiZBRi5HZ3QghQ0lRLk5BU0RBUUdNOkJPVFouSVFfWUVBUkxPV19EQVRFAQAAAPf9CBYFAAAACDIwMjUvNC83AMu3u4qR2d0I4g1Si5HZ</t>
  </si>
  <si>
    <t>3QgpQ0lRLkJBVFM6V1RBSS5JUV9DTE9TRVBSSUNFLjIwMjUvNy8xNy5VU0QBAAAAYE5vZAIAAAAFMjQuOTkAy7e7ipHZ3QjK4UiLkdndCCpDSVEuQkFUUzpXVEFJLklRX0NMT1NFUFJJQ0UuMjAyNC8xMi8zMS5VU0QBAAAAYE5vZAIAAAACMjIAy7e7ipHZ3Qgk0VKLkdndCClDSVEuQkFUUzpXVEFJLklRX0NMT1NFUFJJQ0UuMjAyNS80LzE3LlVTRAEAAABgTm9kAgAAAAUxNy45NADLt7uKkdndCH3MVIuR2d0IKkNJUS5CQVRTOldUQUkuSVFfQ0xPU0VQUklDRS4yMDIyLzExLzMwLlVTRAEAAABgTm9kAgAAAAUxNS42NADLt7uKkdndCOAVWYuR2d0IKUNJUS5CQVRTOldUQUkuSVFfQ0xPU0VQUklDRS4yMDIzLzMvMTQuVVNEAQAAAGBOb2QCAAAABzE2LjM2MTcAy7e7ipHZ3QiPpUqLkdndCChDSVEuQkFUUzpXVEFJLklRX09QRU5QUklDRS4yMDI0LzcvMTguVVNEAQAAAGBOb2QCAAAABDIxLjEAy7e7ipHZ3Qhw81SLkdndCCdDSVEuQkFUUzpXVEFJLklRX1lFQVJISUdILjIwMjUvNy8xNy5VU0QBAAAAYE5vZAIAAAAGMjUuMDI1AMu3u4qR2d0Ixp1Li5HZ3QgmQ0lRLkJBVFM6V1RBSS5JUV9ZRUFSTE9XLjIwMjUvNy8xNy5VU0QBAAAAYE5vZAIAAAAHMTUuNzYwNwDLt7uKkdndCCzHTIuR2d0IHkNJUS5CQVRTOldUQUkuSVFfWUVBUkhJR0hfREFURQEAAABgTm9kBQAAAAkyMDI1LzcvMzEAy7e7ipHZ3Qit/02L</t>
  </si>
  <si>
    <t>kdndCB1DSVEuQkFUUzpXVEFJLklRX1lFQVJMT1dfREFURQEAAABgTm9kBQAAAAgyMDI1LzQvNwDLt7uKkdndCH0rWIuR2d0IKUNJUS5BUkNBOkFSVFkuSVFfQ0xPU0VQUklDRS4yMDI1LzcvMTcuVVNEAQAAAG4faSECAAAABDQyLjMAy7e7ipHZ3Qh0pVSLkdndCCpDSVEuQVJDQTpBUlRZLklRX0NMT1NFUFJJQ0UuMjAyNC8xMi8zMS5VU0QBAAAAbh9pIQIAAAAFMzcuMDcAy7e7ipHZ3QjrUliLkdndCClDSVEuQVJDQTpBUlRZLklRX0NMT1NFUFJJQ0UuMjAyNS80LzE3LlVTRAEAAABuH2khAgAAAAQyOS44AMu3u4qR2d0IC0pQi5HZ3QgqQ0lRLkFSQ0E6QVJUWS5JUV9DTE9TRVBSSUNFLjIwMjIvMTEvMzAuVVNEAQAAAG4faSECAAAABTI2Ljc2AMu3u4qR2d0I8sdYi5HZ3QgpQ0lRLkFSQ0E6QVJUWS5JUV9DTE9TRVBSSUNFLjIwMjMvMy8xNC5VU0QBAAAAbh9pIQIAAAAFMjkuMTMAy7e7ipHZ3QgkvEeLkdndCChDSVEuQVJDQTpBUlRZLklRX09QRU5QUklDRS4yMDI0LzcvMTguVVNEAQAAAG4faSECAAAABTM0LjI5AMu3u4qR2d0IyuFIi5HZ3QgnQ0lRLkFSQ0E6QVJUWS5JUV9ZRUFSSElHSC4yMDI1LzcvMTcuVVNEAQAAAG4faSECAAAABzQyLjM0OTkAy7e7ipHZ3QjK4UiLkdndCCZDSVEuQVJDQTpBUlRZLklRX1lFQVJMT1cuMjAyNS83LzE3LlVTRAEAAABuH2khAgAAAAcyNi4zMTI4AMu3u4qR2d0I57tS</t>
  </si>
  <si>
    <t>i5HZ3QgeQ0lRLkFSQ0E6QVJUWS5JUV9ZRUFSSElHSF9EQVRFAQAAAG4faSEFAAAACTIwMjUvNy8zMQDLt7uKkdndCOZaU4uR2d0IHUNJUS5BUkNBOkFSVFkuSVFfWUVBUkxPV19EQVRFAQAAAG4faSEFAAAACDIwMjUvNC83AMu3u4qR2d0IBdFTi5HZ3QgoQ0lRLkxTRTpSQk9ULklRX0NMT1NFUFJJQ0UuMjAyNS83LzE3LlVTRAEAAACOeyQUAgAAAAUxNS40MgDLt7uKkdndCCzHTIuR2d0IKUNJUS5MU0U6UkJPVC5JUV9DTE9TRVBSSUNFLjIwMjQvMTIvMzEuVVNEAQAAAI57JBQCAAAABjEzLjg3NQDLt7uKkdndCK3/TYuR2d0IKENJUS5MU0U6UkJPVC5JUV9DTE9TRVBSSUNFLjIwMjUvNC8xNy5VU0QBAAAAjnskFAIAAAAEMTIuMgDLt7uKkdndCPPCTouR2d0IKUNJUS5MU0U6UkJPVC5JUV9DTE9TRVBSSUNFLjIwMjIvMTEvMzAuVVNEAQAAAI57JBQCAAAABTkuNTc1AMu3u4qR2d0Irf9Ni5HZ3QgoQ0lRLkxTRTpSQk9ULklRX0NMT1NFUFJJQ0UuMjAyMy8zLzE0LlVTRAEAAACOeyQUAgAAAAYxMC41NDUAy7e7ipHZ3Qjzwk6LkdndCCdDSVEuTFNFOlJCT1QuSVFfT1BFTlBSSUNFLjIwMjQvNy8xOC5VU0QBAAAAjnskFAIAAAAFMTMuNDIAy7e7ipHZ3QgY01CLkdndCCZDSVEuTFNFOlJCT1QuSVFfWUVBUkhJR0guMjAyNS83LzE3LlVTRAEAAACOeyQUAgAAAAcxNS40NDI2AMu3u4qR2d0I9TVRi5HZ3QglQ0lR</t>
  </si>
  <si>
    <t>LkxTRTpSQk9ULklRX1lFQVJMT1cuMjAyNS83LzE3LlVTRAEAAACOeyQUAgAAAAUxMC43MwDLt7uKkdndCFPdV4uR2d0IHUNJUS5MU0U6UkJPVC5JUV9ZRUFSSElHSF9EQVRFAQAAAI57JBQFAAAACTIwMjUvNy8yNADLt7uKkdndCImQUYuR2d0IHENJUS5MU0U6UkJPVC5JUV9ZRUFSTE9XX0RBVEUBAAAAjnskFAUAAAAIMjAyNS80LzcAy7e7ipHZ3QjiDVKLkdndCCRDSVEuTUVUQS5JUV9DTE9TRVBSSUNFLjIwMjUvNy8xNy5VU0QBAAAAF9s8AQIAAAAGNzAxLjQxAL0FvIqR2d0IZAlKi5HZ3QgkQ0lRLk1FVEEuSVFfQ0xPU0VQUklDRS4yMDI1LzQvMTcuVVNEAQAAABfbPAECAAAABjUwMS40OADLt7uKkdndCH3MVIuR2d0IJUNJUS5NRVRBLklRX0NMT1NFUFJJQ0UuMjAyMi8xMS8zMC5VU0QBAAAAF9s8AQIAAAAFMTE4LjEAy7e7ipHZ3Qg4j1eLkdndCCRDSVEuTUVUQS5JUV9DTE9TRVBSSUNFLjIwMjMvMy8xNC5VU0QBAAAAF9s8AQIAAAAGMTk0LjAyAMu3u4qR2d0Ij6VKi5HZ3QgjQ0lRLk1FVEEuSVFfT1BFTlBSSUNFLjIwMjQvNy8xOC5VU0QBAAAAF9s8AQIAAAADNDc1AMu3u4qR2d0IcPNUi5HZ3QgiQ0lRLk1FVEEuSVFfWUVBUkhJR0guMjAyNS83LzE3LlVTRAEAAAAX2zwBAgAAAAU3NDcuOQDLt7uKkdndCMadS4uR2d0IIUNJUS5NRVRBLklRX1lFQVJMT1cuMjAyNS83LzE3LlVTRAEAAAAX2zwBAgAA</t>
  </si>
  <si>
    <t>AAY0NDIuNjUAy7e7ipHZ3Qgsx0yLkdndCBlDSVEuTUVUQS5JUV9ZRUFSSElHSF9EQVRFAQAAABfbPAEFAAAACTIwMjUvNy8zMQDLt7uKkdndCK3/TYuR2d0IGENJUS5NRVRBLklRX1lFQVJMT1dfREFURQEAAAAX2zwBBQAAAAkyMDI1LzQvMjEAy7e7ipHZ3Qh2e1aLkdndCCVDSVEuTUVUQS5JUV9DTE9TRVBSSUNFLjIwMjQvMTIvMzEuVVNEAQAAABfbPAECAAAABjU4NS41MQCG+sGKkdndCBRrhJmR2d0II0NJUS5DUk0uSVFfQ0xPU0VQUklDRS4yMDI1LzcvMTcuVVNEAQAAACXgAQACAAAABjI1OS44OAC9BbyKkdndCIvJVouR2d0II0NJUS5DUk0uSVFfQ0xPU0VQUklDRS4yMDI1LzQvMTcuVVNEAQAAACXgAQACAAAABjI0Ny4yNgDLt7uKkdndCAtKUIuR2d0IJENJUS5DUk0uSVFfQ0xPU0VQUklDRS4yMDIyLzExLzMwLlVTRAEAAAAl4AEAAgAAAAYxNjAuMjUAy7e7ipHZ3QjGZVeLkdndCCNDSVEuQ1JNLklRX0NMT1NFUFJJQ0UuMjAyMy8zLzE0LlVTRAEAAAAl4AEAAgAAAAYxODIuODkAy7e7ipHZ3QgkvEeLkdndCCJDSVEuQ1JNLklRX09QRU5QUklDRS4yMDI0LzcvMTguVVNEAQAAACXgAQACAAAABjI1Mi4xNADLt7uKkdndCGDmUYuR2d0IIUNJUS5DUk0uSVFfWUVBUkhJR0guMjAyNS83LzE3LlVTRAEAAAAl4AEAAgAAAAMzNjkAy7e7ipHZ3QgkvEeLkdndCCBDSVEuQ1JNLklRX1lFQVJMT1cuMjAyNS83</t>
  </si>
  <si>
    <t>LzE3LlVTRAEAAAAl4AEAAgAAAAMyMzAAy7e7ipHZ3QjK4UiLkdndCBhDSVEuQ1JNLklRX1lFQVJISUdIX0RBVEUBAAAAJeABAAUAAAAJMjAyNC8xMi80AMu3u4qR2d0I57tSi5HZ3QgXQ0lRLkNSTS5JUV9ZRUFSTE9XX0RBVEUBAAAAJeABAAUAAAAIMjAyNS80LzcAy7e7ipHZ3QiPpUqLkdndCCRDSVEuQ1JNLklRX0NMT1NFUFJJQ0UuMjAyNC8xMi8zMS5VU0QBAAAAJeABAAIAAAAGMzM0LjMzAIb6wYqR2d0IFGuEmZHZ3QgjQ0lRLk5PVy5JUV9DTE9TRVBSSUNFLjIwMjUvNy8xNy5VU0QBAAAAv3ReAQIAAAAGOTU5LjE1AL0FvIqR2d0IIaBMi5HZ3QgjQ0lRLk5PVy5JUV9DTE9TRVBSSUNFLjIwMjUvNC8xNy5VU0QBAAAAv3ReAQIAAAAGNzcyLjE2AMu3u4qR2d0IIaBMi5HZ3QgkQ0lRLk5PVy5JUV9DTE9TRVBSSUNFLjIwMjIvMTEvMzAuVVNEAQAAAL90XgECAAAABTQxNi4zAMreu4qR2d0Irf9Ni5HZ3QgjQ0lRLk5PVy5JUV9DTE9TRVBSSUNFLjIwMjMvMy8xNC5VU0QBAAAAv3ReAQIAAAAGNDI0LjU0AMreu4qR2d0I88JOi5HZ3QgiQ0lRLk5PVy5JUV9PUEVOUFJJQ0UuMjAyNC83LzE4LlVTRAEAAAC/dF4BAgAAAAY3MzguMzQAyt67ipHZ3QgY01CLkdndCCFDSVEuTk9XLklRX1lFQVJISUdILjIwMjUvNy8xNy5VU0QBAAAAv3ReAQIAAAAHMTE5OC4wOQDK3ruKkdndCPU1UYuR2d0IIENJUS5OT1cuSVFf</t>
  </si>
  <si>
    <t>WUVBUkxPVy4yMDI1LzcvMTcuVVNEAQAAAL90XgECAAAACDY3OC42NTg4AMreu4qR2d0IWlRWi5HZ3QgYQ0lRLk5PVy5JUV9ZRUFSSElHSF9EQVRFAQAAAL90XgEFAAAACTIwMjUvMS8yOADK3ruKkdndCImQUYuR2d0IF0NJUS5OT1cuSVFfWUVBUkxPV19EQVRFAQAAAL90XgEFAAAACDIwMjUvNC83AMreu4qR2d0IILhVi5HZ3QgkQ0lRLk5PVy5JUV9DTE9TRVBSSUNFLjIwMjQvMTIvMzEuVVNEAQAAAL90XgECAAAABzEwNjAuMTIAhvrBipHZ3Qj0HISZkdndCCRDSVEuRFVPTC5JUV9DTE9TRVBSSUNFLjIwMjUvNy8xNy5VU0QBAAAAsPCHDAIAAAAGMzYxLjk1AL0FvIqR2d0IfcxUi5HZ3QgkQ0lRLkRVT0wuSVFfQ0xPU0VQUklDRS4yMDI1LzQvMTcuVVNEAQAAALDwhwwCAAAABTMyNi41AMreu4qR2d0IILhVi5HZ3QglQ0lRLkRVT0wuSVFfQ0xPU0VQUklDRS4yMDIyLzExLzMwLlVTRAEAAACw8IcMAgAAAAU2OS42NwDK3ruKkdndCI+lSouR2d0IJENJUS5EVU9MLklRX0NMT1NFUFJJQ0UuMjAyMy8zLzE0LlVTRAEAAACw8IcMAgAAAAYxMjMuNzIAyt67ipHZ3Qhw81SLkdndCCNDSVEuRFVPTC5JUV9PUEVOUFJJQ0UuMjAyNC83LzE4LlVTRAEAAACw8IcMAgAAAAYxODIuMTEAyt67ipHZ3QgAikuLkdndCCJDSVEuRFVPTC5JUV9ZRUFSSElHSC4yMDI1LzcvMTcuVVNEAQAAALDwhwwCAAAABjU0NC45MwDK3ruK</t>
  </si>
  <si>
    <t>kdndCACKS4uR2d0IIUNJUS5EVU9MLklRX1lFQVJMT1cuMjAyNS83LzE3LlVTRAEAAACw8IcMAgAAAAYxNDUuMDUAyt67ipHZ3QghoEyLkdndCBlDSVEuRFVPTC5JUV9ZRUFSSElHSF9EQVRFAQAAALDwhwwFAAAACTIwMjUvNS8xNADK3ruKkdndCK3/TYuR2d0IGENJUS5EVU9MLklRX1lFQVJMT1dfREFURQEAAACw8IcMBQAAAAkyMDI0LzgvMTIAyt67ipHZ3QhtpVqLkdndCCVDSVEuRFVPTC5JUV9DTE9TRVBSSUNFLjIwMjQvMTIvMzEuVVNEAQAAALDwhwwCAAAABjMyNC4yMwCG+sGKkdndCAX5gpmR2d0II0NJUS5TQVAuSVFfQ0xPU0VQUklDRS4yMDI1LzcvMTcuVVNEAQAAAAvuAQACAAAADjMwOC4wMzEwNTgwNzQ2AL0FvIqR2d0IQQNai5HZ3QgjQ0lRLlNBUC5JUV9DTE9TRVBSSUNFLjIwMjUvNC8xNy5VU0QBAAAAC+4BAAIAAAANMjU2Ljk5MzQwNDUwOADK3ruKkdndCAtKUIuR2d0IJENJUS5TQVAuSVFfQ0xPU0VQUklDRS4yMDIyLzExLzMwLlVTRAEAAAAL7gEAAgAAAA8xMDcuNzI0MDM4MzI1NDIAyt67ipHZ3QiJkFGLkdndCCNDSVEuU0FQLklRX0NMT1NFUFJJQ0UuMjAyMy8zLzE0LlVTRAEAAAAL7gEAAgAAAA8xMTcuOTYzNTU4MzkxNjYAyt67ipHZ3QgLSlCLkdndCCJDSVEuU0FQLklRX09QRU5QUklDRS4yMDI0LzcvMTguVVNEAQAAAAvuAQACAAAADTIwMC4xNTI3MDUwMDYAyt67ipHZ3Qhg5lGL</t>
  </si>
  <si>
    <t>kdndCCFDSVEuU0FQLklRX1lFQVJISUdILjIwMjUvNy8xNy5VU0QBAAAAC+4BAAIAAAAOMzI4LjU0MzI4NDI4OTUAyt67ipHZ3QgkvEeLkdndCCBDSVEuU0FQLklRX1lFQVJMT1cuMjAyNS83LzE3LlVTRAEAAAAL7gEAAgAAAA8yMDQuNzk3Nzc0OTU0NjQAyt67ipHZ3QjkukiLkdndCBhDSVEuU0FQLklRX1lFQVJISUdIX0RBVEUBAAAAC+4BAAUAAAAJMjAyNS8yLzE5AMreu4qR2d0I57tSi5HZ3QgXQ0lRLlNBUC5JUV9ZRUFSTE9XX0RBVEUBAAAAC+4BAAUAAAAJMjAyNC84LzEyAMreu4qR2d0Ij6VKi5HZ3QgkQ0lRLlNBUC5JUV9DTE9TRVBSSUNFLjIwMjQvMTIvMzEuVVNEAQAAAAvuAQADAAAAAACG+sGKkdndCGMYJ5qR2d0II0NJUS5URU0uSVFfQ0xPU0VQUklDRS4yMDI1LzcvMTcuVVNEAQAAAADTJBkCAAAABTYwLjY1AL0FvIqR2d0I4HROi5HZ3QgjQ0lRLlRFTS5JUV9DTE9TRVBSSUNFLjIwMjUvNC8xNy5VU0QBAAAAANMkGQIAAAAFNDAuNDUAyt67ipHZ3Qit/02LkdndCCRDSVEuVEVNLklRX0NMT1NFUFJJQ0UuMjAyMi8xMS8zMC5VU0QBAAAAANMkGQMAAAAAAMreu4qR2d0I88JOi5HZ3QgjQ0lRLlRFTS5JUV9DTE9TRVBSSUNFLjIwMjMvMy8xNC5VU0QBAAAAANMkGQMAAAAAAMreu4qR2d0IGNNQi5HZ3QgiQ0lRLlRFTS5JUV9PUEVOUFJJQ0UuMjAyNC83LzE4LlVTRAEAAAAA0yQZAgAAAAU0MS41</t>
  </si>
  <si>
    <t>NgDK3ruKkdndCPU1UYuR2d0IIUNJUS5URU0uSVFfWUVBUkhJR0guMjAyNS83LzE3LlVTRAEAAAAA0yQZAgAAAAU5MS40NQDK3ruKkdndCGfZWYuR2d0IIENJUS5URU0uSVFfWUVBUkxPVy4yMDI1LzcvMTcuVVNEAQAAAADTJBkCAAAABTMxLjM2AMreu4qR2d0I8sdYi5HZ3QgYQ0lRLlRFTS5JUV9ZRUFSSElHSF9EQVRFAQAAAADTJBkFAAAACTIwMjUvMi8xNADK3ruKkdndCAtKUIuR2d0IF0NJUS5URU0uSVFfWUVBUkxPV19EQVRFAQAAAADTJBkFAAAACTIwMjUvMS8xMwDK3ruKkdndCCS8R4uR2d0IJENJUS5URU0uSVFfQ0xPU0VQUklDRS4yMDI0LzEyLzMxLlVTRAEAAAAA0yQZAgAAAAUzMy43NgCG+sGKkdndCFQHhZmR2d0IJENJUS5BREJFLklRX0NMT1NFUFJJQ0UuMjAyNS83LzE3LlVTRAEAAAABXwAAAgAAAAYzNjYuNDUAvQW8ipHZ3Qj+Y1mLkdndCCRDSVEuQURCRS5JUV9DTE9TRVBSSUNFLjIwMjUvNC8xNy5VU0QBAAAAAV8AAAIAAAAFMzQ4LjgAyt67ipHZ3QiPpUqLkdndCCVDSVEuQURCRS5JUV9DTE9TRVBSSUNFLjIwMjIvMTEvMzAuVVNEAQAAAAFfAAACAAAABjM0NC45MwDK3ruKkdndCHDzVIuR2d0IJENJUS5BREJFLklRX0NMT1NFUFJJQ0UuMjAyMy8zLzE0LlVTRAEAAAABXwAAAgAAAAYzMzMuMzMAyt67ipHZ3QiPpUqLkdndCCNDSVEuQURCRS5JUV9PUEVOUFJJQ0UuMjAyNC83LzE4LlVT</t>
  </si>
  <si>
    <t>RAEAAAABXwAAAgAAAAY1NjQuMTgAyt67ipHZ3QgF0VOLkdndCCJDSVEuQURCRS5JUV9ZRUFSSElHSC4yMDI1LzcvMTcuVVNEAQAAAAFfAAACAAAABjU4Ny43NQDK3ruKkdndCACKS4uR2d0IIUNJUS5BREJFLklRX1lFQVJMT1cuMjAyNS83LzE3LlVTRAEAAAABXwAAAgAAAAYzMzIuMDEAyt67ipHZ3QghoEyLkdndCBlDSVEuQURCRS5JUV9ZRUFSSElHSF9EQVRFAQAAAAFfAAAFAAAACTIwMjQvOS8xMgDK3ruKkdndCK3/TYuR2d0IGENJUS5BREJFLklRX1lFQVJMT1dfREFURQEAAAABXwAABQAAAAgyMDI1LzQvNwDK3ruKkdndCOtSWIuR2d0IJUNJUS5BREJFLklRX0NMT1NFUFJJQ0UuMjAyNC8xMi8zMS5VU0QBAAAAAV8AAAIAAAAGNDQ0LjY4AIb6wYqR2d0IQ+CEmZHZ3QgjQ0lRLklPVC5JUV9DTE9TRVBSSUNFLjIwMjUvNy8xNy5VU0QBAAAAuj78EQIAAAAFMzguMTUAvQW8ipHZ3QiJkFGLkdndCCNDSVEuSU9ULklRX0NMT1NFUFJJQ0UuMjAyNS80LzE3LlVTRAEAAAC6PvwRAgAAAAUzNy41MgDK3ruKkdndCAtKUIuR2d0IJENJUS5JT1QuSVFfQ0xPU0VQUklDRS4yMDIyLzExLzMwLlVTRAEAAAC6PvwRAgAAAAQ5LjUzAMreu4qR2d0IYOZRi5HZ3QgjQ0lRLklPVC5JUV9DTE9TRVBSSUNFLjIwMjMvMy8xNC5VU0QBAAAAuj78EQIAAAAFMTkuNjkAyt67ipHZ3QgmlUeLkdndCCJDSVEuSU9ULklRX09QRU5Q</t>
  </si>
  <si>
    <t>UklDRS4yMDI0LzcvMTguVVNEAQAAALo+/BECAAAABTM3LjIzAMreu4qR2d0I5LpIi5HZ3QghQ0lRLklPVC5JUV9ZRUFSSElHSC4yMDI1LzcvMTcuVVNEAQAAALo+/BECAAAABzYxLjg5OTkAyt67ipHZ3Qjnu1KLkdndCCBDSVEuSU9ULklRX1lFQVJMT1cuMjAyNS83LzE3LlVTRAEAAAC6PvwRAgAAAAQzMS40AMreu4qR2d0I5lpTi5HZ3QgYQ0lRLklPVC5JUV9ZRUFSSElHSF9EQVRFAQAAALo+/BEFAAAACTIwMjUvMi8xOQDK3ruKkdndCI+lSouR2d0IF0NJUS5JT1QuSVFfWUVBUkxPV19EQVRFAQAAALo+/BEFAAAACDIwMjUvNC83AMreu4qR2d0IAIpLi5HZ3QgkQ0lRLklPVC5JUV9DTE9TRVBSSUNFLjIwMjQvMTIvMzEuVVNEAQAAALo+/BECAAAABTQzLjY5AIb6wYqR2d0IBfmCmZHZ3QgkQ0lRLldEQVkuSVFfQ0xPU0VQUklDRS4yMDI1LzcvMTcuVVNEAQAAAIdjawECAAAABjIzMC44OQC9BbyKkdndCPPCTouR2d0IJENJUS5XREFZLklRX0NMT1NFUFJJQ0UuMjAyNS80LzE3LlVTRAEAAACHY2sBAgAAAAYyMjEuMDIAyt67ipHZ3QgY01CLkdndCCVDSVEuV0RBWS5JUV9DTE9TRVBSSUNFLjIwMjIvMTEvMzAuVVNEAQAAAIdjawECAAAABTE2Ny45AMreu4qR2d0I9TVRi5HZ3QgkQ0lRLldEQVkuSVFfQ0xPU0VQUklDRS4yMDIzLzMvMTQuVVNEAQAAAIdjawECAAAABjE4My40MQDK3ruKkdndCH0rWIuR2d0I</t>
  </si>
  <si>
    <t>I0NJUS5XREFZLklRX09QRU5QUklDRS4yMDI0LzcvMTguVVNEAQAAAIdjawECAAAABjIzMi43NgDK3ruKkdndCI9+VIuR2d0IIkNJUS5XREFZLklRX1lFQVJISUdILjIwMjUvNy8xNy5VU0QBAAAAh2NrAQIAAAADMjk0AMreu4qR2d0IdKVUi5HZ3QghQ0lRLldEQVkuSVFfWUVBUkxPVy4yMDI1LzcvMTcuVVNEAQAAAIdjawECAAAABjE5OS44MQDK3ruKkdndCNs+V4uR2d0IGUNJUS5XREFZLklRX1lFQVJISUdIX0RBVEUBAAAAh2NrAQUAAAAJMjAyNC8xMi85AMreu4qR2d0IC0pQi5HZ3QgYQ0lRLldEQVkuSVFfWUVBUkxPV19EQVRFAQAAAIdjawEFAAAACDIwMjUvNC83AMreu4qR2d0IJpVHi5HZ3QglQ0lRLldEQVkuSVFfQ0xPU0VQUklDRS4yMDI0LzEyLzMxLlVTRAEAAACHY2sBAgAAAAYyNTguMDMAhvrBipHZ3QjDzoOZkdndCCRDSVEuUkJMWC5JUV9DTE9TRVBSSUNFLjIwMjUvNy8xNy5VU0QBAAAAaVX0AQIAAAAGMTIyLjE3AL0FvIqR2d0IU91Xi5HZ3QgkQ0lRLlJCTFguSVFfQ0xPU0VQUklDRS4yMDI1LzQvMTcuVVNEAQAAAGlV9AECAAAABTU5LjcxAMreu4qR2d0I5lpTi5HZ3QglQ0lRLlJCTFguSVFfQ0xPU0VQUklDRS4yMDIyLzExLzMwLlVTRAEAAABpVfQBAgAAAAUzMS43NwDK3ruKkdndCI+lSouR2d0IJENJUS5SQkxYLklRX0NMT1NFUFJJQ0UuMjAyMy8zLzE0LlVTRAEAAABpVfQBAgAAAAU0</t>
  </si>
  <si>
    <t>My4xOQDK3ruKkdndCAXRU4uR2d0II0NJUS5SQkxYLklRX09QRU5QUklDRS4yMDI0LzcvMTguVVNEAQAAAGlV9AECAAAABTQwLjA3AMreu4qR2d0IMXZLi5HZ3QgiQ0lRLlJCTFguSVFfWUVBUkhJR0guMjAyNS83LzE3LlVTRAEAAABpVfQBAgAAAAYxMjMuMzMAyt67ipHZ3QghoEyLkdndCCFDSVEuUkJMWC5JUV9ZRUFSTE9XLjIwMjUvNy8xNy5VU0QBAAAAaVX0AQIAAAAEMzUuMwDK3ruKkdndCJ7YTYuR2d0IGUNJUS5SQkxYLklRX1lFQVJISUdIX0RBVEUBAAAAaVX0AQUAAAAJMjAyNS83LzMxAMreu4qR2d0I88JOi5HZ3QgYQ0lRLlJCTFguSVFfWUVBUkxPV19EQVRFAQAAAGlV9AEFAAAACTIwMjQvOC8xMgDK3ruKkdndCPU1UYuR2d0IJUNJUS5SQkxYLklRX0NMT1NFUFJJQ0UuMjAyNC8xMi8zMS5VU0QBAAAAaVX0AQIAAAAFNTcuODYAhvrBipHZ3QglkoSZkdndCCNDSVEuQVBQLklRX0NMT1NFUFJJQ0UuMjAyNS83LzE3LlVTRAEAAADauc4NAgAAAAYzNjMuNzgAvQW8ipHZ3QgraFGLkdndCCNDSVEuQVBQLklRX0NMT1NFUFJJQ0UuMjAyNS80LzE3LlVTRAEAAADauc4NAgAAAAYyMzguMjIAyt67ipHZ3Qhg5lGLkdndCCRDSVEuQVBQLklRX0NMT1NFUFJJQ0UuMjAyMi8xMS8zMC5VU0QBAAAA2rnODQIAAAAFMTQuNDEAyt67ipHZ3QgmlUeLkdndCCNDSVEuQVBQLklRX0NMT1NFUFJJQ0UuMjAyMy8zLzE0</t>
  </si>
  <si>
    <t>LlVTRAEAAADauc4NAgAAAAUxMi43NwDK3ruKkdndCOS6SIuR2d0IIkNJUS5BUFAuSVFfT1BFTlBSSUNFLjIwMjQvNy8xOC5VU0QBAAAA2rnODQIAAAAFODEuOTkAyt67ipHZ3Qjnu1KLkdndCCFDSVEuQVBQLklRX1lFQVJISUdILjIwMjUvNy8xNy5VU0QBAAAA2rnODQIAAAAGNTI1LjE1AMreu4qR2d0IfcxUi5HZ3QggQ0lRLkFQUC5JUV9ZRUFSTE9XLjIwMjUvNy8xNy5VU0QBAAAA2rnODQIAAAAFNjAuNjcAyt67ipHZ3QhvMEqLkdndCBhDSVEuQVBQLklRX1lFQVJISUdIX0RBVEUBAAAA2rnODQUAAAAJMjAyNS8yLzEzAMreu4qR2d0Ij6VKi5HZ3QgXQ0lRLkFQUC5JUV9ZRUFSTE9XX0RBVEUBAAAA2rnODQUAAAAJMjAyNC84LzEyAMreu4qR2d0IMXZLi5HZ3QgkQ0lRLkFQUC5JUV9DTE9TRVBSSUNFLjIwMjQvMTIvMzEuVVNEAQAAANq5zg0CAAAABjMyMy44MwCG+sGKkdndCLXxhZmR2d0IJENJUS5TSE9QLklRX0NMT1NFUFJJQ0UuMjAyNS83LzE3LlVTRAEAAAAGKwQFAgAAAAYxMjYuNzUAvQW8ipHZ3Qjnm06LkdndCCRDSVEuU0hPUC5JUV9DTE9TRVBSSUNFLjIwMjUvNC8xNy5VU0QBAAAABisEBQIAAAAFODMuNjUAyt67ipHZ3QgY01CLkdndCCVDSVEuU0hPUC5JUV9DTE9TRVBSSUNFLjIwMjIvMTEvMzAuVVNEAQAAAAYrBAUCAAAABTQwLjg4AMreu4qR2d0I55tOi5HZ3QgkQ0lRLlNIT1AuSVFfQ0xP</t>
  </si>
  <si>
    <t>U0VQUklDRS4yMDIzLzMvMTQuVVNEAQAAAAYrBAUCAAAABDQzLjgAyt67ipHZ3QiPflSLkdndCCNDSVEuU0hPUC5JUV9PUEVOUFJJQ0UuMjAyNC83LzE4LlVTRAEAAAAGKwQFAgAAAAQ2NS45AMreu4qR2d0IdKVUi5HZ3QgiQ0lRLlNIT1AuSVFfWUVBUkhJR0guMjAyNS83LzE3LlVTRAEAAAAGKwQFAgAAAAYxMjkuMzgAyt67ipHZ3QgguFWLkdndCCFDSVEuU0hPUC5JUV9ZRUFSTE9XLjIwMjUvNy8xNy5VU0QBAAAABisEBQIAAAAFNDguNTYAyt67ipHZ3QhaVFaLkdndCBlDSVEuU0hPUC5JUV9ZRUFSSElHSF9EQVRFAQAAAAYrBAUFAAAACDIwMjUvOC83AMreu4qR2d0IiyJQi5HZ3QgYQ0lRLlNIT1AuSVFfWUVBUkxPV19EQVRFAQAAAAYrBAUFAAAACDIwMjQvOS82AMreu4qR2d0IJpVHi5HZ3QglQ0lRLlNIT1AuSVFfQ0xPU0VQUklDRS4yMDI0LzEyLzMxLlVTRAEAAAAGKwQFAgAAAAYxMDYuMzMAhvrBipHZ3Qj10YKZkdndCCRDSVEuVEVBTS5JUV9DTE9TRVBSSUNFLjIwMjUvNy8xNy5VU0QBAAAAUhMiDwIAAAAGMTkwLjYyAL0FvIqR2d0IbzBKi5HZ3QgkQ0lRLlRFQU0uSVFfQ0xPU0VQUklDRS4yMDI1LzQvMTcuVVNEAQAAAFITIg8CAAAABjIwMi43NQDK3ruKkdndCI+lSouR2d0IJUNJUS5URUFNLklRX0NMT1NFUFJJQ0UuMjAyMi8xMS8zMC5VU0QBAAAAUhMiDwIAAAAGMTMxLjU1AMreu4qR2d0IILhV</t>
  </si>
  <si>
    <t>i5HZ3QgkQ0lRLlRFQU0uSVFfQ0xPU0VQUklDRS4yMDIzLzMvMTQuVVNEAQAAAFITIg8CAAAABjE1OS45OADK3ruKkdndCDF2S4uR2d0II0NJUS5URUFNLklRX09QRU5QUklDRS4yMDI0LzcvMTguVVNEAQAAAFITIg8CAAAABTE3OS43AMreu4qR2d0IIaBMi5HZ3QgiQ0lRLlRFQU0uSVFfWUVBUkhJR0guMjAyNS83LzE3LlVTRAEAAABSEyIPAgAAAAgzMjUuOTk5OQDK3ruKkdndCJ7YTYuR2d0IIUNJUS5URUFNLklRX1lFQVJMT1cuMjAyNS83LzE3LlVTRAEAAABSEyIPAgAAAAYxMzUuMjkAyt67ipHZ3Qhg5lGLkdndCBlDSVEuVEVBTS5JUV9ZRUFSSElHSF9EQVRFAQAAAFITIg8FAAAACTIwMjUvMi8xMADK3ruKkdndCOe7UouR2d0IGENJUS5URUFNLklRX1lFQVJMT1dfREFURQEAAABSEyIPBQAAAAkyMDI0LzgvMTMAyt67ipHZ3QjmWlOLkdndCCVDSVEuVEVBTS5JUV9DTE9TRVBSSUNFLjIwMjQvMTIvMzEuVVNEAQAAAFITIg8CAAAABjI0My4zOACG+sGKkdndCAVEhJmR2d0IJENJUS5NU0ZULklRX0NMT1NFUFJJQ0UuMjAyNS83LzE3LlVTRAEAAABLVQAAAgAAAAU1MTEuNwC9BbyKkdndCPU1UYuR2d0IJENJUS5NU0ZULklRX0NMT1NFUFJJQ0UuMjAyNS80LzE3LlVTRAEAAABLVQAAAgAAAAYzNjcuNzgAyt67ipHZ3QgxdkuLkdndCCVDSVEuTVNGVC5JUV9DTE9TRVBSSUNFLjIwMjIvMTEvMzAuVVNEAQAA</t>
  </si>
  <si>
    <t>AEtVAAACAAAABjI1NS4xNADK3ruKkdndCCGgTIuR2d0IJENJUS5NU0ZULklRX0NMT1NFUFJJQ0UuMjAyMy8zLzE0LlVTRAEAAABLVQAAAgAAAAYyNjAuNzkAyt67ipHZ3Qie2E2LkdndCCNDSVEuTVNGVC5JUV9PUEVOUFJJQ0UuMjAyNC83LzE4LlVTRAEAAABLVQAAAgAAAAY0NDQuMzQAyt67ipHZ3Qjnm06LkdndCCJDSVEuTVNGVC5JUV9ZRUFSSElHSC4yMDI1LzcvMTcuVVNEAQAAAEtVAAACAAAABjUxMy4zNwDK3ruKkdndCEEDWouR2d0IIUNJUS5NU0ZULklRX1lFQVJMT1cuMjAyNS83LzE3LlVTRAEAAABLVQAAAgAAAAYzNDQuNzkAyt67ipHZ3QiJkFGLkdndCBlDSVEuTVNGVC5JUV9ZRUFSSElHSF9EQVRFAQAAAEtVAAAFAAAACTIwMjUvNy8zMQDK3ruKkdndCHSlVIuR2d0IGENJUS5NU0ZULklRX1lFQVJMT1dfREFURQEAAABLVQAABQAAAAgyMDI1LzQvNwDK3ruKkdndCIsiUIuR2d0IJUNJUS5NU0ZULklRX0NMT1NFUFJJQ0UuMjAyNC8xMi8zMS5VU0QBAAAAS1UAAAIAAAAFNDIxLjUAqg/CipHZ3Qh1p4OZkdndCCRDSVEuQU1aTi5JUV9DTE9TRVBSSUNFLjIwMjUvNy8xNy5VU0QBAAAAPUkAAAIAAAAGMjIzLjg4AL0FvIqR2d0IXq1Pi5HZ3QgkQ0lRLkFNWk4uSVFfQ0xPU0VQUklDRS4yMDI1LzQvMTcuVVNEAQAAAD1JAAACAAAABjE3Mi42MQDK3ruKkdndCBjTUIuR2d0IJUNJUS5BTVpOLklRX0NM</t>
  </si>
  <si>
    <t>T1NFUFJJQ0UuMjAyMi8xMS8zMC5VU0QBAAAAPUkAAAIAAAAFOTYuNTQAyt67ipHZ3QhvMEqLkdndCCRDSVEuQU1aTi5JUV9DTE9TRVBSSUNFLjIwMjMvMy8xNC5VU0QBAAAAPUkAAAIAAAAFOTQuODgAyt67ipHZ3QipfkqLkdndCCNDSVEuQU1aTi5JUV9PUEVOUFJJQ0UuMjAyNC83LzE4LlVTRAEAAAA9SQAAAgAAAAYxODkuNTkAyt67ipHZ3QhvMEqLkdndCCJDSVEuQU1aTi5JUV9ZRUFSSElHSC4yMDI1LzcvMTcuVVNEAQAAAD1JAAACAAAABjI0Mi41MgDK3ruKkdndCKl+SouR2d0IIUNJUS5BTVpOLklRX1lFQVJMT1cuMjAyNS83LzE3LlVTRAEAAAA9SQAAAgAAAAYxNTEuNjEAyt67ipHZ3QifBkuLkdndCBlDSVEuQU1aTi5JUV9ZRUFSSElHSF9EQVRFAQAAAD1JAAAFAAAACDIwMjUvMi80AMreu4qR2d0IMXZLi5HZ3QgYQ0lRLkFNWk4uSVFfWUVBUkxPV19EQVRFAQAAAD1JAAAFAAAACDIwMjUvNC83AMreu4qR2d0InthNi5HZ3QglQ0lRLkFNWk4uSVFfQ0xPU0VQUklDRS4yMDI0LzEyLzMxLlVTRAEAAAA9SQAAAgAAAAYyMTkuMzkAqg/CipHZ3QhUB4WZkdndCC5DSVEuTkFTREFRR1M6R09PR0wuSVFfQ0xPU0VQUklDRS4yMDI1LzcvMTcuVVNEAQAAAKhxAAACAAAABjE4My41OAC9BbyKkdndCEx+WouR2d0ILkNJUS5OQVNEQVFHUzpHT09HTC5JUV9DTE9TRVBSSUNFLjIwMjUvNC8xNy5VU0QBAAAAqHEA</t>
  </si>
  <si>
    <t>AAIAAAAGMTUxLjE2AMreu4qR2d0I5lpTi5HZ3QgvQ0lRLk5BU0RBUUdTOkdPT0dMLklRX0NMT1NFUFJJQ0UuMjAyMi8xMS8zMC5VU0QBAAAAqHEAAAIAAAAGMTAwLjk5AMreu4qR2d0I2qhTi5HZ3QguQ0lRLk5BU0RBUUdTOkdPT0dMLklRX0NMT1NFUFJJQ0UuMjAyMy8zLzE0LlVTRAEAAACocQAAAgAAAAU5My45NwDK3ruKkdndCP5jWYuR2d0ILUNJUS5OQVNEQVFHUzpHT09HTC5JUV9PUEVOUFJJQ0UuMjAyNC83LzE4LlVTRAEAAACocQAAAgAAAAYxODEuOTMAyt67ipHZ3QiLIlCLkdndCCxDSVEuTkFTREFRR1M6R09PR0wuSVFfWUVBUkhJR0guMjAyNS83LzE3LlVTRAEAAACocQAAAgAAAAYyMDcuMDUAyt67ipHZ3QiPflSLkdndCCtDSVEuTkFTREFRR1M6R09PR0wuSVFfWUVBUkxPVy4yMDI1LzcvMTcuVVNEAQAAAKhxAAACAAAABjE0MC41MwDK3ruKkdndCCaVR4uR2d0II0NJUS5OQVNEQVFHUzpHT09HTC5JUV9ZRUFSSElHSF9EQVRFAQAAAKhxAAAFAAAACDIwMjUvMi80AMreu4qR2d0I5LpIi5HZ3QgiQ0lRLk5BU0RBUUdTOkdPT0dMLklRX1lFQVJMT1dfREFURQEAAACocQAABQAAAAgyMDI1LzQvNwDK3ruKkdndCG8wSouR2d0IL0NJUS5OQVNEQVFHUzpHT09HTC5JUV9DTE9TRVBSSUNFLjIwMjQvMTIvMzEuVVNEAQAAAKhxAAACAAAABTE4OS4zAKoPwoqR2d0I9dGCmZHZ3QgkQ0lRLlRTTEEuSVFf</t>
  </si>
  <si>
    <t>Q0xPU0VQUklDRS4yMDI1LzcvMTcuVVNEAQAAABDGogECAAAABjMxOS40MQC9BbyKkdndCKxRTIuR2d0IJENJUS5UU0xBLklRX0NMT1NFUFJJQ0UuMjAyNS80LzE3LlVTRAEAAAAQxqIBAgAAAAYyNDEuMzcAyt67ipHZ3QghoEyLkdndCCVDSVEuVFNMQS5JUV9DTE9TRVBSSUNFLjIwMjIvMTEvMzAuVVNEAQAAABDGogECAAAABTE5NC43AMreu4qR2d0InthNi5HZ3QgkQ0lRLlRTTEEuSVFfQ0xPU0VQUklDRS4yMDIzLzMvMTQuVVNEAQAAABDGogECAAAABjE4My4yNgDK3ruKkdndCOebTouR2d0II0NJUS5UU0xBLklRX09QRU5QUklDRS4yMDI0LzcvMTguVVNEAQAAABDGogECAAAABjI1MS4wOQDK3ruKkdndCGSUUouR2d0IIkNJUS5UU0xBLklRX1lFQVJISUdILjIwMjUvNy8xNy5VU0QBAAAAEMaiAQIAAAAINDg4LjUzOTkAyt67ipHZ3Qhw81SLkdndCCFDSVEuVFNMQS5JUV9ZRUFSTE9XLjIwMjUvNy8xNy5VU0QBAAAAEMaiAQIAAAADMTgyAMreu4qR2d0IGNNQi5HZ3QgZQ0lRLlRTTEEuSVFfWUVBUkhJR0hfREFURQEAAAAQxqIBBQAAAAoyMDI0LzEyLzE4AMreu4qR2d0I9TVRi5HZ3QgYQ0lRLlRTTEEuSVFfWUVBUkxPV19EQVRFAQAAABDGogEFAAAACTIwMjQvOC8xMgDK3ruKkdndCIsiUIuR2d0IJUNJUS5UU0xBLklRX0NMT1NFUFJJQ0UuMjAyNC8xMi8zMS5VU0QBAAAAEMaiAQIAAAAGNDAzLjg0AKoP</t>
  </si>
  <si>
    <t>woqR2d0I5GaGmZHZ3QgkQ0lRLlBMVFIuSVFfQ0xPU0VQUklDRS4yMDI1LzcvMTcuVVNEAQAAAGX6mAICAAAABjE1My45OQC9BbyKkdndCOB0TouR2d0IJENJUS5QTFRSLklRX0NMT1NFUFJJQ0UuMjAyNS80LzE3LlVTRAEAAABl+pgCAgAAAAU5My43OADK3ruKkdndCGDmUYuR2d0IJUNJUS5QTFRSLklRX0NMT1NFUFJJQ0UuMjAyMi8xMS8zMC5VU0QBAAAAZfqYAgIAAAADNy41AMreu4qR2d0I5LpIi5HZ3QgkQ0lRLlBMVFIuSVFfQ0xPU0VQUklDRS4yMDIzLzMvMTQuVVNEAQAAAGX6mAICAAAABDcuODkAyt67ipHZ3Qh9zFSLkdndCCNDSVEuUExUUi5JUV9PUEVOUFJJQ0UuMjAyNC83LzE4LlVTRAEAAABl+pgCAgAAAAUyOC40MgDK3ruKkdndCG8wSouR2d0IIkNJUS5QTFRSLklRX1lFQVJISUdILjIwMjUvNy8xNy5VU0QBAAAAZfqYAgIAAAAGMTU1LjY4AMreu4qR2d0IqX5Ki5HZ3QghQ0lRLlBMVFIuSVFfWUVBUkxPVy4yMDI1LzcvMTcuVVNEAQAAAGX6mAICAAAABTIxLjIzAMreu4qR2d0InwZLi5HZ3QgZQ0lRLlBMVFIuSVFfWUVBUkhJR0hfREFURQEAAABl+pgCBQAAAAgyMDI1LzgvOADK3ruKkdndCBdSS4uR2d0IGENJUS5QTFRSLklRX1lFQVJMT1dfREFURQEAAABl+pgCBQAAAAkyMDI0LzgvMTIAyt67ipHZ3Qie2E2LkdndCCVDSVEuUExUUi5JUV9DTE9TRVBSSUNFLjIwMjQvMTIvMzEuVVNEAQAA</t>
  </si>
  <si>
    <t>AGX6mAICAAAABTc1LjYzAKoPwoqR2d0IBUSEmZHZ3QgkQ0lRLk9SQ0wuSVFfQ0xPU0VQUklDRS4yMDI1LzcvMTcuVVNEAQAAAOdWAAACAAAABjI0OC43NQC9BbyKkdndCI9+VIuR2d0IJENJUS5PUkNMLklRX0NMT1NFUFJJQ0UuMjAyNS80LzE3LlVTRAEAAADnVgAAAgAAAAYxMjguNjIAyt67ipHZ3QjrUliLkdndCCVDSVEuT1JDTC5JUV9DTE9TRVBSSUNFLjIwMjIvMTEvMzAuVVNEAQAAAOdWAAACAAAABTgzLjAzAMreu4qR2d0IEKFYi5HZ3QgkQ0lRLk9SQ0wuSVFfQ0xPU0VQUklDRS4yMDIzLzMvMTQuVVNEAQAAAOdWAAACAAAABTg0LjU2AMreu4qR2d0IiyJQi5HZ3QgjQ0lRLk9SQ0wuSVFfT1BFTlBSSUNFLjIwMjQvNy8xOC5VU0QBAAAA51YAAAIAAAAGMTM5LjM2AMreu4qR2d0IdKVUi5HZ3QgiQ0lRLk9SQ0wuSVFfWUVBUkhJR0guMjAyNS83LzE3LlVTRAEAAADnVgAAAgAAAAgyNTEuNTk5OQDK3ruKkdndCCaVR4uR2d0IIUNJUS5PUkNMLklRX1lFQVJMT1cuMjAyNS83LzE3LlVTRAEAAADnVgAAAgAAAAYxMTguODYAyt67ipHZ3QjkukiLkdndCBlDSVEuT1JDTC5JUV9ZRUFSSElHSF9EQVRFAQAAAOdWAAAFAAAACTIwMjUvNy8zMQDK3ruKkdndCH0rWIuR2d0IGENJUS5PUkNMLklRX1lFQVJMT1dfREFURQEAAADnVgAABQAAAAgyMDI1LzQvNwDK3ruKkdndCKl+SouR2d0IJUNJUS5PUkNMLklRX0NM</t>
  </si>
  <si>
    <t>T1NFUFJJQ0UuMjAyNC8xMi8zMS5VU0QBAAAA51YAAAIAAAAGMTY2LjY0AKoPwoqR2d0I5vWDmZHZ3QgkQ0lRLk5CSVMuSVFfQ0xPU0VQUklDRS4yMDI1LzcvMTcuVVNEAQAAAL/7GQMCAAAABTUzLjY5AL0FvIqR2d0IIaBMi5HZ3QgkQ0lRLk5CSVMuSVFfQ0xPU0VQUklDRS4yMDI1LzQvMTcuVVNEAQAAAL/7GQMCAAAABTIxLjUzAMreu4qR2d0InthNi5HZ3QglQ0lRLk5CSVMuSVFfQ0xPU0VQUklDRS4yMDIyLzExLzMwLlVTRAEAAAC/+xkDAwAAAAAAyt67ipHZ3Qjnm06LkdndCCRDSVEuTkJJUy5JUV9DTE9TRVBSSUNFLjIwMjMvMy8xNC5VU0QBAAAAv/sZAwMAAAAAAMreu4qR2d0InthNi5HZ3QgjQ0lRLk5CSVMuSVFfT1BFTlBSSUNFLjIwMjQvNy8xOC5VU0QBAAAAv/sZAwMAAAAAAMreu4qR2d0I55tOi5HZ3QgiQ0lRLk5CSVMuSVFfWUVBUkhJR0guMjAyNS83LzE3LlVTRAEAAAC/+xkDAgAAAAU1Ni4xNgDK3ruKkdndCGDmUYuR2d0IIUNJUS5OQklTLklRX1lFQVJMT1cuMjAyNS83LzE3LlVTRAEAAAC/+xkDAgAAAAUxNC4wOQDK3ruKkdndCGSUUouR2d0IGUNJUS5OQklTLklRX1lFQVJISUdIX0RBVEUBAAAAv/sZAwUAAAAJMjAyNS84LzExAMreu4qR2d0IXq1Pi5HZ3QgYQ0lRLk5CSVMuSVFfWUVBUkxPV19EQVRFAQAAAL/7GQMFAAAACjIwMjQvMTAvMjEAyt67ipHZ3QiLIlCLkdndCCVDSVEuTkJJ</t>
  </si>
  <si>
    <t>Uy5JUV9DTE9TRVBSSUNFLjIwMjQvMTIvMzEuVVNEAQAAAL/7GQMCAAAABDI3LjcAqg/CipHZ3Qj10YKZkdndCCRDSVEuRVNUQy5JUV9DTE9TRVBSSUNFLjIwMjUvNy8xNy5VU0QBAAAAgIRbDQIAAAAEODYuMwC9BbyKkdndCCw4T4uR2d0IJENJUS5FU1RDLklRX0NMT1NFUFJJQ0UuMjAyNS80LzE3LlVTRAEAAACAhFsNAgAAAAU3Ny44NwDK3ruKkdndCImQUYuR2d0IJUNJUS5FU1RDLklRX0NMT1NFUFJJQ0UuMjAyMi8xMS8zMC5VU0QBAAAAgIRbDQIAAAAFNjEuMTkAyt67ipHZ3QhvMEqLkdndCCRDSVEuRVNUQy5JUV9DTE9TRVBSSUNFLjIwMjMvMy8xNC5VU0QBAAAAgIRbDQIAAAAFNTUuMTIAyt67ipHZ3QipfkqLkdndCCNDSVEuRVNUQy5JUV9PUEVOUFJJQ0UuMjAyNC83LzE4LlVTRAEAAACAhFsNAgAAAAYxMTUuNTUAyt67ipHZ3QifBkuLkdndCCJDSVEuRVNUQy5JUV9ZRUFSSElHSC4yMDI1LzcvMTcuVVNEAQAAAICEWw0CAAAABjExOC44NADK3ruKkdndCBdSS4uR2d0IIUNJUS5FU1RDLklRX1lFQVJMT1cuMjAyNS83LzE3LlVTRAEAAACAhFsNAgAAAAI2OQDK3ruKkdndCCGgTIuR2d0IGUNJUS5FU1RDLklRX1lFQVJISUdIX0RBVEUBAAAAgIRbDQUAAAAJMjAyNS8yLzEwAMreu4qR2d0InthNi5HZ3QgYQ0lRLkVTVEMuSVFfWUVBUkxPV19EQVRFAQAAAICEWw0FAAAACDIwMjQvOS85AMreu4qR2d0I</t>
  </si>
  <si>
    <t>cPNUi5HZ3QglQ0lRLkVTVEMuSVFfQ0xPU0VQUklDRS4yMDI0LzEyLzMxLlVTRAEAAACAhFsNAgAAAAU5OS4wOACqD8KKkdndCCWShJmR2d0IJENJUS5TTk9XLklRX0NMT1NFUFJJQ0UuMjAyNS83LzE3LlVTRAEAAACwPGQQAgAAAAYyMTEuNTgAvQW8ipHZ3Qj1NVGLkdndCCRDSVEuU05PVy5JUV9DTE9TRVBSSUNFLjIwMjUvNC8xNy5VU0QBAAAAsDxkEAIAAAAGMTQzLjQzAMreu4qR2d0IiyJQi5HZ3QglQ0lRLlNOT1cuSVFfQ0xPU0VQUklDRS4yMDIyLzExLzMwLlVTRAEAAACwPGQQAgAAAAUxNDIuOQDK3ruKkdndCFW2V4uR2d0IJENJUS5TTk9XLklRX0NMT1NFUFJJQ0UuMjAyMy8zLzE0LlVTRAEAAACwPGQQAgAAAAYxMzkuODIAyt67ipHZ3QgmlUeLkdndCCNDSVEuU05PVy5JUV9PUEVOUFJJQ0UuMjAyNC83LzE4LlVTRAEAAACwPGQQAgAAAAYxMzUuMDMAyt67ipHZ3Qh0pVSLkdndCCJDSVEuU05PVy5JUV9ZRUFSSElHSC4yMDI1LzcvMTcuVVNEAQAAALA8ZBACAAAABTIyNi42AMreu4qR2d0IJpVHi5HZ3QghQ0lRLlNOT1cuSVFfWUVBUkxPVy4yMDI1LzcvMTcuVVNEAQAAALA8ZBACAAAABjEwNy4xMwDK3ruKkdndCOS6SIuR2d0IGUNJUS5TTk9XLklRX1lFQVJISUdIX0RBVEUBAAAAsDxkEAUAAAAJMjAyNS83LzMxAMreu4qR2d0IfcxUi5HZ3QgYQ0lRLlNOT1cuSVFfWUVBUkxPV19EQVRFAQAAALA8</t>
  </si>
  <si>
    <t>ZBAFAAAACDIwMjQvOS82AMreu4qR2d0IqX5Ki5HZ3QglQ0lRLlNOT1cuSVFfQ0xPU0VQUklDRS4yMDI0LzEyLzMxLlVTRAEAAACwPGQQAgAAAAYxNTQuNDEAqg/CipHZ3Qh0VYWZkdndCCRDSVEuRERPRy5JUV9DTE9TRVBSSUNFLjIwMjUvNy8xNy5VU0QBAAAAu6EECAIAAAAGMTQzLjE1AL0FvIqR2d0IK2hRi5HZ3QgkQ0lRLkRET0cuSVFfQ0xPU0VQUklDRS4yMDI1LzQvMTcuVVNEAQAAALuhBAgCAAAABTkxLjE4AMreu4qR2d0IuXhMi5HZ3QglQ0lRLkRET0cuSVFfQ0xPU0VQUklDRS4yMDIyLzExLzMwLlVTRAEAAAC7oQQIAgAAAAU3NS43OADK3ruKkdndCJ7YTYuR2d0IJENJUS5ERE9HLklRX0NMT1NFUFJJQ0UuMjAyMy8zLzE0LlVTRAEAAAC7oQQIAgAAAAU2NS45NgDK3ruKkdndCOebTouR2d0II0NJUS5ERE9HLklRX09QRU5QUklDRS4yMDI0LzcvMTguVVNEAQAAALuhBAgCAAAABTEyMS43AMreu4qR2d0Ij35Ui5HZ3QgiQ0lRLkRET0cuSVFfWUVBUkhJR0guMjAyNS83LzE3LlVTRAEAAAC7oQQIAgAAAAYxNzAuMDgAyt67ipHZ3QjbPleLkdndCCFDSVEuRERPRy5JUV9ZRUFSTE9XLjIwMjUvNy8xNy5VU0QBAAAAu6EECAIAAAAFODEuNjMAyt67ipHZ3QherU+LkdndCBlDSVEuRERPRy5JUV9ZRUFSSElHSF9EQVRFAQAAALuhBAgFAAAACTIwMjQvMTIvNgDK3ruKkdndCDiPV4uR2d0IGENJUS5ERE9H</t>
  </si>
  <si>
    <t>LklRX1lFQVJMT1dfREFURQEAAAC7oQQIBQAAAAgyMDI1LzQvNwDK3ruKkdndCI9+VIuR2d0IJUNJUS5ERE9HLklRX0NMT1NFUFJJQ0UuMjAyNC8xMi8zMS5VU0QBAAAAu6EECAIAAAAGMTQyLjg5AKoPwoqR2d0IYy6FmZHZ3QgjQ0lRLk5FVC5JUV9DTE9TRVBSSUNFLjIwMjUvNy8xNy5VU0QBAAAANPXgBAIAAAAGMTkxLjI1AL0FvIqR2d0Ij35Ui5HZ3QgjQ0lRLk5FVC5JUV9DTE9TRVBSSUNFLjIwMjUvNC8xNy5VU0QBAAAANPXgBAIAAAAFMTA3LjkAyt67ipHZ3QhvMEqLkdndCCRDSVEuTkVULklRX0NMT1NFUFJJQ0UuMjAyMi8xMS8zMC5VU0QBAAAANPXgBAIAAAAFNDkuMTQAyt67ipHZ3QipfkqLkdndCCNDSVEuTkVULklRX0NMT1NFUFJJQ0UuMjAyMy8zLzE0LlVTRAEAAAA09eAEAgAAAAQ1NC44AMreu4qR2d0InwZLi5HZ3QgiQ0lRLk5FVC5JUV9PUEVOUFJJQ0UuMjAyNC83LzE4LlVTRAEAAAA09eAEAgAAAAU4MS4wMQDK3ruKkdndCBdSS4uR2d0IIUNJUS5ORVQuSVFfWUVBUkhJR0guMjAyNS83LzE3LlVTRAEAAAA09eAEAgAAAAYxOTguMDEAyt67ipHZ3QgXUkuLkdndCCBDSVEuTkVULklRX1lFQVJMT1cuMjAyNS83LzE3LlVTRAEAAAA09eAEAgAAAAU2OS4yNgDK3ruKkdndCLl4TIuR2d0IGENJUS5ORVQuSVFfWUVBUkhJR0hfREFURQEAAAA09eAEBQAAAAgyMDI1LzgvNwDK3ruKkdndCJGxTYuR</t>
  </si>
  <si>
    <t>2d0IF0NJUS5ORVQuSVFfWUVBUkxPV19EQVRFAQAAADT14AQFAAAACTIwMjQvOS8xMADK3ruKkdndCGSUUouR2d0IJENJUS5ORVQuSVFfQ0xPU0VQUklDRS4yMDI0LzEyLzMxLlVTRAEAAAA09eAEAgAAAAYxMDcuNjgAqg/CipHZ3Qj10YKZkdndCCRDSVEuR1RMQi5JUV9DTE9TRVBSSUNFLjIwMjUvNy8xNy5VU0QBAAAAzYQXEQIAAAAFNDMuOTIAvQW8ipHZ3QjaqFOLkdndCCRDSVEuR1RMQi5JUV9DTE9TRVBSSUNFLjIwMjUvNC8xNy5VU0QBAAAAzYQXEQIAAAAENDIuOQDK3ruKkdndCIsiUIuR2d0IJUNJUS5HVExCLklRX0NMT1NFUFJJQ0UuMjAyMi8xMS8zMC5VU0QBAAAAzYQXEQIAAAAFMzkuNTUAyt67ipHZ3QiLyVaLkdndCCRDSVEuR1RMQi5JUV9DTE9TRVBSSUNFLjIwMjMvMy8xNC5VU0QBAAAAzYQXEQIAAAAFMzMuOTYAyt67ipHZ3QiLIlCLkdndCCNDSVEuR1RMQi5JUV9PUEVOUFJJQ0UuMjAyNC83LzE4LlVTRAEAAADNhBcRAgAAAAQ1NC41AMreu4qR2d0IK2hRi5HZ3QgiQ0lRLkdUTEIuSVFfWUVBUkhJR0guMjAyNS83LzE3LlVTRAEAAADNhBcRAgAAAAU3NC4xOADK3ruKkdndCCaVR4uR2d0IIUNJUS5HVExCLklRX1lFQVJMT1cuMjAyNS83LzE3LlVTRAEAAADNhBcRAgAAAAczNy44OTY5AMreu4qR2d0I5LpIi5HZ3QgZQ0lRLkdUTEIuSVFfWUVBUkhJR0hfREFURQEAAADNhBcRBQAAAAkyMDI1</t>
  </si>
  <si>
    <t>LzEvMzEAyt67ipHZ3Qhg5lGLkdndCBhDSVEuR1RMQi5JUV9ZRUFSTE9XX0RBVEUBAAAAzYQXEQUAAAAIMjAyNS80LzQAyt67ipHZ3QipfkqLkdndCCVDSVEuR1RMQi5JUV9DTE9TRVBSSUNFLjIwMjQvMTIvMzEuVVNEAQAAAM2EFxECAAAABTU2LjM1AKoPwoqR2d0IdaeDmZHZ3QgkQ0lRLlBBTlcuSVFfQ0xPU0VQUklDRS4yMDI1LzcvMTcuVVNEAQAAAIN9hAECAAAABjE5Ni4yOAC9BbyKkdndCLl4TIuR2d0IJENJUS5QQU5XLklRX0NMT1NFUFJJQ0UuMjAyNS80LzE3LlVTRAEAAACDfYQBAgAAAAYxNjcuNjkAyt67ipHZ3QiRsU2LkdndCCVDSVEuUEFOVy5JUV9DTE9TRVBSSUNFLjIwMjIvMTEvMzAuVVNEAQAAAIN9hAECAAAABTg0Ljk1AMreu4qR2d0I55tOi5HZ3QgkQ0lRLlBBTlcuSVFfQ0xPU0VQUklDRS4yMDIzLzMvMTQuVVNEAQAAAIN9hAECAAAABTkyLjI0AMreu4qR2d0IGNNQi5HZ3QgjQ0lRLlBBTlcuSVFfT1BFTlBSSUNFLjIwMjQvNy8xOC5VU0QBAAAAg32EAQIAAAAHMTY0LjYzNQDK3ruKkdndCPU1UYuR2d0IIkNJUS5QQU5XLklRX1lFQVJISUdILjIwMjUvNy8xNy5VU0QBAAAAg32EAQIAAAAGMjA4LjM5AMreu4qR2d0IXq1Pi5HZ3QghQ0lRLlBBTlcuSVFfWUVBUkxPVy4yMDI1LzcvMTcuVVNEAQAAAIN9hAECAAAABjE0Mi4wMQDK3ruKkdndCH3MVIuR2d0IGUNJUS5QQU5XLklRX1lFQVJI</t>
  </si>
  <si>
    <t>SUdIX0RBVEUBAAAAg32EAQUAAAAJMjAyNS83LzI5AMreu4qR2d0IiyJQi5HZ3QgYQ0lRLlBBTlcuSVFfWUVBUkxPV19EQVRFAQAAAIN9hAEFAAAACDIwMjUvNC83AMreu4qR2d0IiG1Hi5HZ3QglQ0lRLlBBTlcuSVFfQ0xPU0VQUklDRS4yMDI0LzEyLzMxLlVTRAEAAACDfYQBAgAAAAYxODEuOTYAqg/CipHZ3QgUa4SZkdndCCNDSVEuTURCLklRX0NMT1NFUFJJQ0UuMjAyNS83LzE3LlVTRAEAAADibswCAgAAAAYyMTguNTMAvQW8ipHZ3QhvMEqLkdndCCNDSVEuTURCLklRX0NMT1NFUFJJQ0UuMjAyNS80LzE3LlVTRAEAAADibswCAgAAAAYxNTkuMjYAyt67ipHZ3QipfkqLkdndCCRDSVEuTURCLklRX0NMT1NFUFJJQ0UuMjAyMi8xMS8zMC5VU0QBAAAA4m7MAgIAAAAGMTUyLjY5AMreu4qR2d0InwZLi5HZ3QgjQ0lRLk1EQi5JUV9DTE9TRVBSSUNFLjIwMjMvMy8xNC5VU0QBAAAA4m7MAgIAAAAGMjA0LjY4AMreu4qR2d0IqX5Ki5HZ3QgiQ0lRLk1EQi5JUV9PUEVOUFJJQ0UuMjAyNC83LzE4LlVTRAEAAADibswCAgAAAAMyNjMAyt67ipHZ3QifBkuLkdndCCFDSVEuTURCLklRX1lFQVJISUdILjIwMjUvNy8xNy5VU0QBAAAA4m7MAgIAAAADMzcwAMreu4qR2d0IF1JLi5HZ3QggQ0lRLk1EQi5JUV9ZRUFSTE9XLjIwMjUvNy8xNy5VU0QBAAAA4m7MAgIAAAAGMTQwLjc4AMreu4qR2d0IuXhMi5HZ3QgYQ0lR</t>
  </si>
  <si>
    <t>Lk1EQi5JUV9ZRUFSSElHSF9EQVRFAQAAAOJuzAIFAAAACTIwMjQvMTIvOQDK3ruKkdndCJGxTYuR2d0IF0NJUS5NREIuSVFfWUVBUkxPV19EQVRFAQAAAOJuzAIFAAAACDIwMjUvNC83AMreu4qR2d0IdntWi5HZ3QgkQ0lRLk1EQi5JUV9DTE9TRVBSSUNFLjIwMjQvMTIvMzEuVVNEAQAAAOJuzAICAAAABjIzMi44MQCqD8KKkdndCORmhpmR2d0IJENJUS5QU1RHLklRX0NMT1NFUFJJQ0UuMjAyNS83LzE3LlVTRAEAAAC4yqUGAgAAAAU1Ny4yNQC9BbyKkdndCI9+VIuR2d0IJENJUS5QU1RHLklRX0NMT1NFUFJJQ0UuMjAyNS80LzE3LlVTRAEAAAC4yqUGAgAAAAU0MS43NQDK3ruKkdndCIsiUIuR2d0IJUNJUS5QU1RHLklRX0NMT1NFUFJJQ0UuMjAyMi8xMS8zMC5VU0QBAAAAuMqlBgIAAAAFMjkuMTkAyt67ipHZ3Qh2LVaLkdndCCRDSVEuUFNURy5JUV9DTE9TRVBSSUNFLjIwMjMvMy8xNC5VU0QBAAAAuMqlBgIAAAAFMjMuNDYAyt67ipHZ3QiIbUeLkdndCCNDSVEuUFNURy5JUV9PUEVOUFJJQ0UuMjAyNC83LzE4LlVTRAEAAAC4yqUGAgAAAAU2MS40OQDK3ruKkdndCFKUSIuR2d0IIkNJUS5QU1RHLklRX1lFQVJISUdILjIwMjUvNy8xNy5VU0QBAAAAuMqlBgIAAAAFNzMuNjcAyt67ipHZ3Qj14UmLkdndCCFDSVEuUFNURy5JUV9ZRUFSTE9XLjIwMjUvNy8xNy5VU0QBAAAAuMqlBgIAAAAFMzQuNTEAyt67</t>
  </si>
  <si>
    <t>ipHZ3QhvMEqLkdndCBlDSVEuUFNURy5JUV9ZRUFSSElHSF9EQVRFAQAAALjKpQYFAAAACTIwMjUvMS8yMgDK3ruKkdndCKl+SouR2d0IGENJUS5QU1RHLklRX1lFQVJMT1dfREFURQEAAAC4yqUGBQAAAAgyMDI1LzQvNwDK3ruKkdndCBdSS4uR2d0IJUNJUS5QU1RHLklRX0NMT1NFUFJJQ0UuMjAyNC8xMi8zMS5VU0QBAAAAuMqlBgIAAAAFNjEuNDMAqg/CipHZ3Qj10YKZkdndCCJDSVEuWlMuSVFfQ0xPU0VQUklDRS4yMDI1LzcvMTcuVVNEAQAAANTMgQMCAAAABjI4Ni4yOQC9BbyKkdndCF6tT4uR2d0IIkNJUS5aUy5JUV9DTE9TRVBSSUNFLjIwMjUvNC8xNy5VU0QBAAAA1MyBAwIAAAAGMjAxLjA5AMreu4qR2d0IN1dUi5HZ3QgjQ0lRLlpTLklRX0NMT1NFUFJJQ0UuMjAyMi8xMS8zMC5VU0QBAAAA1MyBAwIAAAAGMTMzLjQ1AMreu4qR2d0Ij35Ui5HZ3QgiQ0lRLlpTLklRX0NMT1NFUFJJQ0UuMjAyMy8zLzE0LlVTRAEAAADUzIEDAgAAAAYxMDcuOTcAyt67ipHZ3QherU+LkdndCCFDSVEuWlMuSVFfT1BFTlBSSUNFLjIwMjQvNy8xOC5VU0QBAAAA1MyBAwIAAAAGMTk0Ljk2AMreu4qR2d0I5lpTi5HZ3QggQ0lRLlpTLklRX1lFQVJISUdILjIwMjUvNy8xNy5VU0QBAAAA1MyBAwIAAAAIMzE4LjQ1OTkAyt67ipHZ3QhLhk+LkdndCB9DSVEuWlMuSVFfWUVBUkxPVy4yMDI1LzcvMTcuVVNEAQAAANTMgQMC</t>
  </si>
  <si>
    <t>AAAABjE1My40NQDK3ruKkdndCHzUT4uR2d0IF0NJUS5aUy5JUV9ZRUFSSElHSF9EQVRFAQAAANTMgQMFAAAACDIwMjUvNy84AMreu4qR2d0IiyJQi5HZ3QgWQ0lRLlpTLklRX1lFQVJMT1dfREFURQEAAADUzIEDBQAAAAkyMDI0LzkvMTAAyt67ipHZ3QiIbUeLkdndCCNDSVEuWlMuSVFfQ0xPU0VQUklDRS4yMDI0LzEyLzMxLlVTRAEAAADUzIEDAgAAAAYxODAuNDEAqg/CipHZ3QgFRISZkdndCCRDSVEuQ0ZMVC5JUV9DTE9TRVBSSUNFLjIwMjUvNy8xNy5VU0QBAAAAJgF6EAIAAAAFMjUuNDMAvQW8ipHZ3Qj1NVGLkdndCCRDSVEuQ0ZMVC5JUV9DTE9TRVBSSUNFLjIwMjUvNC8xNy5VU0QBAAAAJgF6EAIAAAAFMjEuMTUAyt67ipHZ3QhkCUqLkdndCCVDSVEuQ0ZMVC5JUV9DTE9TRVBSSUNFLjIwMjIvMTEvMzAuVVNEAQAAACYBehACAAAABTIzLjAzAMreu4qR2d0IqX5Ki5HZ3QgkQ0lRLkNGTFQuSVFfQ0xPU0VQUklDRS4yMDIzLzMvMTQuVVNEAQAAACYBehACAAAABDIyLjYAyt67ipHZ3QifBkuLkdndCCNDSVEuQ0ZMVC5JUV9PUEVOUFJJQ0UuMjAyNC83LzE4LlVTRAEAAAAmAXoQAgAAAAUyNi4wNgDK3ruKkdndCBdSS4uR2d0IIkNJUS5DRkxULklRX1lFQVJISUdILjIwMjUvNy8xNy5VU0QBAAAAJgF6EAIAAAAEMzcuOQDK3ruKkdndCLl4TIuR2d0IIUNJUS5DRkxULklRX1lFQVJMT1cuMjAyNS83LzE3</t>
  </si>
  <si>
    <t>LlVTRAEAAAAmAXoQAgAAAAUxNy43OQDK3ruKkdndCJGxTYuR2d0IGUNJUS5DRkxULklRX1lFQVJISUdIX0RBVEUBAAAAJgF6EAUAAAAJMjAyNS8yLzEyAMreu4qR2d0I55tOi5HZ3QgYQ0lRLkNGTFQuSVFfWUVBUkxPV19EQVRFAQAAACYBehAFAAAACTIwMjUvOC8xMQDK3ruKkdndCIhtR4uR2d0IJUNJUS5DRkxULklRX0NMT1NFUFJJQ0UuMjAyNC8xMi8zMS5VU0QBAAAAJgF6EAIAAAAFMjcuOTYAqg/CipHZ3QhFboOZkdndCCRDSVEuTlZEQS5JUV9DTE9TRVBSSUNFLjIwMjUvNy8xNy5VU0QBAAAAM34AAAIAAAADMTczAL0FvIqR2d0I55tOi5HZ3QgkQ0lRLk5WREEuSVFfQ0xPU0VQUklDRS4yMDI1LzQvMTcuVVNEAQAAADN+AAACAAAABjEwMS40OQDK3ruKkdndCCtoUYuR2d0IJUNJUS5OVkRBLklRX0NMT1NFUFJJQ0UuMjAyMi8xMS8zMC5VU0QBAAAAM34AAAIAAAAGMTYuOTIzAMreu4qR2d0IK2hRi5HZ3QgkQ0lRLk5WREEuSVFfQ0xPU0VQUklDRS4yMDIzLzMvMTQuVVNEAQAAADN+AAACAAAABjI0LjA2MwDK3ruKkdndCEuGT4uR2d0II0NJUS5OVkRBLklRX09QRU5QUklDRS4yMDI0LzcvMTguVVNEAQAAADN+AAACAAAABjEyMS44NQDK3ruKkdndCHzUT4uR2d0IIkNJUS5OVkRBLklRX1lFQVJISUdILjIwMjUvNy8xNy5VU0QBAAAAM34AAAIAAAAGMTc0LjE2AMreu4qR2d0IbftPi5HZ3QghQ0lRLk5W</t>
  </si>
  <si>
    <t>REEuSVFfWUVBUkxPVy4yMDI1LzcvMTcuVVNEAQAAADN+AAACAAAABTg2LjYyAMreu4qR2d0IYOZRi5HZ3QgZQ0lRLk5WREEuSVFfWUVBUkhJR0hfREFURQEAAAAzfgAABQAAAAgyMDI1LzgvNwDK3ruKkdndCIhtR4uR2d0IGENJUS5OVkRBLklRX1lFQVJMT1dfREFURQEAAAAzfgAABQAAAAgyMDI1LzQvNwDK3ruKkdndCPXhSYuR2d0IJUNJUS5OVkRBLklRX0NMT1NFUFJJQ0UuMjAyNC8xMi8zMS5VU0QBAAAAM34AAAIAAAAGMTM0LjI5AKoPwoqR2d0IlaOFmZHZ3QgkQ0lRLkFBUEwuSVFfQ0xPU0VQUklDRS4yMDI1LzcvMTcuVVNEAQAAAGlhAAACAAAABjIxMC4wMgC9BbyKkdndCOB0TouR2d0IJENJUS5BQVBMLklRX0NMT1NFUFJJQ0UuMjAyNS80LzE3LlVTRAEAAABpYQAAAgAAAAYxOTYuOTgAyt67ipHZ3QgXUkuLkdndCCVDSVEuQUFQTC5JUV9DTE9TRVBSSUNFLjIwMjIvMTEvMzAuVVNEAQAAAGlhAAACAAAABjE0OC4wMwDK3ruKkdndCLl4TIuR2d0IJENJUS5BQVBMLklRX0NMT1NFUFJJQ0UuMjAyMy8zLzE0LlVTRAEAAABpYQAAAgAAAAYxNTIuNTkAyt67ipHZ3QiRsU2LkdndCCNDSVEuQUFQTC5JUV9PUEVOUFJJQ0UuMjAyNC83LzE4LlVTRAEAAABpYQAAAgAAAAYyMzAuMjgAyt67ipHZ3Qi5eEyLkdndCCJDSVEuQUFQTC5JUV9ZRUFSSElHSC4yMDI1LzcvMTcuVVNEAQAAAGlhAAACAAAABTI2MC4x</t>
  </si>
  <si>
    <t>AMreu4qR2d0IkbFNi5HZ3QghQ0lRLkFBUEwuSVFfWUVBUkxPVy4yMDI1LzcvMTcuVVNEAQAAAGlhAAACAAAACDE2OS4yMTAxAMreu4qR2d0I4HROi5HZ3QgZQ0lRLkFBUEwuSVFfWUVBUkhJR0hfREFURQEAAABpYQAABQAAAAoyMDI0LzEyLzI2AMreu4qR2d0IcPNUi5HZ3QgYQ0lRLkFBUEwuSVFfWUVBUkxPV19EQVRFAQAAAGlhAAAFAAAACDIwMjUvNC84AMreu4qR2d0IS4ZPi5HZ3QglQ0lRLkFBUEwuSVFfQ0xPU0VQUklDRS4yMDI0LzEyLzMxLlVTRAEAAABpYQAAAgAAAAYyNTAuNDIAkyTCipHZ3Qj10YKZkdndCCRDSVEuQVZHTy5JUV9DTE9TRVBSSUNFLjIwMjUvNy8xNy5VU0QBAAAA8LZ9AQIAAAAGMjg2LjQ1AL0FvIqR2d0I9TVRi5HZ3QgkQ0lRLkFWR08uSVFfQ0xPU0VQUklDRS4yMDI1LzQvMTcuVVNEAQAAAPC2fQECAAAABjE3MC45OQDK3ruKkdndCH3MVIuR2d0IJUNJUS5BVkdPLklRX0NMT1NFUFJJQ0UuMjAyMi8xMS8zMC5VU0QBAAAA8LZ9AQIAAAAGNTUuMTAzAMreu4qR2d0IiG1Hi5HZ3QgkQ0lRLkFWR08uSVFfQ0xPU0VQUklDRS4yMDIzLzMvMTQuVVNEAQAAAPC2fQECAAAABjYzLjI0NgDK3ruKkdndCFKUSIuR2d0II0NJUS5BVkdPLklRX09QRU5QUklDRS4yMDI0LzcvMTguVVNEAQAAAPC2fQECAAAABjE1OC44OQDK3ruKkdndCPXhSYuR2d0IIkNJUS5BVkdPLklRX1lFQVJISUdILjIw</t>
  </si>
  <si>
    <t>MjUvNy8xNy5VU0QBAAAA8LZ9AQIAAAAGMjg4LjI4AMreu4qR2d0IZAlKi5HZ3QghQ0lRLkFWR08uSVFfWUVBUkxPVy4yMDI1LzcvMTcuVVNEAQAAAPC2fQECAAAABTEyOC41AMreu4qR2d0IhVdKi5HZ3QgZQ0lRLkFWR08uSVFfWUVBUkhJR0hfREFURQEAAADwtn0BBQAAAAgyMDI1LzgvNwDK3ruKkdndCI/YSouR2d0IGENJUS5BVkdPLklRX1lFQVJMT1dfREFURQEAAADwtn0BBQAAAAgyMDI0LzkvOQDK3ruKkdndCLl4TIuR2d0IJUNJUS5BVkdPLklRX0NMT1NFUFJJQ0UuMjAyNC8xMi8zMS5VU0QBAAAA8LZ9AQIAAAAGMjMxLjg0AJMkwoqR2d0IdFWFmZHZ3QgpQ0lRLlRXU0U6MjMzMC5JUV9DTE9TRVBSSUNFLjIwMjUvNy8xNy5VU0QBAAAAq8wFAAIAAAALMzguMzkzNTg1MTIAvQW8ipHZ3Qh0pVSLkdndCClDSVEuVFdTRToyMzMwLklRX0NMT1NFUFJJQ0UuMjAyNS80LzE3LlVTRAEAAACrzAUAAgAAAAwyNi4wNDYzMTEyOTEAyt67ipHZ3QimX0+LkdndCCpDSVEuVFdTRToyMzMwLklRX0NMT1NFUFJJQ0UuMjAyMi8xMS8zMC5VU0QBAAAAq8wFAAIAAAALMTUuODUzNTAwNjcAyt67ipHZ3QhLhk+LkdndCClDSVEuVFdTRToyMzMwLklRX0NMT1NFUFJJQ0UuMjAyMy8zLzE0LlVTRAEAAACrzAUAAgAAAAoxNi42ODU3NTE2AMreu4qR2d0IfNRPi5HZ3QgoQ0lRLlRXU0U6MjMzMC5JUV9PUEVOUFJJQ0UuMjAy</t>
  </si>
  <si>
    <t>NC83LzE4LlVTRAEAAACrzAUAAgAAAAwzMC4yMTc3NjM2MjgAyt67ipHZ3Qht+0+LkdndCCdDSVEuVFdTRToyMzMwLklRX1lFQVJISUdILjIwMjUvNy8xNy5VU0QBAAAAq8wFAAIAAAALMzkuNDEyODgzODQAyt67ipHZ3Qht+0+LkdndCCZDSVEuVFdTRToyMzMwLklRX1lFQVJMT1cuMjAyNS83LzE3LlVTRAEAAACrzAUAAgAAAAsyNi41MDE3NjY3MgDK3ruKkdndCCC4VYuR2d0IHkNJUS5UV1NFOjIzMzAuSVFfWUVBUkhJR0hfREFURQEAAACrzAUABQAAAAkyMDI1LzgvMTEAyt67ipHZ3QiIbUeLkdndCB1DSVEuVFdTRToyMzMwLklRX1lFQVJMT1dfREFURQEAAACrzAUABQAAAAgyMDI1LzQvOQDK3ruKkdndCPXhSYuR2d0IKkNJUS5UV1NFOjIzMzAuSVFfQ0xPU0VQUklDRS4yMDI0LzEyLzMxLlVTRAEAAACrzAUAAgAAAAszMi43OTQzODY0NQCTJMKKkdndCEVug5mR2d0ILENJUS5LT1NFOkEwMDA2NjAuSVFfQ0xPU0VQUklDRS4yMDI1LzcvMTcuVVNEAQAAAJ16DQACAAAACzE5My43MjMzMzc1AL0FvIqR2d0Ij9hKi5HZ3QgsQ0lRLktPU0U6QTAwMDY2MC5JUV9DTE9TRVBSSUNFLjIwMjUvNC8xNy5VU0QBAAAAnXoNAAIAAAAIMTIzLjY1NTcAyt67ipHZ3QhtPEuLkdndCC1DSVEuS09TRTpBMDAwNjYwLklRX0NMT1NFUFJJQ0UuMjAyMi8xMS8zMC5VU0QBAAAAnXoNAAIAAAAJNjQuNTUzMzM1AMreu4qR2d0I</t>
  </si>
  <si>
    <t>j9hKi5HZ3QgsQ0lRLktPU0U6QTAwMDY2MC5JUV9DTE9TRVBSSUNFLjIwMjMvMy8xNC5VU0QBAAAAnXoNAAIAAAAKNjIuMTQ2MDM3OQDK3ruKkdndCG08S4uR2d0IK0NJUS5LT1NFOkEwMDA2NjAuSVFfT1BFTlBSSUNFLjIwMjQvNy8xOC5VU0QBAAAAnXoNAAIAAAALMTUzLjcyODIzNzUAyt67ipHZ3Qi5eEyLkdndCCpDSVEuS09TRTpBMDAwNjYwLklRX1lFQVJISUdILjIwMjUvNy8xNy5VU0QBAAAAnXoNAAIAAAALMjIwLjMxOTg2MjUAyt67ipHZ3QiRsU2LkdndCClDSVEuS09TRTpBMDAwNjYwLklRX1lFQVJMT1cuMjAyNS83LzE3LlVTRAEAAACdeg0AAgAAAAsxMDQuMDEzOTc3NQDK3ruKkdndCOB0TouR2d0IIUNJUS5LT1NFOkEwMDA2NjAuSVFfWUVBUkhJR0hfREFURQEAAACdeg0ABQAAAAkyMDI1LzcvMTEAyt67ipHZ3QgsOE+LkdndCCBDSVEuS09TRTpBMDAwNjYwLklRX1lFQVJMT1dfREFURQEAAACdeg0ABQAAAAkyMDI0LzkvMTkAyt67ipHZ3QhLhk+LkdndCC1DSVEuS09TRTpBMDAwNjYwLklRX0NMT1NFUFJJQ0UuMjAyNC8xMi8zMS5VU0QBAAAAnXoNAAMAAAAAAJMkwoqR2d0IS0snmpHZ3QgtQ0lRLk5BU0RBUUdTOkFTTUwuSVFfQ0xPU0VQUklDRS4yMDI1LzcvMTcuVVNEAQAAACjvBQACAAAABjc0NC45MQC9BbyKkdndCCC4VYuR2d0ILUNJUS5OQVNEQVFHUzpBU01MLklRX0NMT1NFUFJJQ0Uu</t>
  </si>
  <si>
    <t>MjAyNS80LzE3LlVTRAEAAAAo7wUAAgAAAAY2NDAuMTYAyt67ipHZ3QiIbUeLkdndCC5DSVEuTkFTREFRR1M6QVNNTC5JUV9DTE9TRVBSSUNFLjIwMjIvMTEvMzAuVVNEAQAAACjvBQACAAAABjYwOC4xMgDK3ruKkdndCFKUSIuR2d0ILUNJUS5OQVNEQVFHUzpBU01MLklRX0NMT1NFUFJJQ0UuMjAyMy8zLzE0LlVTRAEAAAAo7wUAAgAAAAU2MjAuMwDK3ruKkdndCPXhSYuR2d0ILENJUS5OQVNEQVFHUzpBU01MLklRX09QRU5QUklDRS4yMDI0LzcvMTguVVNEAQAAACjvBQACAAAABTk1My41AMreu4qR2d0IZAlKi5HZ3QgrQ0lRLk5BU0RBUUdTOkFTTUwuSVFfWUVBUkhJR0guMjAyNS83LzE3LlVTRAEAAAAo7wUAAgAAAAY5NTcuMjEAyt67ipHZ3QiFV0qLkdndCCpDSVEuTkFTREFRR1M6QVNNTC5JUV9ZRUFSTE9XLjIwMjUvNy8xNy5VU0QBAAAAKO8FAAIAAAAGNTc4LjUxAMreu4qR2d0Ij9hKi5HZ3QgiQ0lRLk5BU0RBUUdTOkFTTUwuSVFfWUVBUkhJR0hfREFURQEAAAAo7wUABQAAAAkyMDI0LzgvMjEAyt67ipHZ3QhtPEuLkdndCCFDSVEuTkFTREFRR1M6QVNNTC5JUV9ZRUFSTE9XX0RBVEUBAAAAKO8FAAUAAAAIMjAyNS80LzcAyt67ipHZ3QiRsU2LkdndCC5DSVEuTkFTREFRR1M6QVNNTC5JUV9DTE9TRVBSSUNFLjIwMjQvMTIvMzEuVVNEAQAAACjvBQACAAAABjY5My4wOACTJMKKkdndCOaqgpmR2d0I</t>
  </si>
  <si>
    <t>JENJUS5NUlZMLklRX0NMT1NFUFJJQ0UuMjAyNS83LzE3LlVTRAEAAAC2eQAAAgAAAAU3Mi4wMQC9BbyKkdndCHyYUIuR2d0IJENJUS5NUlZMLklRX0NMT1NFUFJJQ0UuMjAyNS80LzE3LlVTRAEAAAC2eQAAAgAAAAQ1MS43AL0FvIqR2d0IS4ZPi5HZ3QglQ0lRLk1SVkwuSVFfQ0xPU0VQUklDRS4yMDIyLzExLzMwLlVTRAEAAAC2eQAAAgAAAAU0Ni41MgC9BbyKkdndCHzUT4uR2d0IJENJUS5NUlZMLklRX0NMT1NFUFJJQ0UuMjAyMy8zLzE0LlVTRAEAAAC2eQAAAgAAAAUzOC42MQC9BbyKkdndCEuGT4uR2d0II0NJUS5NUlZMLklRX09QRU5QUklDRS4yMDI0LzcvMTguVVNEAQAAALZ5AAACAAAABTY5Ljc0AL0FvIqR2d0IfNRPi5HZ3QgiQ0lRLk1SVkwuSVFfWUVBUkhJR0guMjAyNS83LzE3LlVTRAEAAAC2eQAAAgAAAAYxMjcuNDgAvQW8ipHZ3Qht+0+LkdndCCFDSVEuTVJWTC5JUV9ZRUFSTE9XLjIwMjUvNy8xNy5VU0QBAAAAtnkAAAIAAAAGNDcuMDg1AL0FvIqR2d0Ij35Ui5HZ3QgZQ0lRLk1SVkwuSVFfWUVBUkhJR0hfREFURQEAAAC2eQAABQAAAAkyMDI1LzEvMjMAvQW8ipHZ3QiIbUeLkdndCBhDSVEuTVJWTC5JUV9ZRUFSTE9XX0RBVEUBAAAAtnkAAAUAAAAIMjAyNS80LzcAvQW8ipHZ3Qj14UmLkdndCCVDSVEuTVJWTC5JUV9DTE9TRVBSSUNFLjIwMjQvMTIvMzEuVVNEAQAAALZ5AAACAAAABjEx</t>
  </si>
  <si>
    <t>MC40NQCTJMKKkdndCHWng5mR2d0II0NJUS5WUlQuSVFfQ0xPU0VQUklDRS4yMDI1LzcvMTcuVVNEAQAAAESbhyICAAAABjEzMS4xMgC9BbyKkdndCI/YSouR2d0II0NJUS5WUlQuSVFfQ0xPU0VQUklDRS4yMDI1LzQvMTcuVVNEAQAAAESbhyICAAAABTczLjIxAL0FvIqR2d0IbTxLi5HZ3QgkQ0lRLlZSVC5JUV9DTE9TRVBSSUNFLjIwMjIvMTEvMzAuVVNEAQAAAESbhyICAAAABTEzLjg1AL0FvIqR2d0IuXhMi5HZ3QgjQ0lRLlZSVC5JUV9DTE9TRVBSSUNFLjIwMjMvMy8xNC5VU0QBAAAARJuHIgIAAAAFMTMuOTUAvQW8ipHZ3QiRsU2LkdndCCJDSVEuVlJULklRX09QRU5QUklDRS4yMDI0LzcvMTguVVNEAQAAAESbhyICAAAABTgzLjYzAL0FvIqR2d0I4HROi5HZ3QghQ0lRLlZSVC5JUV9ZRUFSSElHSC4yMDI1LzcvMTcuVVNEAQAAAESbhyICAAAABjE1NS44NAC9BbyKkdndCCw4T4uR2d0IIENJUS5WUlQuSVFfWUVBUkxPVy4yMDI1LzcvMTcuVVNEAQAAAESbhyICAAAABDUzLjYAvQW8ipHZ3QimX0+LkdndCBhDSVEuVlJULklRX1lFQVJISUdIX0RBVEUBAAAARJuHIgUAAAAJMjAyNS8xLzI0AL0FvIqR2d0IS4ZPi5HZ3QgXQ0lRLlZSVC5JUV9ZRUFSTE9XX0RBVEUBAAAARJuHIgUAAAAIMjAyNS80LzcAvQW8ipHZ3Qht+0+LkdndCCRDSVEuVlJULklRX0NMT1NFUFJJQ0UuMjAyNC8xMi8zMS5VU0QBAAAA</t>
  </si>
  <si>
    <t>RJuHIgIAAAAGMTEzLjYxAJMkwoqR2d0IRW6DmZHZ3QgkQ0lRLkFORVQuSVFfQ0xPU0VQUklDRS4yMDI1LzcvMTcuVVNEAQAAAMPb/AECAAAABjExMS45OAC9BbyKkdndCOB0TouR2d0IJENJUS5BTkVULklRX0NMT1NFUFJJQ0UuMjAyNS80LzE3LlVTRAEAAADD2/wBAgAAAAQ3MS4yAL0FvIqR2d0IdbZJi5HZ3QglQ0lRLkFORVQuSVFfQ0xPU0VQUklDRS4yMDIyLzExLzMwLlVTRAEAAADD2/wBAgAAAAYzNC44MjUAvQW8ipHZ3QhkCUqLkdndCCRDSVEuQU5FVC5JUV9DTE9TRVBSSUNFLjIwMjMvMy8xNC5VU0QBAAAAw9v8AQIAAAAHMzguMjg3NQC9BbyKkdndCIVXSouR2d0II0NJUS5BTkVULklRX09QRU5QUklDRS4yMDI0LzcvMTguVVNEAQAAAMPb/AECAAAABjg0LjY2NQC9BbyKkdndCGQJSouR2d0IIkNJUS5BTkVULklRX1lFQVJISUdILjIwMjUvNy8xNy5VU0QBAAAAw9v8AQIAAAAHMTMzLjU3NQC9BbyKkdndCIVXSouR2d0IIUNJUS5BTkVULklRX1lFQVJMT1cuMjAyNS83LzE3LlVTRAEAAADD2/wBAgAAAAU1OS40MwC9BbyKkdndCI/YSouR2d0IGUNJUS5BTkVULklRX1lFQVJISUdIX0RBVEUBAAAAw9v8AQUAAAAJMjAyNS84LzExAL0FvIqR2d0IbTxLi5HZ3QgYQ0lRLkFORVQuSVFfWUVBUkxPV19EQVRFAQAAAMPb/AEFAAAACDIwMjUvNC83AL0FvIqR2d0IkbFNi5HZ3QglQ0lRLkFORVQuSVFfQ0xP</t>
  </si>
  <si>
    <t>U0VQUklDRS4yMDI0LzEyLzMxLlVTRAEAAADD2/wBAgAAAAYxMTAuNTMAkyTCipHZ3QgUa4SZkdndCClDSVEuVFdTRToyNDU0LklRX0NMT1NFUFJJQ0UuMjAyNS83LzE3LlVTRAEAAAA9N1wAAgAAAAs0Ny4yMjc1MDczNgC9BbyKkdndCKZfT4uR2d0IKUNJUS5UV1NFOjI0NTQuSVFfQ0xPU0VQUklDRS4yMDI1LzQvMTcuVVNEAQAAAD03XAACAAAACzQxLjIwNjY3OTAyAL0FvIqR2d0Ipl9Pi5HZ3QgqQ0lRLlRXU0U6MjQ1NC5JUV9DTE9TRVBSSUNFLjIwMjIvMTEvMzAuVVNEAQAAAD03XAACAAAADDIzLjcxNTU0MjgzOQC9BbyKkdndCEuGT4uR2d0IKUNJUS5UV1NFOjI0NTQuSVFfQ0xPU0VQUklDRS4yMDIzLzMvMTQuVVNEAQAAAD03XAACAAAACzI0Ljg5Nzc1ODc2AL0FvIqR2d0IfNRPi5HZ3QgoQ0lRLlRXU0U6MjQ1NC5JUV9PUEVOUFJJQ0UuMjAyNC83LzE4LlVTRAEAAAA9N1wAAgAAAAszOC44NDI2NzE4NwC9BbyKkdndCG37T4uR2d0IJ0NJUS5UV1NFOjI0NTQuSVFfWUVBUkhJR0guMjAyNS83LzE3LlVTRAEAAAA9N1wAAgAAAAo1My41MTMxODI4AL0FvIqR2d0IN1dUi5HZ3QgmQ0lRLlRXU0U6MjQ1NC5JUV9ZRUFSTE9XLjIwMjUvNy8xNy5VU0QBAAAAPTdcAAIAAAAMMzMuMzMxMDY4MTQ0AL0FvIqR2d0IiG1Hi5HZ3QgeQ0lRLlRXU0U6MjQ1NC5JUV9ZRUFSSElHSF9EQVRFAQAAAD03XAAFAAAACTIw</t>
  </si>
  <si>
    <t>MjUvMi8yNgC9BbyKkdndCFKUSIuR2d0IHUNJUS5UV1NFOjI0NTQuSVFfWUVBUkxPV19EQVRFAQAAAD03XAAFAAAACTIwMjQvOS8xOQC9BbyKkdndCGQJSouR2d0IKkNJUS5UV1NFOjI0NTQuSVFfQ0xPU0VQUklDRS4yMDI0LzEyLzMxLlVTRAEAAAA9N1wAAgAAAAs0My4xNjY1NjQ0OQCTJMKKkdndCOaqgpmR2d0IIkNJUS5NVS5JUV9DTE9TRVBSSUNFLjIwMjUvNy8xNy5VU0QBAAAABmkEAAIAAAAGMTEzLjI2AL0FvIqR2d0IbTxLi5HZ3QgiQ0lRLk1VLklRX0NMT1NFUFJJQ0UuMjAyNS80LzE3LlVTRAEAAAAGaQQAAgAAAAQ2OC44AL0FvIqR2d0IuXhMi5HZ3QgjQ0lRLk1VLklRX0NMT1NFUFJJQ0UuMjAyMi8xMS8zMC5VU0QBAAAABmkEAAIAAAAFNTcuNjUAvQW8ipHZ3Qh/ik2LkdndCCJDSVEuTVUuSVFfQ0xPU0VQUklDRS4yMDIzLzMvMTQuVVNEAQAAAAZpBAACAAAABTU0LjI3AL0FvIqR2d0I4HROi5HZ3QghQ0lRLk1VLklRX09QRU5QUklDRS4yMDI0LzcvMTguVVNEAQAAAAZpBAACAAAABTEyMC41AL0FvIqR2d0ILDhPi5HZ3QggQ0lRLk1VLklRX1lFQVJISUdILjIwMjUvNy8xNy5VU0QBAAAABmkEAAIAAAAGMTI5Ljg1AL0FvIqR2d0IHBFPi5HZ3QgfQ0lRLk1VLklRX1lFQVJMT1cuMjAyNS83LzE3LlVTRAEAAAAGaQQAAgAAAAU2MS41NAC9BbyKkdndCKZfT4uR2d0IF0NJUS5NVS5JUV9ZRUFSSElH</t>
  </si>
  <si>
    <t>SF9EQVRFAQAAAAZpBAAFAAAACTIwMjUvNi8yNgC9BbyKkdndCEuGT4uR2d0IFkNJUS5NVS5JUV9ZRUFSTE9XX0RBVEUBAAAABmkEAAUAAAAIMjAyNS80LzcAvQW8ipHZ3Qht+0+LkdndCCNDSVEuTVUuSVFfQ0xPU0VQUklDRS4yMDI0LzEyLzMxLlVTRAEAAAAGaQQAAgAAAAU4NC4xNgCTJMKKkdndCLTKhZmR2d0IJENJUS5RQ09NLklRX0NMT1NFUFJJQ0UuMjAyNS83LzE3LlVTRAEAAADVggAAAgAAAAYxNTIuNjEAvQW8ipHZ3QiP2EqLkdndCCRDSVEuUUNPTS5JUV9DTE9TRVBSSUNFLjIwMjUvNC8xNy5VU0QBAAAA1YIAAAIAAAAGMTM2LjY2AL0FvIqR2d0IdbZJi5HZ3QglQ0lRLlFDT00uSVFfQ0xPU0VQUklDRS4yMDIyLzExLzMwLlVTRAEAAADVggAAAgAAAAYxMjYuNDkAvQW8ipHZ3QhSlEiLkdndCCRDSVEuUUNPTS5JUV9DTE9TRVBSSUNFLjIwMjMvMy8xNC5VU0QBAAAA1YIAAAIAAAAGMTE2LjU1AL0FvIqR2d0IdbZJi5HZ3QgjQ0lRLlFDT00uSVFfT1BFTlBSSUNFLjIwMjQvNy8xOC5VU0QBAAAA1YIAAAIAAAAGMTkzLjc4AL0FvIqR2d0IZAlKi5HZ3QgiQ0lRLlFDT00uSVFfWUVBUkhJR0guMjAyNS83LzE3LlVTRAEAAADVggAAAgAAAAYxOTYuMjQAvQW8ipHZ3QiFV0qLkdndCCFDSVEuUUNPTS5JUV9ZRUFSTE9XLjIwMjUvNy8xNy5VU0QBAAAA1YIAAAIAAAAIMTIwLjgwMTkAvQW8ipHZ3QiP2EqL</t>
  </si>
  <si>
    <t>kdndCBlDSVEuUUNPTS5JUV9ZRUFSSElHSF9EQVRFAQAAANWCAAAFAAAACTIwMjQvMTEvNwC9BbyKkdndCG08S4uR2d0IGENJUS5RQ09NLklRX1lFQVJMT1dfREFURQEAAADVggAABQAAAAgyMDI1LzQvNwC9BbyKkdndCH+KTYuR2d0IJUNJUS5RQ09NLklRX0NMT1NFUFJJQ0UuMjAyNC8xMi8zMS5VU0QBAAAA1YIAAAIAAAAGMTUzLjYyAJMkwoqR2d0IRW6DmZHZ3QgkQ0lRLlNOUFMuSVFfQ0xPU0VQUklDRS4yMDI1LzcvMTcuVVNEAQAAANSIAAACAAAABjU4OS4wMQC9BbyKkdndCKZfT4uR2d0IJENJUS5TTlBTLklRX0NMT1NFUFJJQ0UuMjAyNS80LzE3LlVTRAEAAADUiAAAAgAAAAY0MTMuMzIAvQW8ipHZ3QhLhk+LkdndCCVDSVEuU05QUy5JUV9DTE9TRVBSSUNFLjIwMjIvMTEvMzAuVVNEAQAAANSIAAACAAAABjMzOS41NAC9BbyKkdndCHzUT4uR2d0IJENJUS5TTlBTLklRX0NMT1NFUFJJQ0UuMjAyMy8zLzE0LlVTRAEAAADUiAAAAgAAAAYzNjkuODQAvQW8ipHZ3Qht+0+LkdndCCNDSVEuU05QUy5JUV9PUEVOUFJJQ0UuMjAyNC83LzE4LlVTRAEAAADUiAAAAgAAAAU1NzYuMwC9BbyKkdndCOZaU4uR2d0IIkNJUS5TTlBTLklRX1lFQVJISUdILjIwMjUvNy8xNy5VU0QBAAAA1IgAAAIAAAAGNTkzLjk4AL0FvIqR2d0IYUZHi5HZ3QghQ0lRLlNOUFMuSVFfWUVBUkxPVy4yMDI1LzcvMTcuVVNEAQAAANSI</t>
  </si>
  <si>
    <t>AAACAAAABjM2NS43NAC9BbyKkdndCFKUSIuR2d0IGUNJUS5TTlBTLklRX1lFQVJISUdIX0RBVEUBAAAA1IgAAAUAAAAJMjAyNS83LzMwAL0FvIqR2d0IdbZJi5HZ3QgYQ0lRLlNOUFMuSVFfWUVBUkxPV19EQVRFAQAAANSIAAAFAAAACDIwMjUvNC83AL0FvIqR2d0IhVdKi5HZ3QglQ0lRLlNOUFMuSVFfQ0xPU0VQUklDRS4yMDI0LzEyLzMxLlVTRAEAAADUiAAAAgAAAAY0ODUuMzYAkyTCipHZ3Qj0HISZkdndCCNDSVEuQVJNLklRX0NMT1NFUFJJQ0UuMjAyNS83LzE3LlVTRAEAAAAs58UnAgAAAAYxNTcuMTgAvQW8ipHZ3Qi5eEyLkdndCCNDSVEuQVJNLklRX0NMT1NFUFJJQ0UuMjAyNS80LzE3LlVTRAEAAAAs58UnAgAAAAYxMDAuNzMAvQW8ipHZ3Qh/ik2LkdndCCRDSVEuQVJNLklRX0NMT1NFUFJJQ0UuMjAyMi8xMS8zMC5VU0QBAAAALOfFJwMAAAAAAL0FvIqR2d0I4HROi5HZ3QgjQ0lRLkFSTS5JUV9DTE9TRVBSSUNFLjIwMjMvMy8xNC5VU0QBAAAALOfFJwMAAAAAAL0FvIqR2d0If4pNi5HZ3QgiQ0lRLkFSTS5JUV9PUEVOUFJJQ0UuMjAyNC83LzE4LlVTRAEAAAAs58UnAgAAAAYxNjUuODUAvQW8ipHZ3QjgdE6LkdndCCFDSVEuQVJNLklRX1lFQVJISUdILjIwMjUvNy8xNy5VU0QBAAAALOfFJwIAAAAGMTgyLjg4AL0FvIqR2d0IHBFPi5HZ3QggQ0lRLkFSTS5JUV9ZRUFSTE9XLjIwMjUvNy8xNy5V</t>
  </si>
  <si>
    <t>U0QBAAAALOfFJwIAAAACODAAvQW8ipHZ3QgsOE+LkdndCBhDSVEuQVJNLklRX1lFQVJISUdIX0RBVEUBAAAALOfFJwUAAAAJMjAyNS8xLzIyAL0FvIqR2d0IS4ZPi5HZ3QgXQ0lRLkFSTS5JUV9ZRUFSTE9XX0RBVEUBAAAALOfFJwUAAAAIMjAyNS80LzcAvQW8ipHZ3Qht+0+LkdndCCRDSVEuQVJNLklRX0NMT1NFUFJJQ0UuMjAyNC8xMi8zMS5VU0QBAAAALOfFJwIAAAAGMTIzLjM2AJMkwoqR2d0Iw86DmZHZ3QgzQ0lRLk5BU0RBUUdNOlFRUS5JUV9IT0xESU5HU19FUVVJVFlfQVNTRVRTLjIwMjUvOC84AQAAAA66ewACAAAACTM2NjU5Ni44NQCTvMGKkdndCKcvVIuR2d0INENJUS5OQVNEQVFHTTpBR0lYLklRX0hPTERJTkdTX0VRVUlUWV9BU1NFVFMuMjAyNS84LzgBAAAAI/cAcAIAAAAFMjguMjIAk7zBipHZ3QjgFVmLkdndCDNDSVEuTkFTREFRR006U01ILklRX0hPTERJTkdTX0VRVUlUWV9BU1NFVFMuMjAyNS84LzgBAAAAYMI2AAIAAAAIMjcyMjQuNjIAk7zBipHZ3QhguluLkdndCC9DSVEuQkFUUzpJR1YuSVFfSE9MRElOR1NfRVFVSVRZX0FTU0VUUy4yMDI1LzgvOAEAAADNOoYAAgAAAAgxMTI2MS4yNQCTvMGKkdndCBSRVYuR2d0INENJUS5OQVNEQVFHTTpCT1RaLklRX0hPTERJTkdTX0VRVUlUWV9BU1NFVFMuMjAyNS84LzgBAAAA9/0IFgIAAAAHMjgxOC44MwCTvMGKkdndCGpjTYuR2d0IM0NJ</t>
  </si>
  <si>
    <t>US5OQVNEQVFHTTpBSVEuSVFfSE9MRElOR1NfRVFVSVRZX0FTU0VUUy4yMDI1LzgvOAEAAADp3GIhAgAAAAc0MjU2LjA3AJO8wYqR2d0ISLJZi5HZ3QgwQ0lRLkFSQ0E6QVJUWS5JUV9IT0xESU5HU19FUVVJVFlfQVNTRVRTLjIwMjUvOC84AQAAAG4faSECAAAABzEyNzAuMDkAk7zBipHZ3QhqY02LkdndCDRDSVEuTkFTREFRR006Uk9CVC5JUV9IT0xESU5HU19FUVVJVFlfQVNTRVRTLjIwMjUvOC84AQAAAFxj2SACAAAABjUzNy4xNACTvMGKkdndCMrMWouR2d0IMENJUS5BUkNBOklHUFQuSVFfSE9MRElOR1NfRVFVSVRZX0FTU0VUUy4yMDI1LzgvOAEAAADMAl4BAgAAAAY0OTUuOTgAk7zBipHZ3QiQ81qLkdndCDBDSVEuQkFUUzpXVEFJLklRX0hPTERJTkdTX0VRVUlUWV9BU1NFVFMuMjAyNS84LzgBAAAAYE5vZAIAAAAGMjI0LjU3AJO8wYqR2d0IZJRSi5HZ3QgwQ0lRLkFSQ0E6VEhOUS5JUV9IT0xESU5HU19FUVVJVFlfQVNTRVRTLjIwMjUvOC84AQAAAK7DfiQCAAAABjIxNi43NwCTvMGKkdndCOZaU4uR2d0INENJUS5OQVNEQVFHTTpGRFRYLklRX0hPTERJTkdTX0VRVUlUWV9BU1NFVFMuMjAyNS84LzgBAAAAvaWdJgIAAAAGMTg1LjAyAJO8wYqR2d0I2z5Xi5HZ3QgwQ0lRLkFSQ0E6Q0hBVC5JUV9IT0xESU5HU19FUVVJVFlfQVNTRVRTLjIwMjUvOC84AQAAAAAwNW0CAAAABjQyOS4zNACTvMGKkdnd</t>
  </si>
  <si>
    <t>CDdXVIuR2d0IMENJUS5BUkNBOkxPVVAuSVFfSE9MRElOR1NfRVFVSVRZX0FTU0VUUy4yMDI1LzgvOAEAAABZXA8iAgAAAAYxMDMuMDgAk7zBipHZ3QjAGluLkdndCDBDSVEuQVJDQTpMUk5aLklRX0hPTERJTkdTX0VRVUlUWV9BU1NFVFMuMjAyNS84LzgBAAAAtXbDJgIAAAAFMzIuNjYAk7zBipHZ3QivQ1uLkdndCC9DSVEuQVJDQTpBSVMuSVFfSE9MRElOR1NfRVFVSVRZX0FTU0VUUy4yMDI1LzgvOAEAAACYl59wAgAAAAUxNi45NQCTvMGKkdndCISuXIuR2d0INENJUS5OQVNEQVFHTTpXSVNFLklRX0hPTERJTkdTX0VRVUlUWV9BU1NFVFMuMjAyNS84LzgBAAAA6bBDbgIAAAAFMzEuODMAk7zBipHZ3QhIslmLkdndCC9DSVEuTFNFOlJCT1QuSVFfSE9MRElOR1NfRVFVSVRZX0FTU0VUUy4yMDI1LzgvOAEAAACOeyQUAgAAAAczMjkxLjMyAJO8wYqR2d0Iggxdi5HZ3QgwQ0lRLlhUUkE6WEFJWC5JUV9IT0xESU5HU19FUVVJVFlfQVNTRVRTLjIwMjUvOC84AQAAADXs4iICAAAABzQ5MjEuMjYAk7zBipHZ3Qimi0mLkdndCC9DSVEuQklUOldUQUkuSVFfSE9MRElOR1NfRVFVSVRZX0FTU0VUUy4yMDI1LzgvOAEAAABNulsjAgAAAAY5MTkuMjMAk7zBipHZ3QgL5FyLkdndCC9DSVEuTFNFOkFJQUcuSVFfSE9MRElOR1NfRVFVSVRZX0FTU0VUUy4yMDI1LzgvOAEAAADwnYIkAgAAAAY4MTAuNDMAk7zBipHZ3QhA</t>
  </si>
  <si>
    <t>V1qLkdndCC9DSVEuQVNYOlJCVFouSVFfSE9MRElOR1NfRVFVSVRZX0FTU0VUUy4yMDI1LzgvOAEAAAAp7XYiAgAAAAUxOTUuMgCTvMGKkdndCBSRVYuR2d0ILkNJUS5EQjpYQjBULklRX0hPTERJTkdTX0VRVUlUWV9BU1NFVFMuMjAyNS84LzgBAAAA0zPeKQIAAAAGMTA2LjI3AJO8wYqR2d0ITH5ai5HZ3Qg0Q0lRQVZHLk5BU0RBUUdNOkFHSVguSVFfVldBUC4yMDI0LzEyLzMxLjIwMjUvOC84LlVTRAEAAAAj9wBwAgAAABAyOC42ODkyMDUyOTgwMTMyAJO8wYqR2d0I0Qhci5HZ3QgzQ0lRQVZHLk5BU0RBUUdNOlNNSC5JUV9WV0FQLjIwMjQvMTIvMzEuMjAyNS84LzguVVNEAQAAAGDCNgACAAAAEDI0NS4yNjUyOTgwMTMyNDUAk7zBipHZ3QgUkVWLkdndCC9DSVFBVkcuQkFUUzpJR1YuSVFfVldBUC4yMDI0LzEyLzMxLjIwMjUvOC84LlVTRAEAAADNOoYAAgAAABAxMDEuMDA2MDkyNzE1MjMyAJO8wYqR2d0ISLJZi5HZ3Qg0Q0lRQVZHLk5BU0RBUUdNOkJPVFouSVFfVldBUC4yMDI0LzEyLzMxLjIwMjUvOC84LlVTRAEAAAD3/QgWAgAAABAzMS4zNDM1NzYxNTg5NDA0AJO8wYqR2d0Isi9ci5HZ3QgzQ0lRQVZHLk5BU0RBUUdNOkFJUS5JUV9WV0FQLjIwMjQvMTIvMzEuMjAyNS84LzguVVNEAQAAAOncYiECAAAAEDQwLjAyMjA1Mjk4MDEzMjUAk7zBipHZ3QjHVlyLkdndCDBDSVFBVkcuQVJDQTpBUlRZLklR</t>
  </si>
  <si>
    <t>X1ZXQVAuMjAyNC8xMi8zMS4yMDI1LzgvOC5VU0QBAAAAbh9pIQIAAAAQMzcuMTI5NzM1MDk5MzM3OACTvMGKkdndCKaLSYuR2d0INENJUUFWRy5OQVNEQVFHTTpST0JULklRX1ZXQVAuMjAyNC8xMi8zMS4yMDI1LzgvOC5VU0QBAAAAXGPZIAIAAAAQNDUuMTQ0OTAwNjYyMjUxNwCTvMGKkdndCGSUUouR2d0IMENJUUFWRy5BUkNBOklHUFQuSVFfVldBUC4yMDI0LzEyLzMxLjIwMjUvOC84LlVTRAEAAADMAl4BAgAAABA0NS4zNTQ5NzM2NDkwMDY2AJO8wYqR2d0IpotJi5HZ3QgwQ0lRQVZHLkJBVFM6V1RBSS5JUV9WV0FQLjIwMjQvMTIvMzEuMjAyNS84LzguVVNEAQAAAGBOb2QCAAAAEDIyLjE2MDg2MDkyNzE1MjMAk7zBipHZ3QgiM1OLkdndCDBDSVFBVkcuQVJDQTpUSE5RLklRX1ZXQVAuMjAyNC8xMi8zMS4yMDI1LzgvOC5VU0QBAAAArsN+JAIAAAAFNTAuMzQAk7zBipHZ3QjbPleLkdndCDRDSVFBVkcuTkFTREFRR006RkRUWC5JUV9WV0FQLjIwMjQvMTIvMzEuMjAyNS84LzguVVNEAQAAAL2lnSYCAAAAEDM1LjU5ODQ3NjgyMTE5MjEAk7zBipHZ3Qg3V1SLkdndCDBDSVFBVkcuQVJDQTpDSEFULklRX1ZXQVAuMjAyNC8xMi8zMS4yMDI1LzgvOC5VU0QBAAAAADA1bQIAAAAQNDEuODQyMDUyOTgwMTMyNQCTvMGKkdndCOxrW4uR2d0IMENJUUFWRy5BUkNBOkxPVVAuSVFfVldBUC4yMDI0LzEyLzMxLjIw</t>
  </si>
  <si>
    <t>MjUvOC84LlVTRAEAAABZXA8iAgAAABA1NC45NjA4NjA5MjcxNTIzAJO8wYqR2d0ITZNbi5HZ3QgwQ0lRQVZHLkFSQ0E6TFJOWi5JUV9WV0FQLjIwMjQvMTIvMzEuMjAyNS84LzguVVNEAQAAALV2wyYCAAAAEDQwLjIyMzA0NjM1NzYxNTkAk7zBipHZ3QhqY02LkdndCC9DSVFBVkcuQVJDQTpBSVMuSVFfVldBUC4yMDI0LzEyLzMxLjIwMjUvOC84LlVTRAEAAACYl59wAgAAABAyNC43NjU4Mjc4MTQ1Njk1AJO8wYqR2d0IfStYi5HZ3Qg0Q0lRQVZHLk5BU0RBUUdNOldJU0UuSVFfVldBUC4yMDI0LzEyLzMxLjIwMjUvOC84LlVTRAEAAADpsENuAgAAABAzNC41OTA4NjA5MjcxNTIzAJO8wYqR2d0IamNNi5HZ3QgvQ0lRQVZHLkxTRTpSQk9ULklRX1ZXQVAuMjAyNC8xMi8zMS4yMDI1LzgvOC5VU0QBAAAAjnskFAIAAAAQMTQuMTI4MjA3NDEwMjU2NACTvMGKkdndCG2lWouR2d0IL0NJUUFWRy5YVFJBOlhBSVguSVFfVldBUC4yMDIzLzYvMzAuMjAyNS84LzguVVNEAQAAADXs4iICAAAAEDk0LjE2MjMzNjI2NDUwMzkAk7zBipHZ3QiQ81qLkdndCC9DSVFBVkcuQklUOldUQUkuSVFfVldBUC4yMDI0LzEyLzMxLjIwMjUvOC84LlVTRAEAAABNulsjAgAAABA2Ni45NTkxMTkxNDYxNjkyAJO8wYqR2d0IQFdai5HZ3QgvQ0lRQVZHLkxTRTpBSUFHLklRX1ZXQVAuMjAyNC8xMi8zMS4yMDI1LzgvOC5VU0QBAAAA8J2C</t>
  </si>
  <si>
    <t>JAIAAAAQMjIuMjQ4Mjk1ODU2MjkzNgCTvMGKkdndCBSRVYuR2d0IL0NJUUFWRy5BU1g6UkJUWi5JUV9WV0FQLjIwMjQvMTIvMzEuMjAyNS84LzguVVNEAQAAACntdiICAAAAEDkuMDE5NTE2Mzc2MTI2ODYAk7zBipHZ3QjAGluLkdndCC1DSVFBVkcuREI6WEIwVC5JUV9WV0FQLjIwMjMvNi8zMC4yMDI1LzgvOC5VU0QBAAAA0zPeKQIAAAAPMTguNjE1NzIwNTI3OTY0AJO8wYqR2d0Idi1Wi5HZ3Qg0Q0lRQVZHLk5BU0RBUUdNOkFHSVguSVFfVldBUC4yMDIzLzEyLzI5LjIwMjUvOC84LlVTRAEAAAAj9wBwAgAAABAyNy41NzcxMDUyNjMxNTc5AJO8wYqR2d0Ipy9Ui5HZ3QgzQ0lRQVZHLk5BU0RBUUdNOlNNSC5JUV9WV0FQLjIwMjMvMTIvMjkuMjAyNS84LzguVVNEAQAAAGDCNgACAAAAEDIzNi44MTEyMTU4ODA4OTMAk7zBipHZ3Qh2LVaLkdndCC9DSVFBVkcuQkFUUzpJR1YuSVFfVldBUC4yMDIzLzEyLzI5LjIwMjUvOC84LlVTRAEAAADNOoYAAgAAABA5Mi43NTkzMzc5NzAyMjMzAJO8wYqR2d0Iysxai5HZ3Qg0Q0lRQVZHLk5BU0RBUUdNOkJPVFouSVFfVldBUC4yMDIzLzEyLzI5LjIwMjUvOC84LlVTRAEAAAD3/QgWAgAAABAzMS4xNDc3MTcxMjE1ODgxAJO8wYqR2d0Ii8lWi5HZ3QgzQ0lRQVZHLk5BU0RBUUdNOkFJUS5JUV9WV0FQLjIwMjMvMTIvMjkuMjAyNS84LzguVVNEAQAAAOncYiECAAAAEDM2</t>
  </si>
  <si>
    <t>Ljg2Mjk3NzY2NzQ5MzgAk7zBipHZ3Qimi0mLkdndCDBDSVFBVkcuQVJDQTpBUlRZLklRX1ZXQVAuMjAyMy8xMi8yOS4yMDI1LzgvOC5VU0QBAAAAbh9pIQIAAAAQMzUuMjQ4ODMzNzQ2ODk4MwCTvMGKkdndCNs+V4uR2d0INENJUUFWRy5OQVNEQVFHTTpST0JULklRX1ZXQVAuMjAyMy8xMi8yOS4yMDI1LzgvOC5VU0QBAAAAXGPZIAIAAAAQNDQuMjY5NzAyMjMzMjUwNgCTvMGKkdndCKaLSYuR2d0IMENJUUFWRy5BUkNBOklHUFQuSVFfVldBUC4yMDIzLzEyLzI5LjIwMjUvOC84LlVTRAEAAADMAl4BAgAAABA0NC44OTgxMjg0OTg3NTkzAJO8wYqR2d0I4BVZi5HZ3QgwQ0lRQVZHLkJBVFM6V1RBSS5JUV9WV0FQLjIwMjMvMTIvMjkuMjAyNS84LzguVVNEAQAAAGBOb2QCAAAAEDIxLjA5Njk3MjcwNDcxNDYAk7zBipHZ3QiCDF2LkdndCDBDSVFBVkcuQVJDQTpUSE5RLklRX1ZXQVAuMjAyMy8xMi8yOS4yMDI1LzgvOC5VU0QBAAAArsN+JAIAAAAQNDYuNzg3Mzk0NTQwOTQyOQCTvMGKkdndCBSRVYuR2d0INENJUUFWRy5OQVNEQVFHTTpGRFRYLklRX1ZXQVAuMjAyMy8xMi8yOS4yMDI1LzgvOC5VU0QBAAAAvaWdJgIAAAAQMzMuNTg2MTA0MjE4MzYyMwCTvMGKkdndCEiyWYuR2d0IMENJUUFWRy5BUkNBOkNIQVQuSVFfVldBUC4yMDIzLzEyLzI5LjIwMjUvOC84LlVTRAEAAAAAMDVtAgAAABAzOC4yMzM5OTUw</t>
  </si>
  <si>
    <t>MzcyMjA4AJO8wYqR2d0IC+Rci5HZ3QgwQ0lRQVZHLkFSQ0E6TE9VUC5JUV9WV0FQLjIwMjMvMTIvMjkuMjAyNS84LzguVVNEAQAAAFlcDyICAAAAEDUwLjI0MjQ1NjU3NTY4MjQAk7zBipHZ3QhqY02LkdndCDBDSVFBVkcuQVJDQTpMUk5aLklRX1ZXQVAuMjAyMy8xMi8yOS4yMDI1LzgvOC5VU0QBAAAAtXbDJgIAAAAQMzkuMTUyNjA1NDU5MDU3MQBA0cGKkdndCEx+WouR2d0IL0NJUUFWRy5BUkNBOkFJUy5JUV9WV0FQLjIwMjMvMTIvMjkuMjAyNS84LzguVVNEAQAAAJiXn3ACAAAAEDI0Ljc2ODgyMzUyOTQxMTgAQNHBipHZ3QhAV1qLkdndCDRDSVFBVkcuTkFTREFRR006V0lTRS5JUV9WV0FQLjIwMjMvMTIvMjkuMjAyNS84LzguVVNEAQAAAOmwQ24CAAAAEDMxLjQ4MTgxMTQxNDM5MjEAQNHBipHZ3QgiM1OLkdndCC9DSVFBVkcuTFNFOlJCT1QuSVFfVldBUC4yMDIzLzEyLzI5LjIwMjUvOC84LlVTRAEAAACOeyQUAgAAABAxMy42MDY3NDM2MjE5NTEyAEDRwYqR2d0I2z5Xi5HZ3QgwQ0lRQVZHLlhUUkE6WEFJWC5JUV9WV0FQLjIwMjMvMTIvMjkuMjAyNS84LzguVVNEAQAAADXs4iIDAAAAAABA0cGKkdndCKcvVIuR2d0IL0NJUUFWRy5CSVQ6V1RBSS5JUV9WV0FQLjIwMjMvMTIvMjkuMjAyNS84LzguVVNEAQAAAE26WyMCAAAAEDY0LjcyMjg4NzYwOTEyNzYAQNHBipHZ3QiyL1yLkdndCC9DSVFBVkcu</t>
  </si>
  <si>
    <t>TFNFOkFJQUcuSVFfVldBUC4yMDIzLzEyLzI5LjIwMjUvOC84LlVTRAEAAADwnYIkAgAAABAyMC42Mzk4Njc4OTgxOTI4AEDRwYqR2d0Ix1Zci5HZ3QgvQ0lRQVZHLkFTWDpSQlRaLklRX1ZXQVAuMjAyMy8xMi8yOS4yMDI1LzgvOC5VU0QBAAAAKe12IgIAAAAQOS4xMDkyNzcyMDg2MTkyOQBA0cGKkdndCGsEWIuR2d0ILkNJUUFWRy5EQjpYQjBULklRX1ZXQVAuMjAyMy8xMi8yOS4yMDI1LzgvOC5VU0QBAAAA0zPeKQMAAAAAAEDRwYqR2d0I5X1ci5HZ3QgsQ0lRQVZHLk5BU0RBUUdNOkFHSVguSVFfVk9MVU1FLi0zMEQuMjAyNS84LzgBAAAAI/cAcAIAAAARMC4wMzIyNjIzNDc4MjYwODcAQNHBipHZ3Qi7bEiLkdndCCtDSVFBVkcuTkFTREFRR006U01ILklRX1ZPTFVNRS4tMzBELjIwMjUvOC84AQAAAGDCNgACAAAADzcuMzc4NTgzNzgyNjA4NwBA0cGKkdndCCljSYuR2d0IJ0NJUUFWRy5CQVRTOklHVi5JUV9WT0xVTUUuLTMwRC4yMDI1LzgvOAEAAADNOoYAAgAAABA0LjU1NjA4NTYwODY5NTY1AEDRwYqR2d0IawRYi5HZ3QgsQ0lRQVZHLk5BU0RBUUdNOkJPVFouSVFfVk9MVU1FLi0zMEQuMjAyNS84LzgBAAAA9/0IFgIAAAARMC42ODYzMTExMzA0MzQ3ODMAQNHBipHZ3Qh/ZVKLkdndCCtDSVFBVkcuTkFTREFRR006QUlRLklRX1ZPTFVNRS4tMzBELjIwMjUvOC84AQAAAOncYiECAAAAEDEuMDUyNDgx</t>
  </si>
  <si>
    <t>NDM0NzgyNjEAQNHBipHZ3QgiM1OLkdndCChDSVFBVkcuQVJDQTpBUlRZLklRX1ZPTFVNRS4tMzBELjIwMjUvOC84AQAAAG4faSECAAAAETAuNDg2NDUxNjUyMTczOTEzAEDRwYqR2d0IkPNai5HZ3QgsQ0lRQVZHLk5BU0RBUUdNOlJPQlQuSVFfVk9MVU1FLi0zMEQuMjAyNS84LzgBAAAAXGPZIAIAAAASMC4wNjA4NjQxMzA0MzQ3ODI2AEDRwYqR2d0IhK5ci5HZ3QgoQ0lRQVZHLkFSQ0E6SUdQVC5JUV9WT0xVTUUuLTMwRC4yMDI1LzgvOAEAAADMAl4BAgAAABIwLjA0MDI3ODQzNDc4MjYwODcAQNHBipHZ3QiCDF2LkdndCChDSVFBVkcuQkFUUzpXVEFJLklRX1ZPTFVNRS4tMzBELjIwMjUvOC84AQAAAGBOb2QCAAAAEjAuMDg5MDA2MjE3MzkxMzA0MwBA0cGKkdndCEBXWouR2d0IKENJUUFWRy5BUkNBOlRITlEuSVFfVk9MVU1FLi0zMEQuMjAyNS84LzgBAAAArsN+JAIAAAASMC4wMzA2MDMxMzA0MzQ3ODI2AEDRwYqR2d0IZzxNi5HZ3QgsQ0lRQVZHLk5BU0RBUUdNOkZEVFguSVFfVk9MVU1FLi0zMEQuMjAyNS84LzgBAAAAvaWdJgIAAAASMC4wMTgyOTQ2OTU2NTIxNzM5AEDRwYqR2d0IC+Rci5HZ3QgoQ0lRQVZHLkFSQ0E6Q0hBVC5JUV9WT0xVTUUuLTMwRC4yMDI1LzgvOAEAAAAAMDVtAgAAABEwLjE3OTI1MTE3MzkxMzA0MwBA0cGKkdndCLwGVouR2d0IKENJUUFWRy5BUkNBOkxPVVAuSVFfVk9MVU1F</t>
  </si>
  <si>
    <t>Li0zMEQuMjAyNS84LzgBAAAAWVwPIgIAAAATMC4wMDc0OTczOTEzMDQzNDc4MwBA0cGKkdndCEx+WouR2d0IKENJUUFWRy5BUkNBOkxSTlouSVFfVk9MVU1FLi0zMEQuMjAyNS84LzgBAAAAtXbDJgIAAAATMC4wMDQ2MTUwODY5NTY1MjE3NABA0cGKkdndCIvJVouR2d0IJ0NJUUFWRy5BUkNBOkFJUy5JUV9WT0xVTUUuLTMwRC4yMDI1LzgvOAEAAACYl59wAgAAABIwLjAzNjA1NzgyNjA4Njk1NjUAQNHBipHZ3QiVaFWLkdndCCxDSVFBVkcuTkFTREFRR006V0lTRS5JUV9WT0xVTUUuLTMwRC4yMDI1LzgvOAEAAADpsENuAgAAABEwLjAxMTExNTY1MjE3MzkxMwBA0cGKkdndCMdWXIuR2d0IJ0NJUUFWRy5MU0U6UkJPVC5JUV9WT0xVTUUuLTMwRC4yMDI1LzgvOAEAAACOeyQUAgAAABEwLjE0MjE5NzgyNjA4Njk1NwBA0cGKkdndCL3uWIuR2d0IKENJUUFWRy5YVFJBOlhBSVguSVFfVk9MVU1FLi0zMEQuMjAyNS84LzgBAAAANeziIgIAAAASMC4wNjc3MTE0NzgyNjA4Njk2AEDRwYqR2d0I5X1ci5HZ3QgnQ0lRQVZHLkJJVDpXVEFJLklRX1ZPTFVNRS4tMzBELjIwMjUvOC84AQAAAE26WyMCAAAAEjAuMDEzNTY2OTEzMDQzNDc4MwBA0cGKkdndCH9lUouR2d0IJ0NJUUFWRy5MU0U6QUlBRy5JUV9WT0xVTUUuLTMwRC4yMDI1LzgvOAEAAADwnYIkAgAAABIwLjA2NDEwMDgyNjA4Njk1NjUAQNHBipHZ3QgiM1OL</t>
  </si>
  <si>
    <t>kdndCCdDSVFBVkcuQVNYOlJCVFouSVFfVk9MVU1FLi0zMEQuMjAyNS84LzgBAAAAKe12IgIAAAASMC4wNDg5MzkyMTczOTEzMDQ0AEDRwYqR2d0Iu2xIi5HZ3QgmQ0lRQVZHLkRCOlhCMFQuSVFfVk9MVU1FLi0zMEQuMjAyNS84LzgBAAAA0zPeKQMAAAAAAEDRwYqR2d0IKWNJi5HZ3QgzQ0lRQVZHLk5BU0RBUUdNOlFRUS5JUV9WV0FQLjIwMjQvMTIvMzEuMjAyNS84LzguVVNEAQAAAA66ewACAAAABjUxMy4yNQBA0cGKkdndCJVoVYuR2d0IM0NJUUFWRy5OQVNEQVFHTTpRUVEuSVFfVldBUC4yMDIzLzEyLzI5LjIwMjUvOC84LlVTRAEAAAAOunsAAgAAABA0ODIuNjgwODczOTU1MzM1AEDRwYqR2d0I7Gtbi5HZ3QgrQ0lRQVZHLk5BU0RBUUdNOlFRUS5JUV9WT0xVTUUuLTMwRC4yMDI1LzgvOAEAAAAOunsAAgAAABA0My44NTI0MTA3ODI2MDg3AEDRwYqR2d0Ipy9Ui5HZ3QgjQ0lRLkFHSVguSVFfQ0xPU0VQUklDRS4yMDI1LzgvOC5VU0QBAAAAI/cAcAIAAAAHMzIuODU4NQBu5lmZkdndCEvAdZmR2d0II0NJUS5BR0lYLklRX0NMT1NFUFJJQ0UuMjAyNS84LzcuVVNEAQAAACP3AHACAAAABzMyLjgxNzQAQNHBipHZ3QgL5FyLkdndCCNDSVEuQUdJWC5JUV9DTE9TRVBSSUNFLjIwMjUvOC80LlVTRAEAAAAj9wBwAgAAAAczMi4wMjI3AEDRwYqR2d0IbaVai5HZ3QgjQ0lRLkFHSVguSVFfQ0xPU0VQUklDRS4y</t>
  </si>
  <si>
    <t>MDI1LzgvMS5VU0QBAAAAI/cAcAIAAAAHMzEuMzkwMQBu5lmZkdndCEVug5mR2d0II0NJUS5BR0lYLklRX0NMT1NFUFJJQ0UuMjAyNS81LzEuVVNEAQAAACP3AHACAAAABTI1Ljk3AG7mWZmR2d0IPtZ1mZHZ3QgjQ0lRLl5TUFguSVFfQ0xPU0VQUklDRS4yMDI1LzgvOC5VU0QBAAAAm7goAAIAAAAQNjM4OS40NDUzMTAwNDc5NABu5lmZkdndCD7WdZmR2d0II0NJUS5eU1BYLklRX0NMT1NFUFJJQ0UuMjAyNS84LzcuVVNEAQAAAJu4KAACAAAAEDYzMzkuOTk3NzI3NjczNTQAQNHBipHZ3Qh1tkmLkdndCCNDSVEuXlNQWC5JUV9DTE9TRVBSSUNFLjIwMjUvOC80LlVTRAEAAACbuCgAAgAAABA2MzI5LjkzOTQ5OTc4OTI3AEDRwYqR2d0IfStYi5HZ3QgjQ0lRLl5TUFguSVFfQ0xPU0VQUklDRS4yMDI1LzgvMS5VU0QBAAAAm7goAAIAAAAQNjIzOC4wMDY1NzAwNDYwMgBu5lmZkdndCDW5hJmR2d0IJUNJUS5eU1BYLklRX0NMT1NFUFJJQ0UuMjAyNC8xMi8zMS5VU0QBAAAAm7goAAIAAAAQNTg4MS42Mjc2NDgyMTQwOQBu5lmZkdndCEVug5mR2d0IJUNJUS5eU1BYLklRX0NMT1NFUFJJQ0UuMjAyMy8xMi8yOS5VU0QBAAAAm7goAAIAAAAQNDc2OS44Mjk0MTA3OTA2NwBu5lmZkdndCOaqgpmR2d0IK0NJUS5OQVNEQVFHTTpRUVEuSVFfQ0xPU0VQUklDRS4yMDI1LzgvOC5VU0QBAAAADrp7AAIAAAAGNTc0LjU1AG7m</t>
  </si>
  <si>
    <t>WZmR2d0IVap1mZHZ3QgrQ0lRLk5BU0RBUUdNOlFRUS5JUV9DTE9TRVBSSUNFLjIwMjUvOC83LlVTRAEAAAAOunsAAgAAAAY1NjkuMjQAQNHBipHZ3Qhn2VmLkdndCCtDSVEuTkFTREFRR006UVFRLklRX0NMT1NFUFJJQ0UuMjAyNS84LzQuVVNEAQAAAA66ewACAAAABTU2NC4xAEDRwYqR2d0I5X1ci5HZ3QgrQ0lRLk5BU0RBUUdNOlFRUS5JUV9DTE9TRVBSSUNFLjIwMjUvOC8xLlVTRAEAAAAOunsAAgAAAAY1NTMuODgAbuZZmZHZ3QhVqnWZkdndCC1DSVEuTkFTREFRR006UVFRLklRX0NMT1NFUFJJQ0UuMjAyNC8xMi8zMS5VU0QBAAAADrp7AAIAAAAGNTExLjIzAG7mWZmR2d0IS8B1mZHZ3QgtQ0lRLk5BU0RBUUdNOlFRUS5JUV9DTE9TRVBSSUNFLjIwMjMvMTIvMjkuVVNEAQAAAA66ewACAAAABjQwOS41MgBu5lmZkdndCEvAdZmR2d0II0NJUS5eREpJLklRX0NMT1NFUFJJQ0UuMjAyNS84LzguVVNEAQAAAPi0KAACAAAAEDQ0MTc1LjYwNTQ3ODI1MjMAbuZZmZHZ3QidfnWZkdndCCNDSVEuXkRKSS5JUV9DTE9TRVBSSUNFLjIwMjUvOC83LlVTRAEAAAD4tCgAAgAAAA80Mzk2OC42Mzk5OTQwMzYAQNHBipHZ3QhNk1uLkdndCCNDSVEuXkRKSS5JUV9DTE9TRVBSSUNFLjIwMjUvOC80LlVTRAEAAAD4tCgAAgAAABA0NDE3My42Mzg0NzYzMjMzAEDRwYqR2d0I2z5Xi5HZ3QgjQ0lRLl5ESkkuSVFfQ0xPU0VQ</t>
  </si>
  <si>
    <t>UklDRS4yMDI1LzgvMS5VU0QBAAAA+LQoAAIAAAAQNDM1ODguNTc4MzQwMDY4MwBu5lmZkdndCJ1+dZmR2d0IJUNJUS5eREpJLklRX0NMT1NFUFJJQ0UuMjAyNC8xMi8zMS5VU0QBAAAA+LQoAAIAAAAQNDI1NDQuMjIzMjUzMzkzMgBu5lmZkdndCJ1+dZmR2d0IJUNJUS5eREpJLklRX0NMT1NFUFJJQ0UuMjAyMy8xMi8yOS5VU0QBAAAA+LQoAAIAAAAQMzc2ODkuNTM1NjU5NzMwOQBu5lmZkdndCF+UdZmR2d0IJ0NJUS5IU1RFQ0guSVFfQ0xPU0VQUklDRS4yMDI0LzEyLzMxLlVTRAUAAAAAAAAACAAAABQoSW52YWxpZCBJZGVudGlmaWVyKW7mWZmR2d0IX5R1mZHZ3QgnQ0lRLkhTVEVDSC5JUV9DTE9TRVBSSUNFLjIwMjMvMTIvMjkuVVNEBQAAAAAAAAAIAAAAFChJbnZhbGlkIElkZW50aWZpZXIpbuZZmZHZ3QhflHWZkdndCCtDSVEuTkFTREFRR006QUlRLklRX0NMT1NFUFJJQ0UuMjAyNS84LzguVVNEAQAAAOncYiECAAAABTQ0LjkxAG7mWZmR2d0IX5R1mZHZ3QgrQ0lRLk5BU0RBUUdNOkFJUS5JUV9DTE9TRVBSSUNFLjIwMjUvOC83LlVTRAEAAADp3GIhAgAAAAU0NC43MQBA0cGKkdndCHW2SYuR2d0IK0NJUS5OQVNEQVFHTTpBSVEuSVFfQ0xPU0VQUklDRS4yMDI1LzgvNC5VU0QBAAAA6dxiIQIAAAAFNDQuMzMAQNHBipHZ3QiQ81qLkdndCCtDSVEuTkFTREFRR006QUlRLklRX0NMT1NFUFJJQ0UuMjAy</t>
  </si>
  <si>
    <t>NS84LzEuVVNEAQAAAOncYiECAAAABTQzLjQ3AG7mWZmR2d0I8VJ1mZHZ3QgtQ0lRLk5BU0RBUUdNOkFJUS5JUV9DTE9TRVBSSUNFLjIwMjMvMTIvMjkuVVNEAQAAAOncYiECAAAABTMxLjE4AG7mWZmR2d0IsWh1mZHZ3QgrQ0lRLk5BU0RBUUdNOlNNSC5JUV9DTE9TRVBSSUNFLjIwMjUvOC84LlVTRAEAAABgwjYAAgAAAAYyOTMuNTMAbuZZmZHZ3QixaHWZkdndCCtDSVEuTkFTREFRR006U01ILklRX0NMT1NFUFJJQ0UuMjAyNS84LzcuVVNEAQAAAGDCNgACAAAABjI5MS4xMgBA0cGKkdndCK9DW4uR2d0IK0NJUS5OQVNEQVFHTTpTTUguSVFfQ0xPU0VQUklDRS4yMDI1LzgvNC5VU0QBAAAAYMI2AAIAAAAGMjkwLjE5AEDRwYqR2d0Idi1Wi5HZ3QgrQ0lRLk5BU0RBUUdNOlNNSC5JUV9DTE9TRVBSSUNFLjIwMjUvOC8xLlVTRAEAAABgwjYAAgAAAAYyODMuOTUAbuZZmZHZ3QixaHWZkdndCC1DSVEuTkFTREFRR006U01ILklRX0NMT1NFUFJJQ0UuMjAyNC8xMi8zMS5VU0QBAAAAYMI2AAIAAAAGMjQyLjE3AG7mWZmR2d0InX51mZHZ3QgtQ0lRLk5BU0RBUUdNOlNNSC5JUV9DTE9TRVBSSUNFLjIwMjMvMTIvMjkuVVNEAQAAAGDCNgACAAAABjE3NC44NwBu5lmZkdndCDAmdZmR2d0ILENJUS5OQVNEQVFHTTpCT1RaLklRX0NMT1NFUFJJQ0UuMjAyNS84LzguVVNEAQAAAPf9CBYCAAAABDMzLjYAbuZZmZHZ3Qia</t>
  </si>
  <si>
    <t>PHWZkdndCCxDSVEuTkFTREFRR006Qk9UWi5JUV9DTE9TRVBSSUNFLjIwMjUvOC83LlVTRAEAAAD3/QgWAgAAAAUzMy40MwBA0cGKkdndCOAVWYuR2d0ILENJUS5OQVNEQVFHTTpCT1RaLklRX0NMT1NFUFJJQ0UuMjAyNS84LzQuVVNEAQAAAPf9CBYCAAAABTMzLjk3AEDRwYqR2d0Iysxai5HZ3QgsQ0lRLk5BU0RBUUdNOkJPVFouSVFfQ0xPU0VQUklDRS4yMDI1LzgvMS5VU0QBAAAA9/0IFgIAAAAFMzMuMTIAbuZZmZHZ3QjxUnWZkdndCB9DSVEuTkFTREFRR006QUdJWC5JUV9NQVJLRVRDQVAuAQAAACP3AHACAAAACTI5LjM5MjUzNQBA0cGKkdndCP1pdpmR2d0IJ0NJUS5OQVNEQVFHTTpBR0lYLklRX01BUktFVENBUC4yMDI1LzgvOAEAAAAj9wBwAgAAAAkyOS41NzI3MTYAQNHBipHZ3QjHVlyLkdndCCZDSVEuTkFTREFRR006U01ILklRX01BUktFVENBUC4yMDI1LzgvOAEAAABgwjYAAgAAAAwyNzczNi4xOTk3NzUAQNHBipHZ3QjlfVyLkdndCCJDSVEuQkFUUzpJR1YuSVFfTUFSS0VUQ0FQLjIwMjUvOC84AQAAAM06hgACAAAACDExODQwLjA0AQYAAAAFAAAAATEBAAAACy0xOTM4NzA3MzI2AwAAAAMxNjACAAAABjEwMDA1NAQAAAABMAcAAAAIOC84LzIwMjVA0cGKkdndCNs+V4uR2d0IJ0NJUS5OQVNEQVFHTTpCT1RaLklRX01BUktFVENBUC4yMDI1LzgvOAEAAAD3/QgWAgAAAAgyODEwLjk3NgBA0cGK</t>
  </si>
  <si>
    <t>kdndCISuXIuR2d0IJkNJUS5OQVNEQVFHTTpBSVEuSVFfTUFSS0VUQ0FQLjIwMjUvOC84AQAAAOncYiECAAAACjQwMDguMjE3NTkAQNHBipHZ3QiCDF2LkdndCCNDSVEuQVJDQTpBUlRZLklRX01BUktFVENBUC4yMDI1LzgvOAEAAABuH2khAgAAAAkxMTk2LjY1NjUAQNHBipHZ3Qh/ik2LkdndCCdDSVEuTkFTREFRR006Uk9CVC5JUV9NQVJLRVRDQVAuMjAyNS84LzgBAAAAXGPZIAIAAAAINTE0LjU4ODEAQNHBipHZ3Qh9K1iLkdndCCNDSVEuQVJDQTpJR1BULklRX01BUktFVENBUC4yMDI1LzgvOAEAAADMAl4BAgAAAAg0OTYuNjMzNQEGAAAABQAAAAExAQAAAAstMTkzNjUxMTE5NQMAAAADMTYwAgAAAAYxMDAwNTQEAAAAATAHAAAACDgvOC8yMDI1QNHBipHZ3QgUkVWLkdndCCNDSVEuQkFUUzpXVEFJLklRX01BUktFVENBUC4yMDI1LzgvOAEAAABgTm9kAgAAAAcyMTkuNTU4AEDRwYqR2d0IbuFbi5HZ3QgjQ0lRLkFSQ0E6VEhOUS5JUV9NQVJLRVRDQVAuMjAyNS84LzgBAAAArsN+JAIAAAAJMjA5LjM4MjI1AEDRwYqR2d0I0Qhci5HZ3QgnQ0lRLk5BU0RBUUdNOkZEVFguSVFfTUFSS0VUQ0FQLjIwMjUvOC84AQAAAL2lnSYCAAAACjE4NS4zMjE1ODMAQNHBipHZ3QhAV1qLkdndCCNDSVEuQVJDQTpDSEFULklRX01BUktFVENBUC4yMDI1LzgvOAEAAAAAMDVtAgAAAAc0MDQuODQ1AEDRwYqR2d0IZJRSi5HZ</t>
  </si>
  <si>
    <t>3QgjQ0lRLkFSQ0E6TE9VUC5JUV9NQVJLRVRDQVAuMjAyNS84LzgBAAAAWVwPIgIAAAAKMTAzLjMxMjA2NQBA0cGKkdndCOZaU4uR2d0II0NJUS5BUkNBOkxSTlouSVFfTUFSS0VUQ0FQLjIwMjUvOC84AQAAALV2wyYCAAAACDMyLjUxMTk2AEDRwYqR2d0Isi9ci5HZ3QgiQ0lRLkFSQ0E6QUlTLklRX01BUktFVENBUC4yMDI1LzgvOAEAAACYl59wAgAAAAgyMy43ODMzNgBA0cGKkdndCDdXVIuR2d0IJ0NJUS5OQVNEQVFHTTpXSVNFLklRX01BUktFVENBUC4yMDI1LzgvOAEAAADpsENuAgAAAAczMy40ODg0AEDRwYqR2d0Idi1Wi5HZ3QgjQ0lRLlhUUkE6WEFJWC5JUV9NQVJLRVRDQVAuMjAyNS84LzgBAAAANeziIgIAAAALNDk5Ny41ODI4NzUAQNHBipHZ3Qimi0mLkdndCCJDSVEuQklUOldUQUkuSVFfTUFSS0VUQ0FQLjIwMjUvOC84AQAAAE26WyMCAAAACjc4NC42MDEzODcAQNHBipHZ3Qh9K1iLkdndCCJDSVEuTFNFOkFJQUcuSVFfTUFSS0VUQ0FQLjIwMjUvOC84AQAAAPCdgiQCAAAACjc2Ni41NDExOTMAQNHBipHZ3Qimi0mLkdndCCJDSVEuQVNYOlJCVFouSVFfTUFSS0VUQ0FQLjIwMjUvOC84AQAAACntdiICAAAACjMwMi4yMjY3MzYAQNHBipHZ3Qjsa1uLkdndCCFDSVEuREI6WEIwVC5JUV9NQVJLRVRDQVAuMjAyNS84LzgBAAAA0zPeKQIAAAAINzcuNzAxODIAQNHBipHZ3QhNk1uLkdndCClDSVEu</t>
  </si>
  <si>
    <t>TkFTREFRR006QUdJWC5JUV9NQVJLRVRDQVAuMjAyNC8xMi8zMQEAAAAj9wBwAgAAAAkxMS4zNzIwNTcAQNHBipHZ3Qh2LVaLkdndCChDSVEuTkFTREFRR006U01ILklRX01BUktFVENBUC4yMDI0LzEyLzMxAQAAAGDCNgACAAAADDIzMzA2Ljg5NDYyNwBA0cGKkdndCLIvXIuR2d0IJENJUS5CQVRTOklHVi5JUV9NQVJLRVRDQVAuMjAyNC8xMi8zMQEAAADNOoYAAgAAAAg5MzIxLjE3MgEGAAAABQAAAAExAQAAAAstMTk2NDg5MTMxMgMAAAADMTYwAgAAAAYxMDAwNTQEAAAAATAHAAAACjEyLzMxLzIwMjRA0cGKkdndCH0rWIuR2d0IKUNJUS5OQVNEQVFHTTpCT1RaLklRX01BUktFVENBUC4yMDI0LzEyLzMxAQAAAPf9CBYCAAAACDI1ODIuODM4AEDRwYqR2d0IamNNi5HZ3QgoQ0lRLk5BU0RBUUdNOkFJUS5JUV9NQVJLRVRDQVAuMjAyNC8xMi8zMQEAAADp3GIhAgAAAAsyNjEwLjkwNDg3NwBA0cGKkdndCGSUUouR2d0IJUNJUS5BUkNBOkFSVFkuSVFfTUFSS0VUQ0FQLjIwMjQvMTIvMzEBAAAAbh9pIQIAAAAHNzE5LjE1OABA0cGKkdndCOZaU4uR2d0IKUNJUS5OQVNEQVFHTTpST0JULklRX01BUktFVENBUC4yMDI0LzEyLzMxAQAAAFxj2SACAAAACTQ0My42NDQwOQBA0cGKkdndCMdWXIuR2d0IJUNJUS5BUkNBOklHUFQuSVFfTUFSS0VUQ0FQLjIwMjQvMTIvMzEBAAAAzAJeAQIAAAAGNDA3LjA3AQYAAAAF</t>
  </si>
  <si>
    <t>AAAAATEBAAAACy0xOTg3ODU3OTUzAwAAAAMxNjACAAAABjEwMDA1NAQAAAABMAcAAAAKMTIvMzEvMjAyNEDRwYqR2d0IN1dUi5HZ3QglQ0lRLkJBVFM6V1RBSS5JUV9NQVJLRVRDQVAuMjAyNC8xMi8zMQEAAABgTm9kAgAAAAUyMDIuNABA0cGKkdndCOV9XIuR2d0IJUNJUS5BUkNBOlRITlEuSVFfTUFSS0VUQ0FQLjIwMjQvMTIvMzEBAAAArsN+JAIAAAAGMTQ5LjQ1AEDRwYqR2d0I4BVZi5HZ3QgpQ0lRLk5BU0RBUUdNOkZEVFguSVFfTUFSS0VUQ0FQLjIwMjQvMTIvMzEBAAAAvaWdJgIAAAAKMTYyLjIwMjM3OQBA0cGKkdndCEBXWouR2d0IJUNJUS5BUkNBOkNIQVQuSVFfTUFSS0VUQ0FQLjIwMjQvMTIvMzEBAAAAADA1bQIAAAAIMjI1LjU2NDUAQNHBipHZ3QhNk1uLkdndCCVDSVEuQVJDQTpMT1VQLklRX01BUktFVENBUC4yMDI0LzEyLzMxAQAAAFlcDyICAAAACTY2LjY3ODU1MwBA0cGKkdndCHYtVouR2d0IJUNJUS5BUkNBOkxSTlouSVFfTUFSS0VUQ0FQLjIwMjQvMTIvMzEBAAAAtXbDJgIAAAAJMzMuOTExMjA4AEDRwYqR2d0IYLpbi5HZ3QgkQ0lRLkFSQ0E6QUlTLklRX01BUktFVENBUC4yMDI0LzEyLzMxAQAAAJiXn3ACAAAACDAuNTk2MzE4AEDRwYqR2d0IbuFbi5HZ3QgpQ0lRLk5BU0RBUUdNOldJU0UuSVFfTUFSS0VUQ0FQLjIwMjQvMTIvMzEBAAAA6bBDbgIAAAAHMjAuNzE5OABA0cGKkdnd</t>
  </si>
  <si>
    <t>CKaLSYuR2d0IJUNJUS5YVFJBOlhBSVguSVFfTUFSS0VUQ0FQLjIwMjQvMTIvMzEBAAAANeziIgIAAAALNDEwOC41MTcwNTYAQNHBipHZ3QgUkVWLkdndCCRDSVEuQklUOldUQUkuSVFfTUFSS0VUQ0FQLjIwMjQvMTIvMzEBAAAATbpbIwIAAAAKNzY5LjM3MTcyNgBA0cGKkdndCNs+V4uR2d0IJENJUS5MU0U6QUlBRy5JUV9NQVJLRVRDQVAuMjAyNC8xMi8zMQEAAADwnYIkAgAAAAo1OTguMDgxOTAzAEDRwYqR2d0I0Qhci5HZ3QgkQ0lRLkFTWDpSQlRaLklRX01BUktFVENBUC4yMDI0LzEyLzMxAQAAACntdiICAAAACjI4Ny44NDAwMDEAQNHBipHZ3QjgFVmLkdndCCNDSVEuREI6WEIwVC5JUV9NQVJLRVRDQVAuMjAyNC8xMi8zMQEAAADTM94pAgAAAAU2MS4yOQBA0cGKkdndCMAaW4uR2d0IJENJUS5OQVNEQVFHTTpBR0lYLklRX1ZPTFVNRS4yMDI1LzgvOAEAAAAj9wBwAgAAAAgwLjAzNjIxNQBA0cGKkdndCGSUUouR2d0II0NJUS5OQVNEQVFHTTpTTUguSVFfVk9MVU1FLjIwMjUvOC84AQAAAGDCNgACAAAACDUuMTIxNTc5AEDRwYqR2d0IIjNTi5HZ3QgfQ0lRLkJBVFM6SUdWLklRX1ZPTFVNRS4yMDI1LzgvOAEAAADNOoYAAgAAAAg1LjQ2NTgxNABA0cGKkdndCGpjTYuR2d0IJENJUS5OQVNEQVFHTTpCT1RaLklRX1ZPTFVNRS4yMDI1LzgvOAEAAAD3/QgWAgAAAAgwLjUxOTY0NQBA0cGKkdndCEiyWYuR</t>
  </si>
  <si>
    <t>2d0II0NJUS5OQVNEQVFHTTpBSVEuSVFfVk9MVU1FLjIwMjUvOC84AQAAAOncYiECAAAACDAuOTgzMDMzAEDRwYqR2d0IN1dUi5HZ3QggQ0lRLkFSQ0E6QVJUWS5JUV9WT0xVTUUuMjAyNS84LzgBAAAAbh9pIQIAAAAIMC42MTU4NTgAQNHBipHZ3QivQ1uLkdndCCRDSVEuTkFTREFRR006Uk9CVC5JUV9WT0xVTUUuMjAyNS84LzgBAAAAXGPZIAIAAAAIMC4wNDQ1NzcAQNHBipHZ3Qjsa1uLkdndCCBDSVEuQVJDQTpJR1BULklRX1ZPTFVNRS4yMDI1LzgvOAEAAADMAl4BAgAAAAgwLjAyNDUxMQBA0cGKkdndCIIMXYuR2d0IIENJUS5CQVRTOldUQUkuSVFfVk9MVU1FLjIwMjUvOC84AQAAAGBOb2QCAAAACDAuMDU0NjQyAEDRwYqR2d0I2z5Xi5HZ3QggQ0lRLkFSQ0E6VEhOUS5JUV9WT0xVTUUuMjAyNS84LzgBAAAArsN+JAIAAAAHMC4wMTczNQBA0cGKkdndCAvkXIuR2d0IJENJUS5OQVNEQVFHTTpGRFRYLklRX1ZPTFVNRS4yMDI1LzgvOAEAAAC9pZ0mAgAAAAgwLjAxODkwMgBA0cGKkdndCEx+WouR2d0IIENJUS5BUkNBOkNIQVQuSVFfVk9MVU1FLjIwMjUvOC84AQAAAAAwNW0CAAAACDAuMjc0MzQ1AEDRwYqR2d0IfStYi5HZ3QggQ0lRLkFSQ0E6TE9VUC5JUV9WT0xVTUUuMjAyNS84LzgBAAAAWVwPIgIAAAAIMC4wMDk1MzIAQNHBipHZ3QgUkVWLkdndCCBDSVEuQVJDQTpMUk5aLklRX1ZPTFVNRS4yMDI1</t>
  </si>
  <si>
    <t>LzgvOAEAAAC1dsMmAgAAAAgwLjAwODUyNgBA0cGKkdndCMrMWouR2d0IH0NJUS5BUkNBOkFJUy5JUV9WT0xVTUUuMjAyNS84LzgBAAAAmJefcAIAAAAIMC4yMDQyMzIAQNHBipHZ3Qimi0mLkdndCCRDSVEuTkFTREFRR006V0lTRS5JUV9WT0xVTUUuMjAyNS84LzgBAAAA6bBDbgIAAAAIMC4wMDcyMjEAQNHBipHZ3QiQ81qLkdndCB9DSVEuTFNFOlJCT1QuSVFfVk9MVU1FLjIwMjUvOC84AQAAAI57JBQCAAAABzAuMDQyNTMAQNHBipHZ3QhAV1qLkdndCCBDSVEuWFRSQTpYQUlYLklRX1ZPTFVNRS4yMDI1LzgvOAEAAAA17OIiAgAAAAgwLjAzNDk1NgBA0cGKkdndCGSUUouR2d0IH0NJUS5CSVQ6V1RBSS5JUV9WT0xVTUUuMjAyNS84LzgBAAAATbpbIwIAAAAIMC4wMDQ0OTcAQNHBipHZ3QgiM1OLkdndCB9DSVEuTFNFOkFJQUcuSVFfVk9MVU1FLjIwMjUvOC84AQAAAPCdgiQCAAAACDAuMDM0MTAzAEDRwYqR2d0I5X1ci5HZ3QgfQ0lRLkFTWDpSQlRaLklRX1ZPTFVNRS4yMDI1LzgvOAEAAAAp7XYiAgAAAAgwLjA5NTk2NABA0cGKkdndCDdXVIuR2d0IHkNJUS5EQjpYQjBULklRX1ZPTFVNRS4yMDI1LzgvOAEAAADTM94pAwAAAAAAQNHBipHZ3QhqY02LkdndCChDSVEuTkFTREFRR006QUdJWC5JUV9DTE9TRVBSSUNFLjIwMjUvOC84AQAAACP3AHACAAAABzMyLjg1ODUAQNHBipHZ3Qj1jYaZkdndCCBDSVEu</t>
  </si>
  <si>
    <t>TkFTREFRR006QUdJWC5JUV9DTE9TRVBSSUNFLgEAAAAj9wBwAgAAAAczMi42NTgzAEDRwYqR2d0IP+Z6mZHZ3QgoQ0lRLk5BU0RBUUdNOkFHSVguSVFfQ0xPU0VQUklDRS4yMDI1LzgvNwEAAAAj9wBwAgAAAAczMi44MTc0AEDRwYqR2d0IhK5ci5HZ3QgiQ0lRLk5BU0RBUUdNOkFHSVguSVFfVldBUC4yMDI1LzgvOAEAAAAj9wBwAgAAAAUzMi44NwBA0cGKkdndCGC6W4uR2d0IL0NJUS5OQVNEQVFHTTpBR0lYLklRX1NIQVJFU09VVFNUQU5ESU5HLjIwMjUvOC84AQAAACP3AHACAAAACDAuOTAwMDAyAEDRwYqR2d0ItMqFmZHZ3QgvQ0lRLk5BU0RBUUdNOkFHSVguSVFfU0hBUkVTT1VUU1RBTkRJTkcuMjAyNS84LzcBAAAAI/cAcAIAAAAIMC45MDAwMDIAQNHBipHZ3QjgFVmLkdndCDFDSVEuTkFTREFRR006QUdJWC5JUV9TSEFSRVNPVVRTVEFORElORy4yMDI0LzEyLzMxAQAAACP3AHACAAAACDAuNDAwMDAyAEDRwYqR2d0Ir0Nbi5HZ3QgwQ0lRLk5BU0RBUUdNOlNNSC5JUV9TSEFSRVNPVVRTVEFORElORy4yMDI0LzEyLzMxAQAAAGDCNgACAAAACTk2LjI0MTg3NABA0cGKkdndCIvJVouR2d0ILENJUS5CQVRTOklHVi5JUV9TSEFSRVNPVVRTVEFORElORy4yMDI0LzEyLzMxAQAAAM06hgACAAAABDkzLjEAQNHBipHZ3QhklFKLkdndCDFDSVEuTkFTREFRR006Qk9UWi5JUV9TSEFSRVNPVVRTVEFORElORy4y</t>
  </si>
  <si>
    <t>MDI0LzEyLzMxAQAAAPf9CBYCAAAABTgwLjg0AEDRwYqR2d0IIjNTi5HZ3QgwQ0lRLk5BU0RBUUdNOkFJUS5JUV9TSEFSRVNPVVRTVEFORElORy4yMDI0LzEyLzMxAQAAAOncYiECAAAACTY3LjU3MDAwMgBA0cGKkdndCIIMXYuR2d0ILUNJUS5BUkNBOkFSVFkuSVFfU0hBUkVTT1VUU1RBTkRJTkcuMjAyNC8xMi8zMQEAAABuH2khAgAAAAQxOS40AEDRwYqR2d0IpotJi5HZ3QgxQ0lRLk5BU0RBUUdNOlJPQlQuSVFfU0hBUkVTT1VUU1RBTkRJTkcuMjAyNC8xMi8zMQEAAABcY9kgAgAAAAg5Ljg1MDAwMgBA0cGKkdndCDdXVIuR2d0ILUNJUS5BUkNBOklHUFQuSVFfU0hBUkVTT1VUU1RBTkRJTkcuMjAyNC8xMi8zMQEAAADMAl4BAgAAAAE5AEDRwYqR2d0IC+Rci5HZ3QgtQ0lRLkJBVFM6V1RBSS5JUV9TSEFSRVNPVVRTVEFORElORy4yMDI0LzEyLzMxAQAAAGBOb2QCAAAAAzkuMgBA0cGKkdndCOAVWYuR2d0ILUNJUS5BUkNBOlRITlEuSVFfU0hBUkVTT1VUU1RBTkRJTkcuMjAyNC8xMi8zMQEAAACuw34kAgAAAAQzLjA1AEDRwYqR2d0ITH5ai5HZ3QgxQ0lRLk5BU0RBUUdNOkZEVFguSVFfU0hBUkVTT1VUU1RBTkRJTkcuMjAyNC8xMi8zMQEAAAC9pZ0mAgAAAAg0LjU4ODQ2OQBA0cGKkdndCEiyWYuR2d0ILUNJUS5BUkNBOkNIQVQuSVFfU0hBUkVTT1VUU1RBTkRJTkcuMjAyNC8xMi8zMQEAAAAAMDVtAgAA</t>
  </si>
  <si>
    <t>AAU1LjU3NQBA0cGKkdndCHYtVouR2d0ILUNJUS5BUkNBOkxPVVAuSVFfU0hBUkVTT1VUU1RBTkRJTkcuMjAyNC8xMi8zMQEAAABZXA8iAgAAAAgxLjI1MDAwMQBA0cGKkdndCMdWXIuR2d0ILUNJUS5BUkNBOkxSTlouSVFfU0hBUkVTT1VUU1RBTkRJTkcuMjAyNC8xMi8zMQEAAAC1dsMmAgAAAAQwLjg3AEDRwYqR2d0IamNNi5HZ3QgsQ0lRLkFSQ0E6QUlTLklRX1NIQVJFU09VVFNUQU5ESU5HLjIwMjQvMTIvMzEBAAAAmJefcAIAAAAFMC4wMjUAQNHBipHZ3QiLyVaLkdndCDFDSVEuTkFTREFRR006V0lTRS5JUV9TSEFSRVNPVVRTVEFORElORy4yMDI0LzEyLzMxAQAAAOmwQ24CAAAABDAuNTQAQNHBipHZ3QgUkVWLkdndCC1DSVEuWFRSQTpYQUlYLklRX1NIQVJFU09VVFNUQU5ESU5HLjIwMjQvMTIvMzEBAAAANeziIgIAAAAJMzAuNDM3OTY5AEDRwYqR2d0I2z5Xi5HZ3QgsQ0lRLkJJVDpXVEFJLklRX1NIQVJFU09VVFNUQU5ESU5HLjIwMjQvMTIvMzEBAAAATbpbIwIAAAAIMTEuNDYyNjMAQNHBipHZ3QjlfVyLkdndCCxDSVEuTFNFOkFJQUcuSVFfU0hBUkVTT1VUU1RBTkRJTkcuMjAyNC8xMi8zMQEAAADwnYIkAgAAAAkzNC41MTEzNjIAQNHBipHZ3QiErlyLkdndCCxDSVEuQVNYOlJCVFouSVFfU0hBUkVTT1VUU1RBTkRJTkcuMjAyNC8xMi8zMQEAAAAp7XYiAgAAAAkxOS4yNjYzOTkAQNHBipHZ3Qh9</t>
  </si>
  <si>
    <t>K1iLkdndCCtDSVEuREI6WEIwVC5JUV9TSEFSRVNPVVRTVEFORElORy4yMDI0LzEyLzMxAQAAANMz3ikCAAAAATMAQNHBipHZ3QhklFKLkdndCC5DSVEuTkFTREFRR006U01ILklRX1NIQVJFU09VVFNUQU5ESU5HLjIwMjUvOC84AQAAAGDCNgACAAAACTk0LjQ5MTg3NABA0cGKkdndCOaqgpmR2d0IKkNJUS5CQVRTOklHVi5JUV9TSEFSRVNPVVRTVEFORElORy4yMDI1LzgvOAEAAADNOoYAAgAAAAMxMDgAQNHBipHZ3QjUP4aZkdndCC9DSVEuTkFTREFRR006Qk9UWi5JUV9TSEFSRVNPVVRTVEFORElORy4yMDI1LzgvOAEAAAD3/QgWAgAAAAU4My42NgBA0cGKkdndCPQchJmR2d0ILkNJUS5OQVNEQVFHTTpBSVEuSVFfU0hBUkVTT1VUU1RBTkRJTkcuMjAyNS84LzgBAAAA6dxiIQIAAAAJODkuMjUwMDAyAEDRwYqR2d0I9Y2GmZHZ3QgrQ0lRLkFSQ0E6QVJUWS5JUV9TSEFSRVNPVVRTVEFORElORy4yMDI1LzgvOAEAAABuH2khAgAAAAUyOC4xNQBA0cGKkdndCPWNhpmR2d0IL0NJUS5OQVNEQVFHTTpST0JULklRX1NIQVJFU09VVFNUQU5ESU5HLjIwMjUvOC84AQAAAFxj2SACAAAACTEwLjMwMDAwMgBA0cGKkdndCLTKhZmR2d0IK0NJUS5BUkNBOklHUFQuSVFfU0hBUkVTT1VUU1RBTkRJTkcuMjAyNS84LzgBAAAAzAJeAQIAAAADOS45AEDRwYqR2d0I1D+GmZHZ3QgrQ0lRLkJBVFM6V1RBSS5JUV9TSEFSRVNP</t>
  </si>
  <si>
    <t>VVRTVEFORElORy4yMDI1LzgvOAEAAABgTm9kAgAAAAM4LjYAQNHBipHZ3QgUa4SZkdndCCtDSVEuQVJDQTpUSE5RLklRX1NIQVJFU09VVFNUQU5ESU5HLjIwMjUvOC84AQAAAK7DfiQCAAAABTMuNzI1AEDRwYqR2d0I1D+GmZHZ3QgvQ0lRLk5BU0RBUUdNOkZEVFguSVFfU0hBUkVTT1VUU1RBTkRJTkcuMjAyNS84LzgBAAAAvaWdJgIAAAAINC42ODg0NjkAQNHBipHZ3QjmqoKZkdndCCtDSVEuQVJDQTpDSEFULklRX1NIQVJFU09VVFNUQU5ESU5HLjIwMjUvOC84AQAAAAAwNW0CAAAABTcuNTI1AEDRwYqR2d0IVAeFmZHZ3QgrQ0lRLkFSQ0E6TE9VUC5JUV9TSEFSRVNPVVRTVEFORElORy4yMDI1LzgvOAEAAABZXA8iAgAAAAgxLjYwMDAwMQBA0cGKkdndCORmhpmR2d0IK0NJUS5BUkNBOkxSTlouSVFfU0hBUkVTT1VUU1RBTkRJTkcuMjAyNS84LzgBAAAAtXbDJgIAAAAEMC43OABA0cGKkdndCIR8hZmR2d0IKkNJUS5BUkNBOkFJUy5JUV9TSEFSRVNPVVRTVEFORElORy4yMDI1LzgvOAEAAACYl59wAgAAAAMwLjgAQNHBipHZ3QglkoSZkdndCC9DSVEuTkFTREFRR006V0lTRS5JUV9TSEFSRVNPVVRTVEFORElORy4yMDI1LzgvOAEAAADpsENuAgAAAAQwLjg2AEDRwYqR2d0IVAeFmZHZ3QgrQ0lRLlhUUkE6WEFJWC5JUV9TSEFSRVNPVVRTVEFORElORy4yMDI1LzgvOAEAAAA17OIiAgAAAAkzNS42MjU3NjkA</t>
  </si>
  <si>
    <t>QNHBipHZ3Qh0VYWZkdndCCpDSVEuQklUOldUQUkuSVFfU0hBUkVTT1VUU1RBTkRJTkcuMjAyNS84LzgBAAAATbpbIwIAAAAIMTEuOTg5NjMAQNHBipHZ3Qi0yoWZkdndCCpDSVEuTFNFOkFJQUcuSVFfU0hBUkVTT1VUU1RBTkRJTkcuMjAyNS84LzgBAAAA8J2CJAIAAAAJNDEuNzczMzYyAEDRwYqR2d0I5qqCmZHZ3QgqQ0lRLkFTWDpSQlRaLklRX1NIQVJFU09VVFNUQU5ESU5HLjIwMjUvOC84AQAAACntdiICAAAACTIwLjc3MTU5NwBA0cGKkdndCBRrhJmR2d0IKUNJUS5EQjpYQjBULklRX1NIQVJFU09VVFNUQU5ESU5HLjIwMjUvOC84AQAAANMz3ikCAAAABDQuMDkAQNHBipHZ3Qi0yoWZkdndCDFDSVEuTkFTREFRR006QUdJWC5JUV9TSEFSRVNPVVRTVEFORElORy4yMDIzLzEyLzI5AQAAACP3AHADAAAAAADe5cGKkdndCISuXIuR2d0IMENJUS5OQVNEQVFHTTpTTUguSVFfU0hBUkVTT1VUU1RBTkRJTkcuMjAyMy8xMi8yOQEAAABgwjYAAgAAAAk2OC40NDE4NzQA3uXBipHZ3Qi7bEiLkdndCCxDSVEuQkFUUzpJR1YuSVFfU0hBUkVTT1VUU1RBTkRJTkcuMjAyMy8xMi8yOQEAAADNOoYAAgAAAAU5Mi4yNQDe5cGKkdndCBSRVYuR2d0IMUNJUS5OQVNEQVFHTTpCT1RaLklRX1NIQVJFU09VVFNUQU5ESU5HLjIwMjMvMTIvMjkBAAAA9/0IFgIAAAAFODcuMDYA3uXBipHZ3Qi7bEiLkdndCDBDSVEuTkFTREFR</t>
  </si>
  <si>
    <t>R006QUlRLklRX1NIQVJFU09VVFNUQU5ESU5HLjIwMjMvMTIvMjkBAAAA6dxiIQIAAAAJMjguODYwMDAyAN7lwYqR2d0IpotJi5HZ3QgtQ0lRLkFSQ0E6QVJUWS5JUV9TSEFSRVNPVVRTVEFORElORy4yMDIzLzEyLzI5AQAAAG4faSECAAAABDE3LjQA3uXBipHZ3Qhu4VuLkdndCDFDSVEuTkFTREFRR006Uk9CVC5JUV9TSEFSRVNPVVRTVEFORElORy4yMDIzLzEyLzI5AQAAAFxj2SACAAAACTEwLjgwMDAwMgDe5cGKkdndCLwGVouR2d0ILUNJUS5BUkNBOklHUFQuSVFfU0hBUkVTT1VUU1RBTkRJTkcuMjAyMy8xMi8yOQEAAADMAl4BAgAAAAQ0Ljc2AN7lwYqR2d0I0Qhci5HZ3QgtQ0lRLkJBVFM6V1RBSS5JUV9TSEFSRVNPVVRTVEFORElORy4yMDIzLzEyLzI5AQAAAGBOb2QCAAAABDkuNTUA3uXBipHZ3QiLyVaLkdndCC1DSVEuQVJDQTpUSE5RLklRX1NIQVJFU09VVFNUQU5ESU5HLjIwMjMvMTIvMjkBAAAArsN+JAIAAAADMy4xAN7lwYqR2d0If2VSi5HZ3QgxQ0lRLk5BU0RBUUdNOkZEVFguSVFfU0hBUkVTT1VUU1RBTkRJTkcuMjAyMy8xMi8yOQEAAAC9pZ0mAgAAAAgzLjc4ODQ2OQDe5cGKkdndCGpjTYuR2d0ILUNJUS5BUkNBOkNIQVQuSVFfU0hBUkVTT1VUU1RBTkRJTkcuMjAyMy8xMi8yOQEAAAAAMDVtAgAAAAUyLjA3NQDe5cGKkdndCKcvVIuR2d0ILUNJUS5BUkNBOkxPVVAuSVFfU0hBUkVTT1VU</t>
  </si>
  <si>
    <t>U1RBTkRJTkcuMjAyMy8xMi8yOQEAAABZXA8iAgAAAAgxLjA1MDAwMQDe5cGKkdndCGc8TYuR2d0ILUNJUS5BUkNBOkxSTlouSVFfU0hBUkVTT1VUU1RBTkRJTkcuMjAyMy8xMi8yOQEAAAC1dsMmAgAAAAQwLjk2AN7lwYqR2d0Ir0Nbi5HZ3QgsQ0lRLkFSQ0E6QUlTLklRX1NIQVJFU09VVFNUQU5ESU5HLjIwMjMvMTIvMjkBAAAAmJefcAMAAAAAAN7lwYqR2d0I4BVZi5HZ3QgxQ0lRLk5BU0RBUUdNOldJU0UuSVFfU0hBUkVTT1VUU1RBTkRJTkcuMjAyMy8xMi8yOQEAAADpsENuAgAAAAQwLjA2AN7lwYqR2d0I7Gtbi5HZ3QgtQ0lRLlhUUkE6WEFJWC5JUV9TSEFSRVNPVVRTVEFORElORy4yMDIzLzEyLzI5AQAAADXs4iICAAAACTE1LjgwNTk2OQDe5cGKkdndCEiyWYuR2d0ILENJUS5CSVQ6V1RBSS5JUV9TSEFSRVNPVVRTVEFORElORy4yMDIzLzEyLzI5AQAAAE26WyMCAAAACDExLjc5ODYzAN7lwYqR2d0ITZNbi5HZ3QgsQ0lRLkxTRTpBSUFHLklRX1NIQVJFU09VVFNUQU5ESU5HLjIwMjMvMTIvMjkBAAAA8J2CJAIAAAAJMjkuODY2NTMzAN7lwYqR2d0IYLpbi5HZ3QgsQ0lRLkFTWDpSQlRaLklRX1NIQVJFU09VVFNUQU5ESU5HLjIwMjMvMTIvMjkBAAAAKe12IgIAAAAJMTYuNzQxNjY1AN7lwYqR2d0IQFdai5HZ3QgrQ0lRLkRCOlhCMFQuSVFfU0hBUkVTT1VUU1RBTkRJTkcuMjAyMy8xMi8yOQEAAADT</t>
  </si>
  <si>
    <t>M94pAgAAAAQxLjg3AN7lwYqR2d0I6hdXi5HZ3QgnQ0lRLk5BU0RBUUdNOlNNSC5JUV9DTE9TRVBSSUNFLjIwMjUvOC84AQAAAGDCNgACAAAABjI5My41MwDe5cGKkdndCDW5hJmR2d0IKUNJUS5OQVNEQVFHTTpTTUguSVFfQ0xPU0VQUklDRS4yMDIzLzEyLzI5AQAAAGDCNgACAAAABjE3NC44NwDe5cGKkdndCMrMWouR2d0IJkNJUS5OQVNEQVFHTTpRUVEuSVFfTUFSS0VUQ0FQLjIwMjUvOC84AQAAAA66ewACAAAACzM2NzIyMy42MzI1AQYAAAAFAAAAATEBAAAACy0xOTYzNzE0NjM2AwAAAAMxNjACAAAABjEwMDA1NAQAAAABMAcAAAAIOC84LzIwMjXe5cGKkdndCEiyWYuR2d0IKENJUS5OQVNEQVFHTTpRUVEuSVFfTUFSS0VUQ0FQLjIwMjQvMTIvMzEBAAAADrp7AAIAAAALMzE1NTA1LjU5NDUBBgAAAAUAAAABMQEAAAALLTE5NjM3MTQ2MzYDAAAAAzE2MAIAAAAGMTAwMDU0BAAAAAEwBwAAAAoxMi8zMS8yMDI03uXBipHZ3QhNk1uLkdndCCNDSVEuTkFTREFRR006UVFRLklRX1ZPTFVNRS4yMDI1LzgvOAEAAAAOunsAAgAAAAkzNS4yNTU0NzIA3uXBipHZ3QhxolaLkdndCCdDSVEuTkFTREFRR006UVFRLklRX0NMT1NFUFJJQ0UuMjAyNS84LzcBAAAADrp7AAIAAAAGNTY5LjI0AN7lwYqR2d0I6hdXi5HZ3QgnQ0lRLk5BU0RBUUdNOlFRUS5JUV9DTE9TRVBSSUNFLjIwMjUvOC84AQAAAA66ewACAAAABjU3</t>
  </si>
  <si>
    <t>NC41NQDe5cGKkdndCFQHhZmR2d0IIUNJUS5OQVNEQVFHTTpRUVEuSVFfVldBUC4yMDI1LzgvOAEAAAAOunsAAgAAAAY1NzMuNDQA3uXBipHZ3QjRCFyLkdndCC5DSVEuTkFTREFRR006UVFRLklRX1NIQVJFU09VVFNUQU5ESU5HLjIwMjUvOC83AQAAAA66ewACAAAABjYzOS4xNQDe5cGKkdndCGc8TYuR2d0ILkNJUS5OQVNEQVFHTTpRUVEuSVFfU0hBUkVTT1VUU1RBTkRJTkcuMjAyNS84LzgBAAAADrp7AAIAAAAGNjM5LjE1AN7lwYqR2d0IJ0eDmZHZ3QgwQ0lRLk5BU0RBUUdNOlFRUS5JUV9TSEFSRVNPVVRTVEFORElORy4yMDI0LzEyLzMxAQAAAA66ewACAAAABjYxNy4xNQDe5cGKkdndCLIvXIuR2d0IMENJUS5OQVNEQVFHTTpRUVEuSVFfU0hBUkVTT1VUU1RBTkRJTkcuMjAyMy8xMi8yOQEAAAAOunsAAgAAAAY1NjAuMzUA3uXBipHZ3QhAV1qLkdndCClDSVEuTkFTREFRR006UVFRLklRX0NMT1NFUFJJQ0UuMjAyMy8xMi8yOQEAAAAOunsAAgAAAAY0MDkuNTIA3uXBipHZ3Qh/ZVKLkdndCClDSVEuTkFTREFRR006UVFRLklRX0NMT1NFUFJJQ0UuMjAyNC8xMi8zMQEAAAAOunsAAgAAAAY1MTEuMjMA3uXBipHZ3QgiM1OLkdndCCdDSVEuTkFTREFRR006U01ILklRX0NMT1NFUFJJQ0UuMjAyNS84LzcBAAAAYMI2AAIAAAAGMjkxLjEyAN7lwYqR2d0IvAZWi5HZ3QghQ0lRLk5BU0RBUUdNOlNNSC5JUV9W</t>
  </si>
  <si>
    <t>V0FQLjIwMjUvOC84AQAAAGDCNgACAAAABjI5My4wNADe5cGKkdndCCljSYuR2d0ILkNJUS5OQVNEQVFHTTpTTUguSVFfU0hBUkVTT1VUU1RBTkRJTkcuMjAyNS84LzcBAAAAYMI2AAIAAAAJOTQuNDkxODc0AN7lwYqR2d0Iu2xIi5HZ3QgpQ0lRLk5BU0RBUUdNOlNNSC5JUV9DTE9TRVBSSUNFLjIwMjQvMTIvMzEBAAAAYMI2AAIAAAAGMjQyLjE3AN7lwYqR2d0IKWNJi5HZ3QgjQ0lRLkJBVFM6SUdWLklRX0NMT1NFUFJJQ0UuMjAyNS84LzcBAAAAzTqGAAIAAAAFMTA5LjYA3uXBipHZ3QgQoViLkdndCCNDSVEuQkFUUzpJR1YuSVFfQ0xPU0VQUklDRS4yMDI1LzgvOAEAAADNOoYAAgAAAAYxMDkuNjMA3uXBipHZ3QiVo4WZkdndCCpDSVEuQkFUUzpJR1YuSVFfU0hBUkVTT1VUU1RBTkRJTkcuMjAyNS84LzcBAAAAzTqGAAIAAAADMTA4AN7lwYqR2d0IkPNai5HZ3QglQ0lRLkJBVFM6SUdWLklRX0NMT1NFUFJJQ0UuMjAyMy8xMi8yOQEAAADNOoYAAgAAAAY4MS4xMjgA3uXBipHZ3QiVaFWLkdndCCVDSVEuQkFUUzpJR1YuSVFfQ0xPU0VQUklDRS4yMDI0LzEyLzMxAQAAAM06hgACAAAABjEwMC4xMgDe5cGKkdndCEiyWYuR2d0IKENJUS5OQVNEQVFHTTpCT1RaLklRX0NMT1NFUFJJQ0UuMjAyNS84LzcBAAAA9/0IFgIAAAAFMzMuNDMA3uXBipHZ3QjAGluLkdndCChDSVEuTkFTREFRR006Qk9UWi5JUV9DTE9T</t>
  </si>
  <si>
    <t>RVBSSUNFLjIwMjUvOC84AQAAAPf9CBYCAAAABDMzLjYA3uXBipHZ3QjUP4aZkdndCCJDSVEuTkFTREFRR006Qk9UWi5JUV9WV0FQLjIwMjUvOC84AQAAAPf9CBYCAAAABTMzLjY2AN7lwYqR2d0If2VSi5HZ3QgvQ0lRLk5BU0RBUUdNOkJPVFouSVFfU0hBUkVTT1VUU1RBTkRJTkcuMjAyNS84LzcBAAAA9/0IFgIAAAAFODMuNjYA3uXBipHZ3QgiM1OLkdndCCpDSVEuTkFTREFRR006Qk9UWi5JUV9DTE9TRVBSSUNFLjIwMjMvMTIvMjkBAAAA9/0IFgIAAAAEMjguNQDe5cGKkdndCOoXV4uR2d0IKkNJUS5OQVNEQVFHTTpCT1RaLklRX0NMT1NFUFJJQ0UuMjAyNC8xMi8zMQEAAAD3/QgWAgAAAAUzMS45NQDe5cGKkdndCKcvVIuR2d0IJ0NJUS5OQVNEQVFHTTpBSVEuSVFfQ0xPU0VQUklDRS4yMDI1LzgvNwEAAADp3GIhAgAAAAU0NC43MQDe5cGKkdndCG2lWouR2d0IJ0NJUS5OQVNEQVFHTTpBSVEuSVFfQ0xPU0VQUklDRS4yMDI1LzgvOAEAAADp3GIhAgAAAAU0NC45MQDe5cGKkdndCNQ/hpmR2d0IIUNJUS5OQVNEQVFHTTpBSVEuSVFfVldBUC4yMDI1LzgvOAEAAADp3GIhAgAAAAU0NC44NADe5cGKkdndCMrMWouR2d0ILkNJUS5OQVNEQVFHTTpBSVEuSVFfU0hBUkVTT1VUU1RBTkRJTkcuMjAyNS84LzcBAAAA6dxiIQIAAAAJODkuMjUwMDAyAN7lwYqR2d0IhK5ci5HZ3QgpQ0lRLk5BU0RBUUdNOkFJUS5J</t>
  </si>
  <si>
    <t>UV9DTE9TRVBSSUNFLjIwMjMvMTIvMjkBAAAA6dxiIQIAAAAFMzEuMTgA3uXBipHZ3Qg4MFqLkdndCClDSVEuTkFTREFRR006QUlRLklRX0NMT1NFUFJJQ0UuMjAyNC8xMi8zMQEAAADp3GIhAgAAAAUzOC42NADe5cGKkdndCLtsSIuR2d0IJENJUS5BUkNBOkFSVFkuSVFfQ0xPU0VQUklDRS4yMDI1LzgvNwEAAABuH2khAgAAAAQ0Mi41AN7lwYqR2d0IlWhVi5HZ3QgkQ0lRLkFSQ0E6QVJUWS5JUV9DTE9TRVBSSUNFLjIwMjUvOC84AQAAAG4faSECAAAABTQyLjUxAN7lwYqR2d0IJZKEmZHZ3QgeQ0lRLkFSQ0E6QVJUWS5JUV9WV0FQLjIwMjUvOC84AQAAAG4faSECAAAABDQyLjYA3uXBipHZ3Qi8BlaLkdndCCtDSVEuQVJDQTpBUlRZLklRX1NIQVJFU09VVFNUQU5ESU5HLjIwMjUvOC83AQAAAG4faSECAAAABTI4LjE1AN7lwYqR2d0IhK5ci5HZ3QgmQ0lRLkFSQ0E6QVJUWS5JUV9DTE9TRVBSSUNFLjIwMjMvMTIvMjkBAAAAbh9pIQIAAAAEMzQuNQDe5cGKkdndCHGiVouR2d0IJkNJUS5BUkNBOkFSVFkuSVFfQ0xPU0VQUklDRS4yMDI0LzEyLzMxAQAAAG4faSECAAAABTM3LjA3AN7lwYqR2d0Ifh9Ti5HZ3QgoQ0lRLk5BU0RBUUdNOlJPQlQuSVFfQ0xPU0VQUklDRS4yMDI1LzgvNwEAAABcY9kgAgAAAAc0OS43MzgxAN7lwYqR2d0IZzxNi5HZ3QgoQ0lRLk5BU0RBUUdNOlJPQlQuSVFfQ0xPU0VQUklDRS4y</t>
  </si>
  <si>
    <t>MDI1LzgvOAEAAABcY9kgAgAAAAU0OS45NgDe5cGKkdndCCdHg5mR2d0IIkNJUS5OQVNEQVFHTTpST0JULklRX1ZXQVAuMjAyNS84LzgBAAAAXGPZIAIAAAAFNTAuMDMA3uXBipHZ3QgQoViLkdndCC9DSVEuTkFTREFRR006Uk9CVC5JUV9TSEFSRVNPVVRTVEFORElORy4yMDI1LzgvNwEAAABcY9kgAgAAAAkxMC4zMDAwMDIA3uXBipHZ3Qi97liLkdndCCpDSVEuTkFTREFRR006Uk9CVC5JUV9DTE9TRVBSSUNFLjIwMjMvMTIvMjkBAAAAXGPZIAIAAAAFNDUuNTMA3uXBipHZ3QjHVlyLkdndCCpDSVEuTkFTREFRR006Uk9CVC5JUV9DTE9TRVBSSUNFLjIwMjQvMTIvMzEBAAAAXGPZIAIAAAAFNDUuMDQA3uXBipHZ3QhIslmLkdndCCRDSVEuQVJDQTpJR1BULklRX0NMT1NFUFJJQ0UuMjAyNS84LzcBAAAAzAJeAQIAAAAFNTAuMjQA3uXBipHZ3QhxolaLkdndCCRDSVEuQVJDQTpJR1BULklRX0NMT1NFUFJJQ0UuMjAyNS84LzgBAAAAzAJeAQIAAAAGNTAuMTY1AN7lwYqR2d0IVAeFmZHZ3QgeQ0lRLkFSQ0E6SUdQVC5JUV9WV0FQLjIwMjUvOC84AQAAAMwCXgECAAAABTUwLjE2AN7lwYqR2d0I6hdXi5HZ3QgrQ0lRLkFSQ0E6SUdQVC5JUV9TSEFSRVNPVVRTVEFORElORy4yMDI1LzgvNwEAAADMAl4BAgAAAAM5LjkA3uXBipHZ3QhguluLkdndCCZDSVEuQVJDQTpJR1BULklRX0NMT1NFUFJJQ0UuMjAyMy8xMi8y</t>
  </si>
  <si>
    <t>OQEAAADMAl4BAgAAAAUzOC42MQDe5cGKkdndCLtsSIuR2d0IJkNJUS5BUkNBOklHUFQuSVFfQ0xPU0VQUklDRS4yMDI0LzEyLzMxAQAAAMwCXgECAAAABTQ1LjIzAN7lwYqR2d0IKWNJi5HZ3QgkQ0lRLkJBVFM6V1RBSS5JUV9DTE9TRVBSSUNFLjIwMjUvOC83AQAAAGBOb2QCAAAABTI1LjQ3AN7lwYqR2d0IawRYi5HZ3QgkQ0lRLkJBVFM6V1RBSS5JUV9DTE9TRVBSSUNFLjIwMjUvOC84AQAAAGBOb2QCAAAABTI1LjUzAN7lwYqR2d0IhHyFmZHZ3QgeQ0lRLkJBVFM6V1RBSS5JUV9WV0FQLjIwMjUvOC84AQAAAGBOb2QCAAAABTI1LjUyAN7lwYqR2d0IDItZi5HZ3QgrQ0lRLkJBVFM6V1RBSS5JUV9TSEFSRVNPVVRTVEFORElORy4yMDI1LzgvNwEAAABgTm9kAgAAAAM4LjYA3uXBipHZ3QinL1SLkdndCCZDSVEuQkFUUzpXVEFJLklRX0NMT1NFUFJJQ0UuMjAyMy8xMi8yOQEAAABgTm9kAgAAAAUyMC42OQDe5cGKkdndCMAaW4uR2d0IJkNJUS5CQVRTOldUQUkuSVFfQ0xPU0VQUklDRS4yMDI0LzEyLzMxAQAAAGBOb2QCAAAAAjIyAN7lwYqR2d0Ir0Nbi5HZ3QgkQ0lRLkFSQ0E6VEhOUS5JUV9DTE9TRVBSSUNFLjIwMjUvOC83AQAAAK7DfiQCAAAABDU2LjIA3uXBipHZ3Qg4MFqLkdndCCRDSVEuQVJDQTpUSE5RLklRX0NMT1NFUFJJQ0UuMjAyNS84LzgBAAAArsN+JAIAAAAFNTYuMjEA3uXBipHZ3QjFGIaZ</t>
  </si>
  <si>
    <t>kdndCB5DSVEuQVJDQTpUSE5RLklRX1ZXQVAuMjAyNS84LzgBAAAArsN+JAIAAAAFNTYuMzEA3uXBipHZ3Qi8BlaLkdndCCtDSVEuQVJDQTpUSE5RLklRX1NIQVJFU09VVFNUQU5ESU5HLjIwMjUvOC83AQAAAK7DfiQCAAAABTMuNzI1AN7lwYqR2d0ITZNbi5HZ3QgmQ0lRLkFSQ0E6VEhOUS5JUV9DTE9TRVBSSUNFLjIwMjMvMTIvMjkBAAAArsN+JAIAAAAHNDEuMjQwNQDe5cGKkdndCJVoVYuR2d0IJkNJUS5BUkNBOlRITlEuSVFfQ0xPU0VQUklDRS4yMDI0LzEyLzMxAQAAAK7DfiQCAAAAAjQ5AN7lwYqR2d0Iysxai5HZ3QgoQ0lRLk5BU0RBUUdNOkZEVFguSVFfQ0xPU0VQUklDRS4yMDI1LzgvNwEAAAC9pZ0mAgAAAAczOS42MzkxAN7lwYqR2d0Ive5Yi5HZ3QgoQ0lRLk5BU0RBUUdNOkZEVFguSVFfQ0xPU0VQUklDRS4yMDI1LzgvOAEAAAC9pZ0mAgAAAAczOS41MjcxAN7lwYqR2d0ItMqFmZHZ3QgiQ0lRLk5BU0RBUUdNOkZEVFguSVFfVldBUC4yMDI1LzgvOAEAAAC9pZ0mAgAAAAUzOS41NQDe5cGKkdndCH9lUouR2d0IL0NJUS5OQVNEQVFHTTpGRFRYLklRX1NIQVJFU09VVFNUQU5ESU5HLjIwMjUvOC83AQAAAL2lnSYCAAAACDQuNjg4NDY5AN7lwYqR2d0Iu2xIi5HZ3QgpQ0lRLk5BU0RBUUdNOkZEVFguSVFfQ0xPU0VQUklDRS4yMDIzLzYvMTIBAAAAvaWdJgIAAAAHMjUuNTE3MQDe5cGKkdndCClj</t>
  </si>
  <si>
    <t>SYuR2d0IKkNJUS5OQVNEQVFHTTpGRFRYLklRX0NMT1NFUFJJQ0UuMjAyNC8xMi8zMQEAAAC9pZ0mAgAAAAUzNS4zNQDe5cGKkdndCH4fU4uR2d0IJENJUS5BUkNBOkNIQVQuSVFfQ0xPU0VQUklDRS4yMDI1LzgvNwEAAAAAMDVtAgAAAAU1My4wOADe5cGKkdndCLwGVouR2d0IJENJUS5BUkNBOkNIQVQuSVFfQ0xPU0VQUklDRS4yMDI1LzgvOAEAAAAAMDVtAgAAAAQ1My44AN7lwYqR2d0INbmEmZHZ3QgeQ0lRLkFSQ0E6Q0hBVC5JUV9WV0FQLjIwMjUvOC84AQAAAAAwNW0CAAAABTUzLjYxAN7lwYqR2d0IcaJWi5HZ3QgrQ0lRLkFSQ0E6Q0hBVC5JUV9TSEFSRVNPVVRTVEFORElORy4yMDI1LzgvNwEAAAAAMDVtAgAAAAU3LjUyNQDe5cGKkdndCOoXV4uR2d0IJUNJUS5BUkNBOkNIQVQuSVFfQ0xPU0VQUklDRS4yMDIzLzUvMTgBAAAAADA1bQIAAAAHMjUuOTA3OADe5cGKkdndCEx+WouR2d0IJkNJUS5BUkNBOkNIQVQuSVFfQ0xPU0VQUklDRS4yMDI0LzEyLzMxAQAAAAAwNW0CAAAABTQwLjQ2AN7lwYqR2d0IZzxNi5HZ3QgkQ0lRLkFSQ0E6TE9VUC5JUV9DTE9TRVBSSUNFLjIwMjUvOC83AQAAAFlcDyICAAAABzY0LjkxMzcA3uXBipHZ3QhrBFiLkdndCCRDSVEuQVJDQTpMT1VQLklRX0NMT1NFUFJJQ0UuMjAyNS84LzgBAAAAWVwPIgIAAAAFNjQuNTcA3uXBipHZ3QiEfIWZkdndCB5DSVEuQVJDQTpMT1VQ</t>
  </si>
  <si>
    <t>LklRX1ZXQVAuMjAyNS84LzgBAAAAWVwPIgIAAAAFNjQuODQA3uXBipHZ3QjlfVyLkdndCCtDSVEuQVJDQTpMT1VQLklRX1NIQVJFU09VVFNUQU5ESU5HLjIwMjUvOC83AQAAAFlcDyICAAAACDEuNjAwMDAxAN7lwYqR2d0IhK5ci5HZ3QgmQ0lRLkFSQ0E6TE9VUC5JUV9DTE9TRVBSSUNFLjIwMjMvMTIvMjkBAAAAWVwPIgIAAAAHNDMuNzk2OQDe5cGKkdndCDgwWouR2d0IJkNJUS5BUkNBOkxPVVAuSVFfQ0xPU0VQUklDRS4yMDI0LzEyLzMxAQAAAFlcDyICAAAABzUzLjM0MjgA3uXBipHZ3Qh/ZVKLkdndCCRDSVEuQVJDQTpMUk5aLklRX0NMT1NFUFJJQ0UuMjAyNS84LzcBAAAAtXbDJgIAAAAHNDIuMzQ5NADe5cGKkdndCAvkXIuR2d0IJENJUS5BUkNBOkxSTlouSVFfQ0xPU0VQUklDRS4yMDI1LzgvOAEAAAC1dsMmAgAAAAY0MS42ODIA3uXBipHZ3Qj1jYaZkdndCB5DSVEuQVJDQTpMUk5aLklRX1ZXQVAuMjAyNS84LzgBAAAAtXbDJgIAAAAENDEuOADe5cGKkdndCONDSIuR2d0IK0NJUS5BUkNBOkxSTlouSVFfU0hBUkVTT1VUU1RBTkRJTkcuMjAyNS84LzcBAAAAtXbDJgIAAAAEMC43OADe5cGKkdndCGsEWIuR2d0IJkNJUS5BUkNBOkxSTlouSVFfQ0xPU0VQUklDRS4yMDIzLzEyLzI5AQAAALV2wyYCAAAABzM4LjIxMDYA3uXBipHZ3QjjQ0iLkdndCCZDSVEuQVJDQTpMUk5aLklRX0NMT1NFUFJJQ0Uu</t>
  </si>
  <si>
    <t>MjAyNC8xMi8zMQEAAAC1dsMmAgAAAAczOC45Nzg0AN7lwYqR2d0IKWNJi5HZ3QgjQ0lRLkFSQ0E6QUlTLklRX0NMT1NFUFJJQ0UuMjAyNS84LzcBAAAAmJefcAIAAAAHMjkuNTI5OADe5cGKkdndCBChWIuR2d0II0NJUS5BUkNBOkFJUy5JUV9DTE9TRVBSSUNFLjIwMjUvOC84AQAAAJiXn3ACAAAABzI5LjcyOTIA3uXBipHZ3QiVo4WZkdndCB1DSVEuQVJDQTpBSVMuSVFfVldBUC4yMDI1LzgvOAEAAACYl59wAgAAAAUyOS43MgDe5cGKkdndCLIvXIuR2d0IKkNJUS5BUkNBOkFJUy5JUV9TSEFSRVNPVVRTVEFORElORy4yMDI1LzgvNwEAAACYl59wAgAAAAMwLjgA3uXBipHZ3QiVaFWLkdndCCVDSVEuQVJDQTpBSVMuSVFfQ0xPU0VQUklDRS4yMDIzLzEyLzI5AQAAAJiXn3ADAAAAAADe5cGKkdndCGc8TYuR2d0IJUNJUS5BUkNBOkFJUy5JUV9DTE9TRVBSSUNFLjIwMjQvMTIvMzEBAAAAmJefcAIAAAAHMjMuODUyNwDe5cGKkdndCGC6W4uR2d0IKENJUS5OQVNEQVFHTTpXSVNFLklRX0NMT1NFUFJJQ0UuMjAyNS84LzcBAAAA6bBDbgIAAAAHMzguMDg3NADe5cGKkdndCHGiVouR2d0IKENJUS5OQVNEQVFHTTpXSVNFLklRX0NMT1NFUFJJQ0UuMjAyNS84LzgBAAAA6bBDbgIAAAAFMzguOTQA3uXBipHZ3QhUB4WZkdndCCJDSVEuTkFTREFRR006V0lTRS5JUV9WV0FQLjIwMjUvOC84AQAAAOmwQ24CAAAABTM4</t>
  </si>
  <si>
    <t>Ljg4AN7lwYqR2d0Ifh9Ti5HZ3QgvQ0lRLk5BU0RBUUdNOldJU0UuSVFfU0hBUkVTT1VUU1RBTkRJTkcuMjAyNS84LzcBAAAA6bBDbgIAAAAEMC44NgDe5cGKkdndCOoXV4uR2d0IKUNJUS5OQVNEQVFHTTpXSVNFLklRX0NMT1NFUFJJQ0UuMjAyMy8xMi84AQAAAOmwQ24CAAAABzI1LjQwMjkA3uXBipHZ3QinL1SLkdndCCpDSVEuTkFTREFRR006V0lTRS5JUV9DTE9TRVBSSUNFLjIwMjQvMTIvMzEBAAAA6bBDbgIAAAAFMzguMzcA3uXBipHZ3Qhu4VuLkdndCCNDSVEuTFNFOlJCT1QuSVFfQ0xPU0VQUklDRS4yMDI1LzgvNwEAAACOeyQUAgAAAAUxNS4xNADe5cGKkdndCAyLWYuR2d0II0NJUS5MU0U6UkJPVC5JUV9DTE9TRVBSSUNFLjIwMjUvOC84AQAAAI57JBQCAAAABjE1LjE2NQDe5cGKkdndCLXxhZmR2d0IHUNJUS5MU0U6UkJPVC5JUV9WV0FQLjIwMjUvOC84AQAAAI57JBQCAAAACTE1LjE2NjkwOADe5cGKkdndCOxrW4uR2d0IJUNJUS5MU0U6UkJPVC5JUV9DTE9TRVBSSUNFLjIwMjMvMTIvMjkBAAAAjnskFAIAAAAFMTMuMTUA3uXBipHZ3QjjQ0iLkdndCCVDSVEuTFNFOlJCT1QuSVFfQ0xPU0VQUklDRS4yMDI0LzEyLzMxAQAAAI57JBQCAAAABjEzLjg3NQDe5cGKkdndCCljSYuR2d0IJENJUS5YVFJBOlhBSVguSVFfQ0xPU0VQUklDRS4yMDI1LzgvNwEAAAA17OIiAgAAAAYxNDAuMjYA3uXBipHZ</t>
  </si>
  <si>
    <t>3QiVaFWLkdndCCRDSVEuWFRSQTpYQUlYLklRX0NMT1NFUFJJQ0UuMjAyNS84LzgBAAAANeziIgIAAAAGMTQwLjI4AN7lwYqR2d0IJZKEmZHZ3QgrQ0lRLlhUUkE6WEFJWC5JUV9TSEFSRVNPVVRTVEFORElORy4yMDI1LzgvNwEAAAA17OIiAgAAAAkzNS42MjU3NjkA3uXBipHZ3QhrBFiLkdndCCZDSVEuWFRSQTpYQUlYLklRX0NMT1NFUFJJQ0UuMjAyMy8xMi8yOQEAAAA17OIiAgAAAAYxMDAuMjYA3uXBipHZ3Qh/ZVKLkdndCCZDSVEuWFRSQTpYQUlYLklRX0NMT1NFUFJJQ0UuMjAyNC8xMi8zMAEAAAA17OIiAgAAAAYxMzQuOTgA3uXBipHZ3Qh+H1OLkdndCCNDSVEuQklUOldUQUkuSVFfQ0xPU0VQUklDRS4yMDI1LzgvNwEAAABNulsjAgAAAAU2NS40NgDe5cGKkdndCJDzWouR2d0II0NJUS5CSVQ6V1RBSS5JUV9DTE9TRVBSSUNFLjIwMjUvOC84AQAAAE26WyMCAAAABTY1LjQ0AN7lwYqR2d0I1D+GmZHZ3QgdQ0lRLkJJVDpXVEFJLklRX1ZXQVAuMjAyNS84LzgBAAAATbpbIwIAAAAJNjUuNDQwNzUyAN7lwYqR2d0IEKFYi5HZ3QgqQ0lRLkJJVDpXVEFJLklRX1NIQVJFU09VVFNUQU5ESU5HLjIwMjUvOC83AQAAAE26WyMCAAAACDExLjk4OTYzAN7lwYqR2d0Ive5Yi5HZ3QglQ0lRLkJJVDpXVEFJLklRX0NMT1NFUFJJQ0UuMjAyMy8xMi8yOQEAAABNulsjAgAAAAU1NS45NADe5cGKkdndCMAaW4uR2d0I</t>
  </si>
  <si>
    <t>JUNJUS5CSVQ6V1RBSS5JUV9DTE9TRVBSSUNFLjIwMjQvMTIvMzABAAAATbpbIwIAAAAFNjcuMTIA3uXBipHZ3Qi8BlaLkdndCCNDSVEuTFNFOkFJQUcuSVFfQ0xPU0VQUklDRS4yMDI1LzgvNwEAAADwnYIkAgAAAAYxOC40OTgA3uXBipHZ3QhxolaLkdndCCNDSVEuTFNFOkFJQUcuSVFfQ0xPU0VQUklDRS4yMDI1LzgvOAEAAADwnYIkAgAAAAUxOC4zNQDe5cGKkdndCEPghJmR2d0IHUNJUS5MU0U6QUlBRy5JUV9WV0FQLjIwMjUvOC84AQAAAPCdgiQCAAAACTE4LjUzMjMyNgDe5cGKkdndCOoXV4uR2d0IKkNJUS5MU0U6QUlBRy5JUV9TSEFSRVNPVVRTVEFORElORy4yMDI1LzgvNwEAAADwnYIkAgAAAAk0MS43MjMzNjIA3uXBipHZ3QjjQ0iLkdndCCVDSVEuTFNFOkFJQUcuSVFfQ0xPU0VQUklDRS4yMDIzLzEyLzI5AQAAAPCdgiQCAAAABjE0LjM3MwDe5cGKkdndCCljSYuR2d0IJUNJUS5MU0U6QUlBRy5JUV9DTE9TRVBSSUNFLjIwMjQvMTIvMzEBAAAA8J2CJAIAAAAFMTcuMzMA3uXBipHZ3QjKzFqLkdndCCNDSVEuQVNYOlJCVFouSVFfQ0xPU0VQUklDRS4yMDI1LzgvNwEAAAAp7XYiAgAAAAUxNC41NgDe5cGKkdndCH9lUouR2d0II0NJUS5BU1g6UkJUWi5JUV9DTE9TRVBSSUNFLjIwMjUvOC84AQAAACntdiICAAAABTE0LjU1AN7lwYqR2d0Iw86DmZHZ3QgdQ0lRLkFTWDpSQlRaLklRX1ZXQVAuMjAy</t>
  </si>
  <si>
    <t>NS84LzgBAAAAKe12IgIAAAAIMTQuNTc3MzUA3uXBipHZ3QgMi1mLkdndCCpDSVEuQVNYOlJCVFouSVFfU0hBUkVTT1VUU1RBTkRJTkcuMjAyNS84LzcBAAAAKe12IgIAAAAJMjAuNzcxNTk3AN7lwYqR2d0Ia/hTi5HZ3QglQ0lRLkFTWDpSQlRaLklRX0NMT1NFUFJJQ0UuMjAyMy8xMi8yOQEAAAAp7XYiAgAAAAUxMi42NQDe5cGKkdndCAvkXIuR2d0IJUNJUS5BU1g6UkJUWi5JUV9DTE9TRVBSSUNFLjIwMjQvMTIvMzEBAAAAKe12IgIAAAAFMTQuOTQA3uXBipHZ3QhnPE2LkdndCCJDSVEuREI6WEIwVC5JUV9DTE9TRVBSSUNFLjIwMjUvOC83AQAAANMz3ikCAAAABjE5LjAwMgDe5cGKkdndCDgwWouR2d0IIkNJUS5EQjpYQjBULklRX0NMT1NFUFJJQ0UuMjAyNS84LzgBAAAA0zPeKQIAAAAGMTguOTk4AIb6wYqR2d0IxRiGmZHZ3QgpQ0lRLkRCOlhCMFQuSVFfU0hBUkVTT1VUU1RBTkRJTkcuMjAyNS84LzcBAAAA0zPeKQIAAAAENC4wOQDe5cGKkdndCL3uWIuR2d0IJENJUS5EQjpYQjBULklRX0NMT1NFUFJJQ0UuMjAyMy8xMi8yOQEAAADTM94pAgAAAAUxNy4wMgDe5cGKkdndCISuXIuR2d0IJENJUS5EQjpYQjBULklRX0NMT1NFUFJJQ0UuMjAyNC8xMi8zMAEAAADTM94pAgAAAAUyMC40MwCG+sGKkdndCONDSIuR2d0II0NJUS5NRVRBLklRX0NMT1NFUFJJQ0UuMjAyNS84LzguVVNEAQAAABfbPAECAAAA</t>
  </si>
  <si>
    <t>BTc2OS4zAIb6wYqR2d0IJZKEmZHZ3QgjQ0lRLk1FVEEuSVFfQ0xPU0VQUklDRS4yMDI1LzgvNy5VU0QBAAAAF9s8AQIAAAAGNzYxLjgzAIb6wYqR2d0IlWhVi5HZ3QgiQ0lRLk1FVEEuSVFfTUFSS0VUQ0FQLjIwMjUvOC84LlVTRAEAAAAX2zwBAgAAAA4xOTMyNTkwLjQzNjcxOAEGAAAABQAAAAExAQAAAAstMTkzNDA2NTQzNwMAAAADMTYwAgAAAAYxMDAwNTQEAAAAATAHAAAACDgvOC8yMDI1hvrBipHZ3Qj1NVGLkdndCCNDSVEuTUVUQS5JUV9DTE9TRVBSSUNFLjIwMjUvOC80LlVTRAEAAAAX2zwBAgAAAAY3NzYuMzcAhvrBipHZ3QgQoViLkdndCCFDSVEuQ1JNLklRX01BUktFVENBUC4yMDI1LzgvOC5VU0QBAAAAJeABAAIAAAAJMjI5OTI3LjU2AQYAAAAFAAAAATEBAAAACy0xOTQwMzYwMzIwAwAAAAMxNjACAAAABjEwMDA1NAQAAAABMAcAAAAIOC84LzIwMjWG+sGKkdndCNEIXIuR2d0IIUNJUS5OT1cuSVFfTUFSS0VUQ0FQLjIwMjUvOC84LlVTRAEAAAC/dF4BAgAAAAwxODEwNjIuNDAyNjkBBgAAAAUAAAABMQEAAAALLTE5MzQ5MzI3MzEDAAAAAzE2MAIAAAAGMTAwMDU0BAAAAAEwBwAAAAg4LzgvMjAyNYb6wYqR2d0IcaJWi5HZ3QgiQ0lRLkRVT0wuSVFfTUFSS0VUQ0FQLjIwMjUvOC84LlVTRAEAAACw8IcMAgAAAAwxNjk2OS42ODUwMzgBBgAAAAUAAAABMQEAAAALLTE5MzIyMTg4OTQDAAAAAzE2</t>
  </si>
  <si>
    <t>MAIAAAAGMTAwMDU0BAAAAAEwBwAAAAg4LzgvMjAyNYb6wYqR2d0I6hdXi5HZ3QghQ0lRLlNBUC5JUV9NQVJLRVRDQVAuMjAyNS84LzguVVNEAQAAAAvuAQACAAAAEDMzOTc4OC4yMTc0MzA2OTUBBgAAAAUAAAABMQEAAAALLTE5MzUwNTc1NjUDAAAAAzE2MAIAAAAGMTAwMDU0BAAAAAEwBwAAAAg4LzgvMjAyNYb6wYqR2d0Isi9ci5HZ3QghQ0lRLlRFTS5JUV9NQVJLRVRDQVAuMjAyNS84LzguVVNEAQAAAADTJBkCAAAADDEwNTM3LjU4NTgzMwEGAAAABQAAAAExAQAAAAstMTkzMjYxNjU2MQMAAAADMTYwAgAAAAYxMDAwNTQEAAAAATAHAAAACDgvOC8yMDI1hvrBipHZ3QhjFU2LkdndCCJDSVEuQURCRS5JUV9NQVJLRVRDQVAuMjAyNS84LzguVVNEAQAAAAFfAAACAAAACTE0NDY3My40MQEGAAAABQAAAAExAQAAAAstMTkzNzIzODM5MwMAAAADMTYwAgAAAAYxMDAwNTQEAAAAATAHAAAACDgvOC8yMDI1hvrBipHZ3QhVtleLkdndCCFDSVEuSU9ULklRX01BUktFVENBUC4yMDI1LzgvOC5VU0QBAAAAuj78EQIAAAAMMTkyMDkuMzk0OTUzAQYAAAAFAAAAATEBAAAACy0xOTM4NzM4MzA0AwAAAAMxNjACAAAABjEwMDA1NAQAAAABMAcAAAAIOC84LzIwMjWG+sGKkdndCGsEWIuR2d0IIkNJUS5XREFZLklRX01BUktFVENBUC4yMDI1LzgvOC5VU0QBAAAAh2NrAQIAAAAMNTkyNTguNjk3NzQ1AQYAAAAFAAAAATEB</t>
  </si>
  <si>
    <t>AAAACy0xOTQxMzY1NDEzAwAAAAMxNjACAAAABjEwMDA1NAQAAAABMAcAAAAIOC84LzIwMjWG+sGKkdndCGC6W4uR2d0IIkNJUS5SQkxYLklRX01BUktFVENBUC4yMDI1LzgvOC5VU0QBAAAAaVX0AQIAAAAMODkyMjcuNzc2MTkzAQYAAAAFAAAAATEBAAAACy0xOTM0MTI1NDU1AwAAAAMxNjACAAAABjEwMDA1NAQAAAABMAcAAAAIOC84LzIwMjWG+sGKkdndCDgwWouR2d0IIUNJUS5BUFAuSVFfTUFSS0VUQ0FQLjIwMjUvOC84LlVTRAEAAADauc4NAgAAAA0xNTQyMzUuMTk1Nzg2AQYAAAAFAAAAATEBAAAACy0xOTMyODk4MDUxAwAAAAMxNjACAAAABjEwMDA1NAQAAAABMAcAAAAIOC84LzIwMjWG+sGKkdndCG7hW4uR2d0IIkNJUS5TSE9QLklRX01BUktFVENBUC4yMDI1LzgvOC5VU0QBAAAABisEBQIAAAANMTk0NDQyLjI0NDgwOAEGAAAABQAAAAExAQAAAAstMTkzMzEyNDAwMAMAAAADMTYwAgAAAAYxMDAwNTQEAAAAATAHAAAACDgvOC8yMDI1hvrBipHZ3Qh/ZVKLkdndCCJDSVEuVEVBTS5JUV9NQVJLRVRDQVAuMjAyNS84LzguVVNEAQAAAFITIg8CAAAADDQ0MTE2LjczMDk2NgEGAAAABQAAAAExAQAAAAstMTkzMjcwOTEwOQMAAAADMTYwAgAAAAYxMDAwNTQEAAAAATAHAAAACDgvOC8yMDI1hvrBipHZ3Qiz+FKLkdndCCJDSVEuTVNGVC5JUV9NQVJLRVRDQVAuMjAyNS84LzguVVNEAQAAAEtVAAACAAAA</t>
  </si>
  <si>
    <t>DjM4ODA0MTAuMTc2NDkzAQYAAAAFAAAAATEBAAAACy0xOTM0MjQ3NzkzAwAAAAMxNjACAAAABjEwMDA1NAQAAAABMAcAAAAIOC84LzIwMjWG+sGKkdndCLwGVouR2d0IIkNJUS5BTVpOLklRX01BUktFVENBUC4yMDI1LzgvOC5VU0QBAAAAPUkAAAIAAAAOMjM3NDk2OS4yNzQ4ODEBBgAAAAUAAAABMQEAAAALLTE5MzM3MDMyODADAAAAAzE2MAIAAAAGMTAwMDU0BAAAAAEwBwAAAAg4LzgvMjAyNYb6wYqR2d0I40NIi5HZ3QgsQ0lRLk5BU0RBUUdTOkdPT0dMLklRX01BUktFVENBUC4yMDI1LzgvOC5VU0QBAAAAqHEAAAIAAAAKMjQzOTYxMS41OAEGAAAABQAAAAExAQAAAAstMTkzNDkyODU1MQMAAAADMTYwAgAAAAYxMDAwNTQEAAAAATAHAAAACDgvOC8yMDI1hvrBipHZ3QiKMEmLkdndCCJDSVEuVFNMQS5JUV9NQVJLRVRDQVAuMjAyNS84LzguVVNEAQAAABDGogECAAAADjEwNjMyNjkuMjI2MjU5AQYAAAAFAAAAATEBAAAACy0xOTM0ODQxOTc4AwAAAAMxNjACAAAABjEwMDA1NAQAAAABMAcAAAAIOC84LzIwMjWG+sGKkdndCBChWIuR2d0IIkNJUS5QTFRSLklRX01BUktFVENBUC4yMDI1LzgvOC5VU0QBAAAAZfqYAgIAAAAMNDQzNTMzLjEzOTAzAQYAAAAFAAAAATEBAAAACy0xOTMzMzI4NzA4AwAAAAMxNjACAAAABjEwMDA1NAQAAAABMAcAAAAIOC84LzIwMjWG+sGKkdndCL3uWIuR2d0IIkNJUS5PUkNM</t>
  </si>
  <si>
    <t>LklRX01BUktFVENBUC4yMDI1LzgvOC5VU0QBAAAA51YAAAIAAAAMNzAyMzQ4LjY5MTY1AQYAAAAFAAAAATEBAAAACy0xOTM3ODg4NzQwAwAAAAMxNjACAAAABjEwMDA1NAQAAAABMAcAAAAIOC84LzIwMjWG+sGKkdndCOxrW4uR2d0IIkNJUS5OQklTLklRX01BUktFVENBUC4yMDI1LzgvOC5VU0QBAAAAv/sZAwIAAAALMTY0MTguMzczNDUBBgAAAAUAAAABMQEAAAALLTE5MzI4MjkwODcDAAAAAzE2MAIAAAAGMTAwMDU0BAAAAAEwBwAAAAg4LzgvMjAyNYb6wYqR2d0IDItZi5HZ3QgiQ0lRLkVTVEMuSVFfTUFSS0VUQ0FQLjIwMjUvOC84LlVTRAEAAACAhFsNAgAAAAs3ODY3Ljc1MzcyOAEGAAAABQAAAAExAQAAAAstMTkzODgwMDgzNAMAAAADMTYwAgAAAAYxMDAwNTQEAAAAATAHAAAACDgvOC8yMDI1hvrBipHZ3QhNk1uLkdndCCJDSVEuU05PVy5JUV9NQVJLRVRDQVAuMjAyNS84LzguVVNEAQAAALA8ZBACAAAADDYzOTcyLjI0Njk5OAEGAAAABQAAAAExAQAAAAstMTkzOTIwNzgxMAMAAAADMTYwAgAAAAYxMDAwNTQEAAAAATAHAAAACDgvOC8yMDI1hvrBipHZ3QhjFU2LkdndCCJDSVEuRERPRy5JUV9NQVJLRVRDQVAuMjAyNS84LzguVVNEAQAAALuhBAgCAAAADDQ1NjU0LjIyNDQ0NQEGAAAABQAAAAExAQAAAAstMTkzMjM1Njc4MAMAAAADMTYwAgAAAAYxMDAwNTQEAAAAATAHAAAACDgvOC8yMDI1hvrB</t>
  </si>
  <si>
    <t>ipHZ3QioQVWLkdndCCFDSVEuTkVULklRX01BUktFVENBUC4yMDI1LzgvOC5VU0QBAAAANPXgBAIAAAAKNzEyOTkuMzMyNwEGAAAABQAAAAExAQAAAAstMTkzNDAxODU3MAMAAAADMTYwAgAAAAYxMDAwNTQEAAAAATAHAAAACDgvOC8yMDI1hvrBipHZ3Qj1NVGLkdndCCJDSVEuR1RMQi5JUV9NQVJLRVRDQVAuMjAyNS84LzguVVNEAQAAAM2EFxECAAAACDY2NzcuMzg0AQYAAAAFAAAAATEBAAAACy0xOTM4NjczODE4AwAAAAMxNjACAAAABjEwMDA1NAQAAAABMAcAAAAIOC84LzIwMjWG+sGKkdndCH9lUouR2d0IIkNJUS5QQU5XLklRX01BUktFVENBUC4yMDI1LzgvOC5VU0QBAAAAg32EAQIAAAANMTExNTg1LjM0NTA1OQEGAAAABQAAAAExAQAAAAstMTk0MjEwMjg0MwMAAAADMTYwAgAAAAYxMDAwNTQEAAAAATAHAAAACDgvOC8yMDI1hvrBipHZ3Qiz+FKLkdndCCFDSVEuTURCLklRX01BUktFVENBUC4yMDI1LzgvOC5VU0QBAAAA4m7MAgIAAAAMMTcwOTIuOTk5OTkzAQYAAAAFAAAAATEBAAAACy0xOTM5MzcwMjE2AwAAAAMxNjACAAAABjEwMDA1NAQAAAABMAcAAAAIOC84LzIwMjWG+sGKkdndCFW2V4uR2d0IIkNJUS5QU1RHLklRX01BUktFVENBUC4yMDI1LzgvOC5VU0QBAAAAuMqlBgIAAAAMMTkxNDUuNzk5Njk3AQYAAAAFAAAAATEBAAAACy0xOTM4NjE0OTAyAwAAAAMxNjACAAAABjEwMDA1NAQAAAAB</t>
  </si>
  <si>
    <t>MAcAAAAIOC84LzIwMjWG+sGKkdndCGv4U4uR2d0IIENJUS5aUy5JUV9NQVJLRVRDQVAuMjAyNS84LzguVVNEAQAAANTMgQMCAAAACzQxOTkwLjM0NDI2AQYAAAAFAAAAATEBAAAACy0xOTM5NTM4MzkyAwAAAAMxNjACAAAABjEwMDA1NAQAAAABMAcAAAAIOC84LzIwMjWG+sGKkdndCGsEWIuR2d0IIkNJUS5DRkxULklRX01BUktFVENBUC4yMDI1LzgvOC5VU0QBAAAAJgF6EAIAAAALNTYyOS42NzE1MTIBBgAAAAUAAAABMQEAAAALLTE5MzQxNzA1NTUDAAAAAzE2MAIAAAAGMTAwMDU0BAAAAAEwBwAAAAg4LzgvMjAyNYb6wYqR2d0Ir0Nbi5HZ3QgiQ0lRLk5WREEuSVFfTUFSS0VUQ0FQLjIwMjUvOC84LlVTRAEAAAAzfgAAAgAAAAc0NDU3ODgwAQYAAAAFAAAAATEBAAAACy0xOTQwNTcyMjQ5AwAAAAMxNjACAAAABjEwMDA1NAQAAAABMAcAAAAIOC84LzIwMjWG+sGKkdndCONDSIuR2d0IIkNJUS5BQVBMLklRX01BUktFVENBUC4yMDI1LzgvOC5VU0QBAAAAaWEAAAIAAAAMMzQwMzY0My40NDY1AQYAAAAFAAAAATEBAAAACy0xOTMzNzAzMzAzAwAAAAMxNjACAAAABjEwMDA1NAQAAAABMAcAAAAIOC84LzIwMjWG+sGKkdndCIowSYuR2d0IIkNJUS5BVkdPLklRX01BUktFVENBUC4yMDI1LzgvOC5VU0QBAAAA8LZ9AQIAAAAOMTQzNDQxNy41NDQ0NjYBBgAAAAUAAAABMQEAAAALLTE5Mzg1NTcyNjADAAAAAzE2</t>
  </si>
  <si>
    <t>MAIAAAAGMTAwMDU0BAAAAAEwBwAAAAg4LzgvMjAyNYb6wYqR2d0IwBpbi5HZ3QgnQ0lRLlRXU0U6MjMzMC5JUV9NQVJLRVRDQVAuMjAyNS84LzguVVNEAQAAAKvMBQACAAAAEDEwMTkyNjEuNTMwMzIxMDMBBgAAAAUAAAABMQEAAAALLTE5MzU0OTczNDEDAAAAAzE2MAIAAAAGMTAwMDU0BAAAAAEwBwAAAAg4LzgvMjAyNYb6wYqR2d0IqEFVi5HZ3QgqQ0lRLktPU0U6QTAwMDY2MC5JUV9NQVJLRVRDQVAuMjAyNS84LzguVVNEAQAAAJ16DQACAAAAEDEyNzQ1OS43MTUwNzk4NDYBBgAAAAUAAAABMQEAAAALLTE5MzQ3NTUzMzADAAAAAzE2MAIAAAAGMTAwMDU0BAAAAAEwBwAAAAg4LzgvMjAyNYb6wYqR2d0I4yFRi5HZ3QgrQ0lRLk5BU0RBUUdTOkFTTUwuSVFfTUFSS0VUQ0FQLjIwMjUvOC84LlVTRAEAAAAo7wUAAgAAABAyNzg3MzMuNjA2MDEwMTQ5AQYAAAAFAAAAATEBAAAACy0xOTM1MzA3NDQwAwAAAAMxNjACAAAABjEwMDA1NAQAAAABMAcAAAAIOC84LzIwMjWG+sGKkdndCHGiVouR2d0IIkNJUS5NUlZMLklRX01BUktFVENBUC4yMDI1LzgvOC5VU0QBAAAAtnkAAAIAAAAJNjY2ODIuNTQ4AQYAAAAFAAAAATEBAAAACy0xOTQwMDAyOTMxAwAAAAMxNjACAAAABjEwMDA1NAQAAAABMAcAAAAIOC84LzIwMjWG+sGKkdndCKxRTIuR2d0IIUNJUS5WUlQuSVFfTUFSS0VUQ0FQLjIwMjUvOC84LlVTRAEAAABE</t>
  </si>
  <si>
    <t>m4ciAgAAAAw1MzQzNC42MDIyOTQBBgAAAAUAAAABMQEAAAALLTE5MzQxOTU0MzUDAAAAAzE2MAIAAAAGMTAwMDU0BAAAAAEwBwAAAAg4LzgvMjAyNYb6wYqR2d0IYxVNi5HZ3QgiQ0lRLkFORVQuSVFfTUFSS0VUQ0FQLjIwMjUvOC84LlVTRAEAAADD2/wBAgAAAA0xNzQ5MzAuNTIzNzI4AQYAAAAFAAAAATEBAAAACy0xOTMzMDUyMTMxAwAAAAMxNjACAAAABjEwMDA1NAQAAAABMAcAAAAIOC84LzIwMjWG+sGKkdndCOoXV4uR2d0IJ0NJUS5UV1NFOjI0NTQuSVFfTUFSS0VUQ0FQLjIwMjUvOC84LlVTRAEAAAA9N1wAAgAAABA3MTk3NS43OTIwMzU2MDU2AQYAAAAFAAAAATEBAAAACy0xOTM0MzU1NDkxAwAAAAMxNjACAAAABjEwMDA1NAQAAAABMAcAAAAIOC84LzIwMjWG+sGKkdndCDiPV4uR2d0IIENJUS5NVS5JUV9NQVJLRVRDQVAuMjAyNS84LzguVVNEAQAAAAZpBAACAAAADTEzMzA1Mi43ODMyNTgBBgAAAAUAAAABMQEAAAALLTE5MzcxNzYwODIDAAAAAzE2MAIAAAAGMTAwMDU0BAAAAAEwBwAAAAg4LzgvMjAyNYb6wYqR2d0Iysxai5HZ3QgiQ0lRLlFDT00uSVFfTUFSS0VUQ0FQLjIwMjUvOC84LlVTRAEAAADVggAAAgAAAAwxNTkyMzcuNjkwMzQBBgAAAAUAAAABMQEAAAALLTE5MzQyNTQyNTEDAAAAAzE2MAIAAAAGMTAwMDU0BAAAAAEwBwAAAAg4LzgvMjAyNYb6wYqR2d0IODBai5HZ3QgiQ0lRLlNO</t>
  </si>
  <si>
    <t>UFMuSVFfTUFSS0VUQ0FQLjIwMjUvOC84LlVTRAEAAADUiAAAAgAAAA0xMTQ2MTkuNzI4MzkyAQYAAAAFAAAAATEBAAAACy0xOTQwNTcyMjQ3AwAAAAMxNjACAAAABjEwMDA1NAQAAAABMAcAAAAIOC84LzIwMjWG+sGKkdndCJDzWouR2d0IIUNJUS5BUk0uSVFfTUFSS0VUQ0FQLjIwMjUvOC84LlVTRAEAAAAs58UnAgAAAAgxNDY2NzEuNQEGAAAABQAAAAExAQAAAAstMTkzNDI1NDQwNwMAAAADMTYwAgAAAAYxMDAwNTQEAAAAATAHAAAACDgvOC8yMDI1hvrBipHZ3Qi8BlaLkdndCCJDSVEuQ1JNLklRX0NMT1NFUFJJQ0UuMjAyNS84LzguVVNEAQAAACXgAQACAAAABjI0MC41MQCG+sGKkdndCAX5gpmR2d0IIkNJUS5DUk0uSVFfQ0xPU0VQUklDRS4yMDI1LzgvNy5VU0QBAAAAJeABAAIAAAAGMjQwLjg4AIb6wYqR2d0IijBJi5HZ3QgiQ0lRLkNSTS5JUV9DTE9TRVBSSUNFLjIwMjUvOC80LlVTRAEAAAAl4AEAAgAAAAYyNTIuMzIAhvrBipHZ3Qj+Y1mLkdndCCJDSVEuTk9XLklRX0NMT1NFUFJJQ0UuMjAyNS84LzguVVNEAQAAAL90XgECAAAABjg3Mi41MQCG+sGKkdndCNQ/hpmR2d0IIkNJUS5OT1cuSVFfQ0xPU0VQUklDRS4yMDI1LzgvNy5VU0QBAAAAv3ReAQIAAAAGODc0LjEyAIb6wYqR2d0IbaVai5HZ3QgiQ0lRLk5PVy5JUV9DTE9TRVBSSUNFLjIwMjUvOC80LlVTRAEAAAC/dF4BAgAAAAM5MjMAhvrB</t>
  </si>
  <si>
    <t>ipHZ3Qh/ZVKLkdndCCNDSVEuRFVPTC5JUV9DTE9TRVBSSUNFLjIwMjUvOC84LlVTRAEAAACw8IcMAgAAAAYzNzAuMzQAhvrBipHZ3QgnR4OZkdndCCNDSVEuRFVPTC5JUV9DTE9TRVBSSUNFLjIwMjUvOC83LlVTRAEAAACw8IcMAgAAAAYzOTAuODQAhvrBipHZ3QhjFU2LkdndCCNDSVEuRFVPTC5JUV9DTE9TRVBSSUNFLjIwMjUvOC80LlVTRAEAAACw8IcMAgAAAAYzNTIuMzYAhvrBipHZ3QjjQ0iLkdndCCJDSVEuU0FQLklRX0NMT1NFUFJJQ0UuMjAyNS84LzguVVNEAQAAAAvuAQACAAAADjI5MS43NjM4ODIzODk0AIb6wYqR2d0ItMqFmZHZ3QgiQ0lRLlNBUC5JUV9DTE9TRVBSSUNFLjIwMjUvOC83LlVTRAEAAAAL7gEAAgAAAA8yOTYuMjg5ODM0ODQwNzUAhvrBipHZ3Qi97liLkdndCCJDSVEuU0FQLklRX0NMT1NFUFJJQ0UuMjAyNS84LzQuVVNEAQAAAAvuAQACAAAADzI4My4xMTE2MjUyNTUyNQCG+sGKkdndCFPdV4uR2d0IIkNJUS5URU0uSVFfQ0xPU0VQUklDRS4yMDI1LzgvOC5VU0QBAAAAANMkGQIAAAAFNjAuODcAhvrBipHZ3QjFGIaZkdndCCJDSVEuVEVNLklRX0NMT1NFUFJJQ0UuMjAyNS84LzcuVVNEAQAAAADTJBkCAAAABTU4Ljc0AIb6wYqR2d0ITH5ai5HZ3QgiQ0lRLlRFTS5JUV9DTE9TRVBSSUNFLjIwMjUvOC80LlVTRAEAAAAA0yQZAgAAAAU1Ny41MgCG+sGKkdndCHGiVouR2d0II0NJ</t>
  </si>
  <si>
    <t>US5BREJFLklRX0NMT1NFUFJJQ0UuMjAyNS84LzguVVNEAQAAAAFfAAACAAAABjM0MS4wNQCG+sGKkdndCHRVhZmR2d0II0NJUS5BREJFLklRX0NMT1NFUFJJQ0UuMjAyNS84LzcuVVNEAQAAAAFfAAACAAAABjMzOC4yNwCG+sGKkdndCFW2V4uR2d0II0NJUS5BREJFLklRX0NMT1NFUFJJQ0UuMjAyNS84LzQuVVNEAQAAAAFfAAACAAAABjMzOC44NQCG+sGKkdndCLwGVouR2d0IIkNJUS5JT1QuSVFfQ0xPU0VQUklDRS4yMDI1LzgvOC5VU0QBAAAAuj78EQIAAAAFMzMuNzQAhvrBipHZ3QgnR4OZkdndCCJDSVEuSU9ULklRX0NMT1NFUFJJQ0UuMjAyNS84LzcuVVNEAQAAALo+/BECAAAABTM0LjU4AIb6wYqR2d0IYxVNi5HZ3QgiQ0lRLklPVC5JUV9DTE9TRVBSSUNFLjIwMjUvOC80LlVTRAEAAAC6PvwRAgAAAAQzNy42AIb6wYqR2d0I40NIi5HZ3QgjQ0lRLldEQVkuSVFfQ0xPU0VQUklDRS4yMDI1LzgvOC5VU0QBAAAAh2NrAQIAAAAGMjIyLjA3AIb6wYqR2d0IFGuEmZHZ3QgjQ0lRLldEQVkuSVFfQ0xPU0VQUklDRS4yMDI1LzgvNy5VU0QBAAAAh2NrAQIAAAAGMjIwLjk4AIb6wYqR2d0Ia/hTi5HZ3QgjQ0lRLldEQVkuSVFfQ0xPU0VQUklDRS4yMDI1LzgvNC5VU0QBAAAAh2NrAQIAAAAGMjI1LjEyAIb6wYqR2d0IODBai5HZ3QgjQ0lRLlJCTFguSVFfQ0xPU0VQUklDRS4yMDI1LzgvOC5VU0QBAAAAaVX0</t>
  </si>
  <si>
    <t>AQIAAAAGMTI4LjcxAIb6wYqR2d0I5vWDmZHZ3QgjQ0lRLlJCTFguSVFfQ0xPU0VQUklDRS4yMDI1LzgvNy5VU0QBAAAAaVX0AQIAAAAGMTI5LjYzAIb6wYqR2d0Is/hSi5HZ3QgjQ0lRLlJCTFguSVFfQ0xPU0VQUklDRS4yMDI1LzgvNC5VU0QBAAAAaVX0AQIAAAAFMTMwLjcAhvrBipHZ3QiErlyLkdndCCJDSVEuQVBQLklRX0NMT1NFUFJJQ0UuMjAyNS84LzguVVNEAQAAANq5zg0CAAAABjQ1NS45OACG+sGKkdndCPWNhpmR2d0IIkNJUS5BUFAuSVFfQ0xPU0VQUklDRS4yMDI1LzgvNy5VU0QBAAAA2rnODQIAAAAGNDM3LjM0AIb6wYqR2d0IC+Rci5HZ3QgiQ0lRLkFQUC5JUV9DTE9TRVBSSUNFLjIwMjUvOC80LlVTRAEAAADauc4NAgAAAAYzOTUuMDEAhvrBipHZ3Qj+Y1mLkdndCCNDSVEuU0hPUC5JUV9DTE9TRVBSSUNFLjIwMjUvOC84LlVTRAEAAAAGKwQFAgAAAAYxNDkuNjEAhvrBipHZ3QgnR4OZkdndCCNDSVEuU0hPUC5JUV9DTE9TRVBSSUNFLjIwMjUvOC83LlVTRAEAAAAGKwQFAgAAAAYxNTEuMDcAhvrBipHZ3QhjFU2LkdndCCNDSVEuU0hPUC5JUV9DTE9TRVBSSUNFLjIwMjUvOC80LlVTRAEAAAAGKwQFAgAAAAYxMjUuMjEAhvrBipHZ3QhRCkiLkdndCCNDSVEuVEVBTS5JUV9DTE9TRVBSSUNFLjIwMjUvOC84LlVTRAEAAABSEyIPAgAAAAYxNjguMDYAhvrBipHZ3QiVo4WZkdndCCNDSVEuVEVB</t>
  </si>
  <si>
    <t>TS5JUV9DTE9TRVBSSUNFLjIwMjUvOC83LlVTRAEAAABSEyIPAgAAAAMxNzEAhvrBipHZ3Qi97liLkdndCCNDSVEuVEVBTS5JUV9DTE9TRVBSSUNFLjIwMjUvOC80LlVTRAEAAABSEyIPAgAAAAYxODUuNjkAhvrBipHZ3QhVtleLkdndCCNDSVEuTVNGVC5JUV9DTE9TRVBSSUNFLjIwMjUvOC84LlVTRAEAAABLVQAAAgAAAAY1MjIuMDQAhvrBipHZ3QjkZoaZkdndCCNDSVEuTVNGVC5JUV9DTE9TRVBSSUNFLjIwMjUvOC83LlVTRAEAAABLVQAAAgAAAAY1MjAuODQAhvrBipHZ3QjlfVyLkdndCCNDSVEuTVNGVC5JUV9DTE9TRVBSSUNFLjIwMjUvOC80LlVTRAEAAABLVQAAAgAAAAY1MzUuNjQAhvrBipHZ3QjGZVeLkdndCCNDSVEuQU1aTi5JUV9DTE9TRVBSSUNFLjIwMjUvOC84LlVTRAEAAAA9SQAAAgAAAAYyMjIuNjkAqg/CipHZ3Qjm9YOZkdndCCNDSVEuQU1aTi5JUV9DTE9TRVBSSUNFLjIwMjUvOC83LlVTRAEAAAA9SQAAAgAAAAYyMjMuMTMAqg/CipHZ3Qiz+FKLkdndCCNDSVEuQU1aTi5JUV9DTE9TRVBSSUNFLjIwMjUvOC80LlVTRAEAAAA9SQAAAgAAAAYyMTEuNjUAqg/CipHZ3QjjIVGLkdndCC1DSVEuTkFTREFRR1M6R09PR0wuSVFfQ0xPU0VQUklDRS4yMDI1LzgvOC5VU0QBAAAAqHEAAAIAAAAGMjAxLjQyAKoPwoqR2d0IFiCDmZHZ3QgtQ0lRLk5BU0RBUUdTOkdPT0dMLklRX0NMT1NFUFJJQ0Uu</t>
  </si>
  <si>
    <t>MjAyNS84LzcuVVNEAQAAAKhxAAACAAAABjE5Ni41MgCqD8KKkdndCGMVTYuR2d0ILUNJUS5OQVNEQVFHUzpHT09HTC5JUV9DTE9TRVBSSUNFLjIwMjUvOC80LlVTRAEAAACocQAAAgAAAAYxOTUuMDQAqg/CipHZ3QhRCkiLkdndCCNDSVEuVFNMQS5JUV9DTE9TRVBSSUNFLjIwMjUvOC84LlVTRAEAAAAQxqIBAgAAAAYzMjkuNjUAqg/CipHZ3QglkoSZkdndCCNDSVEuVFNMQS5JUV9DTE9TRVBSSUNFLjIwMjUvOC83LlVTRAEAAAAQxqIBAgAAAAYzMjIuMjcAqg/CipHZ3QioQVWLkdndCCNDSVEuVFNMQS5JUV9DTE9TRVBSSUNFLjIwMjUvOC80LlVTRAEAAAAQxqIBAgAAAAYzMDkuMjYAqg/CipHZ3Qg4MFqLkdndCCNDSVEuUExUUi5JUV9DTE9TRVBSSUNFLjIwMjUvOC84LlVTRAEAAABl+pgCAgAAAAYxODYuOTYAqg/CipHZ3QhD4ISZkdndCCNDSVEuUExUUi5JUV9DTE9TRVBSSUNFLjIwMjUvOC83LlVTRAEAAABl+pgCAgAAAAUxODIuMgCqD8KKkdndCFpUVouR2d0II0NJUS5QTFRSLklRX0NMT1NFUFJJQ0UuMjAyNS84LzQuVVNEAQAAAGX6mAICAAAABjE2MC42NgCqD8KKkdndCNqoU4uR2d0II0NJUS5PUkNMLklRX0NMT1NFUFJJQ0UuMjAyNS84LzguVVNEAQAAAOdWAAACAAAABjI1MC4wNQCqD8KKkdndCORmhpmR2d0II0NJUS5PUkNMLklRX0NMT1NFUFJJQ0UuMjAyNS84LzcuVVNEAQAAAOdWAAACAAAA</t>
  </si>
  <si>
    <t>BjI0OS4zOQCqD8KKkdndCNEIXIuR2d0II0NJUS5PUkNMLklRX0NMT1NFUFJJQ0UuMjAyNS84LzQuVVNEAQAAAOdWAAACAAAABjI1Mi41MwCqD8KKkdndCPA0UouR2d0II0NJUS5OQklTLklRX0NMT1NFUFJJQ0UuMjAyNS84LzguVVNEAQAAAL/7GQMCAAAABTY4Ljc4AKoPwoqR2d0IFiCDmZHZ3QgjQ0lRLk5CSVMuSVFfQ0xPU0VQUklDRS4yMDI1LzgvNy5VU0QBAAAAv/sZAwIAAAAFNjUuMzEAqg/CipHZ3QhL7kyLkdndCCNDSVEuTkJJUy5JUV9DTE9TRVBSSUNFLjIwMjUvOC80LlVTRAEAAAC/+xkDAgAAAAU1NC4xNwCqD8KKkdndCFEKSIuR2d0II0NJUS5FU1RDLklRX0NMT1NFUFJJQ0UuMjAyNS84LzguVVNEAQAAAICEWw0CAAAABTc0LjUxAKoPwoqR2d0IdaeDmZHZ3QgjQ0lRLkVTVEMuSVFfQ0xPU0VQUklDRS4yMDI1LzgvNy5VU0QBAAAAgIRbDQIAAAAFNzYuMzcAqg/CipHZ3QjNt1GLkdndCCNDSVEuRVNUQy5JUV9DTE9TRVBSSUNFLjIwMjUvOC80LlVTRAEAAACAhFsNAgAAAAU4MC41MwCqD8KKkdndCPLHWIuR2d0II0NJUS5TTk9XLklRX0NMT1NFUFJJQ0UuMjAyNS84LzguVVNEAQAAALA8ZBACAAAABjE5MS43MwCqD8KKkdndCLTKhZmR2d0II0NJUS5TTk9XLklRX0NMT1NFUFJJQ0UuMjAyNS84LzcuVVNEAQAAALA8ZBACAAAABTIwNi40AKoPwoqR2d0I7zxZi5HZ3QgjQ0lRLlNOT1cuSVFfQ0xP</t>
  </si>
  <si>
    <t>U0VQUklDRS4yMDI1LzgvNC5VU0QBAAAAsDxkEAIAAAAGMjA4LjQ4AKoPwoqR2d0IVbZXi5HZ3QgjQ0lRLkRET0cuSVFfQ0xPU0VQUklDRS4yMDI1LzgvOC5VU0QBAAAAu6EECAIAAAAGMTMwLjkxAKoPwoqR2d0IhHyFmZHZ3QgjQ0lRLkRET0cuSVFfQ0xPU0VQUklDRS4yMDI1LzgvNy5VU0QBAAAAu6EECAIAAAAGMTM2LjM4AKoPwoqR2d0IvHlYi5HZ3QgjQ0lRLkRET0cuSVFfQ0xPU0VQUklDRS4yMDI1LzgvNC5VU0QBAAAAu6EECAIAAAAGMTM5LjEzAKoPwoqR2d0IovBWi5HZ3QgiQ0lRLk5FVC5JUV9DTE9TRVBSSUNFLjIwMjUvOC84LlVTRAEAAAA09eAEAgAAAAUyMDQuNgCqD8KKkdndCBYgg5mR2d0IIkNJUS5ORVQuSVFfQ0xPU0VQUklDRS4yMDI1LzgvNy5VU0QBAAAANPXgBAIAAAAGMjEwLjQ0AKoPwoqR2d0IS+5Mi5HZ3QgiQ0lRLk5FVC5JUV9DTE9TRVBSSUNFLjIwMjUvOC80LlVTRAEAAAA09eAEAgAAAAUyMDguOACqD8KKkdndCFEKSIuR2d0II0NJUS5HVExCLklRX0NMT1NFUFJJQ0UuMjAyNS84LzguVVNEAQAAAM2EFxECAAAABTQwLjQyAKoPwoqR2d0IBUSEmZHZ3QgjQ0lRLkdUTEIuSVFfQ0xPU0VQUklDRS4yMDI1LzgvNy5VU0QBAAAAzYQXEQIAAAAENDEuNgCqD8KKkdndCGv4U4uR2d0II0NJUS5HVExCLklRX0NMT1NFUFJJQ0UuMjAyNS84LzQuVVNEAQAAAM2EFxECAAAABTQ0LjE1AKoP</t>
  </si>
  <si>
    <t>woqR2d0IdntWi5HZ3QgjQ0lRLlBBTlcuSVFfQ0xPU0VQUklDRS4yMDI1LzgvOC5VU0QBAAAAg32EAQIAAAAGMTY3LjA2AKoPwoqR2d0I5vWDmZHZ3QgjQ0lRLlBBTlcuSVFfQ0xPU0VQUklDRS4yMDI1LzgvNy5VU0QBAAAAg32EAQIAAAAFMTY4LjEAqg/CipHZ3Qiz+FKLkdndCCNDSVEuUEFOVy5JUV9DTE9TRVBSSUNFLjIwMjUvOC80LlVTRAEAAACDfYQBAgAAAAMxNzEAqg/CipHZ3QiU31WLkdndCCJDSVEuTURCLklRX0NMT1NFUFJJQ0UuMjAyNS84LzguVVNEAQAAAOJuzAICAAAABjIwOS4xOACqD8KKkdndCDW5hJmR2d0IIkNJUS5NREIuSVFfQ0xPU0VQUklDRS4yMDI1LzgvNy5VU0QBAAAA4m7MAgIAAAAGMjI3Ljg2AKoPwoqR2d0IWlRWi5HZ3QgiQ0lRLk1EQi5JUV9DTE9TRVBSSUNFLjIwMjUvOC80LlVTRAEAAADibswCAgAAAAYyMjYuNTYAqg/CipHZ3QhBA1qLkdndCCNDSVEuUFNURy5JUV9DTE9TRVBSSUNFLjIwMjUvOC84LlVTRAEAAAC4yqUGAgAAAAU1OC41OACqD8KKkdndCBYgg5mR2d0II0NJUS5QU1RHLklRX0NMT1NFUFJJQ0UuMjAyNS84LzcuVVNEAQAAALjKpQYCAAAABTU3LjgxAKoPwoqR2d0IS+5Mi5HZ3QgjQ0lRLlBTVEcuSVFfQ0xPU0VQUklDRS4yMDI1LzgvNC5VU0QBAAAAuMqlBgIAAAAFNTYuMjUAqg/CipHZ3QhRCkiLkdndCCFDSVEuWlMuSVFfQ0xPU0VQUklDRS4yMDI1Lzgv</t>
  </si>
  <si>
    <t>OC5VU0QBAAAA1MyBAwIAAAAHMjY5LjY5NQCqD8KKkdndCNQ/hpmR2d0IIUNJUS5aUy5JUV9DTE9TRVBSSUNFLjIwMjUvOC83LlVTRAEAAADUzIEDAgAAAAUyNzIuNQCqD8KKkdndCGC6W4uR2d0IIUNJUS5aUy5JUV9DTE9TRVBSSUNFLjIwMjUvOC80LlVTRAEAAADUzIEDAgAAAAYyODUuODYAqg/CipHZ3QjaqFOLkdndCCNDSVEuQ0ZMVC5JUV9DTE9TRVBSSUNFLjIwMjUvOC84LlVTRAEAAAAmAXoQAgAAAAUxNi4zMwCqD8KKkdndCLXxhZmR2d0II0NJUS5DRkxULklRX0NMT1NFUFJJQ0UuMjAyNS84LzcuVVNEAQAAACYBehACAAAABTE2LjkzAKoPwoqR2d0IDItZi5HZ3QgjQ0lRLkNGTFQuSVFfQ0xPU0VQUklDRS4yMDI1LzgvNC5VU0QBAAAAJgF6EAIAAAAFMTcuMTIAqg/CipHZ3QjNt1GLkdndCCNDSVEuTlZEQS5JUV9DTE9TRVBSSUNFLjIwMjUvOC84LlVTRAEAAAAzfgAAAgAAAAUxODIuNwCqD8KKkdndCOb1g5mR2d0II0NJUS5OVkRBLklRX0NMT1NFUFJJQ0UuMjAyNS84LzcuVVNEAQAAADN+AAACAAAABjE4MC43NwCqD8KKkdndCCTRUouR2d0II0NJUS5OVkRBLklRX0NMT1NFUFJJQ0UuMjAyNS84LzQuVVNEAQAAADN+AAACAAAAAzE4MACqD8KKkdndCLx5WIuR2d0II0NJUS5BQVBMLklRX0NMT1NFUFJJQ0UuMjAyNS84LzguVVNEAQAAAGlhAAACAAAABjIyOS4zNQCqD8KKkdndCBYgg5mR2d0II0NJ</t>
  </si>
  <si>
    <t>US5BQVBMLklRX0NMT1NFUFJJQ0UuMjAyNS84LzcuVVNEAQAAAGlhAAACAAAABjIyMC4wMwCqD8KKkdndCEvuTIuR2d0II0NJUS5BQVBMLklRX0NMT1NFUFJJQ0UuMjAyNS84LzQuVVNEAQAAAGlhAAACAAAABjIwMy4zNQCqD8KKkdndCFEKSIuR2d0II0NJUS5BVkdPLklRX0NMT1NFUFJJQ0UuMjAyNS84LzguVVNEAQAAAPC2fQECAAAABjMwNC45NwCTJMKKkdndCEVug5mR2d0II0NJUS5BVkdPLklRX0NMT1NFUFJJQ0UuMjAyNS84LzcuVVNEAQAAAPC2fQECAAAABjMwMy43NgCTJMKKkdndCIz6UIuR2d0II0NJUS5BVkdPLklRX0NMT1NFUFJJQ0UuMjAyNS84LzQuVVNEAQAAAPC2fQECAAAABjI5Ny43MgCTJMKKkdndCDiPV4uR2d0IKENJUS5UV1NFOjIzMzAuSVFfQ0xPU0VQUklDRS4yMDI1LzgvOC5VU0QBAAAAq8wFAAIAAAALMzkuMzA0MjMxNzUAkyTCipHZ3QiEfIWZkdndCChDSVEuVFdTRToyMzMwLklRX0NMT1NFUFJJQ0UuMjAyNS84LzcuVVNEAQAAAKvMBQACAAAACzM5LjUxNzc0OTI0AJMkwoqR2d0I61JYi5HZ3QgoQ0lRLlRXU0U6MjMzMC5JUV9DTE9TRVBSSUNFLjIwMjUvOC80LlVTRAEAAACrzAUAAgAAAAwzNy45Njc0ODU0MTUAkyTCipHZ3Qh2e1aLkdndCCtDSVEuS09TRTpBMDAwNjYwLklRX0NMT1NFUFJJQ0UuMjAyNS84LzguVVNEAQAAAJ16DQACAAAACzE4NC42MzIwMzQ1AJMkwoqR2d0I</t>
  </si>
  <si>
    <t>Yy6FmZHZ3QgrQ0lRLktPU0U6QTAwMDY2MC5JUV9DTE9TRVBSSUNFLjIwMjUvOC83LlVTRAEAAACdeg0AAgAAAAoxODkuMDM1ODgyAJMkwoqR2d0IxmVXi5HZ3QgrQ0lRLktPU0U6QTAwMDY2MC5JUV9DTE9TRVBSSUNFLjIwMjUvOC80LlVTRAEAAACdeg0AAgAAAAoxODYuMzQzNTk2AJMkwoqR2d0Ia/hTi5HZ3QgsQ0lRLk5BU0RBUUdTOkFTTUwuSVFfQ0xPU0VQUklDRS4yMDI1LzgvOC5VU0QBAAAAKO8FAAIAAAAGNzIyLjMyAJMkwoqR2d0IFiCDmZHZ3QgsQ0lRLk5BU0RBUUdTOkFTTUwuSVFfQ0xPU0VQUklDRS4yMDI1LzgvNy5VU0QBAAAAKO8FAAIAAAAGNzEzLjEyAJMkwoqR2d0IS+5Mi5HZ3QgsQ0lRLk5BU0RBUUdTOkFTTUwuSVFfQ0xPU0VQUklDRS4yMDI1LzgvNC5VU0QBAAAAKO8FAAIAAAAGNjk5LjM2AJMkwoqR2d0IUQpIi5HZ3QgjQ0lRLk1SVkwuSVFfQ0xPU0VQUklDRS4yMDI1LzgvOC5VU0QBAAAAtnkAAAIAAAAFNzcuMzQAkyTCipHZ3Qj0HISZkdndCCNDSVEuTVJWTC5JUV9DTE9TRVBSSUNFLjIwMjUvOC83LlVTRAEAAAC2eQAAAgAAAAU3NS44NQCTJMKKkdndCNqoU4uR2d0II0NJUS5NUlZMLklRX0NMT1NFUFJJQ0UuMjAyNS84LzQuVVNEAQAAALZ5AAACAAAABTc2LjUzAJMkwoqR2d0IlN9Vi5HZ3QgiQ0lRLlZSVC5JUV9DTE9TRVBSSUNFLjIwMjUvOC84LlVTRAEAAABEm4ciAgAAAAYx</t>
  </si>
  <si>
    <t>MzkuOTMAkyTCipHZ3QjDzoOZkdndCCJDSVEuVlJULklRX0NMT1NFUFJJQ0UuMjAyNS84LzcuVVNEAQAAAESbhyICAAAABjEzOS4zOQCTJMKKkdndCPA0UouR2d0IIkNJUS5WUlQuSVFfQ0xPU0VQUklDRS4yMDI1LzgvNC5VU0QBAAAARJuHIgIAAAAFMTQwLjIAkyTCipHZ3Qg1Tk6LkdndCCNDSVEuQU5FVC5JUV9DTE9TRVBSSUNFLjIwMjUvOC84LlVTRAEAAADD2/wBAgAAAAYxMzkuMTgAkyTCipHZ3Qg1uYSZkdndCCNDSVEuQU5FVC5JUV9DTE9TRVBSSUNFLjIwMjUvOC83LlVTRAEAAADD2/wBAgAAAAYxMzkuMjgAkyTCipHZ3QgguFWLkdndCCNDSVEuQU5FVC5JUV9DTE9TRVBSSUNFLjIwMjUvOC80LlVTRAEAAADD2/wBAgAAAAYxMjAuMzUAkyTCipHZ3QhBA1qLkdndCChDSVEuVFdTRToyNDU0LklRX0NMT1NFUFJJQ0UuMjAyNS84LzguVVNEAQAAAD03XAACAAAACjQ1LjE1ODA1MzUAkyTCipHZ3QgF+YKZkdndCChDSVEuVFdTRToyNDU0LklRX0NMT1NFUFJJQ0UuMjAyNS84LzcuVVNEAQAAAD03XAACAAAACzQ1LjM3ODQzMjM5AJMkwoqR2d0IS+5Mi5HZ3QgoQ0lRLlRXU0U6MjQ1NC5JUV9DTE9TRVBSSUNFLjIwMjUvOC80LlVTRAEAAAA9N1wAAgAAAAs0NC40OTA1MzM1NwCTJMKKkdndCFEKSIuR2d0IIUNJUS5NVS5JUV9DTE9TRVBSSUNFLjIwMjUvOC84LlVTRAEAAAAGaQQAAgAAAAYxMTguODkAkyTC</t>
  </si>
  <si>
    <t>ipHZ3QjUP4aZkdndCCFDSVEuTVUuSVFfQ0xPU0VQUklDRS4yMDI1LzgvNy5VU0QBAAAABmkEAAIAAAAGMTExLjg3AJMkwoqR2d0ITZNbi5HZ3QghQ0lRLk1VLklRX0NMT1NFUFJJQ0UuMjAyNS84LzQuVVNEAQAAAAZpBAACAAAABjEwNy43NwCTJMKKkdndCPLHWIuR2d0II0NJUS5RQ09NLklRX0NMT1NFUFJJQ0UuMjAyNS84LzguVVNEAQAAANWCAAACAAAABjE0Ny41NgCTJMKKkdndCLXxhZmR2d0II0NJUS5RQ09NLklRX0NMT1NFUFJJQ0UuMjAyNS84LzcuVVNEAQAAANWCAAACAAAABTE0NS45AJMkwoqR2d0I/mNZi5HZ3QgjQ0lRLlFDT00uSVFfQ0xPU0VQUklDRS4yMDI1LzgvNC5VU0QBAAAA1YIAAAIAAAAGMTQ3LjUxAJMkwoqR2d0INU5Oi5HZ3QgjQ0lRLlNOUFMuSVFfQ0xPU0VQUklDRS4yMDI1LzgvOC5VU0QBAAAA1IgAAAIAAAAGNjE5LjQyAJMkwoqR2d0IhHyFmZHZ3QgjQ0lRLlNOUFMuSVFfQ0xPU0VQUklDRS4yMDI1LzgvNy5VU0QBAAAA1IgAAAIAAAAHNjIwLjMyNQCTJMKKkdndCLx5WIuR2d0II0NJUS5TTlBTLklRX0NMT1NFUFJJQ0UuMjAyNS84LzQuVVNEAQAAANSIAAACAAAABjYzNi4wMgCTJMKKkdndCCTRUouR2d0IIkNJUS5BUk0uSVFfQ0xPU0VQUklDRS4yMDI1LzgvOC5VU0QBAAAALOfFJwIAAAAFMTM4LjUAkyTCipHZ3QgF+YKZkdndCCJDSVEuQVJNLklRX0NMT1NFUFJJQ0UuMjAy</t>
  </si>
  <si>
    <t>NS84LzcuVVNEAQAAACznxScCAAAABjEzNS41NwCTJMKKkdndCCzHTIuR2d0IIkNJUS5BUk0uSVFfQ0xPU0VQUklDRS4yMDI1LzgvNC5VU0QBAAAALOfFJwIAAAAGMTQwLjA1AJMkwoqR2d0IzbdRi5HZ3QgkQ0lRLkFHSVguSVFfQ0xPU0VQUklDRS4yMDI1LzcvMTYuVVNEAQAAACP3AHACAAAABzMxLjc3MTIAkyTCipHZ3QhT3VeLkdndCCNDSVEuQUdJWC5JUV9DTE9TRVBSSUNFLjIwMjUvNy85LlVTRAEAAAAj9wBwAgAAAAUzMS42OACTJMKKkdndCJMaVYuR2d0IG0NJUS5BR0lYLklRX0NMT1NFUFJJQ0UuLlVTRAEAAAAj9wBwAgAAAAczMi42NTgzAJMkwoqR2d0IkyTCipHZ3QglQ0lRLkFHSVguSVFfQ0xPU0VQUklDRS4yMDI0LzExLzI5LlVTRAEAAAAj9wBwAgAAAAUyOC4yMwCTJMKKkdndCCtoUYuR2d0IJENJUS5BR0lYLklRX0NMT1NFUFJJQ0UuMjAyNS83LzE1LlVTRAEAAAAj9wBwAgAAAAUzMS43OQCTJMKKkdndCHyYUIuR2d0IJENJUS5eTkRYLklRX0NMT1NFUFJJQ0UuMjAyNS83LzE2LlVTRAEAAAAOsygAAgAAAAoyMjkwNy45NjY3AJMkwoqR2d0IV+NHi5HZ3QgjQ0lRLl5ORFguSVFfQ0xPU0VQUklDRS4yMDI1LzcvOS5VU0QBAAAADrMoAAIAAAAKMjI4NjQuOTA2NgCTJMKKkdndCMIJSYuR2d0IG0NJUS5eTkRYLklRX0NMT1NFUFJJQ0UuLlVTRAEAAAAOsygAAgAAAAoyMzUyNi42MzQyAJMkwoqR</t>
  </si>
  <si>
    <t>2d0IkyTCipHZ3QglQ0lRLl5ORFguSVFfQ0xPU0VQUklDRS4yMDI0LzEyLzMxLlVTRAEAAAAOsygAAgAAAAoyMTAxMi4xNzM3AJMkwoqR2d0IVAeFmZHZ3QgjQ0lRLl5ORFguSVFfQ0xPU0VQUklDRS4yMDI1LzgvMS5VU0QBAAAADrMoAAIAAAAKMjI3NjMuMzEzMwCTJMKKkdndCGMuhZmR2d0IJUNJUS5eTkRYLklRX0NMT1NFUFJJQ0UuMjAyNC8xMS8yOS5VU0QBAAAADrMoAAIAAAAKMjA5MzAuMzY2MgCTJMKKkdndCDiPV4uR2d0IJUNJUS5eTkRYLklRX0NMT1NFUFJJQ0UuMjAyMy8xMi8yOS5VU0QBAAAADrMoAAIAAAAKMTY4MjUuOTMwNwCTJMKKkdndCAX5gpmR2d0IJENJUS5eTkRYLklRX0NMT1NFUFJJQ0UuMjAyNS83LzE1LlVTRAEAAAAOsygAAgAAAAoyMjg4NC41ODg0AJMkwoqR2d0ILMdMi5HZ3QgkQ0lRLl5TUFguSVFfQ0xPU0VQUklDRS4yMDI1LzcvMTYuVVNEAQAAAJu4KAACAAAADzYyNjMuNjk1MjQxNTA3NwCTJMKKkdndCDVOTouR2d0II0NJUS5eU1BYLklRX0NMT1NFUFJJQ0UuMjAyNS83LzkuVVNEAQAAAJu4KAACAAAAEDYyNjMuMjY0Mzc4NTc0MzQAkyTCipHZ3Qjzwk6LkdndCCVDSVEuXlNQWC5JUV9DTE9TRVBSSUNFLjIwMjQvMTEvMjkuVVNEAQAAAJu4KAACAAAAEDYwMzIuMzg0NDEyMjczOTIAkyTCipHZ3QhX40eLkdndCCRDSVEuXlNQWC5JUV9DTE9TRVBSSUNFLjIwMjUvNy8xNS5V</t>
  </si>
  <si>
    <t>U0QBAAAAm7goAAIAAAAQNjI0My43NTU3MDkwNjExMQCTJMKKkdndCHZ7VouR2d0IK0NJUS5LT1NFOkEwMDA2NjAuSVFfQ0xPU0VQUklDRS4yMDI1LzgvMS5VU0QBAAAAnXoNAAIAAAAKMTg1LjY3ODIxNACTJMKKkdndCCtoUYuR2d0ILENJUS5LT1NFOkEwMDA2NjAuSVFfQ0xPU0VQUklDRS4yMDI1LzcvMzEuVVNEAQAAAJ16DQACAAAACzE5NS45NjE5Mjk1AJMkwoqR2d0IK2hRi5HZ3QgkQ0lRLkFHSVguSVFfQ0xPU0VQUklDRS4yMDI1LzcvMzEuVVNEAQAAACP3AHACAAAABzMyLjQ1OTUAkyTCipHZ3QjNt1GLkdndCChDSVEuVFdTRToyMzMwLklRX0NMT1NFUFJJQ0UuMjAyNS84LzEuVVNEAQAAAKvMBQACAAAACjM4LjMzNjA3OTYAkyTCipHZ3QgF0VOLkdndCClDSVEuVFdTRToyMzMwLklRX0NMT1NFUFJJQ0UuMjAyNS83LzMxLlVTRAEAAACrzAUAAgAAAAszOC43NTA2MjU5MgCTJMKKkdndCCTRUouR2d0IKENJUS5UV1NFOjI0NTQuSVFfQ0xPU0VQUklDRS4yMDI1LzgvMS5VU0QBAAAAPTdcAAIAAAAJNDUuMzk3OTg5AJMkwoqR2d0INU5Oi5HZ3QgpQ0lRLlRXU0U6MjQ1NC5JUV9DTE9TRVBSSUNFLjIwMjUvNy8zMS5VU0QBAAAAPTdcAAIAAAALNDUuNzY1ODI1NDQAkyTCipHZ3Qh/xUuLkdndCCNDSVEuQUFQTC5JUV9DTE9TRVBSSUNFLjIwMjUvOC8xLlVTRAEAAABpYQAAAgAAAAYyMDIuMzgAkyTCipHZ</t>
  </si>
  <si>
    <t>3QhBA1qLkdndCCRDSVEuQUFQTC5JUV9DTE9TRVBSSUNFLjIwMjUvNy8zMS5VU0QBAAAAaWEAAAIAAAAGMjA3LjU3AJMkwoqR2d0IZ9lZi5HZ3QgjQ0lRLkFEQkUuSVFfQ0xPU0VQUklDRS4yMDI1LzgvMS5VU0QBAAAAAV8AAAIAAAAFMzQ3LjgAkyTCipHZ3Qh8mFCLkdndCCRDSVEuQURCRS5JUV9DTE9TRVBSSUNFLjIwMjUvNy8zMS5VU0QBAAAAAV8AAAIAAAAGMzU3LjY5AJMkwoqR2d0IfJhQi5HZ3QgjQ0lRLkFNWk4uSVFfQ0xPU0VQUklDRS4yMDI1LzgvMS5VU0QBAAAAPUkAAAIAAAAGMjE0Ljc1ALGlwoqR2d0IJNFSi5HZ3QgkQ0lRLkFNWk4uSVFfQ0xPU0VQUklDRS4yMDI1LzcvMzEuVVNEAQAAAD1JAAACAAAABjIzNC4xMQCxpcKKkdndCImQUYuR2d0II0NJUS5BTkVULklRX0NMT1NFUFJJQ0UuMjAyNS84LzEuVVNEAQAAAMPb/AECAAAABjExNy41NwCxpcKKkdndCLx5WIuR2d0IJENJUS5BTkVULklRX0NMT1NFUFJJQ0UuMjAyNS83LzMxLlVTRAEAAADD2/wBAgAAAAYxMjMuMjIAsaXCipHZ3QhX40eLkdndCCJDSVEuQVJNLklRX0NMT1NFUFJJQ0UuMjAyNS84LzEuVVNEAQAAACznxScCAAAABjEzNy41OACxpcKKkdndCO88WYuR2d0II0NJUS5BUk0uSVFfQ0xPU0VQUklDRS4yMDI1LzcvMzEuVVNEAQAAACznxScCAAAABzE0MS4zNzUAsaXCipHZ3QjvPFmLkdndCCxDSVEuTkFTREFRR1M6QVNNTC5J</t>
  </si>
  <si>
    <t>UV9DTE9TRVBSSUNFLjIwMjUvOC8xLlVTRAEAAAAo7wUAAgAAAAY2ODkuODIAsaXCipHZ3QiTGlWLkdndCC1DSVEuTkFTREFRR1M6QVNNTC5JUV9DTE9TRVBSSUNFLjIwMjUvNy8zMS5VU0QBAAAAKO8FAAIAAAAGNjk0LjcxALGlwoqR2d0IkxpVi5HZ3QgjQ0lRLkFWR08uSVFfQ0xPU0VQUklDRS4yMDI1LzgvMS5VU0QBAAAA8LZ9AQIAAAAGMjg4LjY0ALGlwoqR2d0INU5Oi5HZ3QgkQ0lRLkFWR08uSVFfQ0xPU0VQUklDRS4yMDI1LzcvMzEuVVNEAQAAAPC2fQECAAAABTI5My43ALGlwoqR2d0If8VLi5HZ3QgjQ0lRLkNGTFQuSVFfQ0xPU0VQUklDRS4yMDI1LzgvMS5VU0QBAAAAJgF6EAIAAAAEMTcuMgCxpcKKkdndCJTfVYuR2d0IJENJUS5DRkxULklRX0NMT1NFUFJJQ0UuMjAyNS83LzMxLlVTRAEAAAAmAXoQAgAAAAYxNy43MjUAsaXCipHZ3QiU31WLkdndCCJDSVEuQ1JNLklRX0NMT1NFUFJJQ0UuMjAyNS84LzEuVVNEAQAAACXgAQACAAAABjI1MC43NACxpcKKkdndCHZ7VouR2d0II0NJUS5DUk0uSVFfQ0xPU0VQUklDRS4yMDI1LzcvMzEuVVNEAQAAACXgAQACAAAABjI1OC4zMwCxpcKKkdndCDVOTouR2d0II0NJUS5ERE9HLklRX0NMT1NFUFJJQ0UuMjAyNS84LzEuVVNEAQAAALuhBAgCAAAABTEzNS42ALGlwoqR2d0IxmVXi5HZ3QgkQ0lRLkRET0cuSVFfQ0xPU0VQUklDRS4yMDI1LzcvMzEuVVNE</t>
  </si>
  <si>
    <t>AQAAALuhBAgCAAAABjEzOS45OACxpcKKkdndCMZlV4uR2d0IIkNJUS5BUFAuSVFfQ0xPU0VQUklDRS4yMDI1LzgvMS5VU0QBAAAA2rnODQIAAAAGMzc5LjE3ALGlwoqR2d0IiZBRi5HZ3QgjQ0lRLkFQUC5JUV9DTE9TRVBSSUNFLjIwMjUvNy8zMS5VU0QBAAAA2rnODQIAAAAFMzkwLjcAsaXCipHZ3QgraFGLkdndCCNDSVEuRFVPTC5JUV9DTE9TRVBSSUNFLjIwMjUvOC8xLlVTRAEAAACw8IcMAgAAAAYzMzguOTkAsaXCipHZ3QgbcVCLkdndCCRDSVEuRFVPTC5JUV9DTE9TRVBSSUNFLjIwMjUvNy8zMS5VU0QBAAAAsPCHDAIAAAAGMzQ2LjU1ALGlwoqR2d0IfJhQi5HZ3QgjQ0lRLkVTVEMuSVFfQ0xPU0VQUklDRS4yMDI1LzgvMS5VU0QBAAAAgIRbDQIAAAAFNzkuNTgAsaXCipHZ3QjUgVOLkdndCCRDSVEuRVNUQy5JUV9DTE9TRVBSSUNFLjIwMjUvNy8zMS5VU0QBAAAAgIRbDQIAAAAEODMuNwCxpcKKkdndCNSBU4uR2d0ILUNJUS5OQVNEQVFHUzpHT09HTC5JUV9DTE9TRVBSSUNFLjIwMjUvOC8xLlVTRAEAAACocQAAAgAAAAYxODkuMTMAsaXCipHZ3QivQ1uLkdndCC5DSVEuTkFTREFRR1M6R09PR0wuSVFfQ0xPU0VQUklDRS4yMDI1LzcvMzEuVVNEAQAAAKhxAAACAAAABTE5MS45ALGlwoqR2d0Ir0Nbi5HZ3QgjQ0lRLkdUTEIuSVFfQ0xPU0VQUklDRS4yMDI1LzgvMS5VU0QBAAAAzYQXEQIAAAAFNDEu</t>
  </si>
  <si>
    <t>ODIAsaXCipHZ3Qg1Tk6LkdndCCRDSVEuR1RMQi5JUV9DTE9TRVBSSUNFLjIwMjUvNy8zMS5VU0QBAAAAzYQXEQIAAAAFNDMuODEAsaXCipHZ3Qh/xUuLkdndCCJDSVEuSU9ULklRX0NMT1NFUFJJQ0UuMjAyNS84LzEuVVNEAQAAALo+/BECAAAABTM2LjAxAJO6woqR2d0I1IFTi5HZ3QgjQ0lRLklPVC5JUV9DTE9TRVBSSUNFLjIwMjUvNy8zMS5VU0QBAAAAuj78EQIAAAAFMzguMDMAk7rCipHZ3QjUgVOLkdndCCJDSVEuTURCLklRX0NMT1NFUFJJQ0UuMjAyNS84LzEuVVNEAQAAAOJuzAICAAAABjIyMC45NwCTusKKkdndCLx5WIuR2d0II0NJUS5NREIuSVFfQ0xPU0VQUklDRS4yMDI1LzcvMzEuVVNEAQAAAOJuzAICAAAABjIzNy44OQCTusKKkdndCMImTouR2d0II0NJUS5NRVRBLklRX0NMT1NFUFJJQ0UuMjAyNS84LzEuVVNEAQAAABfbPAECAAAABjc1MC4wMQCTusKKkdndCO88WYuR2d0IJENJUS5NRVRBLklRX0NMT1NFUFJJQ0UuMjAyNS83LzMxLlVTRAEAAAAX2zwBAgAAAAY3NzMuNDQAk7rCipHZ3QjvPFmLkdndCCNDSVEuTVJWTC5JUV9DTE9TRVBSSUNFLjIwMjUvOC8xLlVTRAEAAAC2eQAAAgAAAAU3NC40NQCTusKKkdndCHDzVIuR2d0IJENJUS5NUlZMLklRX0NMT1NFUFJJQ0UuMjAyNS83LzMxLlVTRAEAAAC2eQAAAgAAAAU4MC4zNwCTusKKkdndCJMaVYuR2d0II0NJUS5NU0ZULklRX0NMT1NF</t>
  </si>
  <si>
    <t>UFJJQ0UuMjAyNS84LzEuVVNEAQAAAEtVAAACAAAABjUyNC4xMQCTusKKkdndCBtxUIuR2d0IJENJUS5NU0ZULklRX0NMT1NFUFJJQ0UuMjAyNS83LzMxLlVTRAEAAABLVQAAAgAAAAU1MzMuNQCTusKKkdndCBtxUIuR2d0IIUNJUS5NVS5JUV9DTE9TRVBSSUNFLjIwMjUvOC8xLlVTRAEAAAAGaQQAAgAAAAYxMDQuODgAk7rCipHZ3QjiDVKLkdndCCJDSVEuTVUuSVFfQ0xPU0VQUklDRS4yMDI1LzcvMzEuVVNEAQAAAAZpBAACAAAABjEwOS4xNACTusKKkdndCOINUouR2d0II0NJUS5OQklTLklRX0NMT1NFUFJJQ0UuMjAyNS84LzEuVVNEAQAAAL/7GQMCAAAAAjUyAJO6woqR2d0IOI9Xi5HZ3QgkQ0lRLk5CSVMuSVFfQ0xPU0VQUklDRS4yMDI1LzcvMzEuVVNEAQAAAL/7GQMCAAAABTU0LjQzAJO6woqR2d0IovBWi5HZ3QgiQ0lRLk5FVC5JUV9DTE9TRVBSSUNFLjIwMjUvOC8xLlVTRAEAAAA09eAEAgAAAAYyMDAuMTEAk7rCipHZ3QjCJk6LkdndCCNDSVEuTkVULklRX0NMT1NFUFJJQ0UuMjAyNS83LzMxLlVTRAEAAAA09eAEAgAAAAYyMDcuNjgAk7rCipHZ3Qh/xUuLkdndCCJDSVEuTk9XLklRX0NMT1NFUFJJQ0UuMjAyNS84LzEuVVNEAQAAAL90XgECAAAABjkxNC4zNwCTusKKkdndCOINUouR2d0II0NJUS5OT1cuSVFfQ0xPU0VQUklDRS4yMDI1LzcvMzEuVVNEAQAAAL90XgECAAAABjk0My4xMgCTusKK</t>
  </si>
  <si>
    <t>kdndCOINUouR2d0II0NJUS5OVkRBLklRX0NMT1NFUFJJQ0UuMjAyNS84LzEuVVNEAQAAADN+AAACAAAABjE3My43MgCTusKKkdndCNSBU4uR2d0IJENJUS5OVkRBLklRX0NMT1NFUFJJQ0UuMjAyNS83LzMxLlVTRAEAAAAzfgAAAgAAAAYxNzcuODcAk7rCipHZ3QjCJk6LkdndCCNDSVEuT1JDTC5JUV9DTE9TRVBSSUNFLjIwMjUvOC8xLlVTRAEAAADnVgAAAgAAAAYyNDQuNDIAk7rCipHZ3QiU31WLkdndCCRDSVEuT1JDTC5JUV9DTE9TRVBSSUNFLjIwMjUvNy8zMS5VU0QBAAAA51YAAAIAAAAGMjUzLjc3AJO6woqR2d0IlN9Vi5HZ3QgjQ0lRLlBBTlcuSVFfQ0xPU0VQUklDRS4yMDI1LzgvMS5VU0QBAAAAg32EAQIAAAAGMTcyLjg4AJO6woqR2d0IwBpbi5HZ3QgkQ0lRLlBBTlcuSVFfQ0xPU0VQUklDRS4yMDI1LzcvMzEuVVNEAQAAAIN9hAECAAAABTE3My42AJO6woqR2d0IwBpbi5HZ3QgjQ0lRLlBMVFIuSVFfQ0xPU0VQUklDRS4yMDI1LzgvMS5VU0QBAAAAZfqYAgIAAAAGMTU0LjI3AJO6woqR2d0IG3FQi5HZ3QgkQ0lRLlBMVFIuSVFfQ0xPU0VQUklDRS4yMDI1LzcvMzEuVVNEAQAAAGX6mAICAAAABjE1OC4zNQCTusKKkdndCBtxUIuR2d0II0NJUS5QU1RHLklRX0NMT1NFUFJJQ0UuMjAyNS84LzEuVVNEAQAAALjKpQYCAAAABTU0LjUxAJO6woqR2d0IILhVi5HZ3QgkQ0lRLlBTVEcuSVFfQ0xPU0VQ</t>
  </si>
  <si>
    <t>UklDRS4yMDI1LzcvMzEuVVNEAQAAALjKpQYCAAAABTU5LjUyAJO6woqR2d0IILhVi5HZ3QgjQ0lRLlFDT00uSVFfQ0xPU0VQUklDRS4yMDI1LzgvMS5VU0QBAAAA1YIAAAIAAAAGMTQ4LjE5AJO6woqR2d0I/mNZi5HZ3QgkQ0lRLlFDT00uSVFfQ0xPU0VQUklDRS4yMDI1LzcvMzEuVVNEAQAAANWCAAACAAAABjE0Ni43NgCTusKKkdndCPLHWIuR2d0II0NJUS5SQkxYLklRX0NMT1NFUFJJQ0UuMjAyNS84LzEuVVNEAQAAAGlV9AECAAAABjEyNS4wMwCTusKKkdndCMImTouR2d0IJENJUS5SQkxYLklRX0NMT1NFUFJJQ0UuMjAyNS83LzMxLlVTRAEAAABpVfQBAgAAAAYxMzcuNzkAk7rCipHZ3QjGnUuLkdndCCJDSVEuU0FQLklRX0NMT1NFUFJJQ0UuMjAyNS84LzEuVVNEAQAAAAvuAQACAAAADzI4Mi40NzMxNTU0NDUyNQCTusKKkdndCOtSWIuR2d0II0NJUS5TQVAuSVFfQ0xPU0VQUklDRS4yMDI1LzcvMzEuVVNEAQAAAAvuAQACAAAADjI4Ni44OTA4NzE2NDc2AJO6woqR2d0I61JYi5HZ3QgjQ0lRLlNIT1AuSVFfQ0xPU0VQUklDRS4yMDI1LzgvMS5VU0QBAAAABisEBQIAAAAFMTE4LjYAk7rCipHZ3QjiDVKLkdndCCRDSVEuU0hPUC5JUV9DTE9TRVBSSUNFLjIwMjUvNy8zMS5VU0QBAAAABisEBQIAAAAGMTIyLjIxAJO6woqR2d0IwiZOi5HZ3QgjQ0lRLlNOT1cuSVFfQ0xPU0VQUklDRS4yMDI1LzgvMS5V</t>
  </si>
  <si>
    <t>U0QBAAAAsDxkEAIAAAAGMjA1LjAyAJO6woqR2d0I1IFTi5HZ3QgkQ0lRLlNOT1cuSVFfQ0xPU0VQUklDRS4yMDI1LzcvMzEuVVNEAQAAALA8ZBACAAAABTIyMy41AJO6woqR2d0I1IFTi5HZ3QgjQ0lRLlNOUFMuSVFfQ0xPU0VQUklDRS4yMDI1LzgvMS5VU0QBAAAA1IgAAAIAAAAGNjE4LjY1AJO6woqR2d0IOI9Xi5HZ3QgkQ0lRLlNOUFMuSVFfQ0xPU0VQUklDRS4yMDI1LzcvMzEuVVNEAQAAANSIAAACAAAABjYzMy40NwCTusKKkdndCIvJVouR2d0II0NJUS5URUFNLklRX0NMT1NFUFJJQ0UuMjAyNS84LzEuVVNEAQAAAFITIg8CAAAABjE4Mi45NgCTusKKkdndCBtxUIuR2d0IJENJUS5URUFNLklRX0NMT1NFUFJJQ0UuMjAyNS83LzMxLlVTRAEAAABSEyIPAgAAAAYxOTEuNzgAk7rCipHZ3QgbcVCLkdndCCJDSVEuVEVNLklRX0NMT1NFUFJJQ0UuMjAyNS84LzEuVVNEAQAAAADTJBkCAAAABTU0Ljg5AJO6woqR2d0IjPpQi5HZ3QgjQ0lRLlRFTS5JUV9DTE9TRVBSSUNFLjIwMjUvNy8zMS5VU0QBAAAAANMkGQIAAAAFNTYuNTkAk7rCipHZ3QiM+lCLkdndCCNDSVEuVFNMQS5JUV9DTE9TRVBSSUNFLjIwMjUvOC8xLlVTRAEAAAAQxqIBAgAAAAYzMDIuNjMAk7rCipHZ3QhaVFaLkdndCCRDSVEuVFNMQS5JUV9DTE9TRVBSSUNFLjIwMjUvNy8zMS5VU0QBAAAAEMaiAQIAAAAGMzA4LjI3AJO6woqR2d0IBdFT</t>
  </si>
  <si>
    <t>i5HZ3QgiQ0lRLlZSVC5JUV9DTE9TRVBSSUNFLjIwMjUvOC8xLlVTRAEAAABEm4ciAgAAAAYxNDEuNTkAk7rCipHZ3QjCJk6LkdndCCNDSVEuVlJULklRX0NMT1NFUFJJQ0UuMjAyNS83LzMxLlVTRAEAAABEm4ciAgAAAAUxNDUuNgCTusKKkdndCMadS4uR2d0II0NJUS5XREFZLklRX0NMT1NFUFJJQ0UuMjAyNS84LzEuVVNEAQAAAIdjawECAAAABjIyMi4yMgCTusKKkdndCCC4VYuR2d0IJENJUS5XREFZLklRX0NMT1NFUFJJQ0UuMjAyNS83LzMxLlVTRAEAAACHY2sBAgAAAAYyMjkuMzgAk7rCipHZ3QjCJk6LkdndCCFDSVEuWlMuSVFfQ0xPU0VQUklDRS4yMDI1LzgvMS5VU0QBAAAA1MyBAwIAAAAGMjgwLjI3AJO6woqR2d0I4g1Si5HZ3QgiQ0lRLlpTLklRX0NMT1NFUFJJQ0UuMjAyNS83LzMxLlVTRAEAAADUzIEDAgAAAAYyODUuNTYAk7rCipHZ3QjiDVKLkdndCCNDSVEuUVFRLklRX0NMT1NFUFJJQ0UuMjAyNS83LzE3LlVTRAEAAAAOunsAAgAAAAU1NjEuOACTusKKkdndCO88WYuR2d0II0NJUS5RUVEuSVFfQ0xPU0VQUklDRS4yMDI1LzQvMTcuVVNEAQAAAA66ewACAAAABTQ0NC4xAJO6woqR2d0I/mNZi5HZ3QgkQ0lRLlFRUS5JUV9DTE9TRVBSSUNFLjIwMjIvMTEvMzAuVVNEAQAAAA66ewACAAAABjI5My4zNgCTusKKkdndCGfZWYuR2d0II0NJUS5RUVEuSVFfQ0xPU0VQUklDRS4yMDIzLzMvMTQu</t>
  </si>
  <si>
    <t>VVNEAQAAAA66ewACAAAABjI5Ny4zNwCTusKKkdndCJDzWouR2d0IIkNJUS5RUVEuSVFfT1BFTlBSSUNFLjIwMjQvNy8xOC5VU0QBAAAADrp7AAIAAAAGNDg1LjUzAJO6woqR2d0IG3FQi5HZ3QghQ0lRLlFRUS5JUV9ZRUFSSElHSC4yMDI1LzcvMTcuVVNEAQAAAA66ewACAAAABjU2Mi4zMQCTusKKkdndCOINUouR2d0IIENJUS5RUVEuSVFfWUVBUkxPVy4yMDI1LzcvMTcuVVNEAQAAAA66ewACAAAABjQwMi4zOQCTusKKkdndCCS8R4uR2d0IGENJUS5RUVEuSVFfWUVBUkhJR0hfREFURQEAAAAOunsABQAAAAkyMDI1LzgvMTEAk7rCipHZ3QjK4UiLkdndCBdDSVEuUVFRLklRX1lFQVJMT1dfREFURQEAAAAOunsABQAAAAgyMDI1LzQvNwCTusKKkdndCNSBU4uR2d0IJENJUS5eU1BYLklRX0NMT1NFUFJJQ0UuMjAyNS83LzE3LlVTRAEAAACbuCgAAgAAABA2Mjk3LjM2MTkwOTQ0MDQ1AJO6woqR2d0I8sdYi5HZ3QgkQ0lRLl5TUFguSVFfQ0xPU0VQUklDRS4yMDI1LzQvMTcuVVNEAQAAAJu4KAACAAAAEDUyODIuNzAxMDE3NDEzMzIAk7rCipHZ3QjGnUuLkdndCCVDSVEuXlNQWC5JUV9DTE9TRVBSSUNFLjIwMjIvMTEvMzAuVVNEAQAAAJu4KAACAAAAEDQwODAuMTA2NTUyMTc5MjQAk7rCipHZ3Qgsx0yLkdndCCRDSVEuXlNQWC5JUV9DTE9TRVBSSUNFLjIwMjMvMy8xNC5VU0QBAAAAm7goAAIAAAAQMzkxOS4y</t>
  </si>
  <si>
    <t>ODY5NTg4MzIyNwCTusKKkdndCMadS4uR2d0IJENJUS5TQVAuSVFfQ0xPU0VQUklDRS4yMDI0LzEyLzMwLlVTRAEAAAAL7gEAAgAAAA0yNDUuMTc1MzQ3NjU4AI9ckYuR2d0IYxgnmpHZ3QgtQ0lRLktPU0U6QTAwMDY2MC5JUV9DTE9TRVBSSUNFLjIwMjQvMTIvMzAuVVNEAQAAAJ16DQACAAAACzExNy45NzQyODE3AI9ckYuR2d0IS0snmpHZ3QgxQ0lRLkJBVFM6V1RBSS5JUV9IT0xESU5HU19FUVVJVFlfQVNTRVRTLjIwMjUvOC8xMQEAAABgTm9kAgAAAAYyMjQuNTcAJFpBkJHZ3Qg9ryiakdndCDFDSVEuQVJDQTpUSE5RLklRX0hPTERJTkdTX0VRVUlUWV9BU1NFVFMuMjAyNS84LzExAQAAAK7DfiQCAAAABjIxNi43NwAkWkGQkdndCAHqKJqR2d0INENJUS5OQVNEQVFHTTpRUVEuSVFfSE9MRElOR1NfRVFVSVRZX0FTU0VUUy4yMDI1LzgvMTEBAAAADrp7AAIAAAAJMzY2NTk2Ljg1ACRaQZCR2d0IYjgpmpHZ3QgxQ0lRLkFSQ0E6Q0hBVC5JUV9IT0xESU5HU19FUVVJVFlfQVNTRVRTLjIwMjUvOC8xMQEAAAAAMDVtAgAAAAY0MjkuMzQAJFpBkJHZ3QhiOCmakdndCDBDSVEuQVNYOlJCVFouSVFfSE9MRElOR1NfRVFVSVRZX0FTU0VUUy4yMDI1LzgvMTEBAAAAKe12IgIAAAAFMTk1LjIAJFpBkJHZ3QhvXymakdndCDBDSVEuQkFUUzpJR1YuSVFfSE9MRElOR1NfRVFVSVRZX0FTU0VUUy4yMDI1LzgvMTEBAAAA</t>
  </si>
  <si>
    <t>zTqGAAIAAAAIMTEyNjEuMjUAJFpBkJHZ3QhvXymakdndCDVDSVEuTkFTREFRR006RkRUWC5JUV9IT0xESU5HU19FUVVJVFlfQVNTRVRTLjIwMjUvOC8xMQEAAAC9pZ0mAgAAAAYxODUuMDIAJFpBkJHZ3Qic1CmakdndCDFDSVEuWFRSQTpYQUlYLklRX0hPTERJTkdTX0VRVUlUWV9BU1NFVFMuMjAyNS84LzExAQAAADXs4iICAAAABzQ5MjEuMjYAJFpBkJHZ3Qg/dCeakdndCDVDSVEuTkFTREFRR006QUdJWC5JUV9IT0xESU5HU19FUVVJVFlfQVNTRVRTLjIwMjUvOC8xMQEAAAAj9wBwAgAAAAUyOC4yMgAkWkGQkdndCOFwKpqR2d0INUNJUS5OQVNEQVFHTTpXSVNFLklRX0hPTERJTkdTX0VRVUlUWV9BU1NFVFMuMjAyNS84LzExAQAAAOmwQ24CAAAABTMxLjgzACRaQZCR2d0I7pcqmpHZ3Qg0Q0lRLk5BU0RBUUdNOkFJUS5JUV9IT0xESU5HU19FUVVJVFlfQVNTRVRTLjIwMjUvOC8xMQEAAADp3GIhAgAAAAc0MjU2LjA3ACRaQZCR2d0I7pcqmpHZ3QgwQ0lRLkxTRTpBSUFHLklRX0hPTERJTkdTX0VRVUlUWV9BU1NFVFMuMjAyNS84LzExAQAAAPCdgiQCAAAABjgxMC40MwAkWkGQkdndCAC/KpqR2d0IL0NJUS5EQjpYQjBULklRX0hPTERJTkdTX0VRVUlUWV9BU1NFVFMuMjAyNS84LzExAQAAANMz3ikCAAAABjEwNi4yNwAkWkGQkdndCA/mKpqR2d0INUNJUS5OQVNEQVFHTTpST0JULklRX0hPTERJTkdTX0VR</t>
  </si>
  <si>
    <t>VUlUWV9BU1NFVFMuMjAyNS84LzExAQAAAFxj2SACAAAABjUzNy4xNAAkWkGQkdndCAsSK5qR2d0IMUNJUS5BUkNBOklHUFQuSVFfSE9MRElOR1NfRVFVSVRZX0FTU0VUUy4yMDI1LzgvMTEBAAAAzAJeAQIAAAAGNDk1Ljk4ACRaQZCR2d0ICxIrmpHZ3QgxQ0lRLkFSQ0E6TE9VUC5JUV9IT0xESU5HU19FUVVJVFlfQVNTRVRTLjIwMjUvOC8xMQEAAABZXA8iAgAAAAYxMDMuMDgAJFpBkJHZ3QhXOSuakdndCDFDSVEuQVJDQTpMUk5aLklRX0hPTERJTkdTX0VRVUlUWV9BU1NFVFMuMjAyNS84LzExAQAAALV2wyYCAAAABTMyLjY2ACRaQZCR2d0IVzkrmpHZ3Qg0Q0lRLk5BU0RBUUdNOlNNSC5JUV9IT0xESU5HU19FUVVJVFlfQVNTRVRTLjIwMjUvOC8xMQEAAABgwjYAAgAAAAgyNzIyNC42MgAkWkGQkdndCHaHK5qR2d0IMENJUS5BUkNBOkFJUy5JUV9IT0xESU5HU19FUVVJVFlfQVNTRVRTLjIwMjUvOC8xMQEAAACYl59wAgAAAAUxNi45NQAkWkGQkdndCKX8K5qR2d0IMENJUS5CSVQ6V1RBSS5JUV9IT0xESU5HU19FUVVJVFlfQVNTRVRTLjIwMjUvOC8xMQEAAABNulsjAgAAAAY5MTkuMjMAJFpBkJHZ3Qi/IyyakdndCDBDSVEuTFNFOlJCT1QuSVFfSE9MRElOR1NfRVFVSVRZX0FTU0VUUy4yMDI1LzgvMTEBAAAAjnskFAIAAAAHMzI5MS4zMgAkWkGQkdndCL8jLJqR2d0IMUNJUS5BUkNBOkFSVFkuSVFfSE9M</t>
  </si>
  <si>
    <t>RElOR1NfRVFVSVRZX0FTU0VUUy4yMDI1LzgvMTEBAAAAbh9pIQIAAAAHMTI3MC4wOQAkWkGQkdndCP0SKJqR2d0INUNJUS5OQVNEQVFHTTpCT1RaLklRX0hPTERJTkdTX0VRVUlUWV9BU1NFVFMuMjAyNS84LzExAQAAAPf9CBYCAAAABzI4MTguODMAJFpBkJHZ3Qj9EiiakdndCCNDSVEuQ1JNLklRX0NMT1NFUFJJQ0UuMjAyNS84LzExLlVTRAEAAAAl4AEAAgAAAAYyMzIuNjgAJFpBkJHZ3QhjGCeakdndCCNDSVEuTlZEQS5JUV9NQVJLRVRDQVAuMjAyNS84LzExLlVTRAEAAAAzfgAAAgAAAAc0NDQyMjY0AQYAAAAFAAAAATEBAAAACy0xOTQwNTcyMjQ5AwAAAAMxNjACAAAABjEwMDA1NAQAAAABMAcAAAAJOC8xMS8yMDI1JFpBkJHZ3QhjGCeakdndCCNDSVEuQU1aTi5JUV9NQVJLRVRDQVAuMjAyNS84LzExLlVTRAEAAAA9SQAAAgAAAA4yMzYwMTQ1LjA0NzA2NgEGAAAABQAAAAExAQAAAAstMTkzMzcwMzI4MAMAAAADMTYwAgAAAAYxMDAwNTQEAAAAATAHAAAACTgvMTEvMjAyNSRaQZCR2d0IYxgnmpHZ3QgfQ0lRLkFSQ0E6TFJOWi5JUV9WV0FQLjIwMjUvOC8xMQEAAAC1dsMmAgAAAAU0MS43MQAkWkGQkdndCEtLJ5qR2d0IKENJUS5OQVNEQVFHTTpTTUguSVFfQ0xPU0VQUklDRS4yMDI1LzgvMTEBAAAAYMI2AAIAAAAFMjkzLjQAD4VBkJHZ3QgD/CqakdndCCNDSVEuQUFQTC5JUV9NQVJLRVRDQVAuMjAy</t>
  </si>
  <si>
    <t>NS84LzExLlVTRAEAAABpYQAAAgAAAAwzMzcxNDM5LjgwMDIBBgAAAAUAAAABMQEAAAALLTE5MzM3MDMzMDMDAAAAAzE2MAIAAAAGMTAwMDU0BAAAAAEwBwAAAAk4LzExLzIwMjUkWkGQkdndCEtLJ5qR2d0ILUNJUS5OQVNEQVFHUzpHT09HTC5JUV9NQVJLRVRDQVAuMjAyNS84LzExLlVTRAEAAACocQAAAgAAAAkyNDM0MzE0LjkBBgAAAAUAAAABMQEAAAALLTE5MzQ5Mjg1NTEDAAAAAzE2MAIAAAAGMTAwMDU0BAAAAAEwBwAAAAk4LzExLzIwMjUkWkGQkdndCEtLJ5qR2d0II0NJUS5EQjpYQjBULklRX0NMT1NFUFJJQ0UuMjAyNS84LzExAQAAANMz3ikCAAAABjE4LjkxNAAPhUGQkdndCAsSK5qR2d0IKUNJUS5OQVNEQVFHTTpGRFRYLklRX0NMT1NFUFJJQ0UuMjAyNS84LzExAQAAAL2lnSYCAAAABzM4Ljc3MDkAD4VBkJHZ3QhXOSuakdndCChDSVEuTkFTREFRR006QUlRLklRX0NMT1NFUFJJQ0UuMjAyNS84LzExAQAAAOncYiECAAAABTQ0LjY4AA+FQZCR2d0IwCIqmpHZ3QgiQ0lRLk5BU0RBUUdNOlNNSC5JUV9WV0FQLjIwMjUvOC8xMQEAAABgwjYAAgAAAAYyOTUuMjUAJFpBkJHZ3QhLSyeakdndCCxDSVEuQVJDQTpBUlRZLklRX1NIQVJFU09VVFNUQU5ESU5HLjIwMjUvOC8xMQEAAABuH2khAgAAAAUyOC4xNQAkWkGQkdndCD90J5qR2d0IIENJUS5BUkNBOkFJUy5JUV9WT0xVTUUuMjAyNS84LzExAQAA</t>
  </si>
  <si>
    <t>AJiXn3ACAAAACDAuMDYyMTY0ACRaQZCR2d0IP3QnmpHZ3QgjQ0lRLkxTRTpBSUFHLklRX01BUktFVENBUC4yMDI1LzgvMTEBAAAA8J2CJAIAAAAKNzczLjE0MTM4NAAkWkGQkdndCD90J5qR2d0IJENJUS5YVFJBOlhBSVguSVFfTUFSS0VUQ0FQLjIwMjUvOC8xMQEAAAA17OIiAgAAAAs1MDQ0LjI2MzA4NwAkWkGQkdndCD90J5qR2d0II0NJUS5BUk0uSVFfQ0xPU0VQUklDRS4yMDI1LzgvMTEuVVNEAQAAACznxScCAAAABjE0MS4wNQAkWkGQkdndCGmbJ5qR2d0IKUNJUS5UV1NFOjI0NTQuSVFfQ0xPU0VQUklDRS4yMDI1LzgvMTEuVVNEAQAAAD03XAACAAAACzQ1LjIwNDMzNjU3ACRaQZCR2d0IXsQnmpHZ3QgtQ0lRLk5BU0RBUUdTOkFTTUwuSVFfQ0xPU0VQUklDRS4yMDI1LzgvMTEuVVNEAQAAACjvBQACAAAABjcyMS4zMQAkWkGQkdndCF7EJ5qR2d0IJENJUS5BQVBMLklRX0NMT1NFUFJJQ0UuMjAyNS84LzExLlVTRAEAAABpYQAAAgAAAAYyMjcuMTgAJFpBkJHZ3QhexCeakdndCCRDSVEuUFNURy5JUV9DTE9TRVBSSUNFLjIwMjUvOC8xMS5VU0QBAAAAuMqlBgIAAAAFNTcuMzQAJFpBkJHZ3Qjt6yeakdndCCNDSVEuTkVULklRX0NMT1NFUFJJQ0UuMjAyNS84LzExLlVTRAEAAAA09eAEAgAAAAYyMDEuMTcAJFpBkJHZ3QhpmyeakdndCCRDSVEuTkJJUy5JUV9DTE9TRVBSSUNFLjIwMjUvOC8xMS5VU0QB</t>
  </si>
  <si>
    <t>AAAAv/sZAwIAAAAFNzAuMjQAJFpBkJHZ3QhpmyeakdndCC5DSVEuTkFTREFRR1M6R09PR0wuSVFfQ0xPU0VQUklDRS4yMDI1LzgvMTEuVVNEAQAAAKhxAAACAAAAAzIwMQAkWkGQkdndCGmbJ5qR2d0IJENJUS5TSE9QLklRX0NMT1NFUFJJQ0UuMjAyNS84LzExLlVTRAEAAAAGKwQFAgAAAAUxNDcuNQA+b0GQkdndCF7EJ5qR2d0II0NJUS5JT1QuSVFfQ0xPU0VQUklDRS4yMDI1LzgvMTEuVVNEAQAAALo+/BECAAAABDMyLjUAPm9BkJHZ3QhexCeakdndCCRDSVEuRFVPTC5JUV9DTE9TRVBSSUNFLjIwMjUvOC8xMS5VU0QBAAAAsPCHDAIAAAAGMzQwLjU5AD5vQZCR2d0I7esnmpHZ3QgjQ0lRLk1SVkwuSVFfTUFSS0VUQ0FQLjIwMjUvOC8xMS5VU0QBAAAAtnkAAAIAAAAJNjY2MzAuODE2AQYAAAAFAAAAATEBAAAACy0xOTQwMDAyOTMxAwAAAAMxNjACAAAABjEwMDA1NAQAAAABMAcAAAAJOC8xMS8yMDI1Pm9BkJHZ3Qjt6yeakdndCCJDSVEuVlJULklRX01BUktFVENBUC4yMDI1LzgvMTEuVVNEAQAAAESbhyICAAAADDUzMzk2LjQxNTYyNwEGAAAABQAAAAExAQAAAAstMTkzNDE5NTQzNQMAAAADMTYwAgAAAAYxMDAwNTQEAAAAATAHAAAACTgvMTEvMjAyNT5vQZCR2d0I7esnmpHZ3QgjQ0lRLlNOT1cuSVFfTUFSS0VUQ0FQLjIwMjUvOC8xMS5VU0QBAAAAsDxkEAIAAAAMNjM5OTUuNjAzMDU3AQYAAAAFAAAA</t>
  </si>
  <si>
    <t>ATEBAAAACy0xOTM5MjA3ODEwAwAAAAMxNjACAAAABjEwMDA1NAQAAAABMAcAAAAJOC8xMS8yMDI1Pm9BkJHZ3QhexCeakdndCCJDSVEuVEVNLklRX01BUktFVENBUC4yMDI1LzgvMTEuVVNEAQAAAADTJBkCAAAADDEwNTY2LjExMDA3OAEGAAAABQAAAAExAQAAAAstMTkzMjYxNjU2MQMAAAADMTYwAgAAAAYxMDAwNTQEAAAAATAHAAAACTgvMTEvMjAyNT5vQZCR2d0IXsQnmpHZ3QglQ0lRLlhUUkE6WEFJWC5JUV9DTE9TRVBSSUNFLjIwMjUvOC8xMQEAAAA17OIiAgAAAAYxNDEuMjYAs5pBkJHZ3Qh2hyuakdndCCRDSVEuQVJDQTpBSVMuSVFfQ0xPU0VQUklDRS4yMDI1LzgvMTEBAAAAmJefcAIAAAAHMjkuNzM3NgAPhUGQkdndCNFJKpqR2d0IJUNJUS5CQVRTOldUQUkuSVFfQ0xPU0VQUklDRS4yMDI1LzgvMTEBAAAAYE5vZAIAAAAEMjUuNAA+b0GQkdndCD2vKJqR2d0IKUNJUS5OQVNEQVFHTTpCT1RaLklRX0NMT1NFUFJJQ0UuMjAyNS84LzExAQAAAPf9CBYCAAAABTMzLjMxAA+FQZCR2d0ICxIrmpHZ3QgkQ0lRLkJBVFM6SUdWLklRX0NMT1NFUFJJQ0UuMjAyNS84LzExAQAAAM06hgACAAAABjEwOC4zNwAPhUGQkdndCNFJKpqR2d0ILENJUS5BUkNBOkxSTlouSVFfU0hBUkVTT1VUU1RBTkRJTkcuMjAyNS84LzExAQAAALV2wyYCAAAABDAuNzgAPm9BkJHZ3Qjt6yeakdndCB9DSVEuREI6WEIwVC5JUV9W</t>
  </si>
  <si>
    <t>T0xVTUUuMjAyNS84LzExAQAAANMz3ikDAAAAAAA+b0GQkdndCP0SKJqR2d0IIENJUS5CQVRTOklHVi5JUV9WT0xVTUUuMjAyNS84LzExAQAAAM06hgACAAAACDYuMTEyNzQzAD5vQZCR2d0I/RIompHZ3QgkQ0lRLkFSQ0E6QVJUWS5JUV9NQVJLRVRDQVAuMjAyNS84LzExAQAAAG4faSECAAAACTExOTMuMjc4NQA+b0GQkdndCP0SKJqR2d0IJENJUS5RQ09NLklRX0NMT1NFUFJJQ0UuMjAyNS84LzExLlVTRAEAAADVggAAAgAAAAYxNDcuOTcAPm9BkJHZ3QgdYSiakdndCCNDSVEuVlJULklRX0NMT1NFUFJJQ0UuMjAyNS84LzExLlVTRAEAAABEm4ciAgAAAAYxMzkuODMAPm9BkJHZ3QgdYSiakdndCClDSVEuVFdTRToyMzMwLklRX0NMT1NFUFJJQ0UuMjAyNS84LzExLlVTRAEAAACrzAUAAgAAAAszOS4zNjYxMzgxMgA+b0GQkdndCB1hKJqR2d0IJENJUS5BTkVULklRX0NMT1NFUFJJQ0UuMjAyNS84LzExLlVTRAEAAADD2/wBAgAAAAYxMzcuNjUAPm9BkJHZ3QgZOiiakdndCCNDSVEuTURCLklRX0NMT1NFUFJJQ0UuMjAyNS84LzExLlVTRAEAAADibswCAgAAAAMyMDEAPm9BkJHZ3QgZOiiakdndCCRDSVEuU05PVy5JUV9DTE9TRVBSSUNFLjIwMjUvOC8xMS5VU0QBAAAAsDxkEAIAAAAFMTkxLjgAPm9BkJHZ3QgZOiiakdndCCNDSVEuQVBQLklRX0NMT1NFUFJJQ0UuMjAyNS84LzExLlVTRAEAAADauc4NAgAA</t>
  </si>
  <si>
    <t>AAY0NjUuNTgAPm9BkJHZ3QgZOiiakdndCCNDSVEuVEVNLklRX0NMT1NFUFJJQ0UuMjAyNS84LzExLlVTRAEAAAAA0yQZAgAAAAU2MC44MgA+b0GQkdndCBk6KJqR2d0IK0NJUS5LT1NFOkEwMDA2NjAuSVFfTUFSS0VUQ0FQLjIwMjUvOC8xMS5VU0QBAAAAnXoNAAIAAAAQMTMyMzc4LjIwOTY0NjE4NwEGAAAABQAAAAExAQAAAAstMTkzNDc1NTMzMAMAAAADMTYwAgAAAAYxMDAwNTQEAAAAATAHAAAACTgvMTEvMjAyNT5vQZCR2d0IW4gompHZ3QgiQ0lRLk5FVC5JUV9NQVJLRVRDQVAuMjAyNS84LzExLlVTRAEAAAA09eAEAgAAAAw3MDEwNC4wNDA4NTcBBgAAAAUAAAABMQEAAAALLTE5MzQwMTg1NzADAAAAAzE2MAIAAAAGMTAwMDU0BAAAAAEwBwAAAAk4LzExLzIwMjU+b0GQkdndCFuIKJqR2d0II0NJUS5NRVRBLklRX01BUktFVENBUC4yMDI1LzgvMTEuVVNEAQAAABfbPAECAAAADjE5MjM5NzMuNzkxNDU4AQYAAAAFAAAAATEBAAAACy0xOTM0MDY1NDM3AwAAAAMxNjACAAAABjEwMDA1NAQAAAABMAcAAAAJOC8xMS8yMDI1Pm9BkJHZ3QhbiCiakdndCCRDSVEuTlZEQS5JUV9DTE9TRVBSSUNFLjIwMjUvOC8xMS5VU0QBAAAAM34AAAIAAAAGMTgyLjA2AD5vQZCR2d0IPa8ompHZ3QgkQ0lRLlBBTlcuSVFfQ0xPU0VQUklDRS4yMDI1LzgvMTEuVVNEAQAAAIN9hAECAAAABjE2OC4xNwA+b0GQkdndCBk6KJqR</t>
  </si>
  <si>
    <t>2d0IJENJUS5BTVpOLklRX0NMT1NFUFJJQ0UuMjAyNS84LzExLlVTRAEAAAA9SQAAAgAAAAUyMjEuMwA+b0GQkdndCB1hKJqR2d0IJENJUS5SQkxYLklRX0NMT1NFUFJJQ0UuMjAyNS84LzExLlVTRAEAAABpVfQBAgAAAAYxMzAuNzQAPm9BkJHZ3QhbiCiakdndCCNDSVEuR1RMQi5JUV9NQVJLRVRDQVAuMjAyNS84LzExLlVTRAEAAADNhBcRAgAAAAg2NDEzLjA2NAEGAAAABQAAAAExAQAAAAstMTkzODY3MzgxOAMAAAADMTYwAgAAAAYxMDAwNTQEAAAAATAHAAAACTgvMTEvMjAyNT5vQZCR2d0IW4gompHZ3QgjQ0lRLlNIT1AuSVFfTUFSS0VUQ0FQLjIwMjUvOC8xMS5VU0QBAAAABisEBQIAAAANMTkxNjk5Ljk2MDYyNQEGAAAABQAAAAExAQAAAAstMTkzMzEyNDAwMAMAAAADMTYwAgAAAAYxMDAwNTQEAAAAATAHAAAACTgvMTEvMjAyNT5vQZCR2d0IW4gompHZ3QgpQ0lRLk5BU0RBUUdNOldJU0UuSVFfQ0xPU0VQUklDRS4yMDI1LzgvMTEBAAAA6bBDbgIAAAAHMzguOTYzNAAPhUGQkdndCLH7KZqR2d0II0NJUS5OQVNEQVFHTTpGRFRYLklRX1ZXQVAuMjAyNS84LzExAQAAAL2lnSYCAAAABTM5LjE1AD5vQZCR2d0IPa8ompHZ3QgjQ0lRLk5BU0RBUUdNOkJPVFouSVFfVldBUC4yMDI1LzgvMTEBAAAA9/0IFgIAAAAEMzMuNAA+b0GQkdndCD2vKJqR2d0IK0NJUS5MU0U6QUlBRy5JUV9TSEFSRVNPVVRTVEFO</t>
  </si>
  <si>
    <t>RElORy4yMDI1LzgvMTEBAAAA8J2CJAIAAAAJNDEuNzczMzYyAD5vQZCR2d0IPa8ompHZ3QghQ0lRLlhUUkE6WEFJWC5JUV9WT0xVTUUuMjAyNS84LzExAQAAADXs4iICAAAACDAuMDYzMTQ1AD5vQZCR2d0IPa8ompHZ3QglQ0lRLk5BU0RBUUdNOkFHSVguSVFfVk9MVU1FLjIwMjUvOC8xMQEAAAAj9wBwAgAAAAgwLjAyNDYwNgA+b0GQkdndCD2vKJqR2d0IJENJUS5BUkNBOkNIQVQuSVFfTUFSS0VUQ0FQLjIwMjUvOC8xMQEAAAAAMDVtAgAAAAk0MDUuMzcxNzUAPm9BkJHZ3Qg9ryiakdndCCRDSVEuTVJWTC5JUV9DTE9TRVBSSUNFLjIwMjUvOC8xMS5VU0QBAAAAtnkAAAIAAAAFNzcuMjgAPm9BkJHZ3Qg9ryiakdndCCNDSVEuUEFOVy5JUV9NQVJLRVRDQVAuMjAyNS84LzExLlVTRAEAAACDfYQBAgAAAA0xMTIzMjYuNzUzNzMyAQYAAAAFAAAAATEBAAAACy0xOTQyMTAyODQzAwAAAAMxNjACAAAABjEwMDA1NAQAAAABMAcAAAAJOC8xMS8yMDI1Pm9BkJHZ3Qg9ryiakdndCCNDSVEuVEVBTS5JUV9NQVJLRVRDQVAuMjAyNS84LzExLlVTRAEAAABSEyIPAgAAAAw0MTgxMS45Mjk3MTcBBgAAAAUAAAABMQEAAAALLTE5MzI3MDkxMDkDAAAAAzE2MAIAAAAGMTAwMDU0BAAAAAEwBwAAAAk4LzExLzIwMjU+b0GQkdndCD2vKJqR2d0IJENJUS5BU1g6UkJUWi5JUV9DTE9TRVBSSUNFLjIwMjUvOC8xMQEAAAAp7XYi</t>
  </si>
  <si>
    <t>AgAAAAUxNC41MwCzmkGQkdndCL8jLJqR2d0II0NJUS5OQVNEQVFHTTpXSVNFLklRX1ZXQVAuMjAyNS84LzExAQAAAOmwQ24CAAAABTM5LjI0AD5vQZCR2d0IAeoompHZ3QglQ0lRLkFSQ0E6TE9VUC5JUV9DTE9TRVBSSUNFLjIwMjUvOC8xMQEAAABZXA8iAgAAAAc2NC4wOTM2AA+FQZCR2d0I7pcqmpHZ3QgrQ0lRLkFTWDpSQlRaLklRX1NIQVJFU09VVFNUQU5ESU5HLjIwMjUvOC8xMQEAAAAp7XYiAgAAAAkyMC43NzE1OTcAPm9BkJHZ3QgB6iiakdndCC9DSVEuTkFTREFRR006U01ILklRX1NIQVJFU09VVFNUQU5ESU5HLjIwMjUvOC8xMQEAAABgwjYAAgAAAAk5NC40OTE4NzQAPm9BkJHZ3QgB6iiakdndCCBDSVEuQklUOldUQUkuSVFfVk9MVU1FLjIwMjUvOC8xMQEAAABNulsjAgAAAAgwLjAwODk0NgA+b0GQkdndCAHqKJqR2d0IJENJUS5OQVNEQVFHTTpTTUguSVFfVk9MVU1FLjIwMjUvOC8xMQEAAABgwjYAAgAAAAg1Ljc5OTczOAA+b0GQkdndCAHqKJqR2d0IJENJUS5BUkNBOkxPVVAuSVFfTUFSS0VUQ0FQLjIwMjUvOC8xMQEAAABZXA8iAgAAAAoxMDIuNTQ5ODI0AD5vQZCR2d0IAeoompHZ3QgkQ0lRLkdUTEIuSVFfQ0xPU0VQUklDRS4yMDI1LzgvMTEuVVNEAQAAAM2EFxECAAAABTM4LjgyAD5vQZCR2d0IUREpmpHZ3QgkQ0lRLlNOUFMuSVFfQ0xPU0VQUklDRS4yMDI1LzgvMTEuVVNEAQAAANSI</t>
  </si>
  <si>
    <t>AAACAAAABjYxNi4xMgA+b0GQkdndCFERKZqR2d0II0NJUS5QU1RHLklRX01BUktFVENBUC4yMDI1LzgvMTEuVVNEAQAAALjKpQYCAAAADDE4NzQwLjUyODQxNwEGAAAABQAAAAExAQAAAAstMTkzODYxNDkwMgMAAAADMTYwAgAAAAYxMDAwNTQEAAAAATAHAAAACTgvMTEvMjAyNT5vQZCR2d0IUREpmpHZ3QgkQ0lRLkJJVDpXVEFJLklRX0NMT1NFUFJJQ0UuMjAyNS84LzExAQAAAE26WyMCAAAABTY1LjU2AA+FQZCR2d0IA/wqmpHZ3QglQ0lRLkFSQ0E6TFJOWi5JUV9DTE9TRVBSSUNFLjIwMjUvOC8xMQEAAAC1dsMmAgAAAAU0MS41NwCzmkGQkdndCIiuK5qR2d0IKUNJUS5OQVNEQVFHTTpST0JULklRX0NMT1NFUFJJQ0UuMjAyNS84LzExAQAAAFxj2SACAAAABTQ5LjA3ALOaQZCR2d0IldUrmpHZ3QgwQ0lRLk5BU0RBUUdNOkJPVFouSVFfU0hBUkVTT1VUU1RBTkRJTkcuMjAyNS84LzExAQAAAPf9CBYCAAAABTgzLjY2AD5vQZCR2d0IUREpmpHZ3QggQ0lRLkFTWDpSQlRaLklRX1ZPTFVNRS4yMDI1LzgvMTEBAAAAKe12IgIAAAAIMC4wNTI3ODcAPm9BkJHZ3QhRESmakdndCCRDSVEuTkFTREFRR006QUlRLklRX1ZPTFVNRS4yMDI1LzgvMTEBAAAA6dxiIQIAAAAHMS40OTkzNQA+b0GQkdndCGI4KZqR2d0II0NJUS5BUkNBOkFJUy5JUV9NQVJLRVRDQVAuMjAyNS84LzExAQAAAJiXn3ACAAAACDIzLjc5MDA4</t>
  </si>
  <si>
    <t>AD5vQZCR2d0IYjgpmpHZ3QgsQ0lRLk5BU0RBUUdNOlFRUS5JUV9DTE9TRVBSSUNFLjIwMjUvOC8xMS5VU0QBAAAADrp7AAIAAAAGNTcyLjg1AG7mWZmR2d0IVap1mZHZ3QgkQ0lRLkFWR08uSVFfQ0xPU0VQUklDRS4yMDI1LzgvMTEuVVNEAQAAAPC2fQECAAAABTMwMy45AD5vQZCR2d0IYjgpmpHZ3QgoQ0lRLlRXU0U6MjMzMC5JUV9NQVJLRVRDQVAuMjAyNS84LzExLlVTRAEAAACrzAUAAgAAABAxMDIwODY2LjkyNDQxMjU0AQYAAAAFAAAAATEBAAAACy0xOTM1NDk3MzQxAwAAAAMxNjACAAAABjEwMDA1NAQAAAABMAcAAAAJOC8xMS8yMDI1D4VBkJHZ3QhiOCmakdndCCNDSVEuRERPRy5JUV9NQVJLRVRDQVAuMjAyNS84LzExLlVTRAEAAAC7oQQIAgAAAAw0NDkyOC44MzQ1ODMBBgAAAAUAAAABMQEAAAALLTE5MzIzNTY3ODADAAAAAzE2MAIAAAAGMTAwMDU0BAAAAAEwBwAAAAk4LzExLzIwMjUPhUGQkdndCG9fKZqR2d0IJENJUS5MU0U6QUlBRy5JUV9DTE9TRVBSSUNFLjIwMjUvOC8xMQEAAADwnYIkAgAAAAYxOC41MDgAD4VBkJHZ3Qix+ymakdndCCVDSVEuQVJDQTpJR1BULklRX0NMT1NFUFJJQ0UuMjAyNS84LzExAQAAAMwCXgECAAAABTUwLjIyALOaQZCR2d0IiK4rmpHZ3QgsQ0lRLkFSQ0E6TE9VUC5JUV9TSEFSRVNPVVRTVEFORElORy4yMDI1LzgvMTEBAAAAWVwPIgIAAAAIMS42MDAwMDEAD4VB</t>
  </si>
  <si>
    <t>kJHZ3QiBhimakdndCCFDSVEuQVJDQTpMT1VQLklRX1ZPTFVNRS4yMDI1LzgvMTEBAAAAWVwPIgIAAAAIMC4wMDgwODkAD4VBkJHZ3QhvXymakdndCCRDSVEuQVJDQTpJR1BULklRX01BUktFVENBUC4yMDI1LzgvMTEBAAAAzAJeAQIAAAAHNDk3LjE3OAEGAAAABQAAAAExAQAAAAstMTkzNjUxMTE5NQMAAAADMTYwAgAAAAYxMDAwNTQEAAAAATAHAAAACTgvMTEvMjAyNQ+FQZCR2d0Ib18pmpHZ3QgkQ0lRLlBMVFIuSVFfQ0xPU0VQUklDRS4yMDI1LzgvMTEuVVNEAQAAAGX6mAICAAAABjE4Mi42OAAPhUGQkdndCIGGKZqR2d0IIkNJUS5BUk0uSVFfTUFSS0VUQ0FQLjIwMjUvOC8xMS5VU0QBAAAALOfFJwIAAAAJMTQ5MzcxLjk1AQYAAAAFAAAAATEBAAAACy0xOTM0MjU0NDA3AwAAAAMxNjACAAAABjEwMDA1NAQAAAABMAcAAAAJOC8xMS8yMDI1D4VBkJHZ3QiBhimakdndCCNDSVEuTVNGVC5JUV9NQVJLRVRDQVAuMjAyNS84LzExLlVTRAEAAABLVQAAAgAAAA4zODc4NDAzLjIyMTU3MQEGAAAABQAAAAExAQAAAAstMTkzNDI0Nzc5MwMAAAADMTYwAgAAAAYxMDAwNTQEAAAAATAHAAAACTgvMTEvMjAyNQ+FQZCR2d0IgYYpmpHZ3QgfQ0lRLkFSQ0E6VEhOUS5JUV9WV0FQLjIwMjUvOC8xMQEAAACuw34kAgAAAAU1Ni4xNgAPhUGQkdndCIGGKZqR2d0IH0NJUS5BUkNBOkFSVFkuSVFfVldBUC4yMDI1LzgvMTEB</t>
  </si>
  <si>
    <t>AAAAbh9pIQIAAAAFNDIuNjEAD4VBkJHZ3QiBhimakdndCClDSVEuTkFTREFRR006QUdJWC5JUV9DTE9TRVBSSUNFLjIwMjUvOC8xMQEAAAAj9wBwAgAAAAczMi42NTgzAA+FQZCR2d0IB4iAmZHZ3QgoQ0lRLk5BU0RBUUdNOldJU0UuSVFfTUFSS0VUQ0FQLjIwMjUvOC8xMQEAAADpsENuAgAAAAkzMy41MDg1MjQAD4VBkJHZ3QiNrSmakdndCCRDSVEuQUdJWC5JUV9DTE9TRVBSSUNFLjIwMjUvOC8xMS5VU0QBAAAAI/cAcAIAAAAHMzIuNjU4MwBu5lmZkdndCEvAdZmR2d0IJENJUS5UU0xBLklRX0NMT1NFUFJJQ0UuMjAyNS84LzExLlVTRAEAAAAQxqIBAgAAAAYzMzkuMDMAD4VBkJHZ3QiNrSmakdndCCxDSVEuTkFTREFRR1M6QVNNTC5JUV9NQVJLRVRDQVAuMjAyNS84LzExLlVTRAEAAAAo7wUAAgAAABAyODE1ODguODkxNzEzMjM5AQYAAAAFAAAAATEBAAAACy0xOTM1MzA3NDQwAwAAAAMxNjACAAAABjEwMDA1NAQAAAABMAcAAAAJOC8xMS8yMDI1D4VBkJHZ3QiNrSmakdndCCJDSVEuTk9XLklRX01BUktFVENBUC4yMDI1LzgvMTEuVVNEAQAAAL90XgECAAAADDE3NzcxMy4wNDYwMwEGAAAABQAAAAExAQAAAAstMTkzNDkzMjczMQMAAAADMTYwAgAAAAYxMDAwNTQEAAAAATAHAAAACTgvMTEvMjAyNQ+FQZCR2d0Ija0pmpHZ3QgfQ0lRLkFSQ0E6Q0hBVC5JUV9WV0FQLjIwMjUvOC8xMQEAAAAAMDVtAgAA</t>
  </si>
  <si>
    <t>AAU1NC4xNAAPhUGQkdndCI2tKZqR2d0IJENJUS5OQVNEQVFHTTpRUVEuSVFfVk9MVU1FLjIwMjUvOC8xMQEAAAAOunsAAgAAAAkzMy4xMTI5MTcAD4VBkJHZ3QiNrSmakdndCCxDSVEuS09TRTpBMDAwNjYwLklRX0NMT1NFUFJJQ0UuMjAyNS84LzExLlVTRAEAAACdeg0AAgAAAAkxOTEuNzU2NzMAD4VBkJHZ3Qic1CmakdndCCNDSVEuQU5FVC5JUV9NQVJLRVRDQVAuMjAyNS84LzExLlVTRAEAAADD2/wBAgAAAA0xNzMwMDcuNTE5Njk1AQYAAAAFAAAAATEBAAAACy0xOTMzMDUyMTMxAwAAAAMxNjACAAAABjEwMDA1NAQAAAABMAcAAAAJOC8xMS8yMDI1D4VBkJHZ3Qic1CmakdndCCNDSVEuRFVPTC5JUV9NQVJLRVRDQVAuMjAyNS84LzExLlVTRAEAAACw8IcMAgAAAAwxNTYwNi40ODMzMDUBBgAAAAUAAAABMQEAAAALLTE5MzIyMTg4OTQDAAAAAzE2MAIAAAAGMTAwMDU0BAAAAAEwBwAAAAk4LzExLzIwMjUPhUGQkdndCJzUKZqR2d0IHkNJUS5MU0U6QUlBRy5JUV9WV0FQLjIwMjUvOC8xMQEAAADwnYIkAgAAAAkxOC40Njk5ODgAD4VBkJHZ3Qic1CmakdndCB9DSVEuQVJDQTpJR1BULklRX1ZXQVAuMjAyNS84LzExAQAAAMwCXgECAAAABDUwLjQAD4VBkJHZ3Qic1CmakdndCCFDSVEuQkFUUzpXVEFJLklRX1ZPTFVNRS4yMDI1LzgvMTEBAAAAYE5vZAIAAAAIMC4xNTA0NzYAD4VBkJHZ3Qic1CmakdndCCND</t>
  </si>
  <si>
    <t>SVEuQkFUUzpJR1YuSVFfTUFSS0VUQ0FQLjIwMjUvOC8xMQEAAADNOoYAAgAAAAgxMTcwMy45NgEGAAAABQAAAAExAQAAAAstMTkzODcwNzMyNgMAAAADMTYwAgAAAAYxMDAwNTQEAAAAATAHAAAACTgvMTEvMjAyNQ+FQZCR2d0IsfspmpHZ3QgkQ0lRLkFEQkUuSVFfQ0xPU0VQUklDRS4yMDI1LzgvMTEuVVNEAQAAAAFfAAACAAAABjMzMy42NQAPhUGQkdndCLH7KZqR2d0IKENJUS5UV1NFOjI0NTQuSVFfTUFSS0VUQ0FQLjIwMjUvOC8xMS5VU0QBAAAAPTdcAAIAAAAQNzIwNDkuNTYwOTUwODQ2NQEGAAAABQAAAAExAQAAAAstMTkzNDM1NTQ5MQMAAAADMTYwAgAAAAYxMDAwNTQEAAAAATAHAAAACTgvMTEvMjAyNQ+FQZCR2d0IsfspmpHZ3QgiQ0lRLk1EQi5JUV9NQVJLRVRDQVAuMjAyNS84LzExLlVTRAEAAADibswCAgAAAAwxNjQyNC41NzY5MTMBBgAAAAUAAAABMQEAAAALLTE5MzkzNzAyMTYDAAAAAzE2MAIAAAAGMTAwMDU0BAAAAAEwBwAAAAk4LzExLzIwMjUPhUGQkdndCLH7KZqR2d0II0NJUS5BREJFLklRX01BUktFVENBUC4yMDI1LzgvMTEuVVNEAQAAAAFfAAACAAAACTE0MTUzNC4zMwEGAAAABQAAAAExAQAAAAstMTkzNzIzODM5MwMAAAADMTYwAgAAAAYxMDAwNTQEAAAAATAHAAAACTgvMTEvMjAyNQ+FQZCR2d0IsfspmpHZ3QgkQ0lRLk1TRlQuSVFfQ0xPU0VQUklDRS4yMDI1LzgvMTEuVVNE</t>
  </si>
  <si>
    <t>AQAAAEtVAAACAAAABjUyMS43NwAPhUGQkdndCLH7KZqR2d0IIUNJUS5aUy5JUV9NQVJLRVRDQVAuMjAyNS84LzExLlVTRAEAAADUzIEDAgAAAAw0MjIyMS41NTIzMzMBBgAAAAUAAAABMQEAAAALLTE5Mzk1MzgzOTIDAAAAAzE2MAIAAAAGMTAwMDU0BAAAAAEwBwAAAAk4LzExLzIwMjUPhUGQkdndCLH7KZqR2d0IIkNJUS5JT1QuSVFfTUFSS0VUQ0FQLjIwMjUvOC8xMS5VU0QBAAAAuj78EQIAAAAMMTg1MDMuNDE4Mzc1AQYAAAAFAAAAATEBAAAACy0xOTM4NzM4MzA0AwAAAAMxNjACAAAABjEwMDA1NAQAAAABMAcAAAAJOC8xMS8yMDI1D4VBkJHZ3QjAIiqakdndCC9DSVEuTkFTREFRR006UVFRLklRX1NIQVJFU09VVFNUQU5ESU5HLjIwMjUvOC8xMQEAAAAOunsAAgAAAAY2MzkuMTUAD4VBkJHZ3QjAIiqakdndCCxDSVEuQVJDQTpDSEFULklRX1NIQVJFU09VVFNUQU5ESU5HLjIwMjUvOC8xMQEAAAAAMDVtAgAAAAU3LjUyNQAPhUGQkdndCMAiKpqR2d0IIUNJUS5BUkNBOkNIQVQuSVFfVk9MVU1FLjIwMjUvOC8xMQEAAAAAMDVtAgAAAAgwLjMzNDc3NgAPhUGQkdndCMAiKpqR2d0II0NJUS5CSVQ6V1RBSS5JUV9NQVJLRVRDQVAuMjAyNS84LzExAQAAAE26WyMCAAAACjc4Ny4zNTEzNDMAD4VBkJHZ3QjAIiqakdndCChDSVEuTkFTREFRR006Uk9CVC5JUV9NQVJLRVRDQVAuMjAyNS84LzExAQAAAFxj2SAC</t>
  </si>
  <si>
    <t>AAAACjUwNS40MjEwOTgAD4VBkJHZ3QjAIiqakdndCCRDSVEuRERPRy5JUV9DTE9TRVBSSUNFLjIwMjUvOC8xMS5VU0QBAAAAu6EECAIAAAAGMTI4LjgzAA+FQZCR2d0IwCIqmpHZ3QgkQ0lRLlRFQU0uSVFfQ0xPU0VQUklDRS4yMDI1LzgvMTEuVVNEAQAAAFITIg8CAAAABjE1OS4yOAAPhUGQkdndCNFJKpqR2d0II0NJUS5TQVAuSVFfQ0xPU0VQUklDRS4yMDI1LzgvMTEuVVNEAQAAAAvuAQACAAAADzI4OS4xMzQ5NzIxNzQ4NQAPhUGQkdndCNFJKpqR2d0II0NJUS5UU0xBLklRX01BUktFVENBUC4yMDI1LzgvMTEuVVNEAQAAABDGogECAAAADjEwOTM1MjMuOTM2ODM4AQYAAAAFAAAAATEBAAAACy0xOTM0ODQxOTc4AwAAAAMxNjACAAAABjEwMDA1NAQAAAABMAcAAAAJOC8xMS8yMDI1D4VBkJHZ3QjRSSqakdndCB5DSVEuQklUOldUQUkuSVFfVldBUC4yMDI1LzgvMTEBAAAATbpbIwIAAAAHNjUuMzc3OQAPhUGQkdndCNFJKpqR2d0IJUNJUS5BUkNBOlRITlEuSVFfQ0xPU0VQUklDRS4yMDI1LzgvMTEBAAAArsN+JAIAAAAFNTUuODEAs5pBkJHZ3QhrYCuakdndCCNDSVEuTkFTREFRR006Uk9CVC5JUV9WV0FQLjIwMjUvOC8xMQEAAABcY9kgAgAAAAU0OS4zOAAPhUGQkdndCNFJKpqR2d0II0NJUS5QTFRSLklRX01BUktFVENBUC4yMDI1LzgvMTEuVVNEAQAAAGX6mAICAAAADTQzMzM3OS41MTM0NjgBBgAA</t>
  </si>
  <si>
    <t>AAUAAAABMQEAAAALLTE5MzMzMjg3MDgDAAAAAzE2MAIAAAAGMTAwMDU0BAAAAAEwBwAAAAk4LzExLzIwMjUPhUGQkdndCNFJKpqR2d0ILENJUS5YVFJBOlhBSVguSVFfU0hBUkVTT1VUU1RBTkRJTkcuMjAyNS84LzExAQAAADXs4iICAAAACTM1LjcwOTA2OQAPhUGQkdndCOFwKpqR2d0ILENJUS5OQVNEQVFHTTpBSVEuSVFfQ0xPU0VQUklDRS4yMDI1LzgvMTEuVVNEAQAAAOncYiECAAAABTQ0LjY4AG7mWZmR2d0IX5R1mZHZ3QgkQ0lRLkNGTFQuSVFfQ0xPU0VQUklDRS4yMDI1LzgvMTEuVVNEAQAAACYBehACAAAABTE1LjkxAA+FQZCR2d0I4XAqmpHZ3QgkQ0lRLkVTVEMuSVFfQ0xPU0VQUklDRS4yMDI1LzgvMTEuVVNEAQAAAICEWw0CAAAABTcyLjU0AA+FQZCR2d0I4XAqmpHZ3QgjQ0lRLk5PVy5JUV9DTE9TRVBSSUNFLjIwMjUvOC8xMS5VU0QBAAAAv3ReAQIAAAAGODU2LjM3AA+FQZCR2d0I4XAqmpHZ3QgjQ0lRLk5CSVMuSVFfTUFSS0VUQ0FQLjIwMjUvOC8xMS5VU0QBAAAAv/sZAwIAAAALMTY3NjYuODg3OTIBBgAAAAUAAAABMQEAAAALLTE5MzI4MjkwODcDAAAAAzE2MAIAAAAGMTAwMDU0BAAAAAEwBwAAAAk4LzExLzIwMjUPhUGQkdndCOFwKpqR2d0IHkNJUS5BU1g6UkJUWi5JUV9WV0FQLjIwMjUvOC8xMQEAAAAp7XYiAgAAAAcxNC41ODQ0AA+FQZCR2d0I7pcqmpHZ3QgfQ0lRLkJBVFM6V1RB</t>
  </si>
  <si>
    <t>SS5JUV9WV0FQLjIwMjUvOC8xMQEAAABgTm9kAgAAAAUyNS41NQAPhUGQkdndCO6XKpqR2d0IJ0NJUS5OQVNEQVFHTTpRUVEuSVFfTUFSS0VUQ0FQLjIwMjUvOC8xMQEAAAAOunsAAgAAAAszNjYxMzcuMDc3NQEGAAAABQAAAAExAQAAAAstMTk2MzcxNDYzNgMAAAADMTYwAgAAAAYxMDAwNTQEAAAAATAHAAAACTgvMTEvMjAyNQ+FQZCR2d0I7pcqmpHZ3QgrQ0lRLkJBVFM6SUdWLklRX1NIQVJFU09VVFNUQU5ESU5HLjIwMjUvOC8xMQEAAADNOoYAAgAAAAMxMDgAD4VBkJHZ3QjulyqakdndCCVDSVEuTkFTREFRR006Qk9UWi5JUV9WT0xVTUUuMjAyNS84LzExAQAAAPf9CBYCAAAACDAuNDExNjg5AA+FQZCR2d0I7pcqmpHZ3QgiQ0lRLk1VLklRX0NMT1NFUFJJQ0UuMjAyNS84LzExLlVTRAEAAAAGaQQAAgAAAAYxMjMuNzIAD4VBkJHZ3QgAvyqakdndCCJDSVEuWlMuSVFfQ0xPU0VQUklDRS4yMDI1LzgvMTEuVVNEAQAAANTMgQMCAAAABjI3MS4xOAAPhUGQkdndCAC/KpqR2d0IJENJUS5PUkNMLklRX0NMT1NFUFJJQ0UuMjAyNS84LzExLlVTRAEAAADnVgAAAgAAAAYyNTIuNjgAD4VBkJHZ3QgAvyqakdndCCNDSVEuUUNPTS5JUV9NQVJLRVRDQVAuMjAyNS84LzExLlVTRAEAAADVggAAAgAAAA0xNTk2ODAuMTM3MTYyAQYAAAAFAAAAATEBAAAACy0xOTM0MjU0MjUxAwAAAAMxNjACAAAABjEwMDA1NAQAAAAB</t>
  </si>
  <si>
    <t>MAcAAAAJOC8xMS8yMDI1D4VBkJHZ3QgAvyqakdndCCNDSVEuUkJMWC5JUV9NQVJLRVRDQVAuMjAyNS84LzExLlVTRAEAAABpVfQBAgAAAAs5MDYzNS4wNjY4OQEGAAAABQAAAAExAQAAAAstMTkzNDEyNTQ1NQMAAAADMTYwAgAAAAYxMDAwNTQEAAAAATAHAAAACTgvMTEvMjAyNQ+FQZCR2d0IAL8qmpHZ3QgkQ0lRLkxTRTpSQk9ULklRX0NMT1NFUFJJQ0UuMjAyNS84LzExAQAAAI57JBQCAAAABTE1LjA3ALOaQZCR2d0Ia2ArmpHZ3QgsQ0lRLkFSQ0E6SUdQVC5JUV9TSEFSRVNPVVRTVEFORElORy4yMDI1LzgvMTEBAAAAzAJeAQIAAAADOS45AA+FQZCR2d0IA/wqmpHZ3QggQ0lRLkxTRTpSQk9ULklRX1ZPTFVNRS4yMDI1LzgvMTEBAAAAjnskFAIAAAAIMC4wNTg4OTQAD4VBkJHZ3QgAvyqakdndCChDSVEuTkFTREFRR006RkRUWC5JUV9NQVJLRVRDQVAuMjAyNS84LzExAQAAAL2lnSYCAAAACjE4MS43NzYxNjMAD4VBkJHZ3QgAvyqakdndCCxDSVEuTkFTREFRR006U01ILklRX0NMT1NFUFJJQ0UuMjAyNS84LzExLlVTRAEAAABgwjYAAgAAAAUyOTMuNABu5lmZkdndCLFodZmR2d0IJUNJUS5OQVNEQVFHTTpGRFRYLklRX1ZPTFVNRS4yMDI1LzgvMTEBAAAAvaWdJgIAAAAGMC4wMjM0AA+FQZCR2d0ID+YqmpHZ3QgtQ0lRLk5BU0RBUUdNOkJPVFouSVFfQ0xPU0VQUklDRS4yMDI1LzgvMTEuVVNEAQAAAPf9</t>
  </si>
  <si>
    <t>CBYCAAAABTMzLjMxAG7mWZmR2d0Imjx1mZHZ3QglQ0lRLkFSQ0E6Q0hBVC5JUV9DTE9TRVBSSUNFLjIwMjUvOC8xMQEAAAAAMDVtAgAAAAU1My44NwCzmkGQkdndCL8jLJqR2d0IKkNJUS5EQjpYQjBULklRX1NIQVJFU09VVFNUQU5ESU5HLjIwMjUvOC8xMQEAAADTM94pAgAAAAQ0LjA5AA+FQZCR2d0IA/wqmpHZ3QghQ0lRLkFSQ0E6TFJOWi5JUV9WT0xVTUUuMjAyNS84LzExAQAAALV2wyYCAAAACDAuMDA5ODM3AA+FQZCR2d0ICxIrmpHZ3QghQ0lRLk1VLklRX01BUktFVENBUC4yMDI1LzgvMTEuVVNEAQAAAAZpBAACAAAADTEzODQ1OC4xNTc0OTYBBgAAAAUAAAABMQEAAAALLTE5MzcxNzYwODIDAAAAAzE2MAIAAAAGMTAwMDU0BAAAAAEwBwAAAAk4LzExLzIwMjUPhUGQkdndCAsSK5qR2d0IIkNJUS5OQVNEQVFHTTpBSVEuSVFfVldBUC4yMDI1LzgvMTEBAAAA6dxiIQIAAAAFNDQuODcAD4VBkJHZ3QgLEiuakdndCCVDSVEuTkFTREFRR006V0lTRS5JUV9WT0xVTUUuMjAyNS84LzExAQAAAOmwQ24CAAAACDAuMDE1MTI5AA+FQZCR2d0ICxIrmpHZ3QgjQ0lRLlNOUFMuSVFfTUFSS0VUQ0FQLjIwMjUvOC8xMS5VU0QBAAAA1IgAAAIAAAANMTE0MDA5LjA4NDM5NgEGAAAABQAAAAExAQAAAAstMTk0MDU3MjI0NwMAAAADMTYwAgAAAAYxMDAwNTQEAAAAATAHAAAACTgvMTEvMjAyNQ+FQZCR2d0ICxIrmpHZ</t>
  </si>
  <si>
    <t>3QgsQ0lRLkFSQ0E6VEhOUS5JUV9TSEFSRVNPVVRTVEFORElORy4yMDI1LzgvMTEBAAAArsN+JAIAAAAFMy43MjUAs5pBkJHZ3QhXOSuakdndCCRDSVEuXlNQWC5JUV9DTE9TRVBSSUNFLjIwMjUvOC8xMS5VU0QBAAAAm7goAAIAAAAQNjM3My40NTMzNjYzOTI1MQBu5lmZkdndCD7WdZmR2d0II0NJUS5BVkdPLklRX01BUktFVENBUC4yMDI1LzgvMTEuVVNEAQAAAPC2fQECAAAADjE0MjkzODQuODMwNTE4AQYAAAAFAAAAATEBAAAACy0xOTM4NTU3MjYwAwAAAAMxNjACAAAABjEwMDA1NAQAAAABMAcAAAAJOC8xMS8yMDI1s5pBkJHZ3QhXOSuakdndCDBDSVEuTkFTREFRR006RkRUWC5JUV9TSEFSRVNPVVRTVEFORElORy4yMDI1LzgvMTEBAAAAvaWdJgIAAAAINC42ODg0NjkAs5pBkJHZ3QhXOSuakdndCCFDSVEuQVJDQTpBUlRZLklRX1ZPTFVNRS4yMDI1LzgvMTEBAAAAbh9pIQIAAAAHMC40Mzc2MQCzmkGQkdndCFc5K5qR2d0II0NJUS5DRkxULklRX01BUktFVENBUC4yMDI1LzgvMTEuVVNEAQAAACYBehACAAAACzU0ODQuODc4OTgxAQYAAAAFAAAAATEBAAAACy0xOTM0MTcwNTU1AwAAAAMxNjACAAAABjEwMDA1NAQAAAABMAcAAAAJOC8xMS8yMDI1s5pBkJHZ3QhXOSuakdndCCtDSVEuQVJDQTpBSVMuSVFfU0hBUkVTT1VUU1RBTkRJTkcuMjAyNS84LzExAQAAAJiXn3ACAAAAAzAuOACzmkGQkdndCGtg</t>
  </si>
  <si>
    <t>K5qR2d0IJUNJUS5OQVNEQVFHTTpST0JULklRX1ZPTFVNRS4yMDI1LzgvMTEBAAAAXGPZIAIAAAAIMC4wNzg5MDYAs5pBkJHZ3QhrYCuakdndCCNDSVEuQVNYOlJCVFouSVFfTUFSS0VUQ0FQLjIwMjUvOC8xMQEAAAAp7XYiAgAAAAozMDEuODExMzA0ALOaQZCR2d0Ia2ArmpHZ3QgjQ0lRLk9SQ0wuSVFfTUFSS0VUQ0FQLjIwMjUvOC8xMS5VU0QBAAAA51YAAAIAAAAMNzA5NzM1LjkyMjQ0AQYAAAAFAAAAATEBAAAACy0xOTM3ODg4NzQwAwAAAAMxNjACAAAABjEwMDA1NAQAAAABMAcAAAAJOC8xMS8yMDI1s5pBkJHZ3QhrYCuakdndCB5DSVEuTFNFOlJCT1QuSVFfVldBUC4yMDI1LzgvMTEBAAAAjnskFAIAAAAJMTUuMTQzMjE5ALOaQZCR2d0Ia2ArmpHZ3QgoQ0lRLk5BU0RBUUdNOlFRUS5JUV9DTE9TRVBSSUNFLjIwMjUvOC8xMQEAAAAOunsAAgAAAAY1NzIuODUAs5pBkJHZ3Qh2hyuakdndCDBDSVEuTkFTREFRR006V0lTRS5JUV9TSEFSRVNPVVRTVEFORElORy4yMDI1LzgvMTEBAAAA6bBDbgIAAAAEMC44NgCzmkGQkdndCGtgK5qR2d0IIkNJUS5EQjpYQjBULklRX01BUktFVENBUC4yMDI1LzgvMTEBAAAA0zPeKQIAAAAINzcuMzU4MjYAs5pBkJHZ3Qh2hyuakdndCCNDSVEuRVNUQy5JUV9NQVJLRVRDQVAuMjAyNS84LzExLlVTRAEAAACAhFsNAgAAAAs3NjU5LjczNTAwOAEGAAAABQAAAAExAQAAAAst</t>
  </si>
  <si>
    <t>MTkzODgwMDgzNAMAAAADMTYwAgAAAAYxMDAwNTQEAAAAATAHAAAACTgvMTEvMjAyNbOaQZCR2d0IdocrmpHZ3QgrQ0lRLkJJVDpXVEFJLklRX1NIQVJFU09VVFNUQU5ESU5HLjIwMjUvOC8xMQEAAABNulsjAgAAAAgxMi4wMDk2MwCzmkGQkdndCHaHK5qR2d0II0NJUS5OQVNEQVFHTTpBR0lYLklRX1ZXQVAuMjAyNS84LzExAQAAACP3AHACAAAABTMyLjk0ALOaQZCR2d0IdocrmpHZ3QgjQ0lRLldEQVkuSVFfTUFSS0VUQ0FQLjIwMjUvOC8xMS5VU0QBAAAAh2NrAQIAAAAMNTcwMjIuNTIwNDcyAQYAAAAFAAAAATEBAAAACy0xOTQxMzY1NDEzAwAAAAMxNjACAAAABjEwMDA1NAQAAAABMAcAAAAJOC8xMS8yMDI1s5pBkJHZ3Qh2hyuakdndCC9DSVEuTkFTREFRR006QUlRLklRX1NIQVJFU09VVFNUQU5ESU5HLjIwMjUvOC8xMQEAAADp3GIhAgAAAAk4OS4yNTAwMDIAs5pBkJHZ3Qh2hyuakdndCDBDSVEuTkFTREFRR006QUdJWC5JUV9TSEFSRVNPVVRTVEFORElORy4yMDI1LzgvMTEBAAAAI/cAcAIAAAAIMC45MDAwMDIAs5pBkJHZ3Qh2hyuakdndCCRDSVEuQkFUUzpXVEFJLklRX01BUktFVENBUC4yMDI1LzgvMTEBAAAAYE5vZAIAAAAGMjE4LjQ0ALOaQZCR2d0IdocrmpHZ3QgiQ0lRLkFQUC5JUV9NQVJLRVRDQVAuMjAyNS84LzExLlVTRAEAAADauc4NAgAAAAwxNTc0ODIuMzk0OTYBBgAAAAUAAAABMQEA</t>
  </si>
  <si>
    <t>AAALLTE5MzI4OTgwNTEDAAAAAzE2MAIAAAAGMTAwMDU0BAAAAAEwBwAAAAk4LzExLzIwMjWzmkGQkdndCIiuK5qR2d0IIkNJUS5OQVNEQVFHTTpRUVEuSVFfVldBUC4yMDI1LzgvMTEBAAAADrp7AAIAAAAGNTc0LjI4ALOaQZCR2d0IiK4rmpHZ3QgwQ0lRLk5BU0RBUUdNOlJPQlQuSVFfU0hBUkVTT1VUU1RBTkRJTkcuMjAyNS84LzExAQAAAFxj2SACAAAACTEwLjMwMDAwMgCzmkGQkdndCIiuK5qR2d0IJENJUS5BUkNBOlRITlEuSVFfTUFSS0VUQ0FQLjIwMjUvOC8xMQEAAACuw34kAgAAAAkyMDcuODkyMjUAs5pBkJHZ3QiIriuakdndCCJDSVEuQ1JNLklRX01BUktFVENBUC4yMDI1LzgvMTEuVVNEAQAAACXgAQACAAAACTIyMjQ0Mi4wOAEGAAAABQAAAAExAQAAAAstMTk0MDM2MDMyMAMAAAADMTYwAgAAAAYxMDAwNTQEAAAAATAHAAAACTgvMTEvMjAyNbOaQZCR2d0IiK4rmpHZ3QglQ0lRLkFSQ0E6QVJUWS5JUV9DTE9TRVBSSUNFLjIwMjUvOC8xMQEAAABuH2khAgAAAAU0Mi4zOQCzmkGQkdndCKX8K5qR2d0ILENJUS5CQVRTOldUQUkuSVFfU0hBUkVTT1VUU1RBTkRJTkcuMjAyNS84LzExAQAAAGBOb2QCAAAAAzguNgCzmkGQkdndCIiuK5qR2d0IJENJUS5BUkNBOkxSTlouSVFfTUFSS0VUQ0FQLjIwMjUvOC8xMQEAAAC1dsMmAgAAAAczMi40MjQ2ALOaQZCR2d0IldUrmpHZ3QgiQ0lRLlNBUC5JUV9N</t>
  </si>
  <si>
    <t>QVJLRVRDQVAuMjAyNS84LzExLlVTRAEAAAAL7gEAAgAAAA8zMzY3MjYuNTg4NTk0ODMBBgAAAAUAAAABMQEAAAALLTE5MzUwNTc1NjUDAAAAAzE2MAIAAAAGMTAwMDU0BAAAAAEwBwAAAAk4LzExLzIwMjWzmkGQkdndCJXVK5qR2d0IHkNJUS5BUkNBOkFJUy5JUV9WV0FQLjIwMjUvOC8xMQEAAACYl59wAgAAAAUyOS45MgCzmkGQkdndCJXVK5qR2d0IKENJUS5OQVNEQVFHTTpBR0lYLklRX01BUktFVENBUC4yMDI1LzgvMTEBAAAAI/cAcAIAAAAJMjkuMzkyNTM1ALOaQZCR2d0IsA6CmZHZ3QgkQ0lRLk1FVEEuSVFfQ0xPU0VQUklDRS4yMDI1LzgvMTEuVVNEAQAAABfbPAECAAAABjc2NS44NwCzmkGQkdndCJXVK5qR2d0IH0NJUS5BUkNBOkxPVVAuSVFfVldBUC4yMDI1LzgvMTEBAAAAWVwPIgIAAAAFNjQuNzMAs5pBkJHZ3QiV1SuakdndCCBDSVEuTFNFOkFJQUcuSVFfVk9MVU1FLjIwMjUvOC8xMQEAAADwnYIkAgAAAAgwLjAzNzI5OACzmkGQkdndCKX8K5qR2d0IJ0NJUS5OQVNEQVFHTTpTTUguSVFfTUFSS0VUQ0FQLjIwMjUvOC8xMQEAAABgwjYAAgAAAAwyNzcyMy45MTU4MzIAs5pBkJHZ3Qil/CuakdndCChDSVEuTkFTREFRR006Qk9UWi5JUV9NQVJLRVRDQVAuMjAyNS84LzExAQAAAPf9CBYCAAAACTI3ODYuNzE0NgCzmkGQkdndCKX8K5qR2d0IJENJUS5XREFZLklRX0NMT1NFUFJJQ0UuMjAyNS84</t>
  </si>
  <si>
    <t>LzExLlVTRAEAAACHY2sBAgAAAAYyMTMuNjkAs5pBkJHZ3Qil/CuakdndCCFDSVEuQVJDQTpUSE5RLklRX1ZPTFVNRS4yMDI1LzgvMTEBAAAArsN+JAIAAAAIMC4wMjI1MDgAs5pBkJHZ3Qi/IyyakdndCCFDSVEuQVJDQTpJR1BULklRX1ZPTFVNRS4yMDI1LzgvMTEBAAAAzAJeAQIAAAAIMC4wMzU5MjEAs5pBkJHZ3Qi/IyyakdndCCdDSVEuTkFTREFRR006QUlRLklRX01BUktFVENBUC4yMDI1LzgvMTEBAAAA6dxiIQIAAAALMzk4Ny42OTAwODkAs5pBkJHZ3Qi/IyyakdndCCRDSVEuXkRKSS5JUV9DTE9TRVBSSUNFLjIwMjUvOC8xMS5VU0QBAAAA+LQoAAIAAAAQNDM5NzUuMDk0MjE5MTE1NQBu5lmZkdndCEvAdZmR2d0IKENJUUFWRy5BU1g6UkJUWi5JUV9WT0xVTUUuLTMwRC4yMDI1LzgvMTEBAAAAKe12IgIAAAARMC4wNTIxODM2MTkwNDc2MTkAs5pBkJHZ3QhLSyeakdndCC1DSVFBVkcuTkFTREFRR006QUdJWC5JUV9WT0xVTUUuLTMwRC4yMDI1LzgvMTEBAAAAI/cAcAIAAAASMC4wMzQ1NzQyMzgwOTUyMzgxALOaQZCR2d0IS0snmpHZ3QgnQ0lRQVZHLkRCOlhCMFQuSVFfVk9MVU1FLi0zMEQuMjAyNS84LzExAQAAANMz3ikDAAAAAACzmkGQkdndCEtLJ5qR2d0ILENJUUFWRy5OQVNEQVFHTTpTTUguSVFfVk9MVU1FLi0zMEQuMjAyNS84LzExAQAAAGDCNgACAAAAEDcuNDk0NDQwNzE0Mjg1NzEAs5pB</t>
  </si>
  <si>
    <t>kJHZ3Qg/dCeakdndCDVDSVFBVkcuTkFTREFRR006Uk9CVC5JUV9WV0FQLjIwMjMvMTIvMjkuMjAyNS84LzExLlVTRAEAAABcY9kgAgAAABA0NC4yODIzNTE0ODUxNDg1ALOaQZCR2d0IP3QnmpHZ3Qg0Q0lRQVZHLk5BU0RBUUdNOkFJUS5JUV9WV0FQLjIwMjMvMTIvMjkuMjAyNS84LzExLlVTRAEAAADp3GIhAgAAAA8zNi44ODI3OTcwMjk3MDMAs5pBkJHZ3Qg/dCeakdndCDFDSVFBVkcuQVJDQTpJR1BULklRX1ZXQVAuMjAyNC8xMi8zMS4yMDI1LzgvMTEuVVNEAQAAAMwCXgECAAAAEDQ1LjM4ODE2NDYxMTg0MjEAs5pBkJHZ3Qg/dCeakdndCDFDSVFBVkcuQVJDQTpBUlRZLklRX1ZXQVAuMjAyNC8xMi8zMS4yMDI1LzgvMTEuVVNEAQAAAG4faSECAAAAEDM3LjE2NTc4OTQ3MzY4NDIAs5pBkJHZ3Qg/dCeakdndCClDSVFBVkcuQVJDQTpUSE5RLklRX1ZPTFVNRS4tMzBELjIwMjUvOC8xMQEAAACuw34kAgAAABIwLjAzMTk5MjkwNDc2MTkwNDgAs5pBkJHZ3Qjt6yeakdndCDFDSVFBVkcuQVJDQTpMT1VQLklRX1ZXQVAuMjAyMy8xMi8yOS4yMDI1LzgvMTEuVVNEAQAAAFlcDyICAAAAEDUwLjI3ODMxNjgzMTY4MzIAs5pBkJHZ3Qjt6yeakdndCDVDSVFBVkcuTkFTREFRR006V0lTRS5JUV9WV0FQLjIwMjQvMTIvMzEuMjAyNS84LzExLlVTRAEAAADpsENuAgAAABAzNC42MjE0NDczNjg0MjExALOaQZCR2d0I</t>
  </si>
  <si>
    <t>/RIompHZ3QgxQ0lRQVZHLkFSQ0E6TFJOWi5JUV9WV0FQLjIwMjQvMTIvMzEuMjAyNS84LzExLlVTRAEAAAC1dsMmAgAAABA0MC4yMzI4Mjg5NDczNjg0ALOaQZCR2d0I/RIompHZ3QgoQ0lRQVZHLkJJVDpXVEFJLklRX1ZPTFVNRS4tMzBELjIwMjUvOC8xMQEAAABNulsjAgAAABIwLjAxMzQwNjE0Mjg1NzE0MjkAs5pBkJHZ3Qg9ryiakdndCC1DSVFBVkcuTkFTREFRR006Qk9UWi5JUV9WT0xVTUUuLTMwRC4yMDI1LzgvMTEBAAAA9/0IFgIAAAARMC42OTg1NDE1MjM4MDk1MjQAs5pBkJHZ3Qg9ryiakdndCDVDSVFBVkcuTkFTREFRR006Uk9CVC5JUV9WV0FQLjIwMjQvMTIvMzEuMjAyNS84LzExLlVTRAEAAABcY9kgAgAAABA0NS4xNzI3NjMxNTc4OTQ3ALOaQZCR2d0IPa8ompHZ3QgoQ0lRQVZHLkxTRTpBSUFHLklRX1ZPTFVNRS4tMzBELjIwMjUvOC8xMQEAAADwnYIkAgAAABIwLjA2MzE4MTg1NzE0Mjg1NzEAs5pBkJHZ3QgB6iiakdndCCxDSVFBVkcuTkFTREFRR006QUlRLklRX1ZPTFVNRS4tMzBELjIwMjUvOC8xMQEAAADp3GIhAgAAABAxLjA4ODk0OTI4NTcxNDI5ALOaQZCR2d0IUREpmpHZ3Qg1Q0lRQVZHLk5BU0RBUUdNOldJU0UuSVFfVldBUC4yMDIzLzEyLzI5LjIwMjUvOC8xMS5VU0QBAAAA6bBDbgIAAAAQMzEuNTAxMDE0ODUxNDg1MQCzmkGQkdndCAHqKJqR2d0IMUNJUUFWRy5CQVRTOldU</t>
  </si>
  <si>
    <t>QUkuSVFfVldBUC4yMDI0LzEyLzMxLjIwMjUvOC8xMS5VU0QBAAAAYE5vZAIAAAAQMjIuMTgzMTU3ODk0NzM2OACzmkGQkdndCAHqKJqR2d0ILENJUUFWRy5OQVNEQVFHTTpRUVEuSVFfVk9MVU1FLi0zMEQuMjAyNS84LzExAQAAAA66ewACAAAAEDQ0LjAxNjM0NjgwOTUyMzgAs5pBkJHZ3QhiOCmakdndCDFDSVFBVkcuWFRSQTpYQUlYLklRX1ZXQVAuMjAyMy8xMi8yOS4yMDI1LzgvMTEuVVNEAQAAADXs4iIDAAAAAACzmkGQkdndCFERKZqR2d0INUNJUUFWRy5OQVNEQVFHTTpBR0lYLklRX1ZXQVAuMjAyMy8xMi8yOS4yMDI1LzgvMTEuVVNEAQAAACP3AHACAAAADzI3LjU5NzE5MTAxMTIzNgCzmkGQkdndCFERKZqR2d0INUNJUUFWRy5OQVNEQVFHTTpGRFRYLklRX1ZXQVAuMjAyNC8xMi8zMS4yMDI1LzgvMTEuVVNEAQAAAL2lnSYCAAAAEDM1LjYyMTg0MjEwNTI2MzIAs5pBkJHZ3QhRESmakdndCDRDSVFBVkcuTkFTREFRR006UVFRLklRX1ZXQVAuMjAyNC8xMi8zMS4yMDI1LzgvMTEuVVNEAQAAAA66ewACAAAAEDUxMy42NTE1MTMxNTc4OTUAs5pBkJHZ3QhvXymakdndCChDSVFBVkcuQVJDQTpBSVMuSVFfVk9MVU1FLi0zMEQuMjAyNS84LzExAQAAAJiXn3ACAAAAEjAuMDM3NDU0NjY2NjY2NjY2NwCzmkGQkdndCG9fKZqR2d0IMUNJUUFWRy5BUkNBOlRITlEuSVFfVldBUC4yMDIzLzEyLzI5LjIwMjUv</t>
  </si>
  <si>
    <t>OC8xMS5VU0QBAAAArsN+JAIAAAAQNDYuODEwNTk0MDU5NDA1OQCzmkGQkdndCG9fKZqR2d0IMENJUUFWRy5MU0U6QUlBRy5JUV9WV0FQLjIwMjQvMTIvMzEuMjAyNS84LzExLlVTRAEAAADwnYIkAgAAABAyMi4yNjQ1MzkxMTMzNDE3ALOaQZCR2d0Ib18pmpHZ3Qg0Q0lRQVZHLk5BU0RBUUdNOlNNSC5JUV9WV0FQLjIwMjQvMTIvMzEuMjAyNS84LzExLlVTRAEAAABgwjYAAgAAABAyNDUuNTk0MTQ0NzM2ODQyALOaQZCR2d0Ib18pmpHZ3QgpQ0lRQVZHLkFSQ0E6Q0hBVC5JUV9WT0xVTUUuLTMwRC4yMDI1LzgvMTEBAAAAADA1bQIAAAARMC4xOTgxMzYwNDc2MTkwNDgAs5pBkJHZ3QiBhimakdndCDRDSVFBVkcuTkFTREFRR006U01ILklRX1ZXQVAuMjAyMy8xMi8yOS4yMDI1LzgvMTEuVVNEAQAAAGDCNgACAAAAEDIzNi45NTU4NjYzMzY2MzQAs5pBkJHZ3QiBhimakdndCC5DSVFBVkcuREI6WEIwVC5JUV9WV0FQLjIwMjMvNi8zMC4yMDI1LzgvMTEuVVNEAQAAANMz3ikCAAAADzE4LjYxNTcyMDUyNzk2NACzmkGQkdndCIGGKZqR2d0IKUNJUUFWRy5BUkNBOkxSTlouSVFfVk9MVU1FLi0zMEQuMjAyNS84LzExAQAAALV2wyYCAAAAEzAuMDA0ODExNTcxNDI4NTcxNDMAs5pBkJHZ3QiNrSmakdndCDVDSVFBVkcuTkFTREFRR006Qk9UWi5JUV9WV0FQLjIwMjMvMTIvMjkuMjAyNS84LzExLlVTRAEAAAD3/QgW</t>
  </si>
  <si>
    <t>AgAAABAzMS4xNTMyOTIwNzkyMDc5ALOaQZCR2d0Ija0pmpHZ3QgwQ0lRQVZHLkxTRTpSQk9ULklRX1ZXQVAuMjAyMy8xMi8yOS4yMDI1LzgvMTEuVVNEAQAAAI57JBQCAAAAEDEzLjYxMDQ4MjAwNDg2NjIAs5pBkJHZ3Qic1CmakdndCDFDSVFBVkcuQVJDQTpBUlRZLklRX1ZXQVAuMjAyMy8xMi8yOS4yMDI1LzgvMTEuVVNEAQAAAG4faSECAAAAEDM1LjI2NzA1NDQ1NTQ0NTUAs5pBkJHZ3Qic1CmakdndCDFDSVFBVkcuQVJDQTpUSE5RLklRX1ZXQVAuMjAyNC8xMi8zMS4yMDI1LzgvMTEuVVNEAQAAAK7DfiQCAAAAEDUwLjM3ODI4OTQ3MzY4NDIAs5pBkJHZ3Qic1CmakdndCChDSVFBVkcuQkFUUzpJR1YuSVFfVk9MVU1FLi0zMEQuMjAyNS84LzExAQAAAM06hgACAAAAEDQuNjE5NzA1MzgwOTUyMzgAs5pBkJHZ3QjAIiqakdndCDBDSVFBVkcuQVNYOlJCVFouSVFfVldBUC4yMDIzLzEyLzI5LjIwMjUvOC8xMS5VU0QBAAAAKe12IgIAAAAPOS4xMTAyMTk3MDU0NDczALOaQZCR2d0IwCIqmpHZ3QgwQ0lRQVZHLkFSQ0E6QUlTLklRX1ZXQVAuMjAyNC8xMi8zMS4yMDI1LzgvMTEuVVNEAQAAAJiXn3ACAAAAEDI0Ljc5OTczNjg0MjEwNTMAs5pBkJHZ3QjAIiqakdndCChDSVFBVkcuTFNFOlJCT1QuSVFfVk9MVU1FLi0zMEQuMjAyNS84LzExAQAAAI57JBQCAAAAETAuMTUxNDEzMTQyODU3MTQzALOaQZCR2d0I</t>
  </si>
  <si>
    <t>4XAqmpHZ3QgxQ0lRQVZHLkFSQ0E6SUdQVC5JUV9WV0FQLjIwMjMvMTIvMjkuMjAyNS84LzExLlVTRAEAAADMAl4BAgAAABA0NC45MTE3NDY5OTI1NzQzALOaQZCR2d0I4XAqmpHZ3Qg1Q0lRQVZHLk5BU0RBUUdNOkZEVFguSVFfVldBUC4yMDIzLzEyLzI5LjIwMjUvOC8xMS5VU0QBAAAAvaWdJgIAAAAQMzMuNTk5ODc2MjM3NjIzOACzmkGQkdndCO6XKpqR2d0IMENJUUFWRy5CQVRTOklHVi5JUV9WV0FQLjIwMjQvMTIvMzEuMjAyNS84LzExLlVTRAEAAADNOoYAAgAAABAxMDEuMDU5ODY4NDIxMDUzALOaQZCR2d0I7pcqmpHZ3QgpQ0lRQVZHLkJBVFM6V1RBSS5JUV9WT0xVTUUuLTMwRC4yMDI1LzgvMTEBAAAAYE5vZAIAAAASMC4wOTU4NDg1MjM4MDk1MjM4ALOaQZCR2d0ID+YqmpHZ3QgwQ0lRQVZHLkFSQ0E6QUlTLklRX1ZXQVAuMjAyMy8xMi8yOS4yMDI1LzgvMTEuVVNEAQAAAJiXn3ACAAAAEDI0Ljc5ODk0NzM2ODQyMTEAs5pBkJHZ3QgP5iqakdndCDBDSVFBVkcuQklUOldUQUkuSVFfVldBUC4yMDI0LzEyLzMxLjIwMjUvOC8xMS5VU0QBAAAATbpbIwIAAAAQNjcuMDE2MjE2Nzg1NTM0OQCzmkGQkdndCAP8KpqR2d0IKUNJUUFWRy5BUkNBOkxPVVAuSVFfVk9MVU1FLi0zMEQuMjAyNS84LzExAQAAAFlcDyICAAAAEzAuMDA3ODYyNTcxNDI4NTcxNDMAs5pBkJHZ3QgAvyqakdndCDFDSVFBVkcuQVJD</t>
  </si>
  <si>
    <t>QTpMUk5aLklRX1ZXQVAuMjAyMy8xMi8yOS4yMDI1LzgvMTEuVVNEAQAAALV2wyYCAAAAEDM5LjE1ODkzNTY0MzU2NDQAs5pBkJHZ3QgP5iqakdndCDBDSVFBVkcuTFNFOlJCT1QuSVFfVldBUC4yMDI0LzEyLzMxLjIwMjUvOC8xMS5VU0QBAAAAjnskFAIAAAAQMTQuMTM0NjcyNDUyMjI5MwCzmkGQkdndCAsSK5qR2d0IMENJUUFWRy5CQVRTOklHVi5JUV9WV0FQLjIwMjMvMTIvMjkuMjAyNS84LzExLlVTRAEAAADNOoYAAgAAABA5Mi43OTk5ODMxNzMyNjczALOaQZCR2d0ICxIrmpHZ3QgwQ0lRQVZHLlhUUkE6WEFJWC5JUV9WV0FQLjIwMjMvNi8zMC4yMDI1LzgvMTEuVVNEAQAAADXs4iICAAAAEDk0LjE2MjMzNjI2NDUwMzkAs5pBkJHZ3QgLEiuakdndCClDSVFBVkcuQVJDQTpBUlRZLklRX1ZPTFVNRS4tMzBELjIwMjUvOC8xMQEAAABuH2khAgAAAAgwLjQ5OTg3NgCzmkGQkdndCFc5K5qR2d0IMENJUUFWRy5BU1g6UkJUWi5JUV9WV0FQLjIwMjQvMTIvMzEuMjAyNS84LzExLlVTRAEAAAAp7XYiAgAAABA5LjAyMjU5NjI0MzI1ODgzALOaQZCR2d0IVzkrmpHZ3Qg0Q0lRQVZHLk5BU0RBUUdNOlFRUS5JUV9WV0FQLjIwMjMvMTIvMjkuMjAyNS84LzExLlVTRAEAAAAOunsAAgAAABA0ODIuOTA3NjA0NDY1MzQ3ALOaQZCR2d0Ia2ArmpHZ3QgxQ0lRQVZHLkFSQ0E6Q0hBVC5JUV9WV0FQLjIwMjQvMTIvMzEu</t>
  </si>
  <si>
    <t>MjAyNS84LzExLlVTRAEAAAAAMDVtAgAAABA0MS45MjI5NjA1MjYzMTU4ALOaQZCR2d0Ia2ArmpHZ3QgxQ0lRQVZHLkFSQ0E6TE9VUC5JUV9WV0FQLjIwMjQvMTIvMzEuMjAyNS84LzExLlVTRAEAAABZXA8iAgAAABA1NS4wMjUxMzE1Nzg5NDc0ALOaQZCR2d0IdocrmpHZ3Qg1Q0lRQVZHLk5BU0RBUUdNOkFHSVguSVFfVldBUC4yMDI0LzEyLzMxLjIwMjUvOC8xMS5VU0QBAAAAI/cAcAIAAAAQMjguNzE3MTcxMDUyNjMxNgCzmkGQkdndCIiuK5qR2d0IMENJUUFWRy5CSVQ6V1RBSS5JUV9WV0FQLjIwMjMvMTIvMjkuMjAyNS84LzExLlVTRAEAAABNulsjAgAAABA2NC43NTAwNjAwNzM5Mjg0ALOaQZCR2d0IiK4rmpHZ3Qg1Q0lRQVZHLk5BU0RBUUdNOkJPVFouSVFfVldBUC4yMDI0LzEyLzMxLjIwMjUvOC8xMS5VU0QBAAAA9/0IFgIAAAAQMzEuMzU3MTA1MjYzMTU3OQCzmkGQkdndCJXVK5qR2d0ILUNJUUFWRy5OQVNEQVFHTTpXSVNFLklRX1ZPTFVNRS4tMzBELjIwMjUvOC8xMQEAAADpsENuAgAAABIwLjAxMTkzODg1NzE0Mjg1NzEAs5pBkJHZ3QiV1SuakdndCDBDSVFBVkcuTFNFOkFJQUcuSVFfVldBUC4yMDIzLzEyLzI5LjIwMjUvOC8xMS5VU0QBAAAA8J2CJAIAAAAQMjAuNjQ5OTgwOTY4NzgyNACzmkGQkdndCJXVK5qR2d0INENJUUFWRy5OQVNEQVFHTTpBSVEuSVFfVldBUC4yMDI0LzEyLzMxLjIw</t>
  </si>
  <si>
    <t>MjUvOC8xMS5VU0QBAAAA6dxiIQIAAAAPNDAuMDUzOTQ3MzY4NDIxALOaQZCR2d0IldUrmpHZ3QgpQ0lRQVZHLlhUUkE6WEFJWC5JUV9WT0xVTUUuLTMwRC4yMDI1LzgvMTEBAAAANeziIgIAAAASMC4wNjk3MzcyMzgwOTUyMzgxALOaQZCR2d0IpfwrmpHZ3QgvQ0lRQVZHLkRCOlhCMFQuSVFfVldBUC4yMDIzLzEyLzI5LjIwMjUvOC8xMS5VU0QBAAAA0zPeKQMAAAAAALOaQZCR2d0IpfwrmpHZ3QgtQ0lRQVZHLk5BU0RBUUdNOlJPQlQuSVFfVk9MVU1FLi0zMEQuMjAyNS84LzExAQAAAFxj2SACAAAAEjAuMDYzMjQxNzYxOTA0NzYxOQCzmkGQkdndCKX8K5qR2d0ILUNJUUFWRy5OQVNEQVFHTTpGRFRYLklRX1ZPTFVNRS4tMzBELjIwMjUvOC8xMQEAAAC9pZ0mAgAAABIwLjAxODQ4MTA5NTIzODA5NTIAs5pBkJHZ3Qi/IyyakdndCDFDSVFBVkcuQVJDQTpDSEFULklRX1ZXQVAuMjAyMy8xMi8yOS4yMDI1LzgvMTEuVVNEAQAAAAAwNW0CAAAAEDM4LjI3MzM2NjMzNjYzMzcAs5pBkJHZ3Qi/IyyakdndCClDSVFBVkcuQVJDQTpJR1BULklRX1ZPTFVNRS4tMzBELjIwMjUvOC8xMQEAAADMAl4BAgAAABIwLjA0MTYzMDY2NjY2NjY2NjcAs5pBkJHZ3Qil/CuakdndCDFDSVFBVkcuQkFUUzpXVEFJLklRX1ZXQVAuMjAyMy8xMi8yOS4yMDI1LzgvMTEuVVNEAQAAAGBOb2QCAAAADzIxLjEwNzk5NTA0OTUwNQCzmkGQ</t>
  </si>
  <si>
    <t>kdndCL8jLJqR2d0IGENJUS5BUkNBOklHUFQuSVFfVk9MVU1FLgEAAADMAl4BAgAAAAgwLjAzNTkyMQBbq/GZkdndCFur8ZmR2d0IHkNJUS5OQVNEQVFHTTpBSVEuSVFfTUFSS0VUQ0FQLgEAAADp3GIhAgAAAAszOTg3LjY5MDA4OQBbq/GZkdndCFur8ZmR2d0IG0NJUS5BU1g6UkJUWi5JUV9DTE9TRVBSSUNFLgEAAAAp7XYiAgAAAAUxNC41MwBZ1vGZkdndCFnW8ZmR2d0IHENJUS5BUkNBOkNIQVQuSVFfQ0xPU0VQUklDRS4BAAAAADA1bQIAAAAFNTMuODcA9sDxmZHZ3Qj2wPGZkdndCBhDSVEuQVJDQTpUSE5RLklRX1ZPTFVNRS4BAAAArsN+JAIAAAAIMC4wMjI1MDgAW6vxmZHZ3Qhbq/GZkdndCBxDSVEuQVJDQTpBUlRZLklRX0NMT1NFUFJJQ0UuAQAAAG4faSECAAAABTQyLjM5APbA8ZmR2d0I9sDxmZHZ3QgbQ0lRLldEQVkuSVFfQ0xPU0VQUklDRS4uVVNEAQAAAIdjawECAAAABjIxMy42OQBbq/GZkdndCFur8ZmR2d0IFkNJUS5BUkNBOkxPVVAuSVFfVldBUC4BAAAAWVwPIgIAAAAFNjQuNzMAW6vxmZHZ3Qhbq/GZkdndCCBDSVEuTkFTREFRR006Uk9CVC5JUV9DTE9TRVBSSUNFLgEAAABcY9kgAgAAAAU0OS4wNwBZ1vGZkdndCFnW8ZmR2d0IF0NJUS5MU0U6QUlBRy5JUV9WT0xVTUUuAQAAAPCdgiQCAAAACDAuMDM3Mjk4AFur8ZmR2d0IW6vxmZHZ3QgeQ0lRLk5BU0RBUUdNOlNNSC5JUV9NQVJLRVRD</t>
  </si>
  <si>
    <t>QVAuAQAAAGDCNgACAAAADDI3NzIzLjkxNTgzMgBbq/GZkdndCFur8ZmR2d0IH0NJUS5OQVNEQVFHTTpCT1RaLklRX01BUktFVENBUC4BAAAA9/0IFgIAAAAJMjc4Ni43MTQ2AFur8ZmR2d0IW6vxmZHZ3QgbQ0lRLk1FVEEuSVFfQ0xPU0VQUklDRS4uVVNEAQAAABfbPAECAAAABjc2NS44NwBbq/GZkdndCFur8ZmR2d0IFUNJUS5BUkNBOkFJUy5JUV9WV0FQLgEAAACYl59wAgAAAAUyOS45MgBbq/GZkdndCFur8ZmR2d0IGUNJUS5TQVAuSVFfTUFSS0VUQ0FQLi5VU0QBAAAAC+4BAAIAAAAPMzM2NzI2LjU4ODU5NDgzAQYAAAAFAAAAATEBAAAACy0xOTM1MDU3NTY1AwAAAAMxNjACAAAABjEwMDA1NAQAAAABMAcAAAAJOC8xMS8yMDI1W6vxmZHZ3Qhbq/GZkdndCBxDSVEuQVJDQTpMUk5aLklRX0NMT1NFUFJJQ0UuAQAAALV2wyYCAAAABTQxLjU3AFnW8ZmR2d0IWdbxmZHZ3QgjQ0lRLkJBVFM6V1RBSS5JUV9TSEFSRVNPVVRTVEFORElORy4BAAAAYE5vZAIAAAADOC42APbA8ZmR2d0I9sDxmZHZ3QgbQ0lRLkFSQ0E6TFJOWi5JUV9NQVJLRVRDQVAuAQAAALV2wyYCAAAABzMyLjQyNDYA9sDxmZHZ3Qj2wPGZkdndCBlDSVEuQ1JNLklRX01BUktFVENBUC4uVVNEAQAAACXgAQACAAAACTIyMjQ0Mi4wOAEGAAAABQAAAAExAQAAAAstMTk0MDM2MDMyMAMAAAADMTYwAgAAAAYxMDAwNTQEAAAAATAHAAAACTgvMTEv</t>
  </si>
  <si>
    <t>MjAyNfbA8ZmR2d0I9sDxmZHZ3QgcQ0lRLkFSQ0E6SUdQVC5JUV9DTE9TRVBSSUNFLgEAAADMAl4BAgAAAAU1MC4yMgBZ1vGZkdndCFnW8ZmR2d0IGUNJUS5OQVNEQVFHTTpRUVEuSVFfVldBUC4BAAAADrp7AAIAAAAGNTc0LjI4APbA8ZmR2d0I9sDxmZHZ3QgnQ0lRLk5BU0RBUUdNOlJPQlQuSVFfU0hBUkVTT1VUU1RBTkRJTkcuAQAAAFxj2SACAAAACTEwLjMwMDAwMgD2wPGZkdndCPbA8ZmR2d0IG0NJUS5BUkNBOlRITlEuSVFfTUFSS0VUQ0FQLgEAAACuw34kAgAAAAkyMDcuODkyMjUA9sDxmZHZ3Qj2wPGZkdndCBlDSVEuQVBQLklRX01BUktFVENBUC4uVVNEAQAAANq5zg0CAAAADDE1NzQ4Mi4zOTQ5NgEGAAAABQAAAAExAQAAAAstMTkzMjg5ODA1MQMAAAADMTYwAgAAAAYxMDAwNTQEAAAAATAHAAAACTgvMTEvMjAyNfbA8ZmR2d0I9sDxmZHZ3QgfQ0lRLk5BU0RBUUdNOlFRUS5JUV9DTE9TRVBSSUNFLgEAAAAOunsAAgAAAAY1NzIuODUA9sDxmZHZ3Qj2wPGZkdndCCZDSVEuTkFTREFRR006QUlRLklRX1NIQVJFU09VVFNUQU5ESU5HLgEAAADp3GIhAgAAAAk4OS4yNTAwMDIA9sDxmZHZ3Qj2wPGZkdndCCdDSVEuTkFTREFRR006QUdJWC5JUV9TSEFSRVNPVVRTVEFORElORy4BAAAAI/cAcAIAAAAIMC45MDAwMDIA9sDxmZHZ3Qj2wPGZkdndCBtDSVEuQkFUUzpXVEFJLklRX01BUktFVENBUC4BAAAA</t>
  </si>
  <si>
    <t>YE5vZAIAAAAGMjE4LjQ0APbA8ZmR2d0I9sDxmZHZ3QgaQ0lRLldEQVkuSVFfTUFSS0VUQ0FQLi5VU0QBAAAAh2NrAQIAAAAMNTcwMjIuNTIwNDcyAQYAAAAFAAAAATEBAAAACy0xOTQxMzY1NDEzAwAAAAMxNjACAAAABjEwMDA1NAQAAAABMAcAAAAJOC8xMS8yMDI19sDxmZHZ3Qj2wPGZkdndCBxDSVEuWFRSQTpYQUlYLklRX0NMT1NFUFJJQ0UuAQAAADXs4iICAAAABjE0MS4yNgBZ1vGZkdndCFnW8ZmR2d0IIkNJUS5CSVQ6V1RBSS5JUV9TSEFSRVNPVVRTVEFORElORy4BAAAATbpbIwIAAAAIMTIuMDA5NjMA9sDxmZHZ3Qj2wPGZkdndCBpDSVEuTkFTREFRR006QUdJWC5JUV9WV0FQLgEAAAAj9wBwAgAAAAUzMi45NAD2wPGZkdndCPbA8ZmR2d0IGkNJUS5FU1RDLklRX01BUktFVENBUC4uVVNEAQAAAICEWw0CAAAACzc2NTkuNzM1MDA4AQYAAAAFAAAAATEBAAAACy0xOTM4ODAwODM0AwAAAAMxNjACAAAABjEwMDA1NAQAAAABMAcAAAAJOC8xMS8yMDI19sDxmZHZ3Qj2wPGZkdndCBVDSVEuTFNFOlJCT1QuSVFfVldBUC4BAAAAjnskFAIAAAAJMTUuMTQzMjE5APbA8ZmR2d0I9sDxmZHZ3QgcQ0lRLkFSQ0E6VEhOUS5JUV9DTE9TRVBSSUNFLgEAAACuw34kAgAAAAU1NS44MQD2wPGZkdndCPbA8ZmR2d0IJ0NJUS5OQVNEQVFHTTpXSVNFLklRX1NIQVJFU09VVFNUQU5ESU5HLgEAAADpsENuAgAAAAQwLjg2</t>
  </si>
  <si>
    <t>APbA8ZmR2d0I9sDxmZHZ3QgZQ0lRLkRCOlhCMFQuSVFfTUFSS0VUQ0FQLgEAAADTM94pAgAAAAg3Ny4zNTgyNgD2wPGZkdndCPbA8ZmR2d0IGkNJUS5PUkNMLklRX01BUktFVENBUC4uVVNEAQAAAOdWAAACAAAADDcwOTczNS45MjI0NAEGAAAABQAAAAExAQAAAAstMTkzNzg4ODc0MAMAAAADMTYwAgAAAAYxMDAwNTQEAAAAATAHAAAACTgvMTEvMjAyNfbA8ZmR2d0I9sDxmZHZ3QgbQ0lRLkxTRTpSQk9ULklRX0NMT1NFUFJJQ0UuAQAAAI57JBQCAAAABTE1LjA3APbA8ZmR2d0I9sDxmZHZ3QgiQ0lRLkFSQ0E6QUlTLklRX1NIQVJFU09VVFNUQU5ESU5HLgEAAACYl59wAgAAAAMwLjgA9sDxmZHZ3Qj2wPGZkdndCBxDSVEuTkFTREFRR006Uk9CVC5JUV9WT0xVTUUuAQAAAFxj2SACAAAACDAuMDc4OTA2APbA8ZmR2d0I9sDxmZHZ3QgaQ0lRLkFTWDpSQlRaLklRX01BUktFVENBUC4BAAAAKe12IgIAAAAKMzAxLjgxMTMwNAD2wPGZkdndCPbA8ZmR2d0IGkNJUS5DRkxULklRX01BUktFVENBUC4uVVNEAQAAACYBehACAAAACzU0ODQuODc4OTgxAQYAAAAFAAAAATEBAAAACy0xOTM0MTcwNTU1AwAAAAMxNjACAAAABjEwMDA1NAQAAAABMAcAAAAJOC8xMS8yMDI19sDxmZHZ3Qj2wPGZkdndCCdDSVEuTkFTREFRR006RkRUWC5JUV9TSEFSRVNPVVRTVEFORElORy4BAAAAvaWdJgIAAAAINC42ODg0NjkA9sDxmZHZ</t>
  </si>
  <si>
    <t>3Qj2wPGZkdndCBhDSVEuQVJDQTpBUlRZLklRX1ZPTFVNRS4BAAAAbh9pIQIAAAAHMC40Mzc2MQD2wPGZkdndCPbA8ZmR2d0IGkNJUS5BVkdPLklRX01BUktFVENBUC4uVVNEAQAAAPC2fQECAAAADjE0MjkzODQuODMwNTE4AQYAAAAFAAAAATEBAAAACy0xOTM4NTU3MjYwAwAAAAMxNjACAAAABjEwMDA1NAQAAAABMAcAAAAJOC8xMS8yMDI19sDxmZHZ3Qj2wPGZkdndCCBDSVEuTkFTREFRR006RkRUWC5JUV9DTE9TRVBSSUNFLgEAAAC9pZ0mAgAAAAczOC43NzA5AFnW8ZmR2d0IWdbxmZHZ3QgjQ0lRLkFSQ0E6VEhOUS5JUV9TSEFSRVNPVVRTVEFORElORy4BAAAArsN+JAIAAAAFMy43MjUA9sDxmZHZ3Qj2wPGZkdndCBpDSVEuU05QUy5JUV9NQVJLRVRDQVAuLlVTRAEAAADUiAAAAgAAAA0xMTQwMDkuMDg0Mzk2AQYAAAAFAAAAATEBAAAACy0xOTQwNTcyMjQ3AwAAAAMxNjACAAAABjEwMDA1NAQAAAABMAcAAAAJOC8xMS8yMDI19sDxmZHZ3Qj2wPGZkdndCBlDSVEuTkFTREFRR006QUlRLklRX1ZXQVAuAQAAAOncYiECAAAABTQ0Ljg3APbA8ZmR2d0I9sDxmZHZ3QgcQ0lRLk5BU0RBUUdNOldJU0UuSVFfVk9MVU1FLgEAAADpsENuAgAAAAgwLjAxNTEyOQD2wPGZkdndCPbA8ZmR2d0IGENJUS5NVS5JUV9NQVJLRVRDQVAuLlVTRAEAAAAGaQQAAgAAAA0xMzg0NTguMTU3NDk2AQYAAAAFAAAAATEBAAAACy0x</t>
  </si>
  <si>
    <t>OTM3MTc2MDgyAwAAAAMxNjACAAAABjEwMDA1NAQAAAABMAcAAAAJOC8xMS8yMDI19sDxmZHZ3Qj2wPGZkdndCBtDSVEuQklUOldUQUkuSVFfQ0xPU0VQUklDRS4BAAAATbpbIwIAAAAFNjUuNTYAWdbxmZHZ3QhZ1vGZkdndCB9DSVEuTkFTREFRR006U01ILklRX0NMT1NFUFJJQ0UuAQAAAGDCNgACAAAABTI5My40AFnW8ZmR2d0IWdbxmZHZ3QghQ0lRLkRCOlhCMFQuSVFfU0hBUkVTT1VUU1RBTkRJTkcuAQAAANMz3ikCAAAABDQuMDkA9sDxmZHZ3Qj2wPGZkdndCBhDSVEuQVJDQTpMUk5aLklRX1ZPTFVNRS4BAAAAtXbDJgIAAAAIMC4wMDk4MzcA9sDxmZHZ3Qj2wPGZkdndCBpDSVEuREI6WEIwVC5JUV9DTE9TRVBSSUNFLgEAAADTM94pAgAAAAYxOC45MTQAWdbxmZHZ3QhZ1vGZkdndCCBDSVEuTkFTREFRR006Qk9UWi5JUV9DTE9TRVBSSUNFLgEAAAD3/QgWAgAAAAUzMy4zMQBZ1vGZkdndCFnW8ZmR2d0IHENJUS5OQVNEQVFHTTpGRFRYLklRX1ZPTFVNRS4BAAAAvaWdJgIAAAAGMC4wMjM0APbA8ZmR2d0I9sDxmZHZ3QgjQ0lRLkFSQ0E6SUdQVC5JUV9TSEFSRVNPVVRTVEFORElORy4BAAAAzAJeAQIAAAADOS45APbA8ZmR2d0I9sDxmZHZ3QgXQ0lRLkxTRTpSQk9ULklRX1ZPTFVNRS4BAAAAjnskFAIAAAAIMC4wNTg4OTQA9sDxmZHZ3Qj2wPGZkdndCB9DSVEuTkFTREFRR006RkRUWC5JUV9NQVJLRVRD</t>
  </si>
  <si>
    <t>QVAuAQAAAL2lnSYCAAAACjE4MS43NzYxNjMA9sDxmZHZ3Qj2wPGZkdndCBlDSVEuTVUuSVFfQ0xPU0VQUklDRS4uVVNEAQAAAAZpBAACAAAABjEyMy43MgD2wPGZkdndCPbA8ZmR2d0IGUNJUS5aUy5JUV9DTE9TRVBSSUNFLi5VU0QBAAAA1MyBAwIAAAAGMjcxLjE4APbA8ZmR2d0I9sDxmZHZ3QgbQ0lRLk9SQ0wuSVFfQ0xPU0VQUklDRS4uVVNEAQAAAOdWAAACAAAABjI1Mi42OAD2wPGZkdndCPbA8ZmR2d0IGkNJUS5RQ09NLklRX01BUktFVENBUC4uVVNEAQAAANWCAAACAAAADTE1OTY4MC4xMzcxNjIBBgAAAAUAAAABMQEAAAALLTE5MzQyNTQyNTEDAAAAAzE2MAIAAAAGMTAwMDU0BAAAAAEwBwAAAAk4LzExLzIwMjX2wPGZkdndCPbA8ZmR2d0IGkNJUS5SQkxYLklRX01BUktFVENBUC4uVVNEAQAAAGlV9AECAAAACzkwNjM1LjA2Njg5AQYAAAAFAAAAATEBAAAACy0xOTM0MTI1NDU1AwAAAAMxNjACAAAABjEwMDA1NAQAAAABMAcAAAAJOC8xMS8yMDI19sDxmZHZ3Qj2wPGZkdndCBVDSVEuQVNYOlJCVFouSVFfVldBUC4BAAAAKe12IgIAAAAHMTQuNTg0NAD2wPGZkdndCPbA8ZmR2d0IHENJUS5BUkNBOkxPVVAuSVFfQ0xPU0VQUklDRS4BAAAAWVwPIgIAAAAHNjQuMDkzNgBZ1vGZkdndCFnW8ZmR2d0IFkNJUS5CQVRTOldUQUkuSVFfVldBUC4BAAAAYE5vZAIAAAAFMjUuNTUA9sDxmZHZ3Qj2wPGZkdnd</t>
  </si>
  <si>
    <t>CB5DSVEuTkFTREFRR006UVFRLklRX01BUktFVENBUC4BAAAADrp7AAIAAAALMzY2MTM3LjA3NzUBBgAAAAUAAAABMQEAAAALLTE5NjM3MTQ2MzYDAAAAAzE2MAIAAAAGMTAwMDU0BAAAAAEwBwAAAAk4LzExLzIwMjX2wPGZkdndCPbA8ZmR2d0IIkNJUS5CQVRTOklHVi5JUV9TSEFSRVNPVVRTVEFORElORy4BAAAAzTqGAAIAAAADMTA4APbA8ZmR2d0I9sDxmZHZ3QgcQ0lRLk5BU0RBUUdNOkJPVFouSVFfVk9MVU1FLgEAAAD3/QgWAgAAAAgwLjQxMTY4OQD2wPGZkdndCPbA8ZmR2d0IG0NJUS5DRkxULklRX0NMT1NFUFJJQ0UuLlVTRAEAAAAmAXoQAgAAAAUxNS45MQD2wPGZkdndCPbA8ZmR2d0IG0NJUS5FU1RDLklRX0NMT1NFUFJJQ0UuLlVTRAEAAACAhFsNAgAAAAU3Mi41NAD2wPGZkdndCPbA8ZmR2d0IGkNJUS5OT1cuSVFfQ0xPU0VQUklDRS4uVVNEAQAAAL90XgECAAAABjg1Ni4zNwD2wPGZkdndCPbA8ZmR2d0IGkNJUS5OQklTLklRX01BUktFVENBUC4uVVNEAQAAAL/7GQMCAAAACzE2NzY2Ljg4NzkyAQYAAAAFAAAAATEBAAAACy0xOTMyODI5MDg3AwAAAAMxNjACAAAABjEwMDA1NAQAAAABMAcAAAAJOC8xMS8yMDI19sDxmZHZ3Qj2wPGZkdndCBtDSVEuQVJDQTpBSVMuSVFfQ0xPU0VQUklDRS4BAAAAmJefcAIAAAAHMjkuNzM3NgBZ1vGZkdndCFnW8ZmR2d0IG0NJUS5CQVRTOklHVi5JUV9DTE9T</t>
  </si>
  <si>
    <t>RVBSSUNFLgEAAADNOoYAAgAAAAYxMDguMzcAWdbxmZHZ3QhZ1vGZkdndCCNDSVEuWFRSQTpYQUlYLklRX1NIQVJFU09VVFNUQU5ESU5HLgEAAAA17OIiAgAAAAkzNS43MDkwNjkA9sDxmZHZ3Qj2wPGZkdndCBpDSVEuUExUUi5JUV9NQVJLRVRDQVAuLlVTRAEAAABl+pgCAgAAAA00MzMzNzkuNTEzNDY4AQYAAAAFAAAAATEBAAAACy0xOTMzMzI4NzA4AwAAAAMxNjACAAAABjEwMDA1NAQAAAABMAcAAAAJOC8xMS8yMDI19sDxmZHZ3Qj2wPGZkdndCBVDSVEuQklUOldUQUkuSVFfVldBUC4BAAAATbpbIwIAAAAHNjUuMzc3OQD2wPGZkdndCPbA8ZmR2d0IGkNJUS5OQVNEQVFHTTpST0JULklRX1ZXQVAuAQAAAFxj2SACAAAABTQ5LjM4APbA8ZmR2d0I9sDxmZHZ3QgbQ0lRLkRET0cuSVFfQ0xPU0VQUklDRS4uVVNEAQAAALuhBAgCAAAABjEyOC44MwD2wPGZkdndCPbA8ZmR2d0IG0NJUS5URUFNLklRX0NMT1NFUFJJQ0UuLlVTRAEAAABSEyIPAgAAAAYxNTkuMjgA9sDxmZHZ3Qj2wPGZkdndCBpDSVEuU0FQLklRX0NMT1NFUFJJQ0UuLlVTRAEAAAAL7gEAAgAAAA8yODkuMTM0OTcyMTc0ODUAWdbxmZHZ3QhZ1vGZkdndCBpDSVEuVFNMQS5JUV9NQVJLRVRDQVAuLlVTRAEAAAAQxqIBAgAAAA4xMDkzNTIzLjkzNjgzOAEGAAAABQAAAAExAQAAAAstMTkzNDg0MTk3OAMAAAADMTYwAgAAAAYxMDAwNTQEAAAAATAH</t>
  </si>
  <si>
    <t>AAAACTgvMTEvMjAyNfbA8ZmR2d0I9sDxmZHZ3QgfQ0lRLk5BU0RBUUdNOkFJUS5JUV9DTE9TRVBSSUNFLgEAAADp3GIhAgAAAAU0NC42OABZ1vGZkdndCFnW8ZmR2d0IJkNJUS5OQVNEQVFHTTpRUVEuSVFfU0hBUkVTT1VUU1RBTkRJTkcuAQAAAA66ewACAAAABjYzOS4xNQD2wPGZkdndCPbA8ZmR2d0II0NJUS5BUkNBOkNIQVQuSVFfU0hBUkVTT1VUU1RBTkRJTkcuAQAAAAAwNW0CAAAABTcuNTI1APbA8ZmR2d0I9sDxmZHZ3QgYQ0lRLkFSQ0E6Q0hBVC5JUV9WT0xVTUUuAQAAAAAwNW0CAAAACDAuMzM0Nzc2APbA8ZmR2d0I9sDxmZHZ3QgaQ0lRLkJJVDpXVEFJLklRX01BUktFVENBUC4BAAAATbpbIwIAAAAKNzg3LjM1MTM0MwD2wPGZkdndCPbA8ZmR2d0IH0NJUS5OQVNEQVFHTTpST0JULklRX01BUktFVENBUC4BAAAAXGPZIAIAAAAKNTA1LjQyMTA5OAD2wPGZkdndCPbA8ZmR2d0IG0NJUS5NU0ZULklRX0NMT1NFUFJJQ0UuLlVTRAEAAABLVQAAAgAAAAY1MjEuNzcA9sDxmZHZ3Qj2wPGZkdndCBhDSVEuWlMuSVFfTUFSS0VUQ0FQLi5VU0QBAAAA1MyBAwIAAAAMNDIyMjEuNTUyMzMzAQYAAAAFAAAAATEBAAAACy0xOTM5NTM4MzkyAwAAAAMxNjACAAAABjEwMDA1NAQAAAABMAcAAAAJOC8xMS8yMDI19sDxmZHZ3Qj2wPGZkdndCBlDSVEuSU9ULklRX01BUktFVENBUC4uVVNEAQAAALo+/BECAAAADDE4</t>
  </si>
  <si>
    <t>NTAzLjQxODM3NQEGAAAABQAAAAExAQAAAAstMTkzODczODMwNAMAAAADMTYwAgAAAAYxMDAwNTQEAAAAATAHAAAACTgvMTEvMjAyNfbA8ZmR2d0I9sDxmZHZ3QgbQ0lRLkxTRTpBSUFHLklRX0NMT1NFUFJJQ0UuAQAAAPCdgiQCAAAABjE4LjUwOABZ1vGZkdndCFnW8ZmR2d0IIENJUS5OQVNEQVFHTTpXSVNFLklRX0NMT1NFUFJJQ0UuAQAAAOmwQ24CAAAABzM4Ljk2MzQAWdbxmZHZ3QhZ1vGZkdndCBtDSVEuQURCRS5JUV9DTE9TRVBSSUNFLi5VU0QBAAAAAV8AAAIAAAAGMzMzLjY1APbA8ZmR2d0I9sDxmZHZ3QgfQ0lRLlRXU0U6MjQ1NC5JUV9NQVJLRVRDQVAuLlVTRAEAAAA9N1wAAgAAABA3MjA0OS41NjA5NTA4NDY1AQYAAAAFAAAAATEBAAAACy0xOTM0MzU1NDkxAwAAAAMxNjACAAAABjEwMDA1NAQAAAABMAcAAAAJOC8xMS8yMDI19sDxmZHZ3Qj2wPGZkdndCBlDSVEuTURCLklRX01BUktFVENBUC4uVVNEAQAAAOJuzAICAAAADDE2NDI0LjU3NjkxMwEGAAAABQAAAAExAQAAAAstMTkzOTM3MDIxNgMAAAADMTYwAgAAAAYxMDAwNTQEAAAAATAHAAAACTgvMTEvMjAyNfbA8ZmR2d0I9sDxmZHZ3QgaQ0lRLkFEQkUuSVFfTUFSS0VUQ0FQLi5VU0QBAAAAAV8AAAIAAAAJMTQxNTM0LjMzAQYAAAAFAAAAATEBAAAACy0xOTM3MjM4MzkzAwAAAAMxNjACAAAABjEwMDA1NAQAAAABMAcAAAAJOC8xMS8yMDI1</t>
  </si>
  <si>
    <t>9sDxmZHZ3Qj2wPGZkdndCBVDSVEuTFNFOkFJQUcuSVFfVldBUC4BAAAA8J2CJAIAAAAJMTguNDY5OTg4APbA8ZmR2d0I9sDxmZHZ3QgWQ0lRLkFSQ0E6SUdQVC5JUV9WV0FQLgEAAADMAl4BAgAAAAQ1MC40APbA8ZmR2d0I9sDxmZHZ3QgYQ0lRLkJBVFM6V1RBSS5JUV9WT0xVTUUuAQAAAGBOb2QCAAAACDAuMTUwNDc2APbA8ZmR2d0I9sDxmZHZ3QgaQ0lRLkJBVFM6SUdWLklRX01BUktFVENBUC4BAAAAzTqGAAIAAAAIMTE3MDMuOTYBBgAAAAUAAAABMQEAAAALLTE5Mzg3MDczMjYDAAAAAzE2MAIAAAAGMTAwMDU0BAAAAAEwBwAAAAk4LzExLzIwMjX2wPGZkdndCPbA8ZmR2d0II0NJUS5LT1NFOkEwMDA2NjAuSVFfQ0xPU0VQUklDRS4uVVNEAQAAAJ16DQACAAAACTE5MS43NTY3MwBZ1vGZkdndCFnW8ZmR2d0IGkNJUS5BTkVULklRX01BUktFVENBUC4uVVNEAQAAAMPb/AECAAAADTE3MzAwNy41MTk2OTUBBgAAAAUAAAABMQEAAAALLTE5MzMwNTIxMzEDAAAAAzE2MAIAAAAGMTAwMDU0BAAAAAEwBwAAAAk4LzExLzIwMjX2wPGZkdndCPbA8ZmR2d0IGkNJUS5EVU9MLklRX01BUktFVENBUC4uVVNEAQAAALDwhwwCAAAADDE1NjA2LjQ4MzMwNQEGAAAABQAAAAExAQAAAAstMTkzMjIxODg5NAMAAAADMTYwAgAAAAYxMDAwNTQEAAAAATAHAAAACTgvMTEvMjAyNfbA8ZmR2d0I9sDxmZHZ3QgWQ0lRLkFSQ0E6</t>
  </si>
  <si>
    <t>Q0hBVC5JUV9WV0FQLgEAAAAAMDVtAgAAAAU1NC4xNAD2wPGZkdndCPbA8ZmR2d0IG0NJUS5OQVNEQVFHTTpRUVEuSVFfVk9MVU1FLgEAAAAOunsAAgAAAAkzMy4xMTI5MTcA9sDxmZHZ3Qj2wPGZkdndCBtDSVEuVFNMQS5JUV9DTE9TRVBSSUNFLi5VU0QBAAAAEMaiAQIAAAAGMzM5LjAzAPbA8ZmR2d0I9sDxmZHZ3QgjQ0lRLk5BU0RBUUdTOkFTTUwuSVFfTUFSS0VUQ0FQLi5VU0QBAAAAKO8FAAIAAAAQMjgxNTg4Ljg5MTcxMzIzOQEGAAAABQAAAAExAQAAAAstMTkzNTMwNzQ0MAMAAAADMTYwAgAAAAYxMDAwNTQEAAAAATAHAAAACTgvMTEvMjAyNfbA8ZmR2d0I9sDxmZHZ3QgZQ0lRLk5PVy5JUV9NQVJLRVRDQVAuLlVTRAEAAAC/dF4BAgAAAAwxNzc3MTMuMDQ2MDMBBgAAAAUAAAABMQEAAAALLTE5MzQ5MzI3MzEDAAAAAzE2MAIAAAAGMTAwMDU0BAAAAAEwBwAAAAk4LzExLzIwMjVZ1vGZkdndCFnW8ZmR2d0IFkNJUS5BUkNBOlRITlEuSVFfVldBUC4BAAAArsN+JAIAAAAFNTYuMTYAWdbxmZHZ3QhZ1vGZkdndCBZDSVEuQVJDQTpBUlRZLklRX1ZXQVAuAQAAAG4faSECAAAABTQyLjYxAFnW8ZmR2d0IWdbxmZHZ3QgfQ0lRLk5BU0RBUUdNOldJU0UuSVFfTUFSS0VUQ0FQLgEAAADpsENuAgAAAAkzMy41MDg1MjQAWdbxmZHZ3QhZ1vGZkdndCBtDSVEuUExUUi5JUV9DTE9TRVBSSUNFLi5VU0QBAAAAZfqY</t>
  </si>
  <si>
    <t>AgIAAAAGMTgyLjY4AFnW8ZmR2d0IWdbxmZHZ3QgZQ0lRLkFSTS5JUV9NQVJLRVRDQVAuLlVTRAEAAAAs58UnAgAAAAkxNDkzNzEuOTUBBgAAAAUAAAABMQEAAAALLTE5MzQyNTQ0MDcDAAAAAzE2MAIAAAAGMTAwMDU0BAAAAAEwBwAAAAk4LzExLzIwMjVZ1vGZkdndCFnW8ZmR2d0IGkNJUS5NU0ZULklRX01BUktFVENBUC4uVVNEAQAAAEtVAAACAAAADjM4Nzg0MDMuMjIxNTcxAQYAAAAFAAAAATEBAAAACy0xOTM0MjQ3NzkzAwAAAAMxNjACAAAABjEwMDA1NAQAAAABMAcAAAAJOC8xMS8yMDI1WdbxmZHZ3QhZ1vGZkdndCBtDSVEuQVJDQTpJR1BULklRX01BUktFVENBUC4BAAAAzAJeAQIAAAAHNDk3LjE3OAEGAAAABQAAAAExAQAAAAstMTkzNjUxMTE5NQMAAAADMTYwAgAAAAYxMDAwNTQEAAAAATAHAAAACTgvMTEvMjAyNVnW8ZmR2d0IWdbxmZHZ3QgjQ0lRLkFSQ0E6TE9VUC5JUV9TSEFSRVNPVVRTVEFORElORy4BAAAAWVwPIgIAAAAIMS42MDAwMDEAWdbxmZHZ3QhZ1vGZkdndCBhDSVEuQVJDQTpMT1VQLklRX1ZPTFVNRS4BAAAAWVwPIgIAAAAIMC4wMDgwODkAWdbxmZHZ3QhZ1vGZkdndCBtDSVEuQVZHTy5JUV9DTE9TRVBSSUNFLi5VU0QBAAAA8LZ9AQIAAAAFMzAzLjkAWdbxmZHZ3QhZ1vGZkdndCB9DSVEuVFdTRToyMzMwLklRX01BUktFVENBUC4uVVNEAQAAAKvMBQACAAAAEDEwMjA4NjYuOTI0</t>
  </si>
  <si>
    <t>NDEyNTQBBgAAAAUAAAABMQEAAAALLTE5MzU0OTczNDEDAAAAAzE2MAIAAAAGMTAwMDU0BAAAAAEwBwAAAAk4LzExLzIwMjVZ1vGZkdndCFnW8ZmR2d0IGkNJUS5ERE9HLklRX01BUktFVENBUC4uVVNEAQAAALuhBAgCAAAADDQ0OTI4LjgzNDU4MwEGAAAABQAAAAExAQAAAAstMTkzMjM1Njc4MAMAAAADMTYwAgAAAAYxMDAwNTQEAAAAATAHAAAACTgvMTEvMjAyNVnW8ZmR2d0IWdbxmZHZ3QgXQ0lRLkFTWDpSQlRaLklRX1ZPTFVNRS4BAAAAKe12IgIAAAAIMC4wNDE3MTIAWdbxmZHZ3QhZ1vGZkdndCBtDSVEuTkFTREFRR006QUlRLklRX1ZPTFVNRS4BAAAA6dxiIQIAAAAHMS40OTkzNQBZ1vGZkdndCFnW8ZmR2d0IGkNJUS5BUkNBOkFJUy5JUV9NQVJLRVRDQVAuAQAAAJiXn3ACAAAACDIzLjc5MDA4AFnW8ZmR2d0IWdbxmZHZ3QgnQ0lRLk5BU0RBUUdNOkJPVFouSVFfU0hBUkVTT1VUU1RBTkRJTkcuAQAAAPf9CBYCAAAABTgzLjY2AFnW8ZmR2d0IWdbxmZHZ3QgbQ0lRLkdUTEIuSVFfQ0xPU0VQUklDRS4uVVNEAQAAAM2EFxECAAAABTM4LjgyAFnW8ZmR2d0IWdbxmZHZ3QgbQ0lRLlNOUFMuSVFfQ0xPU0VQUklDRS4uVVNEAQAAANSIAAACAAAABjYxNi4xMgBZ1vGZkdndCFnW8ZmR2d0IGkNJUS5QU1RHLklRX01BUktFVENBUC4uVVNEAQAAALjKpQYCAAAADDE4NzQwLjUyODQxNwEGAAAABQAAAAExAQAA</t>
  </si>
  <si>
    <t>AAstMTkzODYxNDkwMgMAAAADMTYwAgAAAAYxMDAwNTQEAAAAATAHAAAACTgvMTEvMjAyNVnW8ZmR2d0IWdbxmZHZ3QgXQ0lRLkJJVDpXVEFJLklRX1ZPTFVNRS4BAAAATbpbIwIAAAAIMC4wMDg5NDYAWdbxmZHZ3QhZ1vGZkdndCBtDSVEuTkFTREFRR006U01ILklRX1ZPTFVNRS4BAAAAYMI2AAIAAAAINS43OTk3MzgAWdbxmZHZ3QhZ1vGZkdndCBtDSVEuQVJDQTpMT1VQLklRX01BUktFVENBUC4BAAAAWVwPIgIAAAAKMTAyLjU0OTgyNABZ1vGZkdndCFnW8ZmR2d0IGkNJUS5OQVNEQVFHTTpXSVNFLklRX1ZXQVAuAQAAAOmwQ24CAAAABTM5LjI0AFnW8ZmR2d0IWdbxmZHZ3QgiQ0lRLkFTWDpSQlRaLklRX1NIQVJFU09VVFNUQU5ESU5HLgEAAAAp7XYiAgAAAAkyMC43NzE1OTcAWdbxmZHZ3QhZ1vGZkdndCCZDSVEuTkFTREFRR006U01ILklRX1NIQVJFU09VVFNUQU5ESU5HLgEAAABgwjYAAgAAAAk5NC40OTE4NzQAWdbxmZHZ3QhZ1vGZkdndCBtDSVEuTVJWTC5JUV9DTE9TRVBSSUNFLi5VU0QBAAAAtnkAAAIAAAAFNzcuMjgAWdbxmZHZ3QhZ1vGZkdndCBpDSVEuUEFOVy5JUV9NQVJLRVRDQVAuLlVTRAEAAACDfYQBAgAAAA0xMTIzMjYuNzUzNzMyAQYAAAAFAAAAATEBAAAACy0xOTQyMTAyODQzAwAAAAMxNjACAAAABjEwMDA1NAQAAAABMAcAAAAJOC8xMS8yMDI1WdbxmZHZ3QhZ1vGZkdndCBpDSVEu</t>
  </si>
  <si>
    <t>VEVBTS5JUV9NQVJLRVRDQVAuLlVTRAEAAABSEyIPAgAAAAw0MTgxMS45Mjk3MTcBBgAAAAUAAAABMQEAAAALLTE5MzI3MDkxMDkDAAAAAzE2MAIAAAAGMTAwMDU0BAAAAAEwBwAAAAk4LzExLzIwMjVZ1vGZkdndCFnW8ZmR2d0IHENJUS5OQVNEQVFHTTpBR0lYLklRX1ZPTFVNRS4BAAAAI/cAcAIAAAAIMC4wMjQ2MDYAWdbxmZHZ3QhZ1vGZkdndCBtDSVEuQVJDQTpDSEFULklRX01BUktFVENBUC4BAAAAADA1bQIAAAAJNDA1LjM3MTc1AFnW8ZmR2d0IWdbxmZHZ3QgaQ0lRLk5BU0RBUUdNOkZEVFguSVFfVldBUC4BAAAAvaWdJgIAAAAFMzkuMTUAWdbxmZHZ3QhZ1vGZkdndCBxDSVEuQkFUUzpXVEFJLklRX0NMT1NFUFJJQ0UuAQAAAGBOb2QCAAAABDI1LjQAWdbxmZHZ3QhZ1vGZkdndCBpDSVEuTkFTREFRR006Qk9UWi5JUV9WV0FQLgEAAAD3/QgWAgAAAAQzMy40AFnW8ZmR2d0IWdbxmZHZ3QgiQ0lRLkxTRTpBSUFHLklRX1NIQVJFU09VVFNUQU5ESU5HLgEAAADwnYIkAgAAAAk0MS43NzMzNjIAWdbxmZHZ3QhZ1vGZkdndCBhDSVEuWFRSQTpYQUlYLklRX1ZPTFVNRS4BAAAANeziIgIAAAAIMC4wNjMxNDUAWdbxmZHZ3QhZ1vGZkdndCBtDSVEuQU1aTi5JUV9DTE9TRVBSSUNFLi5VU0QBAAAAPUkAAAIAAAAFMjIxLjMAWdbxmZHZ3QhZ1vGZkdndCBtDSVEuUkJMWC5JUV9DTE9TRVBSSUNFLi5VU0QBAAAA</t>
  </si>
  <si>
    <t>aVX0AQIAAAAGMTMwLjc0AFnW8ZmR2d0IWdbxmZHZ3QgaQ0lRLkdUTEIuSVFfTUFSS0VUQ0FQLi5VU0QBAAAAzYQXEQIAAAAINjQxMy4wNjQBBgAAAAUAAAABMQEAAAALLTE5Mzg2NzM4MTgDAAAAAzE2MAIAAAAGMTAwMDU0BAAAAAEwBwAAAAk4LzExLzIwMjVZ1vGZkdndCFnW8ZmR2d0IGkNJUS5TSE9QLklRX01BUktFVENBUC4uVVNEAQAAAAYrBAUCAAAADTE5MTY5OS45NjA2MjUBBgAAAAUAAAABMQEAAAALLTE5MzMxMjQwMDADAAAAAzE2MAIAAAAGMTAwMDU0BAAAAAEwBwAAAAk4LzExLzIwMjVZ1vGZkdndCFnW8ZmR2d0IIkNJUS5LT1NFOkEwMDA2NjAuSVFfTUFSS0VUQ0FQLi5VU0QBAAAAnXoNAAIAAAAQMTMyMzc4LjIwOTY0NjE4NwEGAAAABQAAAAExAQAAAAstMTkzNDc1NTMzMAMAAAADMTYwAgAAAAYxMDAwNTQEAAAAATAHAAAACTgvMTEvMjAyNVnW8ZmR2d0IWdbxmZHZ3QgZQ0lRLk5FVC5JUV9NQVJLRVRDQVAuLlVTRAEAAAA09eAEAgAAAAw3MDEwNC4wNDA4NTcBBgAAAAUAAAABMQEAAAALLTE5MzQwMTg1NzADAAAAAzE2MAIAAAAGMTAwMDU0BAAAAAEwBwAAAAk4LzExLzIwMjVZ1vGZkdndCFnW8ZmR2d0IGkNJUS5NRVRBLklRX01BUktFVENBUC4uVVNEAQAAABfbPAECAAAADjE5MjM5NzMuNzkxNDU4AQYAAAAFAAAAATEBAAAACy0xOTM0MDY1NDM3AwAAAAMxNjACAAAABjEwMDA1NAQAAAAB</t>
  </si>
  <si>
    <t>MAcAAAAJOC8xMS8yMDI1WdbxmZHZ3QhZ1vGZkdndCBtDSVEuTlZEQS5JUV9DTE9TRVBSSUNFLi5VU0QBAAAAM34AAAIAAAAGMTgyLjA2AFnW8ZmR2d0IWdbxmZHZ3QgbQ0lRLlBBTlcuSVFfQ0xPU0VQUklDRS4uVVNEAQAAAIN9hAECAAAABjE2OC4xNwBZ1vGZkdndCFnW8ZmR2d0IGkNJUS5NREIuSVFfQ0xPU0VQUklDRS4uVVNEAQAAAOJuzAICAAAAAzIwMQBZ1vGZkdndCFnW8ZmR2d0IG0NJUS5TTk9XLklRX0NMT1NFUFJJQ0UuLlVTRAEAAACwPGQQAgAAAAUxOTEuOABZ1vGZkdndCFnW8ZmR2d0IGkNJUS5BUFAuSVFfQ0xPU0VQUklDRS4uVVNEAQAAANq5zg0CAAAABjQ2NS41OABZ1vGZkdndCFnW8ZmR2d0IGkNJUS5URU0uSVFfQ0xPU0VQUklDRS4uVVNEAQAAAADTJBkCAAAABTYwLjgyAFnW8ZmR2d0IWdbxmZHZ3QgbQ0lRLlFDT00uSVFfQ0xPU0VQUklDRS4uVVNEAQAAANWCAAACAAAABjE0Ny45NwBZ1vGZkdndCFnW8ZmR2d0IGkNJUS5WUlQuSVFfQ0xPU0VQUklDRS4uVVNEAQAAAESbhyICAAAABjEzOS44MwBZ1vGZkdndCFnW8ZmR2d0IIENJUS5UV1NFOjIzMzAuSVFfQ0xPU0VQUklDRS4uVVNEAQAAAKvMBQACAAAACzM5LjM2NjEzODEyAFnW8ZmR2d0IWdbxmZHZ3QgbQ0lRLkFORVQuSVFfQ0xPU0VQUklDRS4uVVNEAQAAAMPb/AECAAAABjEzNy42NQBZ1vGZkdndCFnW8ZmR2d0IFkNJUS5EQjpY</t>
  </si>
  <si>
    <t>QjBULklRX1ZPTFVNRS4BAAAA0zPeKQMAAAAAAFnW8ZmR2d0IWdbxmZHZ3QgXQ0lRLkJBVFM6SUdWLklRX1ZPTFVNRS4BAAAAzTqGAAIAAAAINi4xMTI3NDMAWdbxmZHZ3QhZ1vGZkdndCBtDSVEuQVJDQTpBUlRZLklRX01BUktFVENBUC4BAAAAbh9pIQIAAAAJMTE5My4yNzg1AFnW8ZmR2d0IWdbxmZHZ3QgjQ0lRLkFSQ0E6TFJOWi5JUV9TSEFSRVNPVVRTVEFORElORy4BAAAAtXbDJgIAAAAEMC43OABZ1vGZkdndCFnW8ZmR2d0IGkNJUS5TTk9XLklRX01BUktFVENBUC4uVVNEAQAAALA8ZBACAAAADDYzOTk1LjYwMzA1NwEGAAAABQAAAAExAQAAAAstMTkzOTIwNzgxMAMAAAADMTYwAgAAAAYxMDAwNTQEAAAAATAHAAAACTgvMTEvMjAyNVnW8ZmR2d0IWdbxmZHZ3QgZQ0lRLlRFTS5JUV9NQVJLRVRDQVAuLlVTRAEAAAAA0yQZAgAAAAwxMDU2Ni4xMTAwNzgBBgAAAAUAAAABMQEAAAALLTE5MzI2MTY1NjEDAAAAAzE2MAIAAAAGMTAwMDU0BAAAAAEwBwAAAAk4LzExLzIwMjVZ1vGZkdndCFnW8ZmR2d0IG0NJUS5TSE9QLklRX0NMT1NFUFJJQ0UuLlVTRAEAAAAGKwQFAgAAAAUxNDcuNQBZ1vGZkdndCFnW8ZmR2d0IGkNJUS5JT1QuSVFfQ0xPU0VQUklDRS4uVVNEAQAAALo+/BECAAAABDMyLjUAWdbxmZHZ3QhZ1vGZkdndCBtDSVEuRFVPTC5JUV9DTE9TRVBSSUNFLi5VU0QBAAAAsPCHDAIAAAAGMzQwLjU5</t>
  </si>
  <si>
    <t>AFnW8ZmR2d0IWdbxmZHZ3QgaQ0lRLk1SVkwuSVFfTUFSS0VUQ0FQLi5VU0QBAAAAtnkAAAIAAAAJNjY2MzAuODE2AQYAAAAFAAAAATEBAAAACy0xOTQwMDAyOTMxAwAAAAMxNjACAAAABjEwMDA1NAQAAAABMAcAAAAJOC8xMS8yMDI1WdbxmZHZ3QhZ1vGZkdndCBlDSVEuVlJULklRX01BUktFVENBUC4uVVNEAQAAAESbhyICAAAADDUzMzk2LjQxNTYyNwEGAAAABQAAAAExAQAAAAstMTkzNDE5NTQzNQMAAAADMTYwAgAAAAYxMDAwNTQEAAAAATAHAAAACTgvMTEvMjAyNVnW8ZmR2d0IWdbxmZHZ3QgbQ0lRLlBTVEcuSVFfQ0xPU0VQUklDRS4uVVNEAQAAALjKpQYCAAAABTU3LjM0AFnW8ZmR2d0IWdbxmZHZ3QgaQ0lRLk5FVC5JUV9DTE9TRVBSSUNFLi5VU0QBAAAANPXgBAIAAAAGMjAxLjE3AFnW8ZmR2d0IWdbxmZHZ3QgbQ0lRLk5CSVMuSVFfQ0xPU0VQUklDRS4uVVNEAQAAAL/7GQMCAAAABTcwLjI0AFnW8ZmR2d0IWdbxmZHZ3QglQ0lRLk5BU0RBUUdTOkdPT0dMLklRX0NMT1NFUFJJQ0UuLlVTRAEAAACocQAAAgAAAAMyMDEAWdbxmZHZ3QhZ1vGZkdndCBpDSVEuQVJNLklRX0NMT1NFUFJJQ0UuLlVTRAEAAAAs58UnAgAAAAYxNDEuMDUAWdbxmZHZ3QhZ1vGZkdndCCBDSVEuVFdTRToyNDU0LklRX0NMT1NFUFJJQ0UuLlVTRAEAAAA9N1wAAgAAAAs0NS4yMDQzMzY1NwBZ1vGZkdndCFnW8ZmR2d0IJENJ</t>
  </si>
  <si>
    <t>US5OQVNEQVFHUzpBU01MLklRX0NMT1NFUFJJQ0UuLlVTRAEAAAAo7wUAAgAAAAY3MjEuMzEAWdbxmZHZ3QhZ1vGZkdndCBtDSVEuQUFQTC5JUV9DTE9TRVBSSUNFLi5VU0QBAAAAaWEAAAIAAAAGMjI3LjE4AFnW8ZmR2d0IWdbxmZHZ3QgXQ0lRLkFSQ0E6QUlTLklRX1ZPTFVNRS4BAAAAmJefcAIAAAAIMC4wNjIxNjQAWdbxmZHZ3QhZ1vGZkdndCBpDSVEuTFNFOkFJQUcuSVFfTUFSS0VUQ0FQLgEAAADwnYIkAgAAAAo3NzMuMTQxMzg0AFnW8ZmR2d0IWdbxmZHZ3QgbQ0lRLlhUUkE6WEFJWC5JUV9NQVJLRVRDQVAuAQAAADXs4iICAAAACzUwNDQuMjYzMDg3AFnW8ZmR2d0IWdbxmZHZ3QgZQ0lRLk5BU0RBUUdNOlNNSC5JUV9WV0FQLgEAAABgwjYAAgAAAAYyOTUuMjUAWdbxmZHZ3QhZ1vGZkdndCCNDSVEuQVJDQTpBUlRZLklRX1NIQVJFU09VVFNUQU5ESU5HLgEAAABuH2khAgAAAAUyOC4xNQBZ1vGZkdndCFnW8ZmR2d0IGkNJUS5BQVBMLklRX01BUktFVENBUC4uVVNEAQAAAGlhAAACAAAADDMzNzE0MzkuODAwMgEGAAAABQAAAAExAQAAAAstMTkzMzcwMzMwMwMAAAADMTYwAgAAAAYxMDAwNTQEAAAAATAHAAAACTgvMTEvMjAyNVnW8ZmR2d0IWdbxmZHZ3QgkQ0lRLk5BU0RBUUdTOkdPT0dMLklRX01BUktFVENBUC4uVVNEAQAAAKhxAAACAAAACTI0MzQzMTQuOQEGAAAABQAAAAExAQAAAAstMTkzNDky</t>
  </si>
  <si>
    <t>ODU1MQMAAAADMTYwAgAAAAYxMDAwNTQEAAAAATAHAAAACTgvMTEvMjAyNVnW8ZmR2d0IWdbxmZHZ3QgWQ0lRLkFSQ0E6TFJOWi5JUV9WV0FQLgEAAAC1dsMmAgAAAAU0MS43MQBZ1vGZkdndCFnW8ZmR2d0IGkNJUS5DUk0uSVFfQ0xPU0VQUklDRS4uVVNEAQAAACXgAQACAAAABjIzMi42OABZ1vGZkdndCFnW8ZmR2d0IGkNJUS5OVkRBLklRX01BUktFVENBUC4uVVNEAQAAADN+AAACAAAABzQ0NDIyNjQBBgAAAAUAAAABMQEAAAALLTE5NDA1NzIyNDkDAAAAAzE2MAIAAAAGMTAwMDU0BAAAAAEwBwAAAAk4LzExLzIwMjVZ1vGZkdndCFnW8ZmR2d0IGkNJUS5BTVpOLklRX01BUktFVENBUC4uVVNEAQAAAD1JAAACAAAADjIzNjAxNDUuMDQ3MDY2AQYAAAAFAAAAATEBAAAACy0xOTMzNzAzMjgwAwAAAAMxNjACAAAABjEwMDA1NAQAAAABMAcAAAAJOC8xMS8yMDI1WdbxmZHZ3QhZ1vGZkdndCCdDSVEuTFNFOlJCT1QuSVFfSE9MRElOR1NfRVFVSVRZX0FTU0VUUy4BAAAAjnskFAIAAAAHMzI5MS4zMgBZ1vGZkdndCFnW8ZmR2d0IJ0NJUS5MU0U6QUlBRy5JUV9IT0xESU5HU19FUVVJVFlfQVNTRVRTLgEAAADwnYIkAgAAAAY4MTAuNDMAWdbxmZHZ3QhZ1vGZkdndCCtDSVEuTkFTREFRR006QUlRLklRX0hPTERJTkdTX0VRVUlUWV9BU1NFVFMuAQAAAOncYiECAAAABzQyNTYuMDcAWdbxmZHZ3QhZ1vGZkdndCCxD</t>
  </si>
  <si>
    <t>SVEuTkFTREFRR006V0lTRS5JUV9IT0xESU5HU19FUVVJVFlfQVNTRVRTLgEAAADpsENuAgAAAAUzMS44MwBZ1vGZkdndCFnW8ZmR2d0ILENJUS5OQVNEQVFHTTpBR0lYLklRX0hPTERJTkdTX0VRVUlUWV9BU1NFVFMuAQAAACP3AHACAAAABTI4LjIyAFnW8ZmR2d0IWdbxmZHZ3QgsQ0lRLk5BU0RBUUdNOkZEVFguSVFfSE9MRElOR1NfRVFVSVRZX0FTU0VUUy4BAAAAvaWdJgIAAAAGMTg1LjAyAFnW8ZmR2d0IWdbxmZHZ3QgnQ0lRLkFTWDpSQlRaLklRX0hPTERJTkdTX0VRVUlUWV9BU1NFVFMuAQAAACntdiICAAAABTE5NS4yAFnW8ZmR2d0IWdbxmZHZ3QgnQ0lRLkJBVFM6SUdWLklRX0hPTERJTkdTX0VRVUlUWV9BU1NFVFMuAQAAAM06hgACAAAACDExMjYxLjI1AFnW8ZmR2d0IWdbxmZHZ3QgoQ0lRLkFSQ0E6Q0hBVC5JUV9IT0xESU5HU19FUVVJVFlfQVNTRVRTLgEAAAAAMDVtAgAAAAY0MjkuMzQAWdbxmZHZ3QhZ1vGZkdndCCdDSVEuQVJDQTpBSVMuSVFfSE9MRElOR1NfRVFVSVRZX0FTU0VUUy4BAAAAmJefcAIAAAAFMTYuOTUAWdbxmZHZ3QhZ1vGZkdndCCtDSVEuTkFTREFRR006UVFRLklRX0hPTERJTkdTX0VRVUlUWV9BU1NFVFMuAQAAAA66ewACAAAACTM2NjU5Ni44NQBZ1vGZkdndCFnW8ZmR2d0IKENJUS5BUkNBOlRITlEuSVFfSE9MRElOR1NfRVFVSVRZX0FTU0VUUy4BAAAArsN+JAIAAAAG</t>
  </si>
  <si>
    <t>MjE2Ljc3ACHr8ZmR2d0IIevxmZHZ3QgoQ0lRLkJBVFM6V1RBSS5JUV9IT0xESU5HU19FUVVJVFlfQVNTRVRTLgEAAABgTm9kAgAAAAYyMjQuNTcAIevxmZHZ3Qgh6/GZkdndCChDSVEuQVJDQTpBUlRZLklRX0hPTERJTkdTX0VRVUlUWV9BU1NFVFMuAQAAAG4faSECAAAABzEyNzAuMDkAIevxmZHZ3Qgh6/GZkdndCCxDSVEuTkFTREFRR006Qk9UWi5JUV9IT0xESU5HU19FUVVJVFlfQVNTRVRTLgEAAAD3/QgWAgAAAAcyODE4LjgzACHr8ZmR2d0IIevxmZHZ3QgoQ0lRLlhUUkE6WEFJWC5JUV9IT0xESU5HU19FUVVJVFlfQVNTRVRTLgEAAAA17OIiAgAAAAc0OTIxLjI2ACHr8ZmR2d0IIevxmZHZ3QgrQ0lRLk5BU0RBUUdNOlNNSC5JUV9IT0xESU5HU19FUVVJVFlfQVNTRVRTLgEAAABgwjYAAgAAAAgyNzIyNC42MgAh6/GZkdndCCHr8ZmR2d0IKENJUS5BUkNBOkxSTlouSVFfSE9MRElOR1NfRVFVSVRZX0FTU0VUUy4BAAAAtXbDJgIAAAAFMzIuNjYAIevxmZHZ3Qgh6/GZkdndCChDSVEuQVJDQTpMT1VQLklRX0hPTERJTkdTX0VRVUlUWV9BU1NFVFMuAQAAAFlcDyICAAAABjEwMy4wOAAh6/GZkdndCCHr8ZmR2d0IKENJUS5BUkNBOklHUFQuSVFfSE9MRElOR1NfRVFVSVRZX0FTU0VUUy4BAAAAzAJeAQIAAAAGNDk1Ljk4ACHr8ZmR2d0IIevxmZHZ3QgnQ0lRLkJJVDpXVEFJLklRX0hPTERJTkdTX0VRVUlU</t>
  </si>
  <si>
    <t>WV9BU1NFVFMuAQAAAE26WyMCAAAABjkxOS4yMwAh6/GZkdndCCHr8ZmR2d0ILENJUS5OQVNEQVFHTTpST0JULklRX0hPTERJTkdTX0VRVUlUWV9BU1NFVFMuAQAAAFxj2SACAAAABjUzNy4xNAAh6/GZkdndCCHr8ZmR2d0IJkNJUS5EQjpYQjBULklRX0hPTERJTkdTX0VRVUlUWV9BU1NFVFMuAQAAANMz3ikCAAAABjEwNi4yNwAh6/GZkdndCCHr8ZmR2d0IJENJUUFWRy5OQVNEQVFHTTpGRFRYLklRX1ZPTFVNRS4tMzBELgEAAAC9pZ0mAgAAABIwLjAxODQ4MTA5NTIzODA5NTIAIevxmZHZ3Qgh6/GZkdndCChDSVFBVkcuQVJDQTpDSEFULklRX1ZXQVAuMjAyMy8xMi8yOS4uVVNEAQAAAAAwNW0CAAAAEDM4LjI3MzM2NjMzNjYzMzcAIevxmZHZ3Qgh6/GZkdndCCBDSVFBVkcuQVJDQTpJR1BULklRX1ZPTFVNRS4tMzBELgEAAADMAl4BAgAAABIwLjA0MTYzMDY2NjY2NjY2NjcAIevxmZHZ3Qgh6/GZkdndCChDSVFBVkcuQkFUUzpXVEFJLklRX1ZXQVAuMjAyMy8xMi8yOS4uVVNEAQAAAGBOb2QCAAAADzIxLjEwNzk5NTA0OTUwNQAh6/GZkdndCCHr8ZmR2d0IIENJUUFWRy5YVFJBOlhBSVguSVFfVk9MVU1FLi0zMEQuAQAAADXs4iICAAAAEjAuMDY5NzM3MjM4MDk1MjM4MQAh6/GZkdndCCHr8ZmR2d0IJkNJUUFWRy5EQjpYQjBULklRX1ZXQVAuMjAyMy8xMi8yOS4uVVNEAQAAANMz3ikDAAAAAAAh6/GZkdnd</t>
  </si>
  <si>
    <t>CCHr8ZmR2d0IJENJUUFWRy5OQVNEQVFHTTpST0JULklRX1ZPTFVNRS4tMzBELgEAAABcY9kgAgAAABIwLjA2MzI0MTc2MTkwNDc2MTkAIevxmZHZ3Qgh6/GZkdndCCRDSVFBVkcuTkFTREFRR006V0lTRS5JUV9WT0xVTUUuLTMwRC4BAAAA6bBDbgIAAAASMC4wMTE5Mzg4NTcxNDI4NTcxACHr8ZmR2d0IIevxmZHZ3QgnQ0lRQVZHLkxTRTpBSUFHLklRX1ZXQVAuMjAyMy8xMi8yOS4uVVNEAQAAAPCdgiQCAAAAEDIwLjY0OTk4MDk2ODc4MjQAIevxmZHZ3Qgh6/GZkdndCCtDSVFBVkcuTkFTREFRR006QUlRLklRX1ZXQVAuMjAyNC8xMi8zMS4uVVNEAQAAAOncYiECAAAADzQwLjA1Mzk0NzM2ODQyMQAh6/GZkdndCCHr8ZmR2d0IJ0NJUUFWRy5CSVQ6V1RBSS5JUV9WV0FQLjIwMjMvMTIvMjkuLlVTRAEAAABNulsjAgAAABA2NC43NTAwNjAwNzM5Mjg0ACHr8ZmR2d0IIevxmZHZ3QgsQ0lRQVZHLk5BU0RBUUdNOkJPVFouSVFfVldBUC4yMDI0LzEyLzMxLi5VU0QBAAAA9/0IFgIAAAAQMzEuMzU3MTA1MjYzMTU3OQAh6/GZkdndCCHr8ZmR2d0ILENJUUFWRy5OQVNEQVFHTTpBR0lYLklRX1ZXQVAuMjAyNC8xMi8zMS4uVVNEAQAAACP3AHACAAAAEDI4LjcxNzE3MTA1MjYzMTYAIevxmZHZ3Qgh6/GZkdndCChDSVFBVkcuQVJDQTpMT1VQLklRX1ZXQVAuMjAyNC8xMi8zMS4uVVNEAQAAAFlcDyICAAAAEDU1LjAy</t>
  </si>
  <si>
    <t>NTEzMTU3ODk0NzQAIevxmZHZ3Qgh6/GZkdndCCtDSVFBVkcuTkFTREFRR006UVFRLklRX1ZXQVAuMjAyMy8xMi8yOS4uVVNEAQAAAA66ewACAAAAEDQ4Mi45MDc2MDQ0NjUzNDcAIevxmZHZ3Qgh6/GZkdndCChDSVFBVkcuQVJDQTpDSEFULklRX1ZXQVAuMjAyNC8xMi8zMS4uVVNEAQAAAAAwNW0CAAAAEDQxLjkyMjk2MDUyNjMxNTgAIevxmZHZ3Qgh6/GZkdndCCBDSVFBVkcuQVJDQTpBUlRZLklRX1ZPTFVNRS4tMzBELgEAAABuH2khAgAAAAgwLjQ5OTg3NgAh6/GZkdndCCHr8ZmR2d0IJ0NJUUFWRy5BU1g6UkJUWi5JUV9WV0FQLjIwMjQvMTIvMzEuLlVTRAEAAAAp7XYiAgAAABA5LjAyMjU5NjI0MzI1ODgzACHr8ZmR2d0IIevxmZHZ3QgnQ0lRQVZHLkJBVFM6SUdWLklRX1ZXQVAuMjAyMy8xMi8yOS4uVVNEAQAAAM06hgACAAAAEDkyLjc5OTk4MzE3MzI2NzMAIevxmZHZ3Qgh6/GZkdndCCdDSVFBVkcuWFRSQTpYQUlYLklRX1ZXQVAuMjAyMy82LzMwLi5VU0QBAAAANeziIgIAAAAQOTQuMTYyMzM2MjY0NTAzOQAh6/GZkdndCCHr8ZmR2d0IJ0NJUUFWRy5MU0U6UkJPVC5JUV9WV0FQLjIwMjQvMTIvMzEuLlVTRAEAAACOeyQUAgAAABAxNC4xMzQ2NzI0NTIyMjkzACHr8ZmR2d0IIevxmZHZ3QggQ0lRQVZHLkFSQ0E6TE9VUC5JUV9WT0xVTUUuLTMwRC4BAAAAWVwPIgIAAAATMC4wMDc4NjI1NzE0Mjg1</t>
  </si>
  <si>
    <t>NzE0MwAh6/GZkdndCCHr8ZmR2d0IKENJUUFWRy5BUkNBOkxSTlouSVFfVldBUC4yMDIzLzEyLzI5Li5VU0QBAAAAtXbDJgIAAAAQMzkuMTU4OTM1NjQzNTY0NAAh6/GZkdndCCHr8ZmR2d0IIENJUUFWRy5CQVRTOldUQUkuSVFfVk9MVU1FLi0zMEQuAQAAAGBOb2QCAAAAEjAuMDk1ODQ4NTIzODA5NTIzOAAh6/GZkdndCCHr8ZmR2d0IJ0NJUUFWRy5BUkNBOkFJUy5JUV9WV0FQLjIwMjMvMTIvMjkuLlVTRAEAAACYl59wAgAAABAyNC43OTg5NDczNjg0MjExACHr8ZmR2d0IIevxmZHZ3QgnQ0lRQVZHLkJJVDpXVEFJLklRX1ZXQVAuMjAyNC8xMi8zMS4uVVNEAQAAAE26WyMCAAAAEDY3LjAxNjIxNjc4NTUzNDkAIevxmZHZ3Qgh6/GZkdndCCxDSVFBVkcuTkFTREFRR006RkRUWC5JUV9WV0FQLjIwMjMvMTIvMjkuLlVTRAEAAAC9pZ0mAgAAABAzMy41OTk4NzYyMzc2MjM4ACHr8ZmR2d0IIevxmZHZ3QgnQ0lRQVZHLkJBVFM6SUdWLklRX1ZXQVAuMjAyNC8xMi8zMS4uVVNEAQAAAM06hgACAAAAEDEwMS4wNTk4Njg0MjEwNTMAIevxmZHZ3Qgh6/GZkdndCB9DSVFBVkcuTFNFOlJCT1QuSVFfVk9MVU1FLi0zMEQuAQAAAI57JBQCAAAAETAuMTUxNDEzMTQyODU3MTQzACHr8ZmR2d0IIevxmZHZ3QgoQ0lRQVZHLkFSQ0E6SUdQVC5JUV9WV0FQLjIwMjMvMTIvMjkuLlVTRAEAAADMAl4BAgAAABA0NC45MTE3NDY5</t>
  </si>
  <si>
    <t>OTI1NzQzACHr8ZmR2d0IIevxmZHZ3QgfQ0lRQVZHLkJBVFM6SUdWLklRX1ZPTFVNRS4tMzBELgEAAADNOoYAAgAAABA0LjYxOTcwNTM4MDk1MjM4ACHr8ZmR2d0IIevxmZHZ3QgnQ0lRQVZHLkFTWDpSQlRaLklRX1ZXQVAuMjAyMy8xMi8yOS4uVVNEAQAAACntdiICAAAADzkuMTEwMjE5NzA1NDQ3MwAh6/GZkdndCCHr8ZmR2d0IJ0NJUUFWRy5BUkNBOkFJUy5JUV9WV0FQLjIwMjQvMTIvMzEuLlVTRAEAAACYl59wAgAAABAyNC43OTk3MzY4NDIxMDUzACHr8ZmR2d0IIevxmZHZ3QgnQ0lRQVZHLkxTRTpSQk9ULklRX1ZXQVAuMjAyMy8xMi8yOS4uVVNEAQAAAI57JBQCAAAAEDEzLjYxMDQ4MjAwNDg2NjIAIevxmZHZ3Qgh6/GZkdndCChDSVFBVkcuQVJDQTpBUlRZLklRX1ZXQVAuMjAyMy8xMi8yOS4uVVNEAQAAAG4faSECAAAAEDM1LjI2NzA1NDQ1NTQ0NTUAIevxmZHZ3Qgh6/GZkdndCChDSVFBVkcuQVJDQTpUSE5RLklRX1ZXQVAuMjAyNC8xMi8zMS4uVVNEAQAAAK7DfiQCAAAAEDUwLjM3ODI4OTQ3MzY4NDIAIevxmZHZ3Qgh6/GZkdndCCBDSVFBVkcuQVJDQTpMUk5aLklRX1ZPTFVNRS4tMzBELgEAAAC1dsMmAgAAABMwLjAwNDgxMTU3MTQyODU3MTQzACHr8ZmR2d0IIevxmZHZ3QgsQ0lRQVZHLk5BU0RBUUdNOkJPVFouSVFfVldBUC4yMDIzLzEyLzI5Li5VU0QBAAAA9/0IFgIAAAAQMzEuMTUzMjky</t>
  </si>
  <si>
    <t>MDc5MjA3OQAh6/GZkdndCCHr8ZmR2d0IIENJUUFWRy5BUkNBOkNIQVQuSVFfVk9MVU1FLi0zMEQuAQAAAAAwNW0CAAAAETAuMTk4MTM2MDQ3NjE5MDQ4ACHr8ZmR2d0IIevxmZHZ3QgrQ0lRQVZHLk5BU0RBUUdNOlNNSC5JUV9WV0FQLjIwMjMvMTIvMjkuLlVTRAEAAABgwjYAAgAAABAyMzYuOTU1ODY2MzM2NjM0ACHr8ZmR2d0IIevxmZHZ3QglQ0lRQVZHLkRCOlhCMFQuSVFfVldBUC4yMDIzLzYvMzAuLlVTRAEAAADTM94pAgAAAA8xOC42MTU3MjA1Mjc5NjQAIevxmZHZ3Qgh6/GZkdndCCtDSVFBVkcuTkFTREFRR006UVFRLklRX1ZXQVAuMjAyNC8xMi8zMS4uVVNEAQAAAA66ewACAAAAEDUxMy42NTE1MTMxNTc4OTUAIevxmZHZ3Qgh6/GZkdndCB9DSVFBVkcuQVJDQTpBSVMuSVFfVk9MVU1FLi0zMEQuAQAAAJiXn3ACAAAAEjAuMDM3NDU0NjY2NjY2NjY2NwAh6/GZkdndCCHr8ZmR2d0IKENJUUFWRy5BUkNBOlRITlEuSVFfVldBUC4yMDIzLzEyLzI5Li5VU0QBAAAArsN+JAIAAAAQNDYuODEwNTk0MDU5NDA1OQAh6/GZkdndCCHr8ZmR2d0IJ0NJUUFWRy5MU0U6QUlBRy5JUV9WV0FQLjIwMjQvMTIvMzEuLlVTRAEAAADwnYIkAgAAABAyMi4yNjQ1MzkxMTMzNDE3ACHr8ZmR2d0IIevxmZHZ3QgrQ0lRQVZHLk5BU0RBUUdNOlNNSC5JUV9WV0FQLjIwMjQvMTIvMzEuLlVTRAEAAABgwjYAAgAAABAyNDUu</t>
  </si>
  <si>
    <t>NTk0MTQ0NzM2ODQyACHr8ZmR2d0IIevxmZHZ3QgjQ0lRQVZHLk5BU0RBUUdNOlFRUS5JUV9WT0xVTUUuLTMwRC4BAAAADrp7AAIAAAAQNDQuMDE2MzQ2ODA5NTIzOAAh6/GZkdndCCHr8ZmR2d0IKENJUUFWRy5YVFJBOlhBSVguSVFfVldBUC4yMDIzLzEyLzI5Li5VU0QBAAAANeziIgMAAAAAACHr8ZmR2d0IIevxmZHZ3QgsQ0lRQVZHLk5BU0RBUUdNOkFHSVguSVFfVldBUC4yMDIzLzEyLzI5Li5VU0QBAAAAI/cAcAIAAAAPMjcuNTk3MTkxMDExMjM2ACHr8ZmR2d0IIevxmZHZ3QgsQ0lRQVZHLk5BU0RBUUdNOkZEVFguSVFfVldBUC4yMDI0LzEyLzMxLi5VU0QBAAAAvaWdJgIAAAAQMzUuNjIxODQyMTA1MjYzMgAh6/GZkdndCCHr8ZmR2d0IH0NJUUFWRy5MU0U6QUlBRy5JUV9WT0xVTUUuLTMwRC4BAAAA8J2CJAIAAAASMC4wNjMxODE4NTcxNDI4NTcxACHr8ZmR2d0IIevxmZHZ3QgjQ0lRQVZHLk5BU0RBUUdNOkFJUS5JUV9WT0xVTUUuLTMwRC4BAAAA6dxiIQIAAAAQMS4wODg5NDkyODU3MTQyOQAh6/GZkdndCCHr8ZmR2d0ILENJUUFWRy5OQVNEQVFHTTpXSVNFLklRX1ZXQVAuMjAyMy8xMi8yOS4uVVNEAQAAAOmwQ24CAAAAEDMxLjUwMTAxNDg1MTQ4NTEAIevxmZHZ3Qgh6/GZkdndCChDSVFBVkcuQkFUUzpXVEFJLklRX1ZXQVAuMjAyNC8xMi8zMS4uVVNEAQAAAGBOb2QCAAAAEDIyLjE4MzE1Nzg5</t>
  </si>
  <si>
    <t>NDczNjgAIevxmZHZ3Qgh6/GZkdndCB9DSVFBVkcuQklUOldUQUkuSVFfVk9MVU1FLi0zMEQuAQAAAE26WyMCAAAAEjAuMDEzNDA2MTQyODU3MTQyOQAh6/GZkdndCCHr8ZmR2d0IJENJUUFWRy5OQVNEQVFHTTpCT1RaLklRX1ZPTFVNRS4tMzBELgEAAAD3/QgWAgAAABEwLjY5ODU0MTUyMzgwOTUyNAAh6/GZkdndCCHr8ZmR2d0ILENJUUFWRy5OQVNEQVFHTTpST0JULklRX1ZXQVAuMjAyNC8xMi8zMS4uVVNEAQAAAFxj2SACAAAAEDQ1LjE3Mjc2MzE1Nzg5NDcAIevxmZHZ3Qgh6/GZkdndCChDSVFBVkcuQVJDQTpMUk5aLklRX1ZXQVAuMjAyNC8xMi8zMS4uVVNEAQAAALV2wyYCAAAAEDQwLjIzMjgyODk0NzM2ODQAIevxmZHZ3Qgh6/GZkdndCCBDSVFBVkcuQVJDQTpUSE5RLklRX1ZPTFVNRS4tMzBELgEAAACuw34kAgAAABIwLjAzMTk5MjkwNDc2MTkwNDgAIevxmZHZ3Qgh6/GZkdndCChDSVFBVkcuQVJDQTpMT1VQLklRX1ZXQVAuMjAyMy8xMi8yOS4uVVNEAQAAAFlcDyICAAAAEDUwLjI3ODMxNjgzMTY4MzIAIevxmZHZ3Qgh6/GZkdndCCxDSVFBVkcuTkFTREFRR006V0lTRS5JUV9WV0FQLjIwMjQvMTIvMzEuLlVTRAEAAADpsENuAgAAABAzNC42MjE0NDczNjg0MjExACHr8ZmR2d0IIevxmZHZ3QgoQ0lRQVZHLkFSQ0E6SUdQVC5JUV9WV0FQLjIwMjQvMTIvMzEuLlVTRAEAAADMAl4BAgAAABA0NS4z</t>
  </si>
  <si>
    <t>ODgxNjQ2MTE4NDIxACHr8ZmR2d0IIevxmZHZ3QgoQ0lRQVZHLkFSQ0E6QVJUWS5JUV9WV0FQLjIwMjQvMTIvMzEuLlVTRAEAAABuH2khAgAAABAzNy4xNjU3ODk0NzM2ODQyACHr8ZmR2d0IIevxmZHZ3QgeQ0lRQVZHLkRCOlhCMFQuSVFfVk9MVU1FLi0zMEQuAQAAANMz3ikDAAAAAAAh6/GZkdndCCHr8ZmR2d0II0NJUUFWRy5OQVNEQVFHTTpTTUguSVFfVk9MVU1FLi0zMEQuAQAAAGDCNgACAAAAEDcuNDk0NDQwNzE0Mjg1NzEAIevxmZHZ3Qgh6/GZkdndCCxDSVFBVkcuTkFTREFRR006Uk9CVC5JUV9WV0FQLjIwMjMvMTIvMjkuLlVTRAEAAABcY9kgAgAAABA0NC4yODIzNTE0ODUxNDg1ACHr8ZmR2d0IIevxmZHZ3QgrQ0lRQVZHLk5BU0RBUUdNOkFJUS5JUV9WV0FQLjIwMjMvMTIvMjkuLlVTRAEAAADp3GIhAgAAAA8zNi44ODI3OTcwMjk3MDMAIevxmZHZ3Qgh6/GZkdndCB9DSVFBVkcuQVNYOlJCVFouSVFfVk9MVU1FLi0zMEQuAQAAACntdiICAAAAETAuMDUyMTgzNjE5MDQ3NjE5ACHr8ZmR2d0IIevxmZHZ3QgkQ0lRQVZHLk5BU0RBUUdNOkFHSVguSVFfVk9MVU1FLi0zMEQuAQAAACP3AHACAAAAEjAuMDM0NTc0MjM4MDk1MjM4MQAh6/GZkdndCCHr8ZmR2d0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</si>
</sst>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 #,##0.00_ ;_ * \-#,##0.00_ ;_ * &quot;-&quot;??_ ;_ @_ "/>
    <numFmt numFmtId="176" formatCode="0.00_);[Red]\(0.00\)"/>
    <numFmt numFmtId="177" formatCode="yyyy/m/d;@"/>
    <numFmt numFmtId="178" formatCode="_ * #,##0_ ;_ * \-#,##0_ ;_ * &quot;-&quot;??_ ;_ @_ "/>
    <numFmt numFmtId="179" formatCode="0.0%"/>
    <numFmt numFmtId="180" formatCode="_-&quot;$&quot;* #,##0_ ;_-&quot;$&quot;* \-#,##0\ ;_-&quot;$&quot;* &quot;-&quot;??_ ;_-@_ "/>
    <numFmt numFmtId="181" formatCode="_-&quot;$&quot;* #,##0.0_ ;_-&quot;$&quot;* \-#,##0.0\ ;_-&quot;$&quot;* &quot;-&quot;??_ ;_-@_ "/>
    <numFmt numFmtId="182" formatCode="0.000000_);[Red]\(0.000000\)"/>
    <numFmt numFmtId="183" formatCode="0.0000"/>
  </numFmts>
  <fonts count="38">
    <font>
      <sz val="11"/>
      <color rgb="FF000000"/>
      <name val="Arial"/>
      <charset val="204"/>
    </font>
    <font>
      <sz val="12"/>
      <color rgb="FF000000"/>
      <name val="Times New Roman"/>
      <family val="1"/>
    </font>
    <font>
      <sz val="12"/>
      <name val="Times New Roman"/>
      <family val="1"/>
    </font>
    <font>
      <sz val="11"/>
      <color rgb="FF000000"/>
      <name val="Arial"/>
      <family val="2"/>
    </font>
    <font>
      <b/>
      <sz val="12"/>
      <color rgb="FFFFFFFF"/>
      <name val="Times New Roman"/>
      <family val="1"/>
    </font>
    <font>
      <b/>
      <sz val="12"/>
      <name val="Times New Roman"/>
      <family val="1"/>
    </font>
    <font>
      <b/>
      <sz val="12"/>
      <color rgb="FF000000"/>
      <name val="Times New Roman"/>
      <family val="1"/>
    </font>
    <font>
      <b/>
      <sz val="11"/>
      <color theme="0"/>
      <name val="楷体"/>
      <family val="3"/>
      <charset val="134"/>
    </font>
    <font>
      <sz val="11"/>
      <color rgb="FF000000"/>
      <name val="Times New Roman"/>
      <family val="1"/>
    </font>
    <font>
      <sz val="11"/>
      <name val="Times New Roman"/>
      <family val="1"/>
    </font>
    <font>
      <sz val="11"/>
      <color theme="1"/>
      <name val="宋体"/>
      <family val="2"/>
      <scheme val="minor"/>
    </font>
    <font>
      <sz val="11"/>
      <color indexed="8"/>
      <name val="宋体"/>
      <family val="3"/>
      <charset val="134"/>
    </font>
    <font>
      <sz val="11"/>
      <color theme="1"/>
      <name val="Times New Roman Regular"/>
      <family val="1"/>
    </font>
    <font>
      <sz val="11"/>
      <color rgb="FF000000"/>
      <name val="Times New Roman Regular"/>
      <charset val="204"/>
    </font>
    <font>
      <sz val="11"/>
      <color rgb="FFFF0000"/>
      <name val="Arial"/>
      <family val="2"/>
    </font>
    <font>
      <b/>
      <sz val="11"/>
      <color rgb="FFFF0000"/>
      <name val="Times New Roman"/>
      <family val="1"/>
    </font>
    <font>
      <b/>
      <sz val="11"/>
      <color theme="0"/>
      <name val="Times New Roman"/>
      <family val="1"/>
    </font>
    <font>
      <b/>
      <sz val="11"/>
      <color rgb="FF000000"/>
      <name val="Times New Roman"/>
      <family val="1"/>
    </font>
    <font>
      <b/>
      <sz val="11"/>
      <name val="Times New Roman"/>
      <family val="1"/>
    </font>
    <font>
      <sz val="11"/>
      <color rgb="FFFF0000"/>
      <name val="Times New Roman"/>
      <family val="1"/>
    </font>
    <font>
      <sz val="10.5"/>
      <color rgb="FF414042"/>
      <name val="Arial"/>
      <family val="2"/>
    </font>
    <font>
      <sz val="11"/>
      <color theme="4"/>
      <name val="Times New Roman"/>
      <family val="1"/>
    </font>
    <font>
      <sz val="11"/>
      <color rgb="FF000000"/>
      <name val="楷体"/>
      <family val="3"/>
      <charset val="134"/>
    </font>
    <font>
      <sz val="11"/>
      <color rgb="FF743200"/>
      <name val="Times New Roman"/>
      <family val="1"/>
    </font>
    <font>
      <sz val="9"/>
      <name val="宋体"/>
      <family val="3"/>
      <charset val="134"/>
    </font>
    <font>
      <sz val="11"/>
      <color theme="1"/>
      <name val="Times New Roman"/>
      <family val="1"/>
    </font>
    <font>
      <sz val="11"/>
      <color rgb="FF333333"/>
      <name val="Times New Roman"/>
      <family val="1"/>
    </font>
    <font>
      <sz val="11"/>
      <color indexed="8"/>
      <name val="Times New Roman"/>
      <family val="1"/>
    </font>
    <font>
      <sz val="11"/>
      <color indexed="10"/>
      <name val="Times New Roman"/>
      <family val="1"/>
    </font>
    <font>
      <sz val="11"/>
      <color indexed="8"/>
      <name val="宋体"/>
      <family val="3"/>
      <charset val="134"/>
    </font>
    <font>
      <b/>
      <sz val="11"/>
      <name val="宋体"/>
      <family val="3"/>
      <charset val="134"/>
    </font>
    <font>
      <sz val="6"/>
      <name val="HGGothicE"/>
      <family val="3"/>
      <charset val="128"/>
    </font>
    <font>
      <b/>
      <sz val="10"/>
      <color theme="0"/>
      <name val="Times New Roman"/>
      <family val="1"/>
    </font>
    <font>
      <sz val="12"/>
      <color rgb="FF000000"/>
      <name val="微软雅黑"/>
      <family val="2"/>
      <charset val="134"/>
    </font>
    <font>
      <sz val="12"/>
      <color rgb="FF000000"/>
      <name val="Noto Sans JP"/>
      <family val="2"/>
      <charset val="134"/>
    </font>
    <font>
      <sz val="11"/>
      <color theme="1"/>
      <name val="宋体"/>
      <family val="2"/>
      <charset val="128"/>
      <scheme val="minor"/>
    </font>
    <font>
      <sz val="6"/>
      <name val="宋体"/>
      <family val="3"/>
      <charset val="128"/>
      <scheme val="minor"/>
    </font>
    <font>
      <sz val="11"/>
      <color rgb="FF000000"/>
      <name val="宋体"/>
      <family val="2"/>
      <scheme val="minor"/>
    </font>
  </fonts>
  <fills count="9">
    <fill>
      <patternFill patternType="none"/>
    </fill>
    <fill>
      <patternFill patternType="gray125"/>
    </fill>
    <fill>
      <patternFill patternType="solid">
        <fgColor rgb="FF860000"/>
        <bgColor rgb="FF000000"/>
      </patternFill>
    </fill>
    <fill>
      <patternFill patternType="solid">
        <fgColor theme="0"/>
        <bgColor indexed="64"/>
      </patternFill>
    </fill>
    <fill>
      <patternFill patternType="solid">
        <fgColor rgb="FF0070C0"/>
        <bgColor indexed="64"/>
      </patternFill>
    </fill>
    <fill>
      <patternFill patternType="solid">
        <fgColor rgb="FFFFFF00"/>
        <bgColor indexed="64"/>
      </patternFill>
    </fill>
    <fill>
      <patternFill patternType="solid">
        <fgColor rgb="FF860000"/>
        <bgColor indexed="64"/>
      </patternFill>
    </fill>
    <fill>
      <patternFill patternType="solid">
        <fgColor rgb="FF2F75B5"/>
        <bgColor rgb="FF000000"/>
      </patternFill>
    </fill>
    <fill>
      <patternFill patternType="solid">
        <fgColor rgb="FFFFC000"/>
        <bgColor indexed="64"/>
      </patternFill>
    </fill>
  </fills>
  <borders count="30">
    <border>
      <left/>
      <right/>
      <top/>
      <bottom/>
      <diagonal/>
    </border>
    <border>
      <left style="medium">
        <color auto="1"/>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style="medium">
        <color auto="1"/>
      </right>
      <top/>
      <bottom style="medium">
        <color auto="1"/>
      </bottom>
      <diagonal/>
    </border>
    <border>
      <left style="thin">
        <color auto="1"/>
      </left>
      <right style="thin">
        <color auto="1"/>
      </right>
      <top style="thin">
        <color auto="1"/>
      </top>
      <bottom style="thin">
        <color auto="1"/>
      </bottom>
      <diagonal/>
    </border>
    <border>
      <left/>
      <right/>
      <top/>
      <bottom style="thin">
        <color auto="1"/>
      </bottom>
      <diagonal/>
    </border>
    <border>
      <left/>
      <right/>
      <top style="medium">
        <color auto="1"/>
      </top>
      <bottom/>
      <diagonal/>
    </border>
    <border>
      <left style="medium">
        <color auto="1"/>
      </left>
      <right/>
      <top/>
      <bottom style="thin">
        <color auto="1"/>
      </bottom>
      <diagonal/>
    </border>
    <border>
      <left style="medium">
        <color auto="1"/>
      </left>
      <right/>
      <top style="thin">
        <color auto="1"/>
      </top>
      <bottom/>
      <diagonal/>
    </border>
    <border>
      <left/>
      <right/>
      <top style="thin">
        <color auto="1"/>
      </top>
      <bottom/>
      <diagonal/>
    </border>
    <border>
      <left/>
      <right/>
      <top/>
      <bottom style="medium">
        <color auto="1"/>
      </bottom>
      <diagonal/>
    </border>
    <border>
      <left/>
      <right style="medium">
        <color auto="1"/>
      </right>
      <top/>
      <bottom style="thin">
        <color auto="1"/>
      </bottom>
      <diagonal/>
    </border>
    <border>
      <left/>
      <right style="medium">
        <color auto="1"/>
      </right>
      <top style="thin">
        <color auto="1"/>
      </top>
      <bottom/>
      <diagonal/>
    </border>
    <border>
      <left style="medium">
        <color auto="1"/>
      </left>
      <right style="thin">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thin">
        <color auto="1"/>
      </bottom>
      <diagonal/>
    </border>
    <border>
      <left style="thin">
        <color auto="1"/>
      </left>
      <right style="medium">
        <color auto="1"/>
      </right>
      <top style="thin">
        <color auto="1"/>
      </top>
      <bottom style="medium">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right/>
      <top/>
      <bottom style="thick">
        <color rgb="FFDDDDDD"/>
      </bottom>
      <diagonal/>
    </border>
    <border>
      <left/>
      <right/>
      <top/>
      <bottom style="thin">
        <color auto="1"/>
      </bottom>
      <diagonal/>
    </border>
    <border>
      <left style="thin">
        <color auto="1"/>
      </left>
      <right style="thin">
        <color auto="1"/>
      </right>
      <top style="thin">
        <color auto="1"/>
      </top>
      <bottom style="thin">
        <color auto="1"/>
      </bottom>
      <diagonal/>
    </border>
    <border>
      <left/>
      <right/>
      <top/>
      <bottom style="thick">
        <color rgb="FF479FDB"/>
      </bottom>
      <diagonal/>
    </border>
    <border>
      <left/>
      <right/>
      <top style="medium">
        <color rgb="FFDDDDDD"/>
      </top>
      <bottom/>
      <diagonal/>
    </border>
    <border>
      <left style="thin">
        <color rgb="FFDEE0E3"/>
      </left>
      <right style="thin">
        <color rgb="FFDEE0E3"/>
      </right>
      <top style="thin">
        <color rgb="FFDEE0E3"/>
      </top>
      <bottom style="thin">
        <color rgb="FFDEE0E3"/>
      </bottom>
      <diagonal/>
    </border>
  </borders>
  <cellStyleXfs count="6">
    <xf numFmtId="0" fontId="0" fillId="0" borderId="0"/>
    <xf numFmtId="43" fontId="3" fillId="0" borderId="0" applyFont="0" applyFill="0" applyBorder="0" applyAlignment="0" applyProtection="0">
      <alignment vertical="center"/>
    </xf>
    <xf numFmtId="9" fontId="3" fillId="0" borderId="0" applyFont="0" applyFill="0" applyBorder="0" applyAlignment="0" applyProtection="0">
      <alignment vertical="center"/>
    </xf>
    <xf numFmtId="0" fontId="10" fillId="0" borderId="0">
      <alignment vertical="center"/>
    </xf>
    <xf numFmtId="9" fontId="10" fillId="0" borderId="0" applyFont="0" applyFill="0" applyBorder="0" applyAlignment="0" applyProtection="0">
      <alignment vertical="center"/>
    </xf>
    <xf numFmtId="0" fontId="35" fillId="0" borderId="0">
      <alignment vertical="center"/>
    </xf>
  </cellStyleXfs>
  <cellXfs count="265">
    <xf numFmtId="49" fontId="0" fillId="0" borderId="0" xfId="0" applyNumberFormat="1" applyAlignment="1">
      <alignment horizontal="left" vertical="top" wrapText="1"/>
    </xf>
    <xf numFmtId="176" fontId="0" fillId="0" borderId="0" xfId="0" applyNumberFormat="1" applyAlignment="1">
      <alignment horizontal="left" vertical="top" wrapText="1"/>
    </xf>
    <xf numFmtId="0" fontId="0" fillId="0" borderId="0" xfId="0" applyAlignment="1">
      <alignment horizontal="left" vertical="top" wrapText="1"/>
    </xf>
    <xf numFmtId="0" fontId="1" fillId="0" borderId="0" xfId="0" applyFont="1" applyAlignment="1">
      <alignment horizontal="left" vertical="top"/>
    </xf>
    <xf numFmtId="43" fontId="1" fillId="0" borderId="0" xfId="1" applyFont="1" applyBorder="1" applyAlignment="1">
      <alignment horizontal="center" vertical="center" wrapText="1"/>
    </xf>
    <xf numFmtId="14" fontId="1" fillId="0" borderId="0" xfId="0" applyNumberFormat="1" applyFont="1" applyAlignment="1">
      <alignment horizontal="center" vertical="center" wrapText="1"/>
    </xf>
    <xf numFmtId="43" fontId="1" fillId="0" borderId="0" xfId="1" applyFont="1" applyFill="1" applyBorder="1" applyAlignment="1">
      <alignment horizontal="center" vertical="center" wrapText="1"/>
    </xf>
    <xf numFmtId="10" fontId="1" fillId="0" borderId="0" xfId="2" applyNumberFormat="1" applyFont="1" applyBorder="1" applyAlignment="1">
      <alignment horizontal="center" vertical="center" wrapText="1"/>
    </xf>
    <xf numFmtId="10" fontId="1" fillId="0" borderId="0" xfId="2" applyNumberFormat="1" applyFont="1" applyFill="1" applyBorder="1" applyAlignment="1">
      <alignment horizontal="center" vertical="center" wrapText="1"/>
    </xf>
    <xf numFmtId="0" fontId="1" fillId="0" borderId="0" xfId="0" applyFont="1" applyAlignment="1">
      <alignment horizontal="center" vertical="center" wrapText="1"/>
    </xf>
    <xf numFmtId="10" fontId="5" fillId="3" borderId="0" xfId="0" applyNumberFormat="1" applyFont="1" applyFill="1" applyAlignment="1">
      <alignment horizontal="center" vertical="center" wrapText="1"/>
    </xf>
    <xf numFmtId="10" fontId="2" fillId="3" borderId="0" xfId="0" applyNumberFormat="1" applyFont="1" applyFill="1" applyAlignment="1">
      <alignment horizontal="center" vertical="center" wrapText="1"/>
    </xf>
    <xf numFmtId="14" fontId="4" fillId="2" borderId="1" xfId="0" applyNumberFormat="1" applyFont="1" applyFill="1" applyBorder="1" applyAlignment="1">
      <alignment horizontal="center" vertical="center" wrapText="1"/>
    </xf>
    <xf numFmtId="14" fontId="4" fillId="2" borderId="2" xfId="0" applyNumberFormat="1" applyFont="1" applyFill="1" applyBorder="1" applyAlignment="1">
      <alignment horizontal="center" vertical="center" wrapText="1"/>
    </xf>
    <xf numFmtId="0" fontId="5" fillId="3" borderId="3" xfId="0" applyFont="1" applyFill="1" applyBorder="1" applyAlignment="1">
      <alignment horizontal="center" vertical="center" wrapText="1"/>
    </xf>
    <xf numFmtId="10" fontId="5" fillId="3" borderId="4" xfId="0" applyNumberFormat="1" applyFont="1" applyFill="1" applyBorder="1" applyAlignment="1">
      <alignment horizontal="center" vertical="center" wrapText="1"/>
    </xf>
    <xf numFmtId="43" fontId="1" fillId="3" borderId="3" xfId="1" applyFont="1" applyFill="1" applyBorder="1" applyAlignment="1">
      <alignment horizontal="center" vertical="center" wrapText="1"/>
    </xf>
    <xf numFmtId="0" fontId="2" fillId="3" borderId="3" xfId="0" applyFont="1" applyFill="1" applyBorder="1" applyAlignment="1">
      <alignment horizontal="center" vertical="center" wrapText="1"/>
    </xf>
    <xf numFmtId="0" fontId="2" fillId="3" borderId="5" xfId="0" applyFont="1" applyFill="1" applyBorder="1" applyAlignment="1">
      <alignment horizontal="center" vertical="center" wrapText="1"/>
    </xf>
    <xf numFmtId="49" fontId="3" fillId="0" borderId="0" xfId="0" applyNumberFormat="1" applyFont="1" applyAlignment="1">
      <alignment horizontal="left" vertical="top" wrapText="1"/>
    </xf>
    <xf numFmtId="176" fontId="0" fillId="0" borderId="0" xfId="2" applyNumberFormat="1" applyFont="1" applyAlignment="1">
      <alignment horizontal="left" vertical="top" wrapText="1"/>
    </xf>
    <xf numFmtId="0" fontId="2" fillId="0" borderId="0" xfId="0" applyFont="1" applyAlignment="1">
      <alignment horizontal="center" vertical="center" wrapText="1"/>
    </xf>
    <xf numFmtId="49" fontId="0" fillId="0" borderId="0" xfId="0" applyNumberFormat="1" applyAlignment="1">
      <alignment horizontal="left" vertical="top"/>
    </xf>
    <xf numFmtId="49" fontId="7" fillId="4" borderId="7" xfId="0" applyNumberFormat="1" applyFont="1" applyFill="1" applyBorder="1" applyAlignment="1">
      <alignment horizontal="left" vertical="top" wrapText="1"/>
    </xf>
    <xf numFmtId="49" fontId="8" fillId="0" borderId="7" xfId="0" applyNumberFormat="1" applyFont="1" applyBorder="1" applyAlignment="1">
      <alignment horizontal="left" vertical="top" wrapText="1"/>
    </xf>
    <xf numFmtId="0" fontId="9" fillId="0" borderId="0" xfId="0" applyFont="1" applyAlignment="1">
      <alignment horizontal="left" vertical="center"/>
    </xf>
    <xf numFmtId="0" fontId="9" fillId="0" borderId="0" xfId="0" applyFont="1" applyAlignment="1">
      <alignment vertical="center"/>
    </xf>
    <xf numFmtId="0" fontId="9" fillId="0" borderId="0" xfId="0" applyFont="1" applyAlignment="1">
      <alignment horizontal="left"/>
    </xf>
    <xf numFmtId="0" fontId="10" fillId="0" borderId="0" xfId="0" applyFont="1" applyAlignment="1">
      <alignment vertical="center"/>
    </xf>
    <xf numFmtId="0" fontId="11" fillId="0" borderId="0" xfId="0" applyFont="1" applyAlignment="1">
      <alignment vertical="center"/>
    </xf>
    <xf numFmtId="177" fontId="10" fillId="0" borderId="0" xfId="0" applyNumberFormat="1" applyFont="1" applyAlignment="1">
      <alignment vertical="center"/>
    </xf>
    <xf numFmtId="0" fontId="10" fillId="0" borderId="8" xfId="0" applyFont="1" applyBorder="1" applyAlignment="1">
      <alignment vertical="center"/>
    </xf>
    <xf numFmtId="177" fontId="0" fillId="0" borderId="0" xfId="0" applyNumberFormat="1" applyAlignment="1">
      <alignment horizontal="left" vertical="top" wrapText="1"/>
    </xf>
    <xf numFmtId="49" fontId="0" fillId="0" borderId="8" xfId="0" applyNumberFormat="1" applyBorder="1" applyAlignment="1">
      <alignment horizontal="left" vertical="top" wrapText="1"/>
    </xf>
    <xf numFmtId="43" fontId="10" fillId="0" borderId="0" xfId="1" applyFont="1" applyAlignment="1">
      <alignment vertical="center"/>
    </xf>
    <xf numFmtId="10" fontId="10" fillId="0" borderId="0" xfId="2" applyNumberFormat="1" applyFont="1" applyAlignment="1">
      <alignment vertical="center"/>
    </xf>
    <xf numFmtId="9" fontId="0" fillId="0" borderId="0" xfId="2" applyFont="1" applyAlignment="1">
      <alignment horizontal="left" vertical="top" wrapText="1"/>
    </xf>
    <xf numFmtId="0" fontId="12" fillId="0" borderId="0" xfId="0" applyFont="1" applyAlignment="1">
      <alignment vertical="center"/>
    </xf>
    <xf numFmtId="0" fontId="12" fillId="0" borderId="0" xfId="0" applyFont="1" applyAlignment="1">
      <alignment horizontal="left" vertical="center"/>
    </xf>
    <xf numFmtId="178" fontId="12" fillId="0" borderId="0" xfId="1" applyNumberFormat="1" applyFont="1" applyAlignment="1">
      <alignment horizontal="center" vertical="center"/>
    </xf>
    <xf numFmtId="176" fontId="12" fillId="0" borderId="0" xfId="1" applyNumberFormat="1" applyFont="1" applyAlignment="1">
      <alignment horizontal="center" vertical="center"/>
    </xf>
    <xf numFmtId="0" fontId="13" fillId="0" borderId="0" xfId="0" applyFont="1" applyAlignment="1">
      <alignment horizontal="center" vertical="top" wrapText="1"/>
    </xf>
    <xf numFmtId="9" fontId="0" fillId="3" borderId="0" xfId="2" applyFont="1" applyFill="1" applyAlignment="1">
      <alignment horizontal="center" vertical="top" wrapText="1"/>
    </xf>
    <xf numFmtId="43" fontId="10" fillId="0" borderId="0" xfId="1" applyFont="1" applyBorder="1" applyAlignment="1">
      <alignment vertical="center"/>
    </xf>
    <xf numFmtId="176" fontId="10" fillId="0" borderId="0" xfId="2" applyNumberFormat="1" applyFont="1" applyBorder="1" applyAlignment="1">
      <alignment vertical="center"/>
    </xf>
    <xf numFmtId="0" fontId="0" fillId="0" borderId="0" xfId="0"/>
    <xf numFmtId="43" fontId="10" fillId="0" borderId="8" xfId="1" applyFont="1" applyBorder="1" applyAlignment="1">
      <alignment vertical="center"/>
    </xf>
    <xf numFmtId="0" fontId="0" fillId="0" borderId="8" xfId="0" applyBorder="1"/>
    <xf numFmtId="176" fontId="0" fillId="5" borderId="0" xfId="0" applyNumberFormat="1" applyFill="1" applyAlignment="1">
      <alignment horizontal="left" vertical="top" wrapText="1"/>
    </xf>
    <xf numFmtId="10" fontId="0" fillId="0" borderId="0" xfId="2" applyNumberFormat="1" applyFont="1" applyBorder="1" applyAlignment="1">
      <alignment horizontal="left" vertical="top" wrapText="1"/>
    </xf>
    <xf numFmtId="176" fontId="0" fillId="0" borderId="0" xfId="2" applyNumberFormat="1" applyFont="1" applyBorder="1" applyAlignment="1">
      <alignment horizontal="left" vertical="top" wrapText="1"/>
    </xf>
    <xf numFmtId="9" fontId="0" fillId="0" borderId="0" xfId="2" applyFont="1" applyBorder="1" applyAlignment="1">
      <alignment horizontal="left" vertical="top" wrapText="1"/>
    </xf>
    <xf numFmtId="10" fontId="0" fillId="0" borderId="8" xfId="2" applyNumberFormat="1" applyFont="1" applyBorder="1" applyAlignment="1">
      <alignment horizontal="left" vertical="top" wrapText="1"/>
    </xf>
    <xf numFmtId="176" fontId="0" fillId="0" borderId="8" xfId="2" applyNumberFormat="1" applyFont="1" applyBorder="1" applyAlignment="1">
      <alignment horizontal="left" vertical="top" wrapText="1"/>
    </xf>
    <xf numFmtId="9" fontId="0" fillId="0" borderId="8" xfId="2" applyFont="1" applyBorder="1" applyAlignment="1">
      <alignment horizontal="left" vertical="top" wrapText="1"/>
    </xf>
    <xf numFmtId="10" fontId="0" fillId="0" borderId="0" xfId="2" applyNumberFormat="1" applyFont="1" applyAlignment="1">
      <alignment horizontal="left" vertical="top" wrapText="1"/>
    </xf>
    <xf numFmtId="10" fontId="14" fillId="5" borderId="0" xfId="2" applyNumberFormat="1" applyFont="1" applyFill="1" applyAlignment="1">
      <alignment horizontal="left" vertical="top" wrapText="1"/>
    </xf>
    <xf numFmtId="177" fontId="12" fillId="0" borderId="0" xfId="0" applyNumberFormat="1" applyFont="1" applyAlignment="1">
      <alignment vertical="center"/>
    </xf>
    <xf numFmtId="177" fontId="12" fillId="0" borderId="0" xfId="0" applyNumberFormat="1" applyFont="1" applyAlignment="1">
      <alignment horizontal="left" vertical="center"/>
    </xf>
    <xf numFmtId="14" fontId="4" fillId="2" borderId="9" xfId="0" applyNumberFormat="1" applyFont="1" applyFill="1" applyBorder="1" applyAlignment="1">
      <alignment horizontal="center" vertical="center" wrapText="1"/>
    </xf>
    <xf numFmtId="178" fontId="4" fillId="2" borderId="9" xfId="1" applyNumberFormat="1" applyFont="1" applyFill="1" applyBorder="1" applyAlignment="1">
      <alignment horizontal="center" vertical="center" wrapText="1"/>
    </xf>
    <xf numFmtId="176" fontId="4" fillId="2" borderId="9" xfId="1" applyNumberFormat="1" applyFont="1" applyFill="1" applyBorder="1" applyAlignment="1">
      <alignment horizontal="center" vertical="center" wrapText="1"/>
    </xf>
    <xf numFmtId="0" fontId="12" fillId="3" borderId="1" xfId="0" applyFont="1" applyFill="1" applyBorder="1" applyAlignment="1">
      <alignment vertical="center"/>
    </xf>
    <xf numFmtId="0" fontId="12" fillId="3" borderId="9" xfId="0" applyFont="1" applyFill="1" applyBorder="1" applyAlignment="1">
      <alignment horizontal="left" vertical="center"/>
    </xf>
    <xf numFmtId="178" fontId="12" fillId="3" borderId="9" xfId="1" applyNumberFormat="1" applyFont="1" applyFill="1" applyBorder="1" applyAlignment="1">
      <alignment horizontal="center" vertical="center"/>
    </xf>
    <xf numFmtId="176" fontId="12" fillId="3" borderId="9" xfId="2" applyNumberFormat="1" applyFont="1" applyFill="1" applyBorder="1" applyAlignment="1">
      <alignment horizontal="center" vertical="center"/>
    </xf>
    <xf numFmtId="179" fontId="13" fillId="3" borderId="9" xfId="2" applyNumberFormat="1" applyFont="1" applyFill="1" applyBorder="1" applyAlignment="1">
      <alignment horizontal="center" vertical="top" wrapText="1"/>
    </xf>
    <xf numFmtId="0" fontId="12" fillId="3" borderId="3" xfId="0" applyFont="1" applyFill="1" applyBorder="1" applyAlignment="1">
      <alignment vertical="center"/>
    </xf>
    <xf numFmtId="0" fontId="12" fillId="3" borderId="0" xfId="0" applyFont="1" applyFill="1" applyAlignment="1">
      <alignment horizontal="left" vertical="center"/>
    </xf>
    <xf numFmtId="178" fontId="12" fillId="3" borderId="0" xfId="1" applyNumberFormat="1" applyFont="1" applyFill="1" applyBorder="1" applyAlignment="1">
      <alignment horizontal="center" vertical="center"/>
    </xf>
    <xf numFmtId="176" fontId="12" fillId="3" borderId="0" xfId="2" applyNumberFormat="1" applyFont="1" applyFill="1" applyBorder="1" applyAlignment="1">
      <alignment horizontal="center" vertical="center"/>
    </xf>
    <xf numFmtId="179" fontId="13" fillId="3" borderId="0" xfId="2" applyNumberFormat="1" applyFont="1" applyFill="1" applyBorder="1" applyAlignment="1">
      <alignment horizontal="center" vertical="top" wrapText="1"/>
    </xf>
    <xf numFmtId="0" fontId="12" fillId="3" borderId="10" xfId="0" applyFont="1" applyFill="1" applyBorder="1" applyAlignment="1">
      <alignment vertical="center"/>
    </xf>
    <xf numFmtId="0" fontId="12" fillId="3" borderId="8" xfId="0" applyFont="1" applyFill="1" applyBorder="1" applyAlignment="1">
      <alignment horizontal="left" vertical="center"/>
    </xf>
    <xf numFmtId="178" fontId="12" fillId="3" borderId="8" xfId="1" applyNumberFormat="1" applyFont="1" applyFill="1" applyBorder="1" applyAlignment="1">
      <alignment horizontal="center" vertical="center"/>
    </xf>
    <xf numFmtId="179" fontId="13" fillId="3" borderId="8" xfId="2" applyNumberFormat="1" applyFont="1" applyFill="1" applyBorder="1" applyAlignment="1">
      <alignment horizontal="center" vertical="top" wrapText="1"/>
    </xf>
    <xf numFmtId="0" fontId="12" fillId="3" borderId="11" xfId="0" applyFont="1" applyFill="1" applyBorder="1" applyAlignment="1">
      <alignment vertical="center"/>
    </xf>
    <xf numFmtId="0" fontId="12" fillId="3" borderId="12" xfId="0" applyFont="1" applyFill="1" applyBorder="1" applyAlignment="1">
      <alignment horizontal="left" vertical="center"/>
    </xf>
    <xf numFmtId="178" fontId="12" fillId="3" borderId="12" xfId="1" applyNumberFormat="1" applyFont="1" applyFill="1" applyBorder="1" applyAlignment="1">
      <alignment horizontal="center" vertical="center"/>
    </xf>
    <xf numFmtId="176" fontId="12" fillId="3" borderId="12" xfId="2" applyNumberFormat="1" applyFont="1" applyFill="1" applyBorder="1" applyAlignment="1">
      <alignment horizontal="center" vertical="center"/>
    </xf>
    <xf numFmtId="179" fontId="13" fillId="3" borderId="12" xfId="2" applyNumberFormat="1" applyFont="1" applyFill="1" applyBorder="1" applyAlignment="1">
      <alignment horizontal="center" vertical="top" wrapText="1"/>
    </xf>
    <xf numFmtId="0" fontId="12" fillId="3" borderId="5" xfId="0" applyFont="1" applyFill="1" applyBorder="1" applyAlignment="1">
      <alignment vertical="center"/>
    </xf>
    <xf numFmtId="0" fontId="12" fillId="3" borderId="13" xfId="0" applyFont="1" applyFill="1" applyBorder="1" applyAlignment="1">
      <alignment horizontal="left" vertical="center"/>
    </xf>
    <xf numFmtId="178" fontId="12" fillId="3" borderId="13" xfId="1" applyNumberFormat="1" applyFont="1" applyFill="1" applyBorder="1" applyAlignment="1">
      <alignment horizontal="center" vertical="center"/>
    </xf>
    <xf numFmtId="176" fontId="12" fillId="3" borderId="13" xfId="2" applyNumberFormat="1" applyFont="1" applyFill="1" applyBorder="1" applyAlignment="1">
      <alignment horizontal="center" vertical="center"/>
    </xf>
    <xf numFmtId="179" fontId="13" fillId="3" borderId="13" xfId="2" applyNumberFormat="1" applyFont="1" applyFill="1" applyBorder="1" applyAlignment="1">
      <alignment horizontal="center" vertical="top" wrapText="1"/>
    </xf>
    <xf numFmtId="9" fontId="0" fillId="0" borderId="0" xfId="2" applyFont="1" applyAlignment="1">
      <alignment horizontal="center" vertical="top" wrapText="1"/>
    </xf>
    <xf numFmtId="9" fontId="4" fillId="2" borderId="2" xfId="2" applyFont="1" applyFill="1" applyBorder="1" applyAlignment="1">
      <alignment horizontal="center" vertical="center" wrapText="1"/>
    </xf>
    <xf numFmtId="43" fontId="9" fillId="0" borderId="0" xfId="1" applyFont="1" applyBorder="1" applyAlignment="1">
      <alignment horizontal="left" vertical="top"/>
    </xf>
    <xf numFmtId="43" fontId="8" fillId="0" borderId="0" xfId="1" applyFont="1" applyBorder="1" applyAlignment="1">
      <alignment horizontal="left" vertical="top"/>
    </xf>
    <xf numFmtId="176" fontId="15" fillId="0" borderId="7" xfId="1" applyNumberFormat="1" applyFont="1" applyFill="1" applyBorder="1" applyAlignment="1">
      <alignment horizontal="center" vertical="top"/>
    </xf>
    <xf numFmtId="0" fontId="8" fillId="0" borderId="0" xfId="0" applyFont="1" applyAlignment="1">
      <alignment horizontal="left" vertical="top"/>
    </xf>
    <xf numFmtId="0" fontId="9" fillId="0" borderId="16" xfId="0" applyFont="1" applyBorder="1" applyAlignment="1">
      <alignment horizontal="left" vertical="center"/>
    </xf>
    <xf numFmtId="0" fontId="9" fillId="0" borderId="7" xfId="0" applyFont="1" applyBorder="1" applyAlignment="1">
      <alignment horizontal="left"/>
    </xf>
    <xf numFmtId="180" fontId="9" fillId="0" borderId="7" xfId="1" applyNumberFormat="1" applyFont="1" applyFill="1" applyBorder="1" applyAlignment="1">
      <alignment horizontal="left" vertical="top"/>
    </xf>
    <xf numFmtId="176" fontId="9" fillId="0" borderId="7" xfId="1" applyNumberFormat="1" applyFont="1" applyFill="1" applyBorder="1" applyAlignment="1">
      <alignment horizontal="center" vertical="top"/>
    </xf>
    <xf numFmtId="10" fontId="9" fillId="0" borderId="7" xfId="2" applyNumberFormat="1" applyFont="1" applyFill="1" applyBorder="1" applyAlignment="1">
      <alignment horizontal="center" vertical="top"/>
    </xf>
    <xf numFmtId="181" fontId="8" fillId="0" borderId="7" xfId="1" applyNumberFormat="1" applyFont="1" applyBorder="1" applyAlignment="1">
      <alignment horizontal="left" vertical="top" wrapText="1"/>
    </xf>
    <xf numFmtId="180" fontId="8" fillId="0" borderId="7" xfId="1" applyNumberFormat="1" applyFont="1" applyBorder="1" applyAlignment="1">
      <alignment horizontal="left" vertical="top" wrapText="1"/>
    </xf>
    <xf numFmtId="0" fontId="9" fillId="0" borderId="7" xfId="0" applyFont="1" applyBorder="1" applyAlignment="1">
      <alignment horizontal="left" vertical="center"/>
    </xf>
    <xf numFmtId="0" fontId="9" fillId="0" borderId="16" xfId="0" applyFont="1" applyBorder="1" applyAlignment="1">
      <alignment horizontal="left"/>
    </xf>
    <xf numFmtId="181" fontId="9" fillId="0" borderId="7" xfId="1" applyNumberFormat="1" applyFont="1" applyBorder="1" applyAlignment="1">
      <alignment horizontal="left" vertical="top" wrapText="1"/>
    </xf>
    <xf numFmtId="0" fontId="9" fillId="0" borderId="7" xfId="0" applyFont="1" applyBorder="1" applyAlignment="1">
      <alignment vertical="center"/>
    </xf>
    <xf numFmtId="0" fontId="9" fillId="0" borderId="16" xfId="0" applyFont="1" applyBorder="1" applyAlignment="1">
      <alignment horizontal="left" vertical="top"/>
    </xf>
    <xf numFmtId="0" fontId="9" fillId="0" borderId="7" xfId="0" applyFont="1" applyBorder="1" applyAlignment="1">
      <alignment horizontal="left" vertical="top"/>
    </xf>
    <xf numFmtId="180" fontId="9" fillId="0" borderId="18" xfId="1" applyNumberFormat="1" applyFont="1" applyFill="1" applyBorder="1" applyAlignment="1">
      <alignment horizontal="left" vertical="top"/>
    </xf>
    <xf numFmtId="176" fontId="9" fillId="0" borderId="18" xfId="1" applyNumberFormat="1" applyFont="1" applyFill="1" applyBorder="1" applyAlignment="1">
      <alignment horizontal="center" vertical="top"/>
    </xf>
    <xf numFmtId="10" fontId="9" fillId="0" borderId="18" xfId="2" applyNumberFormat="1" applyFont="1" applyFill="1" applyBorder="1" applyAlignment="1">
      <alignment horizontal="center" vertical="top"/>
    </xf>
    <xf numFmtId="181" fontId="8" fillId="0" borderId="18" xfId="1" applyNumberFormat="1" applyFont="1" applyBorder="1" applyAlignment="1">
      <alignment horizontal="left" vertical="top" wrapText="1"/>
    </xf>
    <xf numFmtId="180" fontId="8" fillId="0" borderId="18" xfId="1" applyNumberFormat="1" applyFont="1" applyBorder="1" applyAlignment="1">
      <alignment horizontal="left" vertical="top" wrapText="1"/>
    </xf>
    <xf numFmtId="10" fontId="8" fillId="0" borderId="7" xfId="2" applyNumberFormat="1" applyFont="1" applyBorder="1" applyAlignment="1">
      <alignment horizontal="center" vertical="top"/>
    </xf>
    <xf numFmtId="10" fontId="8" fillId="0" borderId="7" xfId="2" applyNumberFormat="1" applyFont="1" applyBorder="1" applyAlignment="1">
      <alignment horizontal="left" vertical="top" wrapText="1"/>
    </xf>
    <xf numFmtId="43" fontId="9" fillId="0" borderId="7" xfId="1" applyFont="1" applyBorder="1" applyAlignment="1">
      <alignment horizontal="left" vertical="top"/>
    </xf>
    <xf numFmtId="0" fontId="8" fillId="0" borderId="19" xfId="0" applyFont="1" applyBorder="1" applyAlignment="1">
      <alignment horizontal="center" vertical="top"/>
    </xf>
    <xf numFmtId="10" fontId="9" fillId="0" borderId="7" xfId="2" applyNumberFormat="1" applyFont="1" applyBorder="1" applyAlignment="1">
      <alignment horizontal="left" vertical="top" wrapText="1"/>
    </xf>
    <xf numFmtId="10" fontId="8" fillId="0" borderId="18" xfId="2" applyNumberFormat="1" applyFont="1" applyBorder="1" applyAlignment="1">
      <alignment horizontal="center" vertical="top"/>
    </xf>
    <xf numFmtId="43" fontId="9" fillId="0" borderId="18" xfId="1" applyFont="1" applyBorder="1" applyAlignment="1">
      <alignment horizontal="left" vertical="top"/>
    </xf>
    <xf numFmtId="0" fontId="8" fillId="0" borderId="20" xfId="0" applyFont="1" applyBorder="1" applyAlignment="1">
      <alignment horizontal="center" vertical="top"/>
    </xf>
    <xf numFmtId="0" fontId="15" fillId="0" borderId="0" xfId="0" applyFont="1" applyAlignment="1">
      <alignment horizontal="left" vertical="top"/>
    </xf>
    <xf numFmtId="0" fontId="9" fillId="0" borderId="0" xfId="0" applyFont="1" applyAlignment="1">
      <alignment horizontal="left" vertical="top"/>
    </xf>
    <xf numFmtId="180" fontId="9" fillId="0" borderId="0" xfId="1" applyNumberFormat="1" applyFont="1" applyFill="1" applyBorder="1" applyAlignment="1">
      <alignment horizontal="left" vertical="top"/>
    </xf>
    <xf numFmtId="176" fontId="9" fillId="0" borderId="0" xfId="1" applyNumberFormat="1" applyFont="1" applyFill="1" applyBorder="1" applyAlignment="1">
      <alignment horizontal="center" vertical="top"/>
    </xf>
    <xf numFmtId="10" fontId="9" fillId="0" borderId="0" xfId="2" applyNumberFormat="1" applyFont="1" applyFill="1" applyBorder="1" applyAlignment="1">
      <alignment horizontal="center" vertical="top"/>
    </xf>
    <xf numFmtId="181" fontId="8" fillId="0" borderId="0" xfId="1" applyNumberFormat="1" applyFont="1" applyBorder="1" applyAlignment="1">
      <alignment horizontal="left" vertical="top"/>
    </xf>
    <xf numFmtId="180" fontId="8" fillId="0" borderId="0" xfId="1" applyNumberFormat="1" applyFont="1" applyBorder="1" applyAlignment="1">
      <alignment horizontal="left" vertical="top"/>
    </xf>
    <xf numFmtId="10" fontId="8" fillId="0" borderId="0" xfId="2" applyNumberFormat="1" applyFont="1" applyBorder="1" applyAlignment="1">
      <alignment horizontal="center" vertical="top"/>
    </xf>
    <xf numFmtId="10" fontId="8" fillId="0" borderId="0" xfId="2" applyNumberFormat="1" applyFont="1" applyBorder="1" applyAlignment="1">
      <alignment horizontal="left" vertical="top"/>
    </xf>
    <xf numFmtId="0" fontId="8" fillId="0" borderId="0" xfId="0" applyFont="1" applyAlignment="1">
      <alignment horizontal="center" vertical="top"/>
    </xf>
    <xf numFmtId="177" fontId="16" fillId="6" borderId="21" xfId="0" applyNumberFormat="1" applyFont="1" applyFill="1" applyBorder="1" applyAlignment="1">
      <alignment horizontal="left" vertical="top"/>
    </xf>
    <xf numFmtId="0" fontId="16" fillId="6" borderId="22" xfId="0" applyFont="1" applyFill="1" applyBorder="1" applyAlignment="1">
      <alignment horizontal="left" vertical="top"/>
    </xf>
    <xf numFmtId="180" fontId="16" fillId="6" borderId="22" xfId="1" applyNumberFormat="1" applyFont="1" applyFill="1" applyBorder="1" applyAlignment="1">
      <alignment horizontal="left" vertical="top"/>
    </xf>
    <xf numFmtId="176" fontId="16" fillId="6" borderId="22" xfId="1" applyNumberFormat="1" applyFont="1" applyFill="1" applyBorder="1" applyAlignment="1">
      <alignment horizontal="center" vertical="top"/>
    </xf>
    <xf numFmtId="10" fontId="16" fillId="6" borderId="22" xfId="2" applyNumberFormat="1" applyFont="1" applyFill="1" applyBorder="1" applyAlignment="1">
      <alignment horizontal="center" vertical="top"/>
    </xf>
    <xf numFmtId="181" fontId="16" fillId="6" borderId="22" xfId="1" applyNumberFormat="1" applyFont="1" applyFill="1" applyBorder="1" applyAlignment="1">
      <alignment horizontal="left" vertical="top"/>
    </xf>
    <xf numFmtId="181" fontId="9" fillId="0" borderId="7" xfId="1" applyNumberFormat="1" applyFont="1" applyBorder="1" applyAlignment="1">
      <alignment horizontal="left" vertical="top"/>
    </xf>
    <xf numFmtId="180" fontId="9" fillId="0" borderId="7" xfId="1" applyNumberFormat="1" applyFont="1" applyBorder="1" applyAlignment="1">
      <alignment horizontal="left" vertical="top"/>
    </xf>
    <xf numFmtId="0" fontId="15" fillId="0" borderId="16" xfId="0" applyFont="1" applyBorder="1" applyAlignment="1">
      <alignment horizontal="left" vertical="top"/>
    </xf>
    <xf numFmtId="0" fontId="15" fillId="0" borderId="7" xfId="0" applyFont="1" applyBorder="1" applyAlignment="1">
      <alignment horizontal="left" vertical="top"/>
    </xf>
    <xf numFmtId="180" fontId="15" fillId="0" borderId="7" xfId="1" applyNumberFormat="1" applyFont="1" applyFill="1" applyBorder="1" applyAlignment="1">
      <alignment horizontal="left" vertical="top"/>
    </xf>
    <xf numFmtId="10" fontId="15" fillId="0" borderId="7" xfId="2" applyNumberFormat="1" applyFont="1" applyFill="1" applyBorder="1" applyAlignment="1">
      <alignment horizontal="center" vertical="top"/>
    </xf>
    <xf numFmtId="0" fontId="18" fillId="0" borderId="16" xfId="0" applyFont="1" applyBorder="1" applyAlignment="1">
      <alignment horizontal="left" vertical="top"/>
    </xf>
    <xf numFmtId="0" fontId="18" fillId="0" borderId="7" xfId="0" applyFont="1" applyBorder="1" applyAlignment="1">
      <alignment horizontal="left" vertical="top"/>
    </xf>
    <xf numFmtId="0" fontId="17" fillId="0" borderId="16" xfId="0" applyFont="1" applyBorder="1" applyAlignment="1">
      <alignment horizontal="left" vertical="top"/>
    </xf>
    <xf numFmtId="181" fontId="8" fillId="0" borderId="0" xfId="1" applyNumberFormat="1" applyFont="1" applyBorder="1" applyAlignment="1">
      <alignment horizontal="left" vertical="top" wrapText="1"/>
    </xf>
    <xf numFmtId="180" fontId="8" fillId="0" borderId="0" xfId="1" applyNumberFormat="1" applyFont="1" applyBorder="1" applyAlignment="1">
      <alignment horizontal="left" vertical="top" wrapText="1"/>
    </xf>
    <xf numFmtId="14" fontId="9" fillId="0" borderId="0" xfId="0" applyNumberFormat="1" applyFont="1" applyAlignment="1">
      <alignment horizontal="left" vertical="top"/>
    </xf>
    <xf numFmtId="10" fontId="16" fillId="6" borderId="22" xfId="2" applyNumberFormat="1" applyFont="1" applyFill="1" applyBorder="1" applyAlignment="1">
      <alignment horizontal="left" vertical="top"/>
    </xf>
    <xf numFmtId="0" fontId="16" fillId="6" borderId="23" xfId="0" applyFont="1" applyFill="1" applyBorder="1" applyAlignment="1">
      <alignment horizontal="center" vertical="top"/>
    </xf>
    <xf numFmtId="10" fontId="9" fillId="0" borderId="7" xfId="2" applyNumberFormat="1" applyFont="1" applyBorder="1" applyAlignment="1">
      <alignment horizontal="center" vertical="top"/>
    </xf>
    <xf numFmtId="10" fontId="9" fillId="0" borderId="7" xfId="2" applyNumberFormat="1" applyFont="1" applyBorder="1" applyAlignment="1">
      <alignment horizontal="left" vertical="top"/>
    </xf>
    <xf numFmtId="10" fontId="15" fillId="0" borderId="7" xfId="2" applyNumberFormat="1" applyFont="1" applyBorder="1" applyAlignment="1">
      <alignment horizontal="center" vertical="top"/>
    </xf>
    <xf numFmtId="43" fontId="15" fillId="0" borderId="7" xfId="1" applyFont="1" applyBorder="1" applyAlignment="1">
      <alignment horizontal="left" vertical="top"/>
    </xf>
    <xf numFmtId="0" fontId="15" fillId="0" borderId="19" xfId="0" applyFont="1" applyBorder="1" applyAlignment="1">
      <alignment horizontal="center" vertical="top"/>
    </xf>
    <xf numFmtId="10" fontId="8" fillId="0" borderId="0" xfId="2" applyNumberFormat="1" applyFont="1" applyBorder="1" applyAlignment="1">
      <alignment horizontal="left" vertical="top" wrapText="1"/>
    </xf>
    <xf numFmtId="0" fontId="2" fillId="0" borderId="0" xfId="0" applyFont="1" applyAlignment="1">
      <alignment horizontal="left" vertical="top"/>
    </xf>
    <xf numFmtId="43" fontId="1" fillId="0" borderId="0" xfId="1" applyFont="1" applyBorder="1" applyAlignment="1">
      <alignment horizontal="left" vertical="top"/>
    </xf>
    <xf numFmtId="10" fontId="1" fillId="0" borderId="0" xfId="2" applyNumberFormat="1" applyFont="1" applyBorder="1" applyAlignment="1">
      <alignment horizontal="left" vertical="top"/>
    </xf>
    <xf numFmtId="0" fontId="6" fillId="0" borderId="0" xfId="0" applyFont="1" applyAlignment="1">
      <alignment horizontal="center" vertical="center" wrapText="1"/>
    </xf>
    <xf numFmtId="0" fontId="5" fillId="0" borderId="0" xfId="0" applyFont="1" applyAlignment="1">
      <alignment horizontal="center" vertical="center" wrapText="1"/>
    </xf>
    <xf numFmtId="14" fontId="4" fillId="7" borderId="1" xfId="0" applyNumberFormat="1" applyFont="1" applyFill="1" applyBorder="1" applyAlignment="1">
      <alignment horizontal="center" vertical="center" wrapText="1"/>
    </xf>
    <xf numFmtId="0" fontId="1" fillId="5" borderId="0" xfId="0" applyFont="1" applyFill="1" applyAlignment="1">
      <alignment horizontal="center" vertical="center" wrapText="1"/>
    </xf>
    <xf numFmtId="10" fontId="6" fillId="0" borderId="0" xfId="2" applyNumberFormat="1" applyFont="1" applyBorder="1" applyAlignment="1">
      <alignment horizontal="center" vertical="center" wrapText="1"/>
    </xf>
    <xf numFmtId="49" fontId="3" fillId="0" borderId="0" xfId="0" applyNumberFormat="1" applyFont="1" applyAlignment="1">
      <alignment horizontal="left" vertical="center" wrapText="1" indent="1"/>
    </xf>
    <xf numFmtId="43" fontId="6" fillId="0" borderId="0" xfId="1" applyFont="1" applyBorder="1" applyAlignment="1">
      <alignment horizontal="center" vertical="center" wrapText="1"/>
    </xf>
    <xf numFmtId="14" fontId="6" fillId="0" borderId="0" xfId="1" applyNumberFormat="1" applyFont="1" applyBorder="1" applyAlignment="1">
      <alignment horizontal="center" vertical="center" wrapText="1"/>
    </xf>
    <xf numFmtId="10" fontId="1" fillId="0" borderId="0" xfId="2" applyNumberFormat="1" applyFont="1" applyAlignment="1">
      <alignment horizontal="center" vertical="center" wrapText="1"/>
    </xf>
    <xf numFmtId="10" fontId="1" fillId="0" borderId="0" xfId="2" applyNumberFormat="1" applyFont="1" applyAlignment="1">
      <alignment horizontal="left" vertical="top"/>
    </xf>
    <xf numFmtId="43" fontId="8" fillId="0" borderId="0" xfId="1" applyFont="1" applyFill="1" applyBorder="1" applyAlignment="1">
      <alignment horizontal="left" vertical="top"/>
    </xf>
    <xf numFmtId="0" fontId="8" fillId="5" borderId="0" xfId="0" applyFont="1" applyFill="1" applyAlignment="1">
      <alignment horizontal="left" vertical="top"/>
    </xf>
    <xf numFmtId="0" fontId="9" fillId="5" borderId="0" xfId="0" applyFont="1" applyFill="1" applyAlignment="1">
      <alignment horizontal="left" vertical="top"/>
    </xf>
    <xf numFmtId="43" fontId="9" fillId="5" borderId="0" xfId="1" applyFont="1" applyFill="1" applyBorder="1" applyAlignment="1">
      <alignment horizontal="left" vertical="top"/>
    </xf>
    <xf numFmtId="43" fontId="8" fillId="5" borderId="0" xfId="1" applyFont="1" applyFill="1" applyBorder="1" applyAlignment="1">
      <alignment horizontal="left" vertical="top"/>
    </xf>
    <xf numFmtId="0" fontId="8" fillId="0" borderId="0" xfId="0" applyFont="1" applyAlignment="1">
      <alignment horizontal="left" vertical="top" wrapText="1"/>
    </xf>
    <xf numFmtId="43" fontId="8" fillId="0" borderId="0" xfId="1" applyFont="1" applyBorder="1" applyAlignment="1">
      <alignment horizontal="left" vertical="top" wrapText="1"/>
    </xf>
    <xf numFmtId="43" fontId="8" fillId="5" borderId="0" xfId="1" applyFont="1" applyFill="1" applyBorder="1" applyAlignment="1">
      <alignment horizontal="left" vertical="top" wrapText="1"/>
    </xf>
    <xf numFmtId="0" fontId="8" fillId="0" borderId="0" xfId="0" applyFont="1" applyAlignment="1">
      <alignment horizontal="left"/>
    </xf>
    <xf numFmtId="0" fontId="8" fillId="0" borderId="0" xfId="0" applyFont="1" applyAlignment="1">
      <alignment horizontal="left" vertical="center"/>
    </xf>
    <xf numFmtId="0" fontId="19" fillId="0" borderId="0" xfId="0" applyFont="1" applyAlignment="1">
      <alignment horizontal="left" vertical="center"/>
    </xf>
    <xf numFmtId="0" fontId="19" fillId="0" borderId="0" xfId="0" applyFont="1" applyAlignment="1">
      <alignment horizontal="left"/>
    </xf>
    <xf numFmtId="3" fontId="20" fillId="0" borderId="0" xfId="0" applyNumberFormat="1" applyFont="1"/>
    <xf numFmtId="43" fontId="9" fillId="0" borderId="0" xfId="1" applyFont="1" applyFill="1" applyBorder="1" applyAlignment="1">
      <alignment horizontal="left" vertical="top" wrapText="1"/>
    </xf>
    <xf numFmtId="14" fontId="8" fillId="0" borderId="0" xfId="0" applyNumberFormat="1" applyFont="1" applyAlignment="1">
      <alignment horizontal="left" vertical="top"/>
    </xf>
    <xf numFmtId="49" fontId="8" fillId="0" borderId="0" xfId="0" applyNumberFormat="1" applyFont="1" applyAlignment="1">
      <alignment horizontal="left" vertical="top"/>
    </xf>
    <xf numFmtId="10" fontId="9" fillId="0" borderId="0" xfId="2" applyNumberFormat="1" applyFont="1" applyAlignment="1">
      <alignment horizontal="left" vertical="top"/>
    </xf>
    <xf numFmtId="10" fontId="9" fillId="0" borderId="0" xfId="2" applyNumberFormat="1" applyFont="1" applyBorder="1" applyAlignment="1">
      <alignment horizontal="left" vertical="top"/>
    </xf>
    <xf numFmtId="43" fontId="9" fillId="0" borderId="0" xfId="1" applyFont="1" applyFill="1" applyBorder="1" applyAlignment="1">
      <alignment horizontal="left" vertical="top"/>
    </xf>
    <xf numFmtId="43" fontId="8" fillId="0" borderId="0" xfId="1" applyFont="1" applyFill="1" applyBorder="1" applyAlignment="1">
      <alignment horizontal="left" vertical="top" wrapText="1"/>
    </xf>
    <xf numFmtId="1" fontId="8" fillId="0" borderId="0" xfId="0" applyNumberFormat="1" applyFont="1" applyAlignment="1">
      <alignment horizontal="left" vertical="top" wrapText="1"/>
    </xf>
    <xf numFmtId="0" fontId="19" fillId="0" borderId="0" xfId="0" applyFont="1" applyAlignment="1">
      <alignment horizontal="left" vertical="top" wrapText="1"/>
    </xf>
    <xf numFmtId="43" fontId="19" fillId="0" borderId="0" xfId="1" applyFont="1" applyBorder="1" applyAlignment="1">
      <alignment horizontal="left" vertical="top" wrapText="1"/>
    </xf>
    <xf numFmtId="10" fontId="8" fillId="5" borderId="0" xfId="2" applyNumberFormat="1" applyFont="1" applyFill="1" applyBorder="1" applyAlignment="1">
      <alignment horizontal="left" vertical="top"/>
    </xf>
    <xf numFmtId="4" fontId="8" fillId="0" borderId="0" xfId="0" applyNumberFormat="1" applyFont="1" applyAlignment="1">
      <alignment horizontal="left" vertical="top"/>
    </xf>
    <xf numFmtId="0" fontId="19" fillId="0" borderId="0" xfId="0" applyFont="1" applyAlignment="1">
      <alignment horizontal="left" vertical="top"/>
    </xf>
    <xf numFmtId="10" fontId="8" fillId="0" borderId="0" xfId="2" applyNumberFormat="1" applyFont="1" applyFill="1" applyBorder="1" applyAlignment="1">
      <alignment horizontal="left" vertical="top"/>
    </xf>
    <xf numFmtId="0" fontId="8" fillId="5" borderId="0" xfId="0" applyFont="1" applyFill="1" applyAlignment="1">
      <alignment horizontal="center" vertical="top"/>
    </xf>
    <xf numFmtId="43" fontId="9" fillId="0" borderId="0" xfId="1" applyFont="1" applyBorder="1" applyAlignment="1">
      <alignment horizontal="center" vertical="top"/>
    </xf>
    <xf numFmtId="10" fontId="9" fillId="0" borderId="0" xfId="2" applyNumberFormat="1" applyFont="1" applyBorder="1" applyAlignment="1">
      <alignment horizontal="left" vertical="top" wrapText="1"/>
    </xf>
    <xf numFmtId="10" fontId="19" fillId="0" borderId="0" xfId="2" applyNumberFormat="1" applyFont="1" applyBorder="1" applyAlignment="1">
      <alignment horizontal="left" vertical="top" wrapText="1"/>
    </xf>
    <xf numFmtId="43" fontId="21" fillId="0" borderId="0" xfId="1" applyFont="1" applyBorder="1" applyAlignment="1">
      <alignment horizontal="left" vertical="top"/>
    </xf>
    <xf numFmtId="14" fontId="1" fillId="0" borderId="0" xfId="0" applyNumberFormat="1" applyFont="1" applyAlignment="1">
      <alignment horizontal="center" vertical="top"/>
    </xf>
    <xf numFmtId="0" fontId="9" fillId="0" borderId="18" xfId="0" applyFont="1" applyBorder="1" applyAlignment="1">
      <alignment vertical="center"/>
    </xf>
    <xf numFmtId="0" fontId="9" fillId="0" borderId="17" xfId="0" applyFont="1" applyBorder="1" applyAlignment="1">
      <alignment horizontal="left" vertical="center"/>
    </xf>
    <xf numFmtId="10" fontId="8" fillId="0" borderId="18" xfId="2" applyNumberFormat="1" applyFont="1" applyBorder="1" applyAlignment="1">
      <alignment horizontal="left" vertical="top" wrapText="1"/>
    </xf>
    <xf numFmtId="0" fontId="25" fillId="0" borderId="0" xfId="0" applyFont="1" applyAlignment="1">
      <alignment vertical="center"/>
    </xf>
    <xf numFmtId="14" fontId="26" fillId="0" borderId="24" xfId="0" applyNumberFormat="1" applyFont="1" applyBorder="1" applyAlignment="1">
      <alignment horizontal="left" wrapText="1"/>
    </xf>
    <xf numFmtId="0" fontId="8" fillId="0" borderId="0" xfId="2" applyNumberFormat="1" applyFont="1" applyAlignment="1">
      <alignment horizontal="left" vertical="top" wrapText="1"/>
    </xf>
    <xf numFmtId="10" fontId="8" fillId="0" borderId="0" xfId="2" applyNumberFormat="1" applyFont="1" applyAlignment="1">
      <alignment horizontal="left" vertical="top" wrapText="1"/>
    </xf>
    <xf numFmtId="0" fontId="27" fillId="0" borderId="0" xfId="0" applyFont="1"/>
    <xf numFmtId="49" fontId="8" fillId="0" borderId="0" xfId="0" applyNumberFormat="1" applyFont="1" applyAlignment="1">
      <alignment horizontal="left" vertical="top" wrapText="1"/>
    </xf>
    <xf numFmtId="0" fontId="25" fillId="0" borderId="0" xfId="0" applyFont="1" applyAlignment="1">
      <alignment vertical="top" wrapText="1"/>
    </xf>
    <xf numFmtId="10" fontId="8" fillId="0" borderId="0" xfId="0" applyNumberFormat="1" applyFont="1" applyAlignment="1">
      <alignment horizontal="left" vertical="top" wrapText="1"/>
    </xf>
    <xf numFmtId="14" fontId="28" fillId="0" borderId="0" xfId="0" applyNumberFormat="1" applyFont="1" applyAlignment="1">
      <alignment horizontal="left" vertical="center"/>
    </xf>
    <xf numFmtId="14" fontId="27" fillId="0" borderId="0" xfId="0" applyNumberFormat="1" applyFont="1" applyAlignment="1">
      <alignment horizontal="left" vertical="top"/>
    </xf>
    <xf numFmtId="177" fontId="27" fillId="0" borderId="0" xfId="0" applyNumberFormat="1" applyFont="1" applyAlignment="1">
      <alignment vertical="center"/>
    </xf>
    <xf numFmtId="0" fontId="27" fillId="0" borderId="0" xfId="0" applyFont="1" applyAlignment="1">
      <alignment vertical="center"/>
    </xf>
    <xf numFmtId="0" fontId="27" fillId="0" borderId="25" xfId="0" applyFont="1" applyBorder="1" applyAlignment="1">
      <alignment vertical="center"/>
    </xf>
    <xf numFmtId="0" fontId="29" fillId="0" borderId="0" xfId="0" applyFont="1"/>
    <xf numFmtId="0" fontId="30" fillId="0" borderId="26" xfId="0" applyFont="1" applyBorder="1" applyAlignment="1">
      <alignment horizontal="center" vertical="top"/>
    </xf>
    <xf numFmtId="0" fontId="8" fillId="0" borderId="0" xfId="0" pivotButton="1" applyFont="1" applyAlignment="1">
      <alignment horizontal="left" vertical="top" wrapText="1"/>
    </xf>
    <xf numFmtId="181" fontId="15" fillId="0" borderId="7" xfId="1" applyNumberFormat="1" applyFont="1" applyBorder="1" applyAlignment="1">
      <alignment horizontal="left" vertical="top"/>
    </xf>
    <xf numFmtId="180" fontId="15" fillId="0" borderId="7" xfId="1" applyNumberFormat="1" applyFont="1" applyBorder="1" applyAlignment="1">
      <alignment horizontal="left" vertical="top"/>
    </xf>
    <xf numFmtId="10" fontId="15" fillId="0" borderId="7" xfId="2" applyNumberFormat="1" applyFont="1" applyBorder="1" applyAlignment="1">
      <alignment horizontal="left" vertical="top"/>
    </xf>
    <xf numFmtId="10" fontId="5" fillId="3" borderId="25" xfId="0" applyNumberFormat="1" applyFont="1" applyFill="1" applyBorder="1" applyAlignment="1">
      <alignment horizontal="center" vertical="center" wrapText="1"/>
    </xf>
    <xf numFmtId="10" fontId="5" fillId="3" borderId="14" xfId="0" applyNumberFormat="1" applyFont="1" applyFill="1" applyBorder="1" applyAlignment="1">
      <alignment horizontal="center" vertical="center" wrapText="1"/>
    </xf>
    <xf numFmtId="0" fontId="6" fillId="0" borderId="0" xfId="0" applyFont="1" applyAlignment="1">
      <alignment horizontal="left" vertical="top"/>
    </xf>
    <xf numFmtId="176" fontId="3" fillId="0" borderId="0" xfId="0" applyNumberFormat="1" applyFont="1" applyAlignment="1">
      <alignment horizontal="left" vertical="top" wrapText="1"/>
    </xf>
    <xf numFmtId="10" fontId="3" fillId="0" borderId="0" xfId="2" applyNumberFormat="1" applyFont="1" applyAlignment="1">
      <alignment horizontal="left" vertical="top" wrapText="1"/>
    </xf>
    <xf numFmtId="49" fontId="16" fillId="6" borderId="0" xfId="0" applyNumberFormat="1" applyFont="1" applyFill="1" applyAlignment="1">
      <alignment horizontal="left" vertical="top" wrapText="1"/>
    </xf>
    <xf numFmtId="49" fontId="32" fillId="6" borderId="0" xfId="0" applyNumberFormat="1" applyFont="1" applyFill="1" applyAlignment="1">
      <alignment horizontal="left" vertical="top" wrapText="1"/>
    </xf>
    <xf numFmtId="9" fontId="8" fillId="0" borderId="0" xfId="2" applyFont="1" applyAlignment="1">
      <alignment horizontal="left" vertical="top" wrapText="1"/>
    </xf>
    <xf numFmtId="14" fontId="3" fillId="0" borderId="0" xfId="0" applyNumberFormat="1" applyFont="1" applyAlignment="1">
      <alignment horizontal="left" vertical="top" wrapText="1"/>
    </xf>
    <xf numFmtId="14" fontId="0" fillId="0" borderId="0" xfId="0" applyNumberFormat="1" applyAlignment="1">
      <alignment horizontal="left" vertical="top" wrapText="1"/>
    </xf>
    <xf numFmtId="49" fontId="27" fillId="0" borderId="0" xfId="0" applyNumberFormat="1" applyFont="1" applyAlignment="1">
      <alignment vertical="center"/>
    </xf>
    <xf numFmtId="176" fontId="8" fillId="0" borderId="0" xfId="0" applyNumberFormat="1" applyFont="1" applyAlignment="1">
      <alignment horizontal="left" vertical="top" wrapText="1"/>
    </xf>
    <xf numFmtId="43" fontId="34" fillId="0" borderId="0" xfId="1" applyFont="1" applyFill="1" applyBorder="1" applyAlignment="1">
      <alignment horizontal="center" vertical="center" wrapText="1"/>
    </xf>
    <xf numFmtId="176" fontId="10" fillId="0" borderId="0" xfId="2" applyNumberFormat="1" applyFont="1" applyAlignment="1">
      <alignment vertical="center"/>
    </xf>
    <xf numFmtId="0" fontId="25" fillId="0" borderId="0" xfId="3" applyFont="1">
      <alignment vertical="center"/>
    </xf>
    <xf numFmtId="14" fontId="26" fillId="0" borderId="24" xfId="3" applyNumberFormat="1" applyFont="1" applyBorder="1" applyAlignment="1">
      <alignment horizontal="left" wrapText="1"/>
    </xf>
    <xf numFmtId="0" fontId="25" fillId="0" borderId="27" xfId="3" applyFont="1" applyBorder="1" applyAlignment="1">
      <alignment horizontal="left" wrapText="1"/>
    </xf>
    <xf numFmtId="14" fontId="25" fillId="0" borderId="0" xfId="3" applyNumberFormat="1" applyFont="1">
      <alignment vertical="center"/>
    </xf>
    <xf numFmtId="0" fontId="10" fillId="0" borderId="0" xfId="3">
      <alignment vertical="center"/>
    </xf>
    <xf numFmtId="176" fontId="25" fillId="8" borderId="0" xfId="3" applyNumberFormat="1" applyFont="1" applyFill="1">
      <alignment vertical="center"/>
    </xf>
    <xf numFmtId="176" fontId="25" fillId="0" borderId="0" xfId="3" applyNumberFormat="1" applyFont="1">
      <alignment vertical="center"/>
    </xf>
    <xf numFmtId="14" fontId="25" fillId="8" borderId="0" xfId="3" applyNumberFormat="1" applyFont="1" applyFill="1">
      <alignment vertical="center"/>
    </xf>
    <xf numFmtId="0" fontId="25" fillId="0" borderId="0" xfId="3" applyFont="1" applyAlignment="1">
      <alignment vertical="top" wrapText="1"/>
    </xf>
    <xf numFmtId="14" fontId="25" fillId="5" borderId="0" xfId="3" applyNumberFormat="1" applyFont="1" applyFill="1">
      <alignment vertical="center"/>
    </xf>
    <xf numFmtId="182" fontId="25" fillId="0" borderId="0" xfId="4" applyNumberFormat="1" applyFont="1">
      <alignment vertical="center"/>
    </xf>
    <xf numFmtId="0" fontId="25" fillId="0" borderId="28" xfId="3" applyFont="1" applyBorder="1" applyAlignment="1">
      <alignment vertical="top" wrapText="1"/>
    </xf>
    <xf numFmtId="2" fontId="25" fillId="0" borderId="0" xfId="3" applyNumberFormat="1" applyFont="1">
      <alignment vertical="center"/>
    </xf>
    <xf numFmtId="0" fontId="25" fillId="8" borderId="0" xfId="3" applyFont="1" applyFill="1">
      <alignment vertical="center"/>
    </xf>
    <xf numFmtId="0" fontId="8" fillId="0" borderId="0" xfId="3" applyFont="1">
      <alignment vertical="center"/>
    </xf>
    <xf numFmtId="0" fontId="25" fillId="0" borderId="28" xfId="3" applyFont="1" applyBorder="1" applyAlignment="1">
      <alignment vertical="top"/>
    </xf>
    <xf numFmtId="176" fontId="10" fillId="0" borderId="0" xfId="3" applyNumberFormat="1">
      <alignment vertical="center"/>
    </xf>
    <xf numFmtId="0" fontId="35" fillId="0" borderId="0" xfId="5">
      <alignment vertical="center"/>
    </xf>
    <xf numFmtId="3" fontId="35" fillId="0" borderId="0" xfId="5" applyNumberFormat="1">
      <alignment vertical="center"/>
    </xf>
    <xf numFmtId="0" fontId="37" fillId="0" borderId="29" xfId="5" applyFont="1" applyBorder="1" applyAlignment="1">
      <alignment horizontal="left" vertical="center"/>
    </xf>
    <xf numFmtId="176" fontId="12" fillId="3" borderId="25" xfId="2" applyNumberFormat="1" applyFont="1" applyFill="1" applyBorder="1" applyAlignment="1">
      <alignment horizontal="center" vertical="center"/>
    </xf>
    <xf numFmtId="183" fontId="10" fillId="0" borderId="0" xfId="0" applyNumberFormat="1" applyFont="1" applyAlignment="1">
      <alignment vertical="top" wrapText="1"/>
    </xf>
    <xf numFmtId="10" fontId="13" fillId="3" borderId="2" xfId="2" applyNumberFormat="1" applyFont="1" applyFill="1" applyBorder="1" applyAlignment="1">
      <alignment horizontal="center" vertical="center" wrapText="1"/>
    </xf>
    <xf numFmtId="10" fontId="13" fillId="3" borderId="4" xfId="2" applyNumberFormat="1" applyFont="1" applyFill="1" applyBorder="1" applyAlignment="1">
      <alignment horizontal="center" vertical="center" wrapText="1"/>
    </xf>
    <xf numFmtId="10" fontId="13" fillId="3" borderId="14" xfId="2" applyNumberFormat="1" applyFont="1" applyFill="1" applyBorder="1" applyAlignment="1">
      <alignment horizontal="center" vertical="center" wrapText="1"/>
    </xf>
    <xf numFmtId="10" fontId="13" fillId="3" borderId="15" xfId="2" applyNumberFormat="1" applyFont="1" applyFill="1" applyBorder="1" applyAlignment="1">
      <alignment horizontal="center" vertical="center" wrapText="1"/>
    </xf>
    <xf numFmtId="10" fontId="13" fillId="3" borderId="6" xfId="2" applyNumberFormat="1" applyFont="1" applyFill="1" applyBorder="1" applyAlignment="1">
      <alignment horizontal="center" vertical="center" wrapText="1"/>
    </xf>
    <xf numFmtId="10" fontId="3" fillId="0" borderId="0" xfId="2" applyNumberFormat="1" applyFont="1" applyAlignment="1">
      <alignment horizontal="center" vertical="top" wrapText="1"/>
    </xf>
    <xf numFmtId="10" fontId="0" fillId="0" borderId="0" xfId="2" applyNumberFormat="1" applyFont="1" applyAlignment="1">
      <alignment horizontal="center" vertical="top" wrapText="1"/>
    </xf>
  </cellXfs>
  <cellStyles count="6">
    <cellStyle name="百分比" xfId="2" builtinId="5"/>
    <cellStyle name="百分比 2" xfId="4" xr:uid="{25C4EF73-D8CE-4802-A996-48ACA34312CD}"/>
    <cellStyle name="常规" xfId="0" builtinId="0"/>
    <cellStyle name="常规 2" xfId="3" xr:uid="{20F2BC88-3678-438E-A40C-52FAEB84EF3C}"/>
    <cellStyle name="常规 2 2" xfId="5" xr:uid="{54671BEB-8482-4A3B-AB52-FEBE1DA6D534}"/>
    <cellStyle name="千位分隔" xfId="1" builtinId="3"/>
  </cellStyles>
  <dxfs count="12">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font>
        <name val="Times New Roman"/>
        <family val="1"/>
        <scheme val="none"/>
      </font>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9" defaultPivotStyle="PivotStyleLight16"/>
  <colors>
    <mruColors>
      <color rgb="FF86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1.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400" b="1" i="0" u="none" strike="noStrike" kern="1200" baseline="0">
                <a:solidFill>
                  <a:schemeClr val="tx1">
                    <a:lumMod val="75000"/>
                    <a:lumOff val="25000"/>
                  </a:schemeClr>
                </a:solidFill>
                <a:latin typeface="Times New Roman" panose="02020603050405020304" charset="0"/>
                <a:ea typeface="Times New Roman" panose="02020603050405020304" charset="0"/>
                <a:cs typeface="Times New Roman" panose="02020603050405020304" charset="0"/>
                <a:sym typeface="Times New Roman" panose="02020603050405020304" charset="0"/>
              </a:defRPr>
            </a:pPr>
            <a:r>
              <a:rPr lang="en-US" altLang="zh-CN" sz="1200">
                <a:latin typeface="Times New Roman" panose="02020603050405020304" charset="0"/>
                <a:ea typeface="Times New Roman" panose="02020603050405020304" charset="0"/>
                <a:cs typeface="Times New Roman" panose="02020603050405020304" charset="0"/>
                <a:sym typeface="Times New Roman" panose="02020603050405020304" charset="0"/>
              </a:rPr>
              <a:t>AGIX Performance on</a:t>
            </a:r>
            <a:r>
              <a:rPr lang="en-US" altLang="zh-CN" sz="1200" baseline="0">
                <a:latin typeface="Times New Roman" panose="02020603050405020304" charset="0"/>
                <a:ea typeface="Times New Roman" panose="02020603050405020304" charset="0"/>
                <a:cs typeface="Times New Roman" panose="02020603050405020304" charset="0"/>
                <a:sym typeface="Times New Roman" panose="02020603050405020304" charset="0"/>
              </a:rPr>
              <a:t> August 1st</a:t>
            </a:r>
          </a:p>
        </c:rich>
      </c:tx>
      <c:layout>
        <c:manualLayout>
          <c:xMode val="edge"/>
          <c:yMode val="edge"/>
          <c:x val="0.33983836899623499"/>
          <c:y val="1.65197351846889E-2"/>
        </c:manualLayout>
      </c:layout>
      <c:overlay val="0"/>
      <c:spPr>
        <a:noFill/>
        <a:ln>
          <a:noFill/>
        </a:ln>
        <a:effectLst/>
      </c:spPr>
      <c:txPr>
        <a:bodyPr rot="0" spcFirstLastPara="0" vertOverflow="ellipsis" vert="horz" wrap="square" anchor="ctr" anchorCtr="1"/>
        <a:lstStyle/>
        <a:p>
          <a:pPr defTabSz="914400">
            <a:defRPr lang="zh-CN" sz="1400" b="1" i="0" u="none" strike="noStrike" kern="1200" baseline="0">
              <a:solidFill>
                <a:schemeClr val="tx1">
                  <a:lumMod val="75000"/>
                  <a:lumOff val="25000"/>
                </a:schemeClr>
              </a:solidFill>
              <a:latin typeface="Times New Roman" panose="02020603050405020304" charset="0"/>
              <a:ea typeface="Times New Roman" panose="02020603050405020304" charset="0"/>
              <a:cs typeface="Times New Roman" panose="02020603050405020304" charset="0"/>
              <a:sym typeface="Times New Roman" panose="02020603050405020304" charset="0"/>
            </a:defRPr>
          </a:pPr>
          <a:endParaRPr lang="en-US" altLang="zh-CN"/>
        </a:p>
      </c:txPr>
    </c:title>
    <c:autoTitleDeleted val="0"/>
    <c:plotArea>
      <c:layout>
        <c:manualLayout>
          <c:layoutTarget val="inner"/>
          <c:xMode val="edge"/>
          <c:yMode val="edge"/>
          <c:x val="0.10844098427264465"/>
          <c:y val="0.1183338693866173"/>
          <c:w val="0.789168422357169"/>
          <c:h val="0.74165678931829104"/>
        </c:manualLayout>
      </c:layout>
      <c:barChart>
        <c:barDir val="col"/>
        <c:grouping val="clustered"/>
        <c:varyColors val="0"/>
        <c:ser>
          <c:idx val="1"/>
          <c:order val="1"/>
          <c:tx>
            <c:strRef>
              <c:f>'raw1'!$I$14</c:f>
              <c:strCache>
                <c:ptCount val="1"/>
                <c:pt idx="0">
                  <c:v>Return since 2024</c:v>
                </c:pt>
              </c:strCache>
            </c:strRef>
          </c:tx>
          <c:spPr>
            <a:noFill/>
            <a:ln w="12700" cap="flat" cmpd="sng" algn="ctr">
              <a:solidFill>
                <a:schemeClr val="accent2"/>
              </a:solidFill>
              <a:prstDash val="solid"/>
              <a:miter lim="800000"/>
            </a:ln>
            <a:effectLst/>
          </c:spPr>
          <c:invertIfNegative val="0"/>
          <c:dPt>
            <c:idx val="0"/>
            <c:invertIfNegative val="0"/>
            <c:bubble3D val="0"/>
            <c:spPr>
              <a:solidFill>
                <a:schemeClr val="accent2"/>
              </a:solidFill>
              <a:ln>
                <a:noFill/>
              </a:ln>
              <a:effectLst/>
              <a:sp3d>
                <a:extrusionClr>
                  <a:srgbClr val="FFFFFF"/>
                </a:extrusionClr>
                <a:contourClr>
                  <a:srgbClr val="FFFFFF"/>
                </a:contourClr>
              </a:sp3d>
            </c:spPr>
            <c:extLst>
              <c:ext xmlns:c16="http://schemas.microsoft.com/office/drawing/2014/chart" uri="{C3380CC4-5D6E-409C-BE32-E72D297353CC}">
                <c16:uniqueId val="{00000001-B63F-4DF0-8C1C-ACC59F5A3730}"/>
              </c:ext>
            </c:extLst>
          </c:dPt>
          <c:cat>
            <c:strRef>
              <c:f>'raw1'!$D$15:$D$18</c:f>
              <c:strCache>
                <c:ptCount val="4"/>
                <c:pt idx="0">
                  <c:v>AGIX</c:v>
                </c:pt>
                <c:pt idx="1">
                  <c:v> S&amp;P 500 </c:v>
                </c:pt>
                <c:pt idx="2">
                  <c:v>QQQ</c:v>
                </c:pt>
                <c:pt idx="3">
                  <c:v>DowJones</c:v>
                </c:pt>
              </c:strCache>
            </c:strRef>
          </c:cat>
          <c:val>
            <c:numRef>
              <c:f>'raw1'!$I$15:$I$18</c:f>
              <c:numCache>
                <c:formatCode>0.00%</c:formatCode>
                <c:ptCount val="4"/>
                <c:pt idx="0">
                  <c:v>0.55024971011130908</c:v>
                </c:pt>
                <c:pt idx="1">
                  <c:v>0.33620153304392497</c:v>
                </c:pt>
                <c:pt idx="2">
                  <c:v>0.39883277983981258</c:v>
                </c:pt>
                <c:pt idx="3">
                  <c:v>0.16677198192894904</c:v>
                </c:pt>
              </c:numCache>
            </c:numRef>
          </c:val>
          <c:extLst>
            <c:ext xmlns:c16="http://schemas.microsoft.com/office/drawing/2014/chart" uri="{C3380CC4-5D6E-409C-BE32-E72D297353CC}">
              <c16:uniqueId val="{00000002-B63F-4DF0-8C1C-ACC59F5A3730}"/>
            </c:ext>
          </c:extLst>
        </c:ser>
        <c:ser>
          <c:idx val="2"/>
          <c:order val="2"/>
          <c:tx>
            <c:strRef>
              <c:f>'raw1'!$H$14</c:f>
              <c:strCache>
                <c:ptCount val="1"/>
                <c:pt idx="0">
                  <c:v>YTD</c:v>
                </c:pt>
              </c:strCache>
            </c:strRef>
          </c:tx>
          <c:spPr>
            <a:noFill/>
            <a:ln w="12700" cap="flat" cmpd="sng" algn="ctr">
              <a:solidFill>
                <a:schemeClr val="accent3"/>
              </a:solidFill>
              <a:prstDash val="solid"/>
              <a:miter lim="800000"/>
            </a:ln>
            <a:effectLst/>
          </c:spPr>
          <c:invertIfNegative val="0"/>
          <c:dPt>
            <c:idx val="0"/>
            <c:invertIfNegative val="0"/>
            <c:bubble3D val="0"/>
            <c:spPr>
              <a:solidFill>
                <a:schemeClr val="accent3"/>
              </a:solidFill>
              <a:ln>
                <a:noFill/>
              </a:ln>
              <a:effectLst/>
              <a:sp3d>
                <a:extrusionClr>
                  <a:srgbClr val="FFFFFF"/>
                </a:extrusionClr>
                <a:contourClr>
                  <a:srgbClr val="FFFFFF"/>
                </a:contourClr>
              </a:sp3d>
            </c:spPr>
            <c:extLst>
              <c:ext xmlns:c16="http://schemas.microsoft.com/office/drawing/2014/chart" uri="{C3380CC4-5D6E-409C-BE32-E72D297353CC}">
                <c16:uniqueId val="{00000004-B63F-4DF0-8C1C-ACC59F5A3730}"/>
              </c:ext>
            </c:extLst>
          </c:dPt>
          <c:cat>
            <c:strRef>
              <c:f>'raw1'!$D$15:$D$18</c:f>
              <c:strCache>
                <c:ptCount val="4"/>
                <c:pt idx="0">
                  <c:v>AGIX</c:v>
                </c:pt>
                <c:pt idx="1">
                  <c:v> S&amp;P 500 </c:v>
                </c:pt>
                <c:pt idx="2">
                  <c:v>QQQ</c:v>
                </c:pt>
                <c:pt idx="3">
                  <c:v>DowJones</c:v>
                </c:pt>
              </c:strCache>
            </c:strRef>
          </c:cat>
          <c:val>
            <c:numRef>
              <c:f>'raw1'!$H$15:$H$18</c:f>
              <c:numCache>
                <c:formatCode>0.00%</c:formatCode>
                <c:ptCount val="4"/>
                <c:pt idx="0">
                  <c:v>0.14872669715089692</c:v>
                </c:pt>
                <c:pt idx="1">
                  <c:v>8.3620682788377421E-2</c:v>
                </c:pt>
                <c:pt idx="2">
                  <c:v>0.12053283258024772</c:v>
                </c:pt>
                <c:pt idx="3">
                  <c:v>3.3632555978090339E-2</c:v>
                </c:pt>
              </c:numCache>
            </c:numRef>
          </c:val>
          <c:extLst>
            <c:ext xmlns:c16="http://schemas.microsoft.com/office/drawing/2014/chart" uri="{C3380CC4-5D6E-409C-BE32-E72D297353CC}">
              <c16:uniqueId val="{00000005-B63F-4DF0-8C1C-ACC59F5A3730}"/>
            </c:ext>
          </c:extLst>
        </c:ser>
        <c:dLbls>
          <c:showLegendKey val="0"/>
          <c:showVal val="0"/>
          <c:showCatName val="0"/>
          <c:showSerName val="0"/>
          <c:showPercent val="0"/>
          <c:showBubbleSize val="0"/>
        </c:dLbls>
        <c:gapWidth val="219"/>
        <c:overlap val="-27"/>
        <c:axId val="587955293"/>
        <c:axId val="274045457"/>
      </c:barChart>
      <c:lineChart>
        <c:grouping val="standard"/>
        <c:varyColors val="0"/>
        <c:ser>
          <c:idx val="0"/>
          <c:order val="0"/>
          <c:tx>
            <c:strRef>
              <c:f>'raw1'!$E$14</c:f>
              <c:strCache>
                <c:ptCount val="1"/>
                <c:pt idx="0">
                  <c:v>DTD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'raw1'!$D$15:$D$18</c:f>
              <c:strCache>
                <c:ptCount val="4"/>
                <c:pt idx="0">
                  <c:v>AGIX</c:v>
                </c:pt>
                <c:pt idx="1">
                  <c:v> S&amp;P 500 </c:v>
                </c:pt>
                <c:pt idx="2">
                  <c:v>QQQ</c:v>
                </c:pt>
                <c:pt idx="3">
                  <c:v>DowJones</c:v>
                </c:pt>
              </c:strCache>
            </c:strRef>
          </c:cat>
          <c:val>
            <c:numRef>
              <c:f>'raw1'!$E$15:$E$18</c:f>
              <c:numCache>
                <c:formatCode>0.00%</c:formatCode>
                <c:ptCount val="4"/>
                <c:pt idx="0">
                  <c:v>-6.0927918194683987E-3</c:v>
                </c:pt>
                <c:pt idx="1">
                  <c:v>-2.5028682810652129E-3</c:v>
                </c:pt>
                <c:pt idx="2">
                  <c:v>-2.9588373509702062E-3</c:v>
                </c:pt>
                <c:pt idx="3">
                  <c:v>-4.5389589530533654E-3</c:v>
                </c:pt>
              </c:numCache>
            </c:numRef>
          </c:val>
          <c:smooth val="0"/>
          <c:extLst>
            <c:ext xmlns:c16="http://schemas.microsoft.com/office/drawing/2014/chart" uri="{C3380CC4-5D6E-409C-BE32-E72D297353CC}">
              <c16:uniqueId val="{00000006-B63F-4DF0-8C1C-ACC59F5A3730}"/>
            </c:ext>
          </c:extLst>
        </c:ser>
        <c:dLbls>
          <c:showLegendKey val="0"/>
          <c:showVal val="0"/>
          <c:showCatName val="0"/>
          <c:showSerName val="0"/>
          <c:showPercent val="0"/>
          <c:showBubbleSize val="0"/>
        </c:dLbls>
        <c:marker val="1"/>
        <c:smooth val="0"/>
        <c:axId val="361676337"/>
        <c:axId val="160600119"/>
      </c:lineChart>
      <c:catAx>
        <c:axId val="587955293"/>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Times New Roman" panose="02020603050405020304" charset="0"/>
                <a:ea typeface="Times New Roman" panose="02020603050405020304" charset="0"/>
                <a:cs typeface="Times New Roman" panose="02020603050405020304" charset="0"/>
                <a:sym typeface="Times New Roman" panose="02020603050405020304" charset="0"/>
              </a:defRPr>
            </a:pPr>
            <a:endParaRPr lang="zh-CN"/>
          </a:p>
        </c:txPr>
        <c:crossAx val="274045457"/>
        <c:crosses val="autoZero"/>
        <c:auto val="1"/>
        <c:lblAlgn val="ctr"/>
        <c:lblOffset val="100"/>
        <c:noMultiLvlLbl val="0"/>
      </c:catAx>
      <c:valAx>
        <c:axId val="274045457"/>
        <c:scaling>
          <c:orientation val="minMax"/>
        </c:scaling>
        <c:delete val="0"/>
        <c:axPos val="l"/>
        <c:numFmt formatCode="0.00%" sourceLinked="1"/>
        <c:majorTickMark val="none"/>
        <c:minorTickMark val="none"/>
        <c:tickLblPos val="nextTo"/>
        <c:spPr>
          <a:noFill/>
          <a:ln>
            <a:noFill/>
          </a:ln>
          <a:effectLst/>
        </c:spPr>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Times New Roman" panose="02020603050405020304" charset="0"/>
                <a:ea typeface="Times New Roman" panose="02020603050405020304" charset="0"/>
                <a:cs typeface="Times New Roman" panose="02020603050405020304" charset="0"/>
                <a:sym typeface="Times New Roman" panose="02020603050405020304" charset="0"/>
              </a:defRPr>
            </a:pPr>
            <a:endParaRPr lang="zh-CN"/>
          </a:p>
        </c:txPr>
        <c:crossAx val="587955293"/>
        <c:crosses val="autoZero"/>
        <c:crossBetween val="between"/>
      </c:valAx>
      <c:catAx>
        <c:axId val="361676337"/>
        <c:scaling>
          <c:orientation val="minMax"/>
        </c:scaling>
        <c:delete val="1"/>
        <c:axPos val="b"/>
        <c:numFmt formatCode="General" sourceLinked="1"/>
        <c:majorTickMark val="out"/>
        <c:minorTickMark val="none"/>
        <c:tickLblPos val="nextTo"/>
        <c:crossAx val="160600119"/>
        <c:crosses val="autoZero"/>
        <c:auto val="1"/>
        <c:lblAlgn val="ctr"/>
        <c:lblOffset val="100"/>
        <c:noMultiLvlLbl val="0"/>
      </c:catAx>
      <c:valAx>
        <c:axId val="160600119"/>
        <c:scaling>
          <c:orientation val="minMax"/>
        </c:scaling>
        <c:delete val="0"/>
        <c:axPos val="r"/>
        <c:numFmt formatCode="0.00%" sourceLinked="1"/>
        <c:majorTickMark val="out"/>
        <c:minorTickMark val="none"/>
        <c:tickLblPos val="nextTo"/>
        <c:spPr>
          <a:noFill/>
          <a:ln>
            <a:noFill/>
          </a:ln>
          <a:effectLst/>
        </c:spPr>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Times New Roman" panose="02020603050405020304" charset="0"/>
                <a:ea typeface="Times New Roman" panose="02020603050405020304" charset="0"/>
                <a:cs typeface="Times New Roman" panose="02020603050405020304" charset="0"/>
                <a:sym typeface="Times New Roman" panose="02020603050405020304" charset="0"/>
              </a:defRPr>
            </a:pPr>
            <a:endParaRPr lang="zh-CN"/>
          </a:p>
        </c:txPr>
        <c:crossAx val="361676337"/>
        <c:crosses val="max"/>
        <c:crossBetween val="between"/>
      </c:valAx>
      <c:spPr>
        <a:noFill/>
        <a:ln>
          <a:noFill/>
        </a:ln>
        <a:effectLst/>
      </c:spPr>
    </c:plotArea>
    <c:legend>
      <c:legendPos val="b"/>
      <c:legendEntry>
        <c:idx val="0"/>
        <c:txPr>
          <a:bodyPr rot="0" spcFirstLastPara="0" vertOverflow="ellipsis" vert="horz" wrap="square" anchor="ctr" anchorCtr="1"/>
          <a:lstStyle/>
          <a:p>
            <a:pPr>
              <a:defRPr lang="zh-CN" sz="900" b="0" i="0" u="none" strike="noStrike" kern="1200" baseline="0">
                <a:solidFill>
                  <a:schemeClr val="tx1">
                    <a:lumMod val="65000"/>
                    <a:lumOff val="35000"/>
                  </a:schemeClr>
                </a:solidFill>
                <a:latin typeface="Times New Roman" panose="02020603050405020304" charset="0"/>
                <a:ea typeface="Times New Roman" panose="02020603050405020304" charset="0"/>
                <a:cs typeface="Times New Roman" panose="02020603050405020304" charset="0"/>
                <a:sym typeface="Times New Roman" panose="02020603050405020304" charset="0"/>
              </a:defRPr>
            </a:pPr>
            <a:endParaRPr lang="zh-CN"/>
          </a:p>
        </c:txPr>
      </c:legendEntry>
      <c:legendEntry>
        <c:idx val="1"/>
        <c:txPr>
          <a:bodyPr rot="0" spcFirstLastPara="0" vertOverflow="ellipsis" vert="horz" wrap="square" anchor="ctr" anchorCtr="1"/>
          <a:lstStyle/>
          <a:p>
            <a:pPr>
              <a:defRPr lang="zh-CN" sz="900" b="0" i="0" u="none" strike="noStrike" kern="1200" baseline="0">
                <a:solidFill>
                  <a:schemeClr val="tx1">
                    <a:lumMod val="65000"/>
                    <a:lumOff val="35000"/>
                  </a:schemeClr>
                </a:solidFill>
                <a:latin typeface="Times New Roman" panose="02020603050405020304" charset="0"/>
                <a:ea typeface="Times New Roman" panose="02020603050405020304" charset="0"/>
                <a:cs typeface="Times New Roman" panose="02020603050405020304" charset="0"/>
                <a:sym typeface="Times New Roman" panose="02020603050405020304" charset="0"/>
              </a:defRPr>
            </a:pPr>
            <a:endParaRPr lang="zh-CN"/>
          </a:p>
        </c:txPr>
      </c:legendEntry>
      <c:legendEntry>
        <c:idx val="2"/>
        <c:txPr>
          <a:bodyPr rot="0" spcFirstLastPara="0" vertOverflow="ellipsis" vert="horz" wrap="square" anchor="ctr" anchorCtr="1"/>
          <a:lstStyle/>
          <a:p>
            <a:pPr>
              <a:defRPr lang="zh-CN" sz="900" b="0" i="0" u="none" strike="noStrike" kern="1200" baseline="0">
                <a:solidFill>
                  <a:schemeClr val="tx1">
                    <a:lumMod val="65000"/>
                    <a:lumOff val="35000"/>
                  </a:schemeClr>
                </a:solidFill>
                <a:latin typeface="Times New Roman" panose="02020603050405020304" charset="0"/>
                <a:ea typeface="Times New Roman" panose="02020603050405020304" charset="0"/>
                <a:cs typeface="Times New Roman" panose="02020603050405020304" charset="0"/>
                <a:sym typeface="Times New Roman" panose="02020603050405020304" charset="0"/>
              </a:defRPr>
            </a:pPr>
            <a:endParaRPr lang="zh-CN"/>
          </a:p>
        </c:txPr>
      </c:legendEntry>
      <c:overlay val="0"/>
      <c:spPr>
        <a:noFill/>
        <a:ln>
          <a:noFill/>
        </a:ln>
        <a:effectLst/>
      </c:spPr>
      <c:txPr>
        <a:bodyPr rot="0" spcFirstLastPara="0" vertOverflow="ellipsis" vert="horz" wrap="square" anchor="ctr" anchorCtr="1"/>
        <a:lstStyle/>
        <a:p>
          <a:pPr>
            <a:defRPr lang="zh-CN" sz="900" b="0" i="0" u="none" strike="noStrike" kern="1200" baseline="0">
              <a:solidFill>
                <a:schemeClr val="tx1">
                  <a:lumMod val="65000"/>
                  <a:lumOff val="35000"/>
                </a:schemeClr>
              </a:solidFill>
              <a:latin typeface="Times New Roman" panose="02020603050405020304" charset="0"/>
              <a:ea typeface="Times New Roman" panose="02020603050405020304" charset="0"/>
              <a:cs typeface="Times New Roman" panose="02020603050405020304" charset="0"/>
              <a:sym typeface="Times New Roman" panose="02020603050405020304" charset="0"/>
            </a:defRPr>
          </a:pPr>
          <a:endParaRPr lang="zh-CN"/>
        </a:p>
      </c:txPr>
    </c:legend>
    <c:plotVisOnly val="1"/>
    <c:dispBlanksAs val="gap"/>
    <c:showDLblsOverMax val="0"/>
    <c:extLst>
      <c:ext uri="{0b15fc19-7d7d-44ad-8c2d-2c3a37ce22c3}">
        <chartProps xmlns="https://web.wps.cn/et/2018/main" chartId="{23958347-c96e-4792-bd96-936b34c4d814}"/>
      </c:ext>
    </c:extLst>
  </c:chart>
  <c:spPr>
    <a:solidFill>
      <a:schemeClr val="bg1"/>
    </a:solidFill>
    <a:ln w="9525" cap="flat" cmpd="sng" algn="ctr">
      <a:noFill/>
      <a:round/>
    </a:ln>
    <a:effectLst/>
  </c:spPr>
  <c:txPr>
    <a:bodyPr/>
    <a:lstStyle/>
    <a:p>
      <a:pPr>
        <a:defRPr lang="zh-CN">
          <a:latin typeface="Times New Roman" panose="02020603050405020304" charset="0"/>
          <a:ea typeface="Times New Roman" panose="02020603050405020304" charset="0"/>
          <a:cs typeface="Times New Roman" panose="02020603050405020304" charset="0"/>
          <a:sym typeface="Times New Roman" panose="02020603050405020304" charset="0"/>
        </a:defRPr>
      </a:pPr>
      <a:endParaRPr lang="zh-CN"/>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10298">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10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000" kern="1200"/>
    <cs:bodyPr rot="0" spcFirstLastPara="1" vertOverflow="clip" horzOverflow="clip" vert="horz" wrap="square" lIns="36576" tIns="18288" rIns="36576" bIns="18288" anchor="ctr" anchorCtr="1">
      <a:spAutoFit/>
    </cs:bodyPr>
  </cs:dataLabelCallout>
  <cs:dataPoint>
    <cs:lnRef idx="0">
      <cs:styleClr val="auto"/>
    </cs:lnRef>
    <cs:fillRef idx="1">
      <cs:styleClr val="auto"/>
    </cs:fillRef>
    <cs:effectRef idx="0"/>
    <cs:fontRef idx="minor">
      <a:schemeClr val="dk1"/>
    </cs:fontRef>
    <cs:spPr>
      <a:ln>
        <a:noFill/>
      </a:ln>
      <a:effectLst/>
    </cs:spPr>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lt1">
            <a:lumMod val="902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75000"/>
        <a:lumOff val="25000"/>
      </a:schemeClr>
    </cs:fontRef>
    <cs:defRPr sz="1400" b="1" kern="120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9</xdr:col>
      <xdr:colOff>818928</xdr:colOff>
      <xdr:row>10</xdr:row>
      <xdr:rowOff>127407</xdr:rowOff>
    </xdr:from>
    <xdr:to>
      <xdr:col>15</xdr:col>
      <xdr:colOff>642398</xdr:colOff>
      <xdr:row>23</xdr:row>
      <xdr:rowOff>261392</xdr:rowOff>
    </xdr:to>
    <xdr:graphicFrame macro="">
      <xdr:nvGraphicFramePr>
        <xdr:cNvPr id="2" name="图表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363106</xdr:colOff>
      <xdr:row>29</xdr:row>
      <xdr:rowOff>99413</xdr:rowOff>
    </xdr:from>
    <xdr:to>
      <xdr:col>12</xdr:col>
      <xdr:colOff>336959</xdr:colOff>
      <xdr:row>46</xdr:row>
      <xdr:rowOff>114653</xdr:rowOff>
    </xdr:to>
    <xdr:pic>
      <xdr:nvPicPr>
        <xdr:cNvPr id="2" name="图片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stretch>
          <a:fillRect/>
        </a:stretch>
      </xdr:blipFill>
      <xdr:spPr>
        <a:xfrm>
          <a:off x="5455285" y="5255260"/>
          <a:ext cx="9363075" cy="3037840"/>
        </a:xfrm>
        <a:prstGeom prst="rect">
          <a:avLst/>
        </a:prstGeom>
        <a:noFill/>
        <a:ln w="9525">
          <a:noFill/>
        </a:ln>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areina" refreshedDate="45831.870718171296" createdVersion="8" refreshedVersion="8" minRefreshableVersion="3" recordCount="45" xr:uid="{00000000-000A-0000-FFFF-FFFF00000000}">
  <cacheSource type="worksheet">
    <worksheetSource ref="A1:D1048576" sheet="contribu"/>
  </cacheSource>
  <cacheFields count="4">
    <cacheField name="Ticker" numFmtId="0">
      <sharedItems containsBlank="1"/>
    </cacheField>
    <cacheField name="Sector" numFmtId="0">
      <sharedItems containsBlank="1" count="4">
        <s v="Semi"/>
        <s v="Application"/>
        <s v="Infrastructure"/>
        <m/>
      </sharedItems>
    </cacheField>
    <cacheField name="2025/2/6" numFmtId="0">
      <sharedItems containsString="0" containsBlank="1" containsNumber="1" minValue="9.9051394376505397E-2" maxValue="3.7820639720741198"/>
    </cacheField>
    <cacheField name="contri" numFmtId="0">
      <sharedItems containsString="0" containsBlank="1" containsNumber="1" minValue="-14.533326280000001" maxValue="9.3403218999999993"/>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5">
  <r>
    <s v="KOSE:A000660"/>
    <x v="0"/>
    <n v="0.67332881130574196"/>
    <n v="8.8297581529080098"/>
  </r>
  <r>
    <s v="TWSE:2330"/>
    <x v="0"/>
    <n v="3.7820639720741198"/>
    <n v="1.05578978029835"/>
  </r>
  <r>
    <s v="TWSE:2454"/>
    <x v="0"/>
    <n v="1.4389888535551401"/>
    <n v="-1.8539785321390501"/>
  </r>
  <r>
    <s v="AAPL"/>
    <x v="0"/>
    <n v="0.85056054416066396"/>
    <n v="1.7486874000000101"/>
  </r>
  <r>
    <s v="ADBE"/>
    <x v="1"/>
    <n v="0.30781106360550697"/>
    <n v="-11.60380864"/>
  </r>
  <r>
    <s v="AMZN"/>
    <x v="2"/>
    <n v="1.36972601027272"/>
    <n v="-5.0628573500000202"/>
  </r>
  <r>
    <s v="ANET"/>
    <x v="0"/>
    <n v="0.62072973945851995"/>
    <n v="-6.9833579200000004"/>
  </r>
  <r>
    <s v="ARM"/>
    <x v="0"/>
    <n v="0.35658491114871999"/>
    <n v="2.5937185199999901"/>
  </r>
  <r>
    <s v="NasdaqGS:ASML"/>
    <x v="0"/>
    <n v="9.9051394376505397E-2"/>
    <n v="-3.0673389600000101"/>
  </r>
  <r>
    <s v="AVGO"/>
    <x v="0"/>
    <n v="0.57903350846426604"/>
    <n v="-3.7347311999999899"/>
  </r>
  <r>
    <s v="CFLT"/>
    <x v="2"/>
    <n v="2.2779313972703301"/>
    <n v="-3.1332761599999999"/>
  </r>
  <r>
    <s v="CRM"/>
    <x v="1"/>
    <n v="0.65574534409783403"/>
    <n v="-3.91839972000002"/>
  </r>
  <r>
    <s v="DDOG"/>
    <x v="2"/>
    <n v="0.78556364748275298"/>
    <n v="4.1241221399999999"/>
  </r>
  <r>
    <s v="APP"/>
    <x v="1"/>
    <n v="0.61368923211475401"/>
    <n v="-14.533326280000001"/>
  </r>
  <r>
    <s v="DUOL"/>
    <x v="1"/>
    <n v="0.45280999122793503"/>
    <n v="-2.75280971000001"/>
  </r>
  <r>
    <s v="ESTC"/>
    <x v="2"/>
    <n v="1.2539168324019501"/>
    <n v="-1.591575"/>
  </r>
  <r>
    <s v="NasdaqGS:GOOGL"/>
    <x v="2"/>
    <n v="1.0821357929004101"/>
    <n v="-10.79369442"/>
  </r>
  <r>
    <s v="GTLB"/>
    <x v="2"/>
    <n v="1.4098778890958401"/>
    <n v="-4.7649698000000003"/>
  </r>
  <r>
    <s v="IOT"/>
    <x v="1"/>
    <n v="3.3076016373872998"/>
    <n v="-3.82302647999999"/>
  </r>
  <r>
    <s v="MDB"/>
    <x v="2"/>
    <n v="0.29515840616641598"/>
    <n v="-3.6989820400000002"/>
  </r>
  <r>
    <s v="META"/>
    <x v="1"/>
    <n v="0.75721446960449601"/>
    <n v="-7.2568561499999902"/>
  </r>
  <r>
    <s v="MRVL"/>
    <x v="0"/>
    <n v="0.643256086926976"/>
    <n v="4.9538244600000096"/>
  </r>
  <r>
    <s v="MSFT"/>
    <x v="2"/>
    <n v="0.73323182868549497"/>
    <n v="-0.98643909000001795"/>
  </r>
  <r>
    <s v="MU"/>
    <x v="0"/>
    <n v="0.56294021745495704"/>
    <n v="4.8385003799999904"/>
  </r>
  <r>
    <s v="NBIS"/>
    <x v="2"/>
    <n v="3.7583196439155402"/>
    <n v="-8.5071247800000105"/>
  </r>
  <r>
    <s v="NET"/>
    <x v="2"/>
    <n v="0.77092108677805005"/>
    <n v="6.35189538000001"/>
  </r>
  <r>
    <s v="NOW"/>
    <x v="1"/>
    <n v="0.19388933838519301"/>
    <n v="-6.0120445200000097"/>
  </r>
  <r>
    <s v="NVDA"/>
    <x v="0"/>
    <n v="1.6069345093432801"/>
    <n v="-2.0185421000000101"/>
  </r>
  <r>
    <s v="ORCL"/>
    <x v="2"/>
    <n v="0.79679929825097895"/>
    <n v="4.0555549799999797"/>
  </r>
  <r>
    <s v="PANW"/>
    <x v="2"/>
    <n v="0.51205541337040505"/>
    <n v="0.65928853000000898"/>
  </r>
  <r>
    <s v="PLTR"/>
    <x v="2"/>
    <n v="1.8548420069699301"/>
    <n v="2.4795981500000202"/>
  </r>
  <r>
    <s v="PSTG"/>
    <x v="2"/>
    <n v="1.1446609672434001"/>
    <n v="-3.9169705800000001"/>
  </r>
  <r>
    <s v="QCOM"/>
    <x v="0"/>
    <n v="0.33768417966945202"/>
    <n v="-2.6794935"/>
  </r>
  <r>
    <s v="RBLX"/>
    <x v="1"/>
    <n v="1.66045856791409"/>
    <n v="9.3403218999999993"/>
  </r>
  <r>
    <s v="SAP"/>
    <x v="1"/>
    <n v="0.61840145275065705"/>
    <n v="-6.0207995220275503"/>
  </r>
  <r>
    <s v="SHOP"/>
    <x v="1"/>
    <n v="0.98349977028108704"/>
    <n v="-2.5637709399999902"/>
  </r>
  <r>
    <s v="SNOW"/>
    <x v="2"/>
    <n v="0.69586267819952596"/>
    <n v="0.41020179000000501"/>
  </r>
  <r>
    <s v="SNPS"/>
    <x v="0"/>
    <n v="0.10860495360993799"/>
    <n v="-2.6910158200000001"/>
  </r>
  <r>
    <s v="TEAM"/>
    <x v="1"/>
    <n v="0.428877772407248"/>
    <n v="-4.1336904399999996"/>
  </r>
  <r>
    <s v="TEM"/>
    <x v="1"/>
    <n v="3.0781822757942101"/>
    <n v="-5.1688175599999999"/>
  </r>
  <r>
    <s v="TSLA"/>
    <x v="2"/>
    <n v="0.47098302331101699"/>
    <n v="1.62889215000001"/>
  </r>
  <r>
    <s v="VRT"/>
    <x v="0"/>
    <n v="0.52927743962907603"/>
    <n v="2.78165716"/>
  </r>
  <r>
    <s v="WDAY"/>
    <x v="1"/>
    <n v="0.42513738028541198"/>
    <n v="-4.4989999999999997"/>
  </r>
  <r>
    <s v="ZS"/>
    <x v="2"/>
    <n v="0.39175162844580602"/>
    <n v="0.41757992999999699"/>
  </r>
  <r>
    <m/>
    <x v="3"/>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数据透视表1" cacheId="0" applyNumberFormats="0" applyBorderFormats="0" applyFontFormats="0" applyPatternFormats="0" applyAlignmentFormats="0" applyWidthHeightFormats="1" dataCaption="值" updatedVersion="8" minRefreshableVersion="3" useAutoFormatting="1" createdVersion="8" indent="0" outline="1" outlineData="1" multipleFieldFilters="0">
  <location ref="J1:K5" firstHeaderRow="1" firstDataRow="1" firstDataCol="1"/>
  <pivotFields count="4">
    <pivotField showAll="0"/>
    <pivotField axis="axisRow" showAll="0">
      <items count="5">
        <item x="1"/>
        <item x="2"/>
        <item x="0"/>
        <item h="1" x="3"/>
        <item t="default"/>
      </items>
    </pivotField>
    <pivotField showAll="0"/>
    <pivotField dataField="1" showAll="0"/>
  </pivotFields>
  <rowFields count="1">
    <field x="1"/>
  </rowFields>
  <rowItems count="4">
    <i>
      <x/>
    </i>
    <i>
      <x v="1"/>
    </i>
    <i>
      <x v="2"/>
    </i>
    <i t="grand">
      <x/>
    </i>
  </rowItems>
  <colItems count="1">
    <i/>
  </colItems>
  <dataFields count="1">
    <dataField name="求和项:contri" fld="3" baseField="0" baseItem="0"/>
  </dataFields>
  <formats count="12">
    <format dxfId="11">
      <pivotArea type="all" dataOnly="0" outline="0" fieldPosition="0"/>
    </format>
    <format dxfId="10">
      <pivotArea outline="0" collapsedLevelsAreSubtotals="1" fieldPosition="0"/>
    </format>
    <format dxfId="9">
      <pivotArea field="1" type="button" dataOnly="0" labelOnly="1" outline="0" fieldPosition="0"/>
    </format>
    <format dxfId="8">
      <pivotArea dataOnly="0" labelOnly="1" fieldPosition="0">
        <references count="1">
          <reference field="1" count="0"/>
        </references>
      </pivotArea>
    </format>
    <format dxfId="7">
      <pivotArea dataOnly="0" labelOnly="1" grandRow="1" outline="0" fieldPosition="0"/>
    </format>
    <format dxfId="6">
      <pivotArea dataOnly="0" labelOnly="1" outline="0" fieldPosition="0"/>
    </format>
    <format dxfId="5">
      <pivotArea type="all" dataOnly="0" outline="0" fieldPosition="0"/>
    </format>
    <format dxfId="4">
      <pivotArea outline="0" collapsedLevelsAreSubtotals="1" fieldPosition="0"/>
    </format>
    <format dxfId="3">
      <pivotArea field="1" type="button" dataOnly="0" labelOnly="1" outline="0" axis="axisRow" fieldPosition="0"/>
    </format>
    <format dxfId="2">
      <pivotArea dataOnly="0" labelOnly="1" fieldPosition="0">
        <references count="1">
          <reference field="1" count="0"/>
        </references>
      </pivotArea>
    </format>
    <format dxfId="1">
      <pivotArea dataOnly="0" labelOnly="1" grandRow="1" outline="0" fieldPosition="0"/>
    </format>
    <format dxfId="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14.xml.rels><?xml version="1.0" encoding="UTF-8" standalone="yes"?>
<Relationships xmlns="http://schemas.openxmlformats.org/package/2006/relationships"><Relationship Id="rId3" Type="http://schemas.openxmlformats.org/officeDocument/2006/relationships/hyperlink" Target="mailto:=@CIQ($A2,%22IQ_CLOSEPRICE%22,$A$4,%22USD%22)" TargetMode="External"/><Relationship Id="rId2" Type="http://schemas.openxmlformats.org/officeDocument/2006/relationships/hyperlink" Target="mailto:=@CIQ($A2,%22IQ_CLOSEPRICE%22,$A$5,%22USD%22)" TargetMode="External"/><Relationship Id="rId1" Type="http://schemas.openxmlformats.org/officeDocument/2006/relationships/hyperlink" Target="mailto:=@CIQ($A2,%22IQ_CLOSEPRICE%22,$A$4,%22USD%22)" TargetMode="External"/><Relationship Id="rId4" Type="http://schemas.openxmlformats.org/officeDocument/2006/relationships/hyperlink" Target="mailto:=@CIQ($A2,%22IQ_CLOSEPRICE%22,$A$5,%22USD%22)" TargetMode="External"/></Relationships>
</file>

<file path=xl/worksheets/_rels/sheet15.xml.rels><?xml version="1.0" encoding="UTF-8" standalone="yes"?>
<Relationships xmlns="http://schemas.openxmlformats.org/package/2006/relationships"><Relationship Id="rId3" Type="http://schemas.openxmlformats.org/officeDocument/2006/relationships/hyperlink" Target="mailto:=@CIQ($A2,%22IQ_CLOSEPRICE%22,$A$4,%22USD%22)" TargetMode="External"/><Relationship Id="rId2" Type="http://schemas.openxmlformats.org/officeDocument/2006/relationships/hyperlink" Target="mailto:=@CIQ($A2,%22IQ_CLOSEPRICE%22,$A$5,%22USD%22)" TargetMode="External"/><Relationship Id="rId1" Type="http://schemas.openxmlformats.org/officeDocument/2006/relationships/hyperlink" Target="mailto:=@CIQ($A2,%22IQ_CLOSEPRICE%22,$A$4,%22USD%22)" TargetMode="External"/><Relationship Id="rId6" Type="http://schemas.openxmlformats.org/officeDocument/2006/relationships/hyperlink" Target="mailto:=@CIQ($A2,%22IQ_CLOSEPRICE%22,$A$5,%22USD%22)" TargetMode="External"/><Relationship Id="rId5" Type="http://schemas.openxmlformats.org/officeDocument/2006/relationships/hyperlink" Target="mailto:=@CIQ($A2,%22IQ_CLOSEPRICE%22,$A$4,%22USD%22)" TargetMode="External"/><Relationship Id="rId4" Type="http://schemas.openxmlformats.org/officeDocument/2006/relationships/hyperlink" Target="mailto:=@CIQ($A2,%22IQ_CLOSEPRICE%22,$A$5,%22USD%22)" TargetMode="External"/></Relationships>
</file>

<file path=xl/worksheets/_rels/sheet18.xml.rels><?xml version="1.0" encoding="UTF-8" standalone="yes"?>
<Relationships xmlns="http://schemas.openxmlformats.org/package/2006/relationships"><Relationship Id="rId8" Type="http://schemas.openxmlformats.org/officeDocument/2006/relationships/hyperlink" Target="mailto:=@CIQ($A2,%22IQ_CLOSEPRICE%22,$A$4,%22USD%22)" TargetMode="External"/><Relationship Id="rId13" Type="http://schemas.openxmlformats.org/officeDocument/2006/relationships/hyperlink" Target="mailto:=@CIQ($A2,%22IQ_CLOSEPRICE%22,$A$5,%22USD%22)" TargetMode="External"/><Relationship Id="rId3" Type="http://schemas.openxmlformats.org/officeDocument/2006/relationships/hyperlink" Target="mailto:=@CIQ($A2,%22IQ_CLOSEPRICE%22,$A$5,%22USD%22)" TargetMode="External"/><Relationship Id="rId7" Type="http://schemas.openxmlformats.org/officeDocument/2006/relationships/hyperlink" Target="mailto:=@CIQ($A2,%22IQ_CLOSEPRICE%22,$A$4,%22USD%22)" TargetMode="External"/><Relationship Id="rId12" Type="http://schemas.openxmlformats.org/officeDocument/2006/relationships/hyperlink" Target="mailto:=@CIQ($A2,%22IQ_CLOSEPRICE%22,$A$4,%22USD%22)" TargetMode="External"/><Relationship Id="rId2" Type="http://schemas.openxmlformats.org/officeDocument/2006/relationships/hyperlink" Target="mailto:=@CIQ($A2,%22IQ_CLOSEPRICE%22,$A$5,%22USD%22)" TargetMode="External"/><Relationship Id="rId16" Type="http://schemas.openxmlformats.org/officeDocument/2006/relationships/hyperlink" Target="mailto:=@CIQ($A2,%22IQ_CLOSEPRICE%22,$A$4,%22USD%22)" TargetMode="External"/><Relationship Id="rId1" Type="http://schemas.openxmlformats.org/officeDocument/2006/relationships/hyperlink" Target="mailto:=@CIQ($A2,%22IQ_CLOSEPRICE%22,$A$5,%22USD%22)" TargetMode="External"/><Relationship Id="rId6" Type="http://schemas.openxmlformats.org/officeDocument/2006/relationships/hyperlink" Target="mailto:=@CIQ($A2,%22IQ_CLOSEPRICE%22,$A$5,%22USD%22)" TargetMode="External"/><Relationship Id="rId11" Type="http://schemas.openxmlformats.org/officeDocument/2006/relationships/hyperlink" Target="mailto:=@CIQ($A2,%22IQ_CLOSEPRICE%22,$A$4,%22USD%22)" TargetMode="External"/><Relationship Id="rId5" Type="http://schemas.openxmlformats.org/officeDocument/2006/relationships/hyperlink" Target="mailto:=@CIQ($A2,%22IQ_CLOSEPRICE%22,$A$5,%22USD%22)" TargetMode="External"/><Relationship Id="rId15" Type="http://schemas.openxmlformats.org/officeDocument/2006/relationships/hyperlink" Target="mailto:=@CIQ($A2,%22IQ_CLOSEPRICE%22,$A$5,%22USD%22)" TargetMode="External"/><Relationship Id="rId10" Type="http://schemas.openxmlformats.org/officeDocument/2006/relationships/hyperlink" Target="mailto:=@CIQ($A2,%22IQ_CLOSEPRICE%22,$A$4,%22USD%22)" TargetMode="External"/><Relationship Id="rId4" Type="http://schemas.openxmlformats.org/officeDocument/2006/relationships/hyperlink" Target="mailto:=@CIQ($A2,%22IQ_CLOSEPRICE%22,$A$5,%22USD%22)" TargetMode="External"/><Relationship Id="rId9" Type="http://schemas.openxmlformats.org/officeDocument/2006/relationships/hyperlink" Target="mailto:=@CIQ($A2,%22IQ_CLOSEPRICE%22,$A$4,%22USD%22)" TargetMode="External"/><Relationship Id="rId14" Type="http://schemas.openxmlformats.org/officeDocument/2006/relationships/hyperlink" Target="mailto:=@CIQ($A2,%22IQ_CLOSEPRICE%22,$A$4,%22USD%22)" TargetMode="External"/></Relationships>
</file>

<file path=xl/worksheets/_rels/sheet19.xml.rels><?xml version="1.0" encoding="UTF-8" standalone="yes"?>
<Relationships xmlns="http://schemas.openxmlformats.org/package/2006/relationships"><Relationship Id="rId8" Type="http://schemas.openxmlformats.org/officeDocument/2006/relationships/hyperlink" Target="mailto:=@CIQ($A2,%22IQ_CLOSEPRICE%22,$A$5,%22USD%22)" TargetMode="External"/><Relationship Id="rId3" Type="http://schemas.openxmlformats.org/officeDocument/2006/relationships/hyperlink" Target="mailto:=@CIQ($A2,%22IQ_CLOSEPRICE%22,$A$4,%22USD%22)" TargetMode="External"/><Relationship Id="rId7" Type="http://schemas.openxmlformats.org/officeDocument/2006/relationships/hyperlink" Target="mailto:=@CIQ($A2,%22IQ_CLOSEPRICE%22,$A$5,%22USD%22)" TargetMode="External"/><Relationship Id="rId2" Type="http://schemas.openxmlformats.org/officeDocument/2006/relationships/hyperlink" Target="mailto:=@CIQ($A2,%22IQ_CLOSEPRICE%22,$A$5,%22USD%22)" TargetMode="External"/><Relationship Id="rId1" Type="http://schemas.openxmlformats.org/officeDocument/2006/relationships/hyperlink" Target="mailto:=@CIQ($A2,%22IQ_CLOSEPRICE%22,$A$4,%22USD%22)" TargetMode="External"/><Relationship Id="rId6" Type="http://schemas.openxmlformats.org/officeDocument/2006/relationships/hyperlink" Target="mailto:=@CIQ($A2,%22IQ_CLOSEPRICE%22,$A$5,%22USD%22)" TargetMode="External"/><Relationship Id="rId5" Type="http://schemas.openxmlformats.org/officeDocument/2006/relationships/hyperlink" Target="mailto:=@CIQ($A2,%22IQ_CLOSEPRICE%22,$A$4,%22USD%22)" TargetMode="External"/><Relationship Id="rId4" Type="http://schemas.openxmlformats.org/officeDocument/2006/relationships/hyperlink" Target="mailto:=@CIQ($A2,%22IQ_CLOSEPRICE%22,$A$4,%22USD%22)" TargetMode="External"/></Relationships>
</file>

<file path=xl/worksheets/_rels/sheet20.xml.rels><?xml version="1.0" encoding="UTF-8" standalone="yes"?>
<Relationships xmlns="http://schemas.openxmlformats.org/package/2006/relationships"><Relationship Id="rId3" Type="http://schemas.openxmlformats.org/officeDocument/2006/relationships/hyperlink" Target="mailto:=@CIQ($A2,%22IQ_CLOSEPRICE%22,$A$4,%22USD%22)" TargetMode="External"/><Relationship Id="rId2" Type="http://schemas.openxmlformats.org/officeDocument/2006/relationships/hyperlink" Target="mailto:=@CIQ($A2,%22IQ_CLOSEPRICE%22,$A$5,%22USD%22)" TargetMode="External"/><Relationship Id="rId1" Type="http://schemas.openxmlformats.org/officeDocument/2006/relationships/hyperlink" Target="mailto:=@CIQ($A2,%22IQ_CLOSEPRICE%22,$A$4,%22USD%22)" TargetMode="External"/><Relationship Id="rId4" Type="http://schemas.openxmlformats.org/officeDocument/2006/relationships/hyperlink" Target="mailto:=@CIQ($A2,%22IQ_CLOSEPRICE%22,$A$5,%22USD%2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2"/>
  <sheetViews>
    <sheetView workbookViewId="0"/>
  </sheetViews>
  <sheetFormatPr defaultColWidth="9" defaultRowHeight="14"/>
  <sheetData>
    <row r="1" spans="1:1" ht="409.5">
      <c r="A1" t="s">
        <v>249</v>
      </c>
    </row>
    <row r="2" spans="1:1" ht="409.5">
      <c r="A2" t="s">
        <v>250</v>
      </c>
    </row>
  </sheetData>
  <phoneticPr fontId="24"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7CD81D-A41F-45E3-ACF0-03502EA18C56}">
  <dimension ref="A1:HG1"/>
  <sheetViews>
    <sheetView workbookViewId="0"/>
  </sheetViews>
  <sheetFormatPr defaultRowHeight="14"/>
  <sheetData>
    <row r="1" spans="1:215" ht="409.5">
      <c r="A1" t="s">
        <v>365</v>
      </c>
      <c r="B1" t="s">
        <v>366</v>
      </c>
      <c r="C1" t="s">
        <v>367</v>
      </c>
      <c r="D1" t="s">
        <v>368</v>
      </c>
      <c r="E1" t="s">
        <v>369</v>
      </c>
      <c r="F1" t="s">
        <v>370</v>
      </c>
      <c r="G1" t="s">
        <v>371</v>
      </c>
      <c r="H1" t="s">
        <v>372</v>
      </c>
      <c r="I1" t="s">
        <v>373</v>
      </c>
      <c r="J1" t="s">
        <v>374</v>
      </c>
      <c r="K1" t="s">
        <v>375</v>
      </c>
      <c r="L1" t="s">
        <v>376</v>
      </c>
      <c r="M1" t="s">
        <v>377</v>
      </c>
      <c r="N1" t="s">
        <v>378</v>
      </c>
      <c r="O1" t="s">
        <v>379</v>
      </c>
      <c r="P1" t="s">
        <v>380</v>
      </c>
      <c r="Q1" t="s">
        <v>381</v>
      </c>
      <c r="R1" t="s">
        <v>382</v>
      </c>
      <c r="S1" t="s">
        <v>383</v>
      </c>
      <c r="T1" t="s">
        <v>384</v>
      </c>
      <c r="U1" t="s">
        <v>385</v>
      </c>
      <c r="V1" t="s">
        <v>386</v>
      </c>
      <c r="W1" t="s">
        <v>387</v>
      </c>
      <c r="X1" t="s">
        <v>388</v>
      </c>
      <c r="Y1" t="s">
        <v>389</v>
      </c>
      <c r="Z1" t="s">
        <v>390</v>
      </c>
      <c r="AA1" t="s">
        <v>391</v>
      </c>
      <c r="AB1" t="s">
        <v>392</v>
      </c>
      <c r="AC1" t="s">
        <v>393</v>
      </c>
      <c r="AD1" t="s">
        <v>394</v>
      </c>
      <c r="AE1" t="s">
        <v>395</v>
      </c>
      <c r="AF1" t="s">
        <v>396</v>
      </c>
      <c r="AG1" t="s">
        <v>397</v>
      </c>
      <c r="AH1" t="s">
        <v>398</v>
      </c>
      <c r="AI1" t="s">
        <v>399</v>
      </c>
      <c r="AJ1" t="s">
        <v>400</v>
      </c>
      <c r="AK1" t="s">
        <v>401</v>
      </c>
      <c r="AL1" t="s">
        <v>402</v>
      </c>
      <c r="AM1" t="s">
        <v>403</v>
      </c>
      <c r="AN1" t="s">
        <v>404</v>
      </c>
      <c r="AO1" t="s">
        <v>405</v>
      </c>
      <c r="AP1" t="s">
        <v>406</v>
      </c>
      <c r="AQ1" t="s">
        <v>407</v>
      </c>
      <c r="AR1" t="s">
        <v>408</v>
      </c>
      <c r="AS1" t="s">
        <v>409</v>
      </c>
      <c r="AT1" t="s">
        <v>410</v>
      </c>
      <c r="AU1" t="s">
        <v>411</v>
      </c>
      <c r="AV1" t="s">
        <v>412</v>
      </c>
      <c r="AW1" t="s">
        <v>413</v>
      </c>
      <c r="AX1" t="s">
        <v>414</v>
      </c>
      <c r="AY1" t="s">
        <v>415</v>
      </c>
      <c r="AZ1" t="s">
        <v>416</v>
      </c>
      <c r="BA1" t="s">
        <v>417</v>
      </c>
      <c r="BB1" t="s">
        <v>418</v>
      </c>
      <c r="BC1" t="s">
        <v>419</v>
      </c>
      <c r="BD1" t="s">
        <v>420</v>
      </c>
      <c r="BE1" t="s">
        <v>421</v>
      </c>
      <c r="BF1" t="s">
        <v>422</v>
      </c>
      <c r="BG1" t="s">
        <v>423</v>
      </c>
      <c r="BH1" t="s">
        <v>424</v>
      </c>
      <c r="BI1" t="s">
        <v>425</v>
      </c>
      <c r="BJ1" t="s">
        <v>426</v>
      </c>
      <c r="BK1" t="s">
        <v>427</v>
      </c>
      <c r="BL1" t="s">
        <v>428</v>
      </c>
      <c r="BM1" t="s">
        <v>429</v>
      </c>
      <c r="BN1" t="s">
        <v>430</v>
      </c>
      <c r="BO1" t="s">
        <v>431</v>
      </c>
      <c r="BP1" t="s">
        <v>432</v>
      </c>
      <c r="BQ1" t="s">
        <v>433</v>
      </c>
      <c r="BR1" t="s">
        <v>434</v>
      </c>
      <c r="BS1" t="s">
        <v>435</v>
      </c>
      <c r="BT1" t="s">
        <v>436</v>
      </c>
      <c r="BU1" t="s">
        <v>437</v>
      </c>
      <c r="BV1" t="s">
        <v>438</v>
      </c>
      <c r="BW1" t="s">
        <v>439</v>
      </c>
      <c r="BX1" t="s">
        <v>440</v>
      </c>
      <c r="BY1" t="s">
        <v>441</v>
      </c>
      <c r="BZ1" t="s">
        <v>442</v>
      </c>
      <c r="CA1" t="s">
        <v>443</v>
      </c>
      <c r="CB1" t="s">
        <v>444</v>
      </c>
      <c r="CC1" t="s">
        <v>445</v>
      </c>
      <c r="CD1" t="s">
        <v>446</v>
      </c>
      <c r="CE1" t="s">
        <v>447</v>
      </c>
      <c r="CF1" t="s">
        <v>448</v>
      </c>
      <c r="CG1" t="s">
        <v>449</v>
      </c>
      <c r="CH1" t="s">
        <v>450</v>
      </c>
      <c r="CI1" t="s">
        <v>451</v>
      </c>
      <c r="CJ1" t="s">
        <v>452</v>
      </c>
      <c r="CK1" t="s">
        <v>453</v>
      </c>
      <c r="CL1" t="s">
        <v>454</v>
      </c>
      <c r="CM1" t="s">
        <v>455</v>
      </c>
      <c r="CN1" t="s">
        <v>456</v>
      </c>
      <c r="CO1" t="s">
        <v>457</v>
      </c>
      <c r="CP1" t="s">
        <v>458</v>
      </c>
      <c r="CQ1" t="s">
        <v>459</v>
      </c>
      <c r="CR1" t="s">
        <v>460</v>
      </c>
      <c r="CS1" t="s">
        <v>461</v>
      </c>
      <c r="CT1" t="s">
        <v>462</v>
      </c>
      <c r="CU1" t="s">
        <v>463</v>
      </c>
      <c r="CV1" t="s">
        <v>464</v>
      </c>
      <c r="CW1" t="s">
        <v>465</v>
      </c>
      <c r="CX1" t="s">
        <v>466</v>
      </c>
      <c r="CY1" t="s">
        <v>467</v>
      </c>
      <c r="CZ1" t="s">
        <v>468</v>
      </c>
      <c r="DA1" t="s">
        <v>469</v>
      </c>
      <c r="DB1" t="s">
        <v>470</v>
      </c>
      <c r="DC1" t="s">
        <v>471</v>
      </c>
      <c r="DD1" t="s">
        <v>472</v>
      </c>
      <c r="DE1" t="s">
        <v>473</v>
      </c>
      <c r="DF1" t="s">
        <v>474</v>
      </c>
      <c r="DG1" t="s">
        <v>475</v>
      </c>
      <c r="DH1" t="s">
        <v>476</v>
      </c>
      <c r="DI1" t="s">
        <v>477</v>
      </c>
      <c r="DJ1" t="s">
        <v>478</v>
      </c>
      <c r="DK1" t="s">
        <v>479</v>
      </c>
      <c r="DL1" t="s">
        <v>480</v>
      </c>
      <c r="DM1" t="s">
        <v>481</v>
      </c>
      <c r="DN1" t="s">
        <v>482</v>
      </c>
      <c r="DO1" t="s">
        <v>483</v>
      </c>
      <c r="DP1" t="s">
        <v>484</v>
      </c>
      <c r="DQ1" t="s">
        <v>485</v>
      </c>
      <c r="DR1" t="s">
        <v>486</v>
      </c>
      <c r="DS1" t="s">
        <v>487</v>
      </c>
      <c r="DT1" t="s">
        <v>488</v>
      </c>
      <c r="DU1" t="s">
        <v>489</v>
      </c>
      <c r="DV1" t="s">
        <v>490</v>
      </c>
      <c r="DW1" t="s">
        <v>491</v>
      </c>
      <c r="DX1" t="s">
        <v>492</v>
      </c>
      <c r="DY1" t="s">
        <v>493</v>
      </c>
      <c r="DZ1" t="s">
        <v>494</v>
      </c>
      <c r="EA1" t="s">
        <v>495</v>
      </c>
      <c r="EB1" t="s">
        <v>496</v>
      </c>
      <c r="EC1" t="s">
        <v>497</v>
      </c>
      <c r="ED1" t="s">
        <v>498</v>
      </c>
      <c r="EE1" t="s">
        <v>499</v>
      </c>
      <c r="EF1" t="s">
        <v>500</v>
      </c>
      <c r="EG1" t="s">
        <v>501</v>
      </c>
      <c r="EH1" t="s">
        <v>502</v>
      </c>
      <c r="EI1" t="s">
        <v>503</v>
      </c>
      <c r="EJ1" t="s">
        <v>504</v>
      </c>
      <c r="EK1" t="s">
        <v>505</v>
      </c>
      <c r="EL1" t="s">
        <v>506</v>
      </c>
      <c r="EM1" t="s">
        <v>507</v>
      </c>
      <c r="EN1" t="s">
        <v>508</v>
      </c>
      <c r="EO1" t="s">
        <v>509</v>
      </c>
      <c r="EP1" t="s">
        <v>510</v>
      </c>
      <c r="EQ1" t="s">
        <v>511</v>
      </c>
      <c r="ER1" t="s">
        <v>512</v>
      </c>
      <c r="ES1" t="s">
        <v>513</v>
      </c>
      <c r="ET1" t="s">
        <v>514</v>
      </c>
      <c r="EU1" t="s">
        <v>515</v>
      </c>
      <c r="EV1" t="s">
        <v>516</v>
      </c>
      <c r="EW1" t="s">
        <v>517</v>
      </c>
      <c r="EX1" t="s">
        <v>518</v>
      </c>
      <c r="EY1" t="s">
        <v>519</v>
      </c>
      <c r="EZ1" t="s">
        <v>520</v>
      </c>
      <c r="FA1" t="s">
        <v>521</v>
      </c>
      <c r="FB1" t="s">
        <v>522</v>
      </c>
      <c r="FC1" t="s">
        <v>523</v>
      </c>
      <c r="FD1" t="s">
        <v>524</v>
      </c>
      <c r="FE1" t="s">
        <v>525</v>
      </c>
      <c r="FF1" t="s">
        <v>526</v>
      </c>
      <c r="FG1" t="s">
        <v>527</v>
      </c>
      <c r="FH1" t="s">
        <v>528</v>
      </c>
      <c r="FI1" t="s">
        <v>529</v>
      </c>
      <c r="FJ1" t="s">
        <v>530</v>
      </c>
      <c r="FK1" t="s">
        <v>531</v>
      </c>
      <c r="FL1" t="s">
        <v>532</v>
      </c>
      <c r="FM1" t="s">
        <v>533</v>
      </c>
      <c r="FN1" t="s">
        <v>534</v>
      </c>
      <c r="FO1" t="s">
        <v>535</v>
      </c>
      <c r="FP1" t="s">
        <v>536</v>
      </c>
      <c r="FQ1" t="s">
        <v>537</v>
      </c>
      <c r="FR1" t="s">
        <v>538</v>
      </c>
      <c r="FS1" t="s">
        <v>539</v>
      </c>
      <c r="FT1" t="s">
        <v>540</v>
      </c>
      <c r="FU1" t="s">
        <v>541</v>
      </c>
      <c r="FV1" t="s">
        <v>542</v>
      </c>
      <c r="FW1" t="s">
        <v>543</v>
      </c>
      <c r="FX1" t="s">
        <v>544</v>
      </c>
      <c r="FY1" t="s">
        <v>545</v>
      </c>
      <c r="FZ1" t="s">
        <v>546</v>
      </c>
      <c r="GA1" t="s">
        <v>547</v>
      </c>
      <c r="GB1" t="s">
        <v>548</v>
      </c>
      <c r="GC1" t="s">
        <v>549</v>
      </c>
      <c r="GD1" t="s">
        <v>550</v>
      </c>
      <c r="GE1" t="s">
        <v>551</v>
      </c>
      <c r="GF1" t="s">
        <v>552</v>
      </c>
      <c r="GG1" t="s">
        <v>553</v>
      </c>
      <c r="GH1" t="s">
        <v>554</v>
      </c>
      <c r="GI1" t="s">
        <v>555</v>
      </c>
      <c r="GJ1" t="s">
        <v>556</v>
      </c>
      <c r="GK1" t="s">
        <v>557</v>
      </c>
      <c r="GL1" t="s">
        <v>558</v>
      </c>
      <c r="GM1" t="s">
        <v>559</v>
      </c>
      <c r="GN1" t="s">
        <v>560</v>
      </c>
      <c r="GO1" t="s">
        <v>561</v>
      </c>
      <c r="GP1" t="s">
        <v>562</v>
      </c>
      <c r="GQ1" t="s">
        <v>563</v>
      </c>
      <c r="GR1" t="s">
        <v>564</v>
      </c>
      <c r="GS1" t="s">
        <v>565</v>
      </c>
      <c r="GT1" t="s">
        <v>566</v>
      </c>
      <c r="GU1" t="s">
        <v>567</v>
      </c>
      <c r="GV1" t="s">
        <v>568</v>
      </c>
      <c r="GW1" t="s">
        <v>569</v>
      </c>
      <c r="GX1" t="s">
        <v>570</v>
      </c>
      <c r="GY1" t="s">
        <v>571</v>
      </c>
      <c r="GZ1" t="s">
        <v>572</v>
      </c>
      <c r="HA1" t="s">
        <v>573</v>
      </c>
      <c r="HB1" t="s">
        <v>574</v>
      </c>
      <c r="HC1" t="s">
        <v>575</v>
      </c>
      <c r="HD1" t="s">
        <v>576</v>
      </c>
      <c r="HE1" t="s">
        <v>577</v>
      </c>
      <c r="HF1" t="s">
        <v>578</v>
      </c>
      <c r="HG1" t="s">
        <v>579</v>
      </c>
    </row>
  </sheetData>
  <phoneticPr fontId="24"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24"/>
  <sheetViews>
    <sheetView tabSelected="1" zoomScale="85" zoomScaleNormal="79" workbookViewId="0">
      <pane xSplit="3" ySplit="9" topLeftCell="D10" activePane="bottomRight" state="frozen"/>
      <selection pane="topRight"/>
      <selection pane="bottomLeft"/>
      <selection pane="bottomRight" activeCell="C16" sqref="C16"/>
    </sheetView>
  </sheetViews>
  <sheetFormatPr defaultColWidth="8.6640625" defaultRowHeight="15.5"/>
  <cols>
    <col min="1" max="1" width="45.75" style="3" customWidth="1"/>
    <col min="2" max="2" width="11.9140625" style="3" hidden="1" customWidth="1"/>
    <col min="3" max="3" width="11" style="154" customWidth="1"/>
    <col min="4" max="4" width="14.6640625" style="154" customWidth="1"/>
    <col min="5" max="7" width="15.6640625" style="155" customWidth="1"/>
    <col min="8" max="9" width="22.33203125" style="156" customWidth="1"/>
    <col min="10" max="12" width="14.1640625" style="155" customWidth="1"/>
    <col min="13" max="14" width="15.5" style="155" customWidth="1"/>
    <col min="15" max="16" width="14.1640625" style="3" customWidth="1"/>
    <col min="17" max="16384" width="8.6640625" style="3"/>
  </cols>
  <sheetData>
    <row r="1" spans="1:17" ht="22.5" customHeight="1">
      <c r="A1" s="157" t="s">
        <v>0</v>
      </c>
      <c r="B1" s="157" t="s">
        <v>1</v>
      </c>
      <c r="C1" s="158" t="s">
        <v>2</v>
      </c>
      <c r="D1" s="159" t="s">
        <v>1</v>
      </c>
      <c r="E1" s="159" t="s">
        <v>3</v>
      </c>
      <c r="F1" s="159" t="s">
        <v>4</v>
      </c>
      <c r="G1" s="159" t="s">
        <v>5</v>
      </c>
      <c r="H1" s="159" t="s">
        <v>6</v>
      </c>
      <c r="I1" s="159" t="s">
        <v>7</v>
      </c>
      <c r="J1" s="163" t="s">
        <v>8</v>
      </c>
      <c r="K1" s="163" t="s">
        <v>9</v>
      </c>
      <c r="L1" s="163" t="s">
        <v>10</v>
      </c>
      <c r="M1" s="163" t="s">
        <v>11</v>
      </c>
      <c r="N1" s="163">
        <v>28.43</v>
      </c>
      <c r="O1" s="157" t="s">
        <v>12</v>
      </c>
      <c r="P1" s="157" t="s">
        <v>13</v>
      </c>
      <c r="Q1" s="224" t="s">
        <v>267</v>
      </c>
    </row>
    <row r="2" spans="1:17" ht="22.5" customHeight="1">
      <c r="A2" s="21" t="s">
        <v>14</v>
      </c>
      <c r="B2" s="9"/>
      <c r="C2" s="160" t="s">
        <v>15</v>
      </c>
      <c r="D2" s="158" t="s">
        <v>15</v>
      </c>
      <c r="E2" s="161">
        <f>($M2-J2)/J2</f>
        <v>-6.0927918194683987E-3</v>
      </c>
      <c r="F2" s="161">
        <f>($M2-K2)/K2</f>
        <v>0</v>
      </c>
      <c r="G2" s="161">
        <f>($M2-L2)/L2</f>
        <v>4.0401273012828781E-2</v>
      </c>
      <c r="H2" s="10">
        <f>M2/N1-1</f>
        <v>0.14872669715089692</v>
      </c>
      <c r="I2" s="10">
        <f>N2/O2-1</f>
        <v>0.55024971011130908</v>
      </c>
      <c r="J2" s="4">
        <f>_xll.ciqfunctions.udf.CIQ($C2,"IQ_CLOSEPRICE",$A$14,"USD")</f>
        <v>32.858499999999999</v>
      </c>
      <c r="K2" s="4">
        <f>_xll.ciqfunctions.udf.CIQ($C2,"IQ_CLOSEPRICE",$A$15,"USD")</f>
        <v>32.658299999999997</v>
      </c>
      <c r="L2" s="4">
        <f>_xll.ciqfunctions.udf.CIQ($C2,"IQ_CLOSEPRICE",$A$16,"USD")</f>
        <v>31.3901</v>
      </c>
      <c r="M2" s="4">
        <f>_xll.ciqfunctions.udf.CIQ($C2,"IQ_CLOSEPRICE",$A$13,"USD")</f>
        <v>32.658299999999997</v>
      </c>
      <c r="N2" s="4">
        <v>6013.15</v>
      </c>
      <c r="O2" s="6">
        <v>3878.8267211275602</v>
      </c>
      <c r="P2" s="6">
        <v>5445.64</v>
      </c>
      <c r="Q2" s="3">
        <f>_xll.ciqfunctions.udf.CIQ($C2,"IQ_CLOSEPRICE",$A$19,"USD")</f>
        <v>25.97</v>
      </c>
    </row>
    <row r="3" spans="1:17" ht="22.5" customHeight="1">
      <c r="A3" s="9" t="s">
        <v>16</v>
      </c>
      <c r="B3" s="9"/>
      <c r="C3" s="21" t="s">
        <v>284</v>
      </c>
      <c r="D3" s="4" t="s">
        <v>278</v>
      </c>
      <c r="E3" s="7">
        <f t="shared" ref="E3:E9" si="0">($M3-J3)/J3</f>
        <v>-2.5028682810652129E-3</v>
      </c>
      <c r="F3" s="7">
        <f t="shared" ref="F3:G9" si="1">($M3-K3)/K3</f>
        <v>0</v>
      </c>
      <c r="G3" s="7">
        <f t="shared" si="1"/>
        <v>2.1713154431640912E-2</v>
      </c>
      <c r="H3" s="11">
        <f>M3/P3-1</f>
        <v>8.3620682788377421E-2</v>
      </c>
      <c r="I3" s="11">
        <f t="shared" ref="I3:I9" si="2">M3/O3-1</f>
        <v>0.33620153304392497</v>
      </c>
      <c r="J3" s="4">
        <f>_xll.ciqfunctions.udf.CIQ($C3,"IQ_CLOSEPRICE",$A$14,"USD")</f>
        <v>6389.4453100000001</v>
      </c>
      <c r="K3" s="4">
        <f>_xll.ciqfunctions.udf.CIQ($C3,"IQ_CLOSEPRICE",$A$15,"USD")</f>
        <v>6373.4533700000002</v>
      </c>
      <c r="L3" s="4">
        <f>_xll.ciqfunctions.udf.CIQ($C3,"IQ_CLOSEPRICE",$A$16,"USD")</f>
        <v>6238.0065699999996</v>
      </c>
      <c r="M3" s="4">
        <f>_xll.ciqfunctions.udf.CIQ($C3,"IQ_CLOSEPRICE",$A$13,"USD")</f>
        <v>6373.4533700000002</v>
      </c>
      <c r="N3" s="4"/>
      <c r="O3" s="6">
        <f>_xll.ciqfunctions.udf.CIQ($C3,"IQ_CLOSEPRICE",$A$17,"USD")</f>
        <v>4769.8294100000003</v>
      </c>
      <c r="P3" s="6">
        <f>_xll.ciqfunctions.udf.CIQ($C3,"IQ_CLOSEPRICE",$A$18,"USD")</f>
        <v>5881.6276500000004</v>
      </c>
    </row>
    <row r="4" spans="1:17" ht="22.5" customHeight="1">
      <c r="A4" s="9" t="s">
        <v>19</v>
      </c>
      <c r="B4" s="9"/>
      <c r="C4" s="21" t="s">
        <v>285</v>
      </c>
      <c r="D4" s="21" t="s">
        <v>277</v>
      </c>
      <c r="E4" s="7">
        <f t="shared" si="0"/>
        <v>-2.9588373509702062E-3</v>
      </c>
      <c r="F4" s="7">
        <f t="shared" si="1"/>
        <v>0</v>
      </c>
      <c r="G4" s="7">
        <f t="shared" si="1"/>
        <v>3.4249295876363162E-2</v>
      </c>
      <c r="H4" s="11">
        <f t="shared" ref="H4:H9" si="3">M4/P4-1</f>
        <v>0.12053283258024772</v>
      </c>
      <c r="I4" s="11">
        <f t="shared" si="2"/>
        <v>0.39883277983981258</v>
      </c>
      <c r="J4" s="4">
        <f>_xll.ciqfunctions.udf.CIQ($C4,"IQ_CLOSEPRICE",$A$14,"USD")</f>
        <v>574.54999999999995</v>
      </c>
      <c r="K4" s="4">
        <f>_xll.ciqfunctions.udf.CIQ($C4,"IQ_CLOSEPRICE",$A$15,"USD")</f>
        <v>572.85</v>
      </c>
      <c r="L4" s="4">
        <f>_xll.ciqfunctions.udf.CIQ($C4,"IQ_CLOSEPRICE",$A$16,"USD")</f>
        <v>553.88</v>
      </c>
      <c r="M4" s="4">
        <f>_xll.ciqfunctions.udf.CIQ($C4,"IQ_CLOSEPRICE",$A$13,"USD")</f>
        <v>572.85</v>
      </c>
      <c r="N4" s="4" t="s">
        <v>260</v>
      </c>
      <c r="O4" s="6">
        <f>_xll.ciqfunctions.udf.CIQ($C4,"IQ_CLOSEPRICE",$A$17,"USD")</f>
        <v>409.52</v>
      </c>
      <c r="P4" s="6">
        <f>_xll.ciqfunctions.udf.CIQ($C4,"IQ_CLOSEPRICE",$A$18,"USD")</f>
        <v>511.23</v>
      </c>
    </row>
    <row r="5" spans="1:17" ht="22.5" customHeight="1">
      <c r="A5" s="9" t="s">
        <v>364</v>
      </c>
      <c r="B5" s="9"/>
      <c r="C5" s="21" t="s">
        <v>22</v>
      </c>
      <c r="D5" s="21" t="s">
        <v>279</v>
      </c>
      <c r="E5" s="7">
        <f t="shared" si="0"/>
        <v>-4.5389589530533654E-3</v>
      </c>
      <c r="F5" s="7">
        <f t="shared" si="1"/>
        <v>0</v>
      </c>
      <c r="G5" s="7">
        <f t="shared" si="1"/>
        <v>8.8673660559675654E-3</v>
      </c>
      <c r="H5" s="11">
        <f t="shared" si="3"/>
        <v>3.3632555978090339E-2</v>
      </c>
      <c r="I5" s="11">
        <f t="shared" si="2"/>
        <v>0.16677198192894904</v>
      </c>
      <c r="J5" s="4">
        <f>_xll.ciqfunctions.udf.CIQ($C5,"IQ_CLOSEPRICE",$A$14,"USD")</f>
        <v>44175.605479999998</v>
      </c>
      <c r="K5" s="4">
        <f>_xll.ciqfunctions.udf.CIQ($C5,"IQ_CLOSEPRICE",$A$15,"USD")</f>
        <v>43975.094219999999</v>
      </c>
      <c r="L5" s="4">
        <f>_xll.ciqfunctions.udf.CIQ($C5,"IQ_CLOSEPRICE",$A$16,"USD")</f>
        <v>43588.57834</v>
      </c>
      <c r="M5" s="4">
        <f>_xll.ciqfunctions.udf.CIQ($C5,"IQ_CLOSEPRICE",$A$13,"USD")</f>
        <v>43975.094219999999</v>
      </c>
      <c r="N5" s="4"/>
      <c r="O5" s="6">
        <f>_xll.ciqfunctions.udf.CIQ($C5,"IQ_CLOSEPRICE",$A$17,"USD")</f>
        <v>37689.535660000001</v>
      </c>
      <c r="P5" s="6">
        <f>_xll.ciqfunctions.udf.CIQ($C5,"IQ_CLOSEPRICE",$A$18,"USD")</f>
        <v>42544.223250000003</v>
      </c>
    </row>
    <row r="6" spans="1:17" ht="22.5" customHeight="1">
      <c r="A6" s="9" t="s">
        <v>24</v>
      </c>
      <c r="B6" s="9"/>
      <c r="C6" s="160" t="s">
        <v>25</v>
      </c>
      <c r="D6" s="4" t="s">
        <v>25</v>
      </c>
      <c r="E6" s="7">
        <f t="shared" si="0"/>
        <v>2.4808356856063418E-2</v>
      </c>
      <c r="F6" s="7" t="e">
        <f t="shared" si="1"/>
        <v>#DIV/0!</v>
      </c>
      <c r="G6" s="7" t="e">
        <f t="shared" si="1"/>
        <v>#DIV/0!</v>
      </c>
      <c r="H6" s="11" t="e">
        <f t="shared" si="3"/>
        <v>#VALUE!</v>
      </c>
      <c r="I6" s="11" t="e">
        <f t="shared" si="2"/>
        <v>#VALUE!</v>
      </c>
      <c r="J6" s="6">
        <v>3539.13</v>
      </c>
      <c r="K6" s="4"/>
      <c r="L6" s="4"/>
      <c r="M6" s="6">
        <v>3626.93</v>
      </c>
      <c r="N6" s="6"/>
      <c r="O6" s="6" t="str">
        <f>_xll.ciqfunctions.udf.CIQ($C6,"IQ_CLOSEPRICE",$A$17,"USD")</f>
        <v>(Invalid Identifier)</v>
      </c>
      <c r="P6" s="6" t="str">
        <f>_xll.ciqfunctions.udf.CIQ($C6,"IQ_CLOSEPRICE",$A$18,"USD")</f>
        <v>(Invalid Identifier)</v>
      </c>
    </row>
    <row r="7" spans="1:17" ht="22.5" customHeight="1">
      <c r="A7" s="21" t="s">
        <v>26</v>
      </c>
      <c r="B7" s="21" t="s">
        <v>27</v>
      </c>
      <c r="C7" s="21" t="s">
        <v>28</v>
      </c>
      <c r="D7" s="21" t="s">
        <v>29</v>
      </c>
      <c r="E7" s="7">
        <f t="shared" si="0"/>
        <v>-5.1213538187485389E-3</v>
      </c>
      <c r="F7" s="7">
        <f t="shared" si="1"/>
        <v>0</v>
      </c>
      <c r="G7" s="7">
        <f t="shared" si="1"/>
        <v>2.7835288704853942E-2</v>
      </c>
      <c r="H7" s="11">
        <f t="shared" si="3"/>
        <v>0.15631469979296053</v>
      </c>
      <c r="I7" s="11">
        <f t="shared" si="2"/>
        <v>0.43296985246953179</v>
      </c>
      <c r="J7" s="4">
        <f>_xll.ciqfunctions.udf.CIQ($C7,"IQ_CLOSEPRICE",$A$14,"USD")</f>
        <v>44.91</v>
      </c>
      <c r="K7" s="4">
        <f>_xll.ciqfunctions.udf.CIQ($C7,"IQ_CLOSEPRICE",$A$15,"USD")</f>
        <v>44.68</v>
      </c>
      <c r="L7" s="4">
        <f>_xll.ciqfunctions.udf.CIQ($C7,"IQ_CLOSEPRICE",$A$16,"USD")</f>
        <v>43.47</v>
      </c>
      <c r="M7" s="4">
        <f>_xll.ciqfunctions.udf.CIQ($C7,"IQ_CLOSEPRICE",$A$13,"USD")</f>
        <v>44.68</v>
      </c>
      <c r="N7" s="4"/>
      <c r="O7" s="6">
        <f>_xll.ciqfunctions.udf.CIQ($C7,"IQ_CLOSEPRICE",$A$17,"USD")</f>
        <v>31.18</v>
      </c>
      <c r="P7" s="6">
        <f>_xll.ciqfunctions.udf.CIQ($C7,"IQ_CLOSEPRICE",$A$18,"USD")</f>
        <v>38.64</v>
      </c>
    </row>
    <row r="8" spans="1:17" ht="22.5" customHeight="1">
      <c r="A8" s="9" t="s">
        <v>30</v>
      </c>
      <c r="B8" s="9"/>
      <c r="C8" s="21" t="s">
        <v>31</v>
      </c>
      <c r="D8" s="21" t="s">
        <v>32</v>
      </c>
      <c r="E8" s="7">
        <f t="shared" si="0"/>
        <v>-4.4288488399821301E-4</v>
      </c>
      <c r="F8" s="7">
        <f t="shared" si="1"/>
        <v>0</v>
      </c>
      <c r="G8" s="7">
        <f t="shared" si="1"/>
        <v>3.3280507131537206E-2</v>
      </c>
      <c r="H8" s="11">
        <f t="shared" si="3"/>
        <v>0.21154560845686921</v>
      </c>
      <c r="I8" s="11">
        <f t="shared" si="2"/>
        <v>0.67781780751415321</v>
      </c>
      <c r="J8" s="4">
        <f>_xll.ciqfunctions.udf.CIQ($C8,"IQ_CLOSEPRICE",$A$14,"USD")</f>
        <v>293.52999999999997</v>
      </c>
      <c r="K8" s="4">
        <f>_xll.ciqfunctions.udf.CIQ($C8,"IQ_CLOSEPRICE",$A$15,"USD")</f>
        <v>293.39999999999998</v>
      </c>
      <c r="L8" s="4">
        <f>_xll.ciqfunctions.udf.CIQ($C8,"IQ_CLOSEPRICE",$A$16,"USD")</f>
        <v>283.95</v>
      </c>
      <c r="M8" s="4">
        <f>_xll.ciqfunctions.udf.CIQ($C8,"IQ_CLOSEPRICE",$A$13,"USD")</f>
        <v>293.39999999999998</v>
      </c>
      <c r="N8" s="4"/>
      <c r="O8" s="6">
        <f>_xll.ciqfunctions.udf.CIQ($C8,"IQ_CLOSEPRICE",$A$17,"USD")</f>
        <v>174.87</v>
      </c>
      <c r="P8" s="6">
        <f>_xll.ciqfunctions.udf.CIQ($C8,"IQ_CLOSEPRICE",$A$18,"USD")</f>
        <v>242.17</v>
      </c>
    </row>
    <row r="9" spans="1:17" ht="22.5" customHeight="1">
      <c r="A9" s="21" t="s">
        <v>33</v>
      </c>
      <c r="B9" s="21" t="s">
        <v>34</v>
      </c>
      <c r="C9" s="21" t="s">
        <v>35</v>
      </c>
      <c r="D9" s="21" t="s">
        <v>36</v>
      </c>
      <c r="E9" s="7">
        <f t="shared" si="0"/>
        <v>-8.6309523809523555E-3</v>
      </c>
      <c r="F9" s="7">
        <f t="shared" si="1"/>
        <v>0</v>
      </c>
      <c r="G9" s="7">
        <f t="shared" si="1"/>
        <v>5.7367149758455567E-3</v>
      </c>
      <c r="H9" s="11">
        <f t="shared" si="3"/>
        <v>4.2566510172143968E-2</v>
      </c>
      <c r="I9" s="11" t="e">
        <f t="shared" si="2"/>
        <v>#VALUE!</v>
      </c>
      <c r="J9" s="4">
        <f>_xll.ciqfunctions.udf.CIQ($C9,"IQ_CLOSEPRICE",$A$14,"USD")</f>
        <v>33.6</v>
      </c>
      <c r="K9" s="4">
        <f>_xll.ciqfunctions.udf.CIQ($C9,"IQ_CLOSEPRICE",$A$15,"USD")</f>
        <v>33.31</v>
      </c>
      <c r="L9" s="4">
        <f>_xll.ciqfunctions.udf.CIQ($C9,"IQ_CLOSEPRICE",$A$16,"USD")</f>
        <v>33.119999999999997</v>
      </c>
      <c r="M9" s="4">
        <f>_xll.ciqfunctions.udf.CIQ($C9,"IQ_CLOSEPRICE",$A$13,"USD")</f>
        <v>33.31</v>
      </c>
      <c r="N9" s="4"/>
      <c r="O9" s="6" t="s">
        <v>37</v>
      </c>
      <c r="P9" s="6">
        <f>_xll.ciqfunctions.udf.CIQ($C9,"IQ_CLOSEPRICE",$A$18,"USD")</f>
        <v>31.95</v>
      </c>
    </row>
    <row r="10" spans="1:17" ht="22.5" customHeight="1">
      <c r="A10" s="9" t="s">
        <v>38</v>
      </c>
      <c r="B10" s="9"/>
      <c r="C10" s="21" t="s">
        <v>39</v>
      </c>
      <c r="D10" s="21" t="s">
        <v>40</v>
      </c>
      <c r="E10" s="6"/>
      <c r="F10" s="6"/>
      <c r="G10" s="6"/>
      <c r="H10" s="8"/>
      <c r="I10" s="8"/>
      <c r="J10" s="6"/>
      <c r="K10" s="234" t="s">
        <v>322</v>
      </c>
      <c r="L10" s="6"/>
      <c r="M10" s="6"/>
      <c r="N10" s="6"/>
      <c r="O10" s="9"/>
      <c r="P10" s="9"/>
    </row>
    <row r="11" spans="1:17" ht="22.5" customHeight="1">
      <c r="A11" s="9" t="s">
        <v>41</v>
      </c>
      <c r="B11" s="9"/>
      <c r="C11" s="21" t="s">
        <v>42</v>
      </c>
      <c r="D11" s="4" t="s">
        <v>18</v>
      </c>
      <c r="E11" s="6"/>
      <c r="F11" s="6"/>
      <c r="G11" s="6"/>
      <c r="H11" s="8"/>
      <c r="I11" s="8"/>
      <c r="J11" s="6"/>
      <c r="K11" s="6"/>
      <c r="L11" s="6"/>
      <c r="M11" s="6"/>
      <c r="N11" s="6"/>
      <c r="O11" s="9"/>
      <c r="P11" s="9"/>
    </row>
    <row r="12" spans="1:17" ht="22.5" customHeight="1">
      <c r="A12" s="9"/>
      <c r="B12" s="9"/>
      <c r="C12" s="21"/>
      <c r="D12" s="21"/>
      <c r="E12" s="4"/>
      <c r="F12" s="4"/>
      <c r="G12" s="4"/>
      <c r="H12" s="8"/>
      <c r="I12" s="8"/>
      <c r="J12" s="4"/>
      <c r="K12" s="4"/>
      <c r="L12" s="4"/>
      <c r="M12" s="4"/>
      <c r="N12" s="4"/>
      <c r="O12" s="9"/>
      <c r="P12" s="9"/>
    </row>
    <row r="13" spans="1:17" ht="22.5" customHeight="1" thickBot="1">
      <c r="A13" s="5">
        <v>45880</v>
      </c>
      <c r="B13" s="9"/>
      <c r="C13" s="21"/>
      <c r="D13" s="4"/>
      <c r="E13" s="4"/>
      <c r="F13" s="4"/>
      <c r="G13" s="4"/>
      <c r="H13" s="9"/>
      <c r="I13" s="9"/>
      <c r="J13" s="9"/>
      <c r="K13" s="9"/>
      <c r="L13" s="9"/>
      <c r="M13" s="9"/>
      <c r="N13" s="9"/>
      <c r="O13" s="9"/>
      <c r="P13" s="9"/>
    </row>
    <row r="14" spans="1:17" ht="22.5" customHeight="1">
      <c r="A14" s="5">
        <v>45877</v>
      </c>
      <c r="B14" s="9"/>
      <c r="C14" s="21" t="s">
        <v>43</v>
      </c>
      <c r="D14" s="12" t="s">
        <v>1</v>
      </c>
      <c r="E14" s="59" t="s">
        <v>3</v>
      </c>
      <c r="F14" s="59" t="s">
        <v>4</v>
      </c>
      <c r="G14" s="59" t="s">
        <v>5</v>
      </c>
      <c r="H14" s="59" t="s">
        <v>6</v>
      </c>
      <c r="I14" s="13" t="s">
        <v>7</v>
      </c>
      <c r="J14" s="9"/>
      <c r="K14" s="9"/>
      <c r="L14" s="9"/>
      <c r="M14" s="9"/>
      <c r="N14" s="9"/>
      <c r="O14" s="9"/>
      <c r="P14" s="9"/>
    </row>
    <row r="15" spans="1:17" ht="22.5" customHeight="1">
      <c r="A15" s="199">
        <v>45880</v>
      </c>
      <c r="B15" s="9"/>
      <c r="C15" s="21" t="s">
        <v>44</v>
      </c>
      <c r="D15" s="14" t="s">
        <v>15</v>
      </c>
      <c r="E15" s="10">
        <f>E2</f>
        <v>-6.0927918194683987E-3</v>
      </c>
      <c r="F15" s="10">
        <f>F2</f>
        <v>0</v>
      </c>
      <c r="G15" s="10">
        <f>G2</f>
        <v>4.0401273012828781E-2</v>
      </c>
      <c r="H15" s="10">
        <f>H2</f>
        <v>0.14872669715089692</v>
      </c>
      <c r="I15" s="15">
        <f>I2</f>
        <v>0.55024971011130908</v>
      </c>
      <c r="J15" s="9"/>
      <c r="K15" s="9"/>
      <c r="L15" s="9"/>
      <c r="M15" s="9"/>
      <c r="N15" s="9"/>
      <c r="O15" s="9"/>
      <c r="P15" s="9"/>
    </row>
    <row r="16" spans="1:17" ht="22.5" customHeight="1">
      <c r="A16" s="199">
        <v>45870</v>
      </c>
      <c r="B16" s="9"/>
      <c r="C16" s="21"/>
      <c r="D16" s="16" t="s">
        <v>18</v>
      </c>
      <c r="E16" s="10">
        <f t="shared" ref="E16:I18" si="4">E3</f>
        <v>-2.5028682810652129E-3</v>
      </c>
      <c r="F16" s="10">
        <f t="shared" si="4"/>
        <v>0</v>
      </c>
      <c r="G16" s="10">
        <f t="shared" si="4"/>
        <v>2.1713154431640912E-2</v>
      </c>
      <c r="H16" s="10">
        <f t="shared" si="4"/>
        <v>8.3620682788377421E-2</v>
      </c>
      <c r="I16" s="15">
        <f t="shared" si="4"/>
        <v>0.33620153304392497</v>
      </c>
      <c r="J16" s="9"/>
      <c r="K16" s="9"/>
      <c r="L16" s="9"/>
      <c r="M16" s="9"/>
      <c r="N16" s="9"/>
      <c r="O16" s="9"/>
      <c r="P16" s="9"/>
    </row>
    <row r="17" spans="1:16" ht="22.5" customHeight="1">
      <c r="A17" s="5">
        <v>45289</v>
      </c>
      <c r="B17" s="9"/>
      <c r="C17" s="21"/>
      <c r="D17" s="17" t="s">
        <v>21</v>
      </c>
      <c r="E17" s="10">
        <f t="shared" si="4"/>
        <v>-2.9588373509702062E-3</v>
      </c>
      <c r="F17" s="10">
        <f t="shared" si="4"/>
        <v>0</v>
      </c>
      <c r="G17" s="10">
        <f t="shared" si="4"/>
        <v>3.4249295876363162E-2</v>
      </c>
      <c r="H17" s="10">
        <f t="shared" si="4"/>
        <v>0.12053283258024772</v>
      </c>
      <c r="I17" s="15">
        <f t="shared" si="4"/>
        <v>0.39883277983981258</v>
      </c>
      <c r="J17" s="9"/>
      <c r="K17" s="9"/>
      <c r="L17" s="9"/>
      <c r="M17" s="9"/>
      <c r="N17" s="9"/>
      <c r="O17" s="9"/>
      <c r="P17" s="9"/>
    </row>
    <row r="18" spans="1:16" ht="22.5" customHeight="1" thickBot="1">
      <c r="A18" s="5">
        <v>45657</v>
      </c>
      <c r="B18" s="9"/>
      <c r="C18" s="21"/>
      <c r="D18" s="18" t="s">
        <v>23</v>
      </c>
      <c r="E18" s="222">
        <f t="shared" si="4"/>
        <v>-4.5389589530533654E-3</v>
      </c>
      <c r="F18" s="222">
        <f t="shared" si="4"/>
        <v>0</v>
      </c>
      <c r="G18" s="222">
        <f t="shared" si="4"/>
        <v>8.8673660559675654E-3</v>
      </c>
      <c r="H18" s="222">
        <f t="shared" si="4"/>
        <v>3.3632555978090339E-2</v>
      </c>
      <c r="I18" s="223">
        <f t="shared" si="4"/>
        <v>0.16677198192894904</v>
      </c>
      <c r="J18" s="9"/>
      <c r="K18" s="9"/>
      <c r="L18" s="9"/>
      <c r="M18" s="9"/>
      <c r="N18" s="9"/>
      <c r="O18" s="9"/>
      <c r="P18" s="9"/>
    </row>
    <row r="19" spans="1:16" ht="22.5" customHeight="1">
      <c r="A19" s="5">
        <v>45778</v>
      </c>
      <c r="B19" s="9"/>
      <c r="C19" s="21"/>
      <c r="D19" s="21"/>
      <c r="E19" s="8"/>
      <c r="F19" s="15"/>
      <c r="G19" s="8"/>
      <c r="H19" s="11"/>
      <c r="I19" s="11"/>
      <c r="J19" s="9"/>
      <c r="K19" s="9"/>
      <c r="L19" s="9"/>
      <c r="M19" s="9"/>
      <c r="N19" s="9"/>
      <c r="O19" s="9"/>
      <c r="P19" s="9"/>
    </row>
    <row r="20" spans="1:16" ht="22.5" customHeight="1">
      <c r="A20" s="9"/>
      <c r="B20" s="9"/>
      <c r="C20" s="21"/>
      <c r="D20" s="21"/>
      <c r="E20" s="8"/>
      <c r="F20" s="8"/>
      <c r="G20" s="8"/>
      <c r="H20" s="11"/>
      <c r="I20" s="11"/>
      <c r="J20" s="9"/>
      <c r="K20" s="9"/>
      <c r="L20" s="9"/>
      <c r="M20" s="9"/>
      <c r="N20" s="9"/>
      <c r="O20" s="9"/>
      <c r="P20" s="9"/>
    </row>
    <row r="21" spans="1:16" ht="22.5" customHeight="1">
      <c r="A21" s="9"/>
      <c r="C21" s="3"/>
      <c r="D21" s="3"/>
      <c r="E21" s="3"/>
      <c r="F21" s="3"/>
      <c r="G21" s="3"/>
      <c r="H21" s="9"/>
      <c r="I21" s="9"/>
      <c r="J21" s="9"/>
      <c r="K21" s="9"/>
      <c r="L21" s="9"/>
      <c r="M21" s="9"/>
      <c r="N21" s="9"/>
      <c r="O21" s="9"/>
      <c r="P21" s="9"/>
    </row>
    <row r="22" spans="1:16" ht="22.5" customHeight="1">
      <c r="C22" s="3"/>
      <c r="D22" s="3"/>
      <c r="E22" s="3"/>
      <c r="F22" s="3"/>
      <c r="G22" s="3"/>
      <c r="H22" s="9"/>
      <c r="I22" s="9"/>
      <c r="J22" s="9"/>
      <c r="K22" s="9"/>
      <c r="L22" s="9"/>
      <c r="M22" s="9"/>
      <c r="N22" s="9"/>
      <c r="O22" s="9"/>
      <c r="P22" s="9"/>
    </row>
    <row r="23" spans="1:16" ht="22.5" customHeight="1">
      <c r="C23" s="3"/>
      <c r="D23" s="3"/>
      <c r="E23" s="3"/>
      <c r="F23" s="3"/>
      <c r="G23" s="3"/>
      <c r="H23" s="9"/>
      <c r="I23" s="9"/>
      <c r="J23" s="9"/>
      <c r="K23" s="9"/>
      <c r="L23" s="9"/>
      <c r="M23" s="9"/>
      <c r="N23" s="9"/>
      <c r="O23" s="9"/>
      <c r="P23" s="9"/>
    </row>
    <row r="24" spans="1:16" ht="22.5" customHeight="1">
      <c r="B24" s="9"/>
      <c r="C24" s="21"/>
      <c r="D24" s="4"/>
      <c r="E24" s="4"/>
      <c r="F24" s="4"/>
      <c r="G24" s="4"/>
      <c r="H24" s="9"/>
      <c r="I24" s="9"/>
      <c r="J24" s="9"/>
      <c r="K24" s="9"/>
      <c r="L24" s="9"/>
      <c r="M24" s="9"/>
      <c r="N24" s="9"/>
      <c r="O24" s="9"/>
      <c r="P24" s="9"/>
    </row>
  </sheetData>
  <phoneticPr fontId="24" type="noConversion"/>
  <conditionalFormatting sqref="E15:E18">
    <cfRule type="dataBar" priority="3">
      <dataBar>
        <cfvo type="min"/>
        <cfvo type="max"/>
        <color theme="9" tint="0.39716788232062744"/>
      </dataBar>
      <extLst>
        <ext xmlns:x14="http://schemas.microsoft.com/office/spreadsheetml/2009/9/main" uri="{B025F937-C7B1-47D3-B67F-A62EFF666E3E}">
          <x14:id>{26018A5B-D4FF-46BD-BA0B-FBB82E9816B4}</x14:id>
        </ext>
      </extLst>
    </cfRule>
  </conditionalFormatting>
  <conditionalFormatting sqref="F15:F19">
    <cfRule type="dataBar" priority="4">
      <dataBar>
        <cfvo type="min"/>
        <cfvo type="max"/>
        <color theme="9" tint="0.39716788232062744"/>
      </dataBar>
      <extLst>
        <ext xmlns:x14="http://schemas.microsoft.com/office/spreadsheetml/2009/9/main" uri="{B025F937-C7B1-47D3-B67F-A62EFF666E3E}">
          <x14:id>{65D67827-3915-46AD-8551-327F7EE86286}</x14:id>
        </ext>
      </extLst>
    </cfRule>
  </conditionalFormatting>
  <conditionalFormatting sqref="G15:G18">
    <cfRule type="dataBar" priority="5">
      <dataBar>
        <cfvo type="min"/>
        <cfvo type="max"/>
        <color theme="9" tint="0.39716788232062744"/>
      </dataBar>
      <extLst>
        <ext xmlns:x14="http://schemas.microsoft.com/office/spreadsheetml/2009/9/main" uri="{B025F937-C7B1-47D3-B67F-A62EFF666E3E}">
          <x14:id>{A92BAB44-2ADF-49F7-A4A6-2507894A90F4}</x14:id>
        </ext>
      </extLst>
    </cfRule>
  </conditionalFormatting>
  <conditionalFormatting sqref="H15:H18">
    <cfRule type="dataBar" priority="2">
      <dataBar>
        <cfvo type="min"/>
        <cfvo type="max"/>
        <color theme="9" tint="0.39716788232062744"/>
      </dataBar>
      <extLst>
        <ext xmlns:x14="http://schemas.microsoft.com/office/spreadsheetml/2009/9/main" uri="{B025F937-C7B1-47D3-B67F-A62EFF666E3E}">
          <x14:id>{9C29CCD4-5409-434A-A01B-A48A4448BA20}</x14:id>
        </ext>
      </extLst>
    </cfRule>
  </conditionalFormatting>
  <conditionalFormatting sqref="H2:I9">
    <cfRule type="dataBar" priority="17">
      <dataBar>
        <cfvo type="min"/>
        <cfvo type="max"/>
        <color theme="9" tint="0.39716788232062744"/>
      </dataBar>
      <extLst>
        <ext xmlns:x14="http://schemas.microsoft.com/office/spreadsheetml/2009/9/main" uri="{B025F937-C7B1-47D3-B67F-A62EFF666E3E}">
          <x14:id>{0C5C3638-6FA8-4ED6-ADA3-0B59B7AFDFAC}</x14:id>
        </ext>
      </extLst>
    </cfRule>
  </conditionalFormatting>
  <conditionalFormatting sqref="H19:I20 I15:I18">
    <cfRule type="dataBar" priority="94">
      <dataBar>
        <cfvo type="min"/>
        <cfvo type="max"/>
        <color theme="9" tint="0.39716788232062744"/>
      </dataBar>
      <extLst>
        <ext xmlns:x14="http://schemas.microsoft.com/office/spreadsheetml/2009/9/main" uri="{B025F937-C7B1-47D3-B67F-A62EFF666E3E}">
          <x14:id>{9089BF73-C9A9-4F36-8B3B-8CADC90F7E3A}</x14:id>
        </ext>
      </extLst>
    </cfRule>
  </conditionalFormatting>
  <conditionalFormatting sqref="O10:P12 O1:P1 H13:I13 H21:I24">
    <cfRule type="dataBar" priority="124">
      <dataBar>
        <cfvo type="min"/>
        <cfvo type="max"/>
        <color theme="9" tint="0.39704580828272346"/>
      </dataBar>
      <extLst>
        <ext xmlns:x14="http://schemas.microsoft.com/office/spreadsheetml/2009/9/main" uri="{B025F937-C7B1-47D3-B67F-A62EFF666E3E}">
          <x14:id>{4C6F43A6-C3BC-45C5-A0E3-B2B25EE70224}</x14:id>
        </ext>
      </extLst>
    </cfRule>
  </conditionalFormatting>
  <pageMargins left="0.75" right="0.75" top="1" bottom="1" header="0.5" footer="0.5"/>
  <pageSetup paperSize="9" orientation="portrait"/>
  <drawing r:id="rId1"/>
  <extLst>
    <ext xmlns:x14="http://schemas.microsoft.com/office/spreadsheetml/2009/9/main" uri="{78C0D931-6437-407d-A8EE-F0AAD7539E65}">
      <x14:conditionalFormattings>
        <x14:conditionalFormatting xmlns:xm="http://schemas.microsoft.com/office/excel/2006/main">
          <x14:cfRule type="dataBar" id="{26018A5B-D4FF-46BD-BA0B-FBB82E9816B4}">
            <x14:dataBar minLength="0" maxLength="100" gradient="0">
              <x14:cfvo type="autoMin"/>
              <x14:cfvo type="autoMax"/>
              <x14:negativeFillColor rgb="FFFF0000"/>
              <x14:axisColor rgb="FF000000"/>
            </x14:dataBar>
          </x14:cfRule>
          <xm:sqref>E15:E18</xm:sqref>
        </x14:conditionalFormatting>
        <x14:conditionalFormatting xmlns:xm="http://schemas.microsoft.com/office/excel/2006/main">
          <x14:cfRule type="dataBar" id="{65D67827-3915-46AD-8551-327F7EE86286}">
            <x14:dataBar minLength="0" maxLength="100" gradient="0">
              <x14:cfvo type="autoMin"/>
              <x14:cfvo type="autoMax"/>
              <x14:negativeFillColor rgb="FFFF0000"/>
              <x14:axisColor rgb="FF000000"/>
            </x14:dataBar>
          </x14:cfRule>
          <xm:sqref>F15:F19</xm:sqref>
        </x14:conditionalFormatting>
        <x14:conditionalFormatting xmlns:xm="http://schemas.microsoft.com/office/excel/2006/main">
          <x14:cfRule type="dataBar" id="{A92BAB44-2ADF-49F7-A4A6-2507894A90F4}">
            <x14:dataBar minLength="0" maxLength="100" gradient="0">
              <x14:cfvo type="autoMin"/>
              <x14:cfvo type="autoMax"/>
              <x14:negativeFillColor rgb="FFFF0000"/>
              <x14:axisColor rgb="FF000000"/>
            </x14:dataBar>
          </x14:cfRule>
          <xm:sqref>G15:G18</xm:sqref>
        </x14:conditionalFormatting>
        <x14:conditionalFormatting xmlns:xm="http://schemas.microsoft.com/office/excel/2006/main">
          <x14:cfRule type="dataBar" id="{9C29CCD4-5409-434A-A01B-A48A4448BA20}">
            <x14:dataBar minLength="0" maxLength="100" gradient="0">
              <x14:cfvo type="autoMin"/>
              <x14:cfvo type="autoMax"/>
              <x14:negativeFillColor rgb="FFFF0000"/>
              <x14:axisColor rgb="FF000000"/>
            </x14:dataBar>
          </x14:cfRule>
          <xm:sqref>H15:H18</xm:sqref>
        </x14:conditionalFormatting>
        <x14:conditionalFormatting xmlns:xm="http://schemas.microsoft.com/office/excel/2006/main">
          <x14:cfRule type="dataBar" id="{0C5C3638-6FA8-4ED6-ADA3-0B59B7AFDFAC}">
            <x14:dataBar minLength="0" maxLength="100" gradient="0">
              <x14:cfvo type="autoMin"/>
              <x14:cfvo type="autoMax"/>
              <x14:negativeFillColor rgb="FFFF0000"/>
              <x14:axisColor rgb="FF000000"/>
            </x14:dataBar>
          </x14:cfRule>
          <xm:sqref>H2:I9</xm:sqref>
        </x14:conditionalFormatting>
        <x14:conditionalFormatting xmlns:xm="http://schemas.microsoft.com/office/excel/2006/main">
          <x14:cfRule type="dataBar" id="{9089BF73-C9A9-4F36-8B3B-8CADC90F7E3A}">
            <x14:dataBar minLength="0" maxLength="100" gradient="0">
              <x14:cfvo type="autoMin"/>
              <x14:cfvo type="autoMax"/>
              <x14:negativeFillColor rgb="FFFF0000"/>
              <x14:axisColor rgb="FF000000"/>
            </x14:dataBar>
          </x14:cfRule>
          <xm:sqref>H19:I20 I15:I18</xm:sqref>
        </x14:conditionalFormatting>
        <x14:conditionalFormatting xmlns:xm="http://schemas.microsoft.com/office/excel/2006/main">
          <x14:cfRule type="dataBar" id="{4C6F43A6-C3BC-45C5-A0E3-B2B25EE70224}">
            <x14:dataBar minLength="0" maxLength="100" gradient="0">
              <x14:cfvo type="autoMin"/>
              <x14:cfvo type="autoMax"/>
              <x14:negativeFillColor rgb="FFFF0000"/>
              <x14:axisColor rgb="FF000000"/>
            </x14:dataBar>
          </x14:cfRule>
          <xm:sqref>O10:P12 O1:P1 H13:I13 H21:I24</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D52"/>
  <sheetViews>
    <sheetView zoomScale="85" zoomScaleNormal="85" workbookViewId="0">
      <pane xSplit="4" ySplit="18" topLeftCell="E19" activePane="bottomRight" state="frozen"/>
      <selection pane="topRight"/>
      <selection pane="bottomLeft"/>
      <selection pane="bottomRight" activeCell="J4" sqref="J4:J26"/>
    </sheetView>
  </sheetViews>
  <sheetFormatPr defaultColWidth="8.6640625" defaultRowHeight="14"/>
  <cols>
    <col min="1" max="1" width="50.08203125" style="91" customWidth="1"/>
    <col min="2" max="2" width="1.33203125" style="91" hidden="1" customWidth="1"/>
    <col min="3" max="3" width="15.6640625" style="119" bestFit="1" customWidth="1"/>
    <col min="4" max="4" width="20.75" style="88" bestFit="1" customWidth="1"/>
    <col min="5" max="5" width="21.4140625" style="91" bestFit="1" customWidth="1"/>
    <col min="6" max="6" width="12.1640625" style="89" bestFit="1" customWidth="1"/>
    <col min="7" max="7" width="13.33203125" style="89" bestFit="1" customWidth="1"/>
    <col min="8" max="10" width="11" style="89" customWidth="1"/>
    <col min="11" max="11" width="7.6640625" style="167" hidden="1" customWidth="1"/>
    <col min="12" max="12" width="22.5" style="89" customWidth="1"/>
    <col min="13" max="13" width="11.5" style="91" customWidth="1"/>
    <col min="14" max="14" width="15.6640625" style="91" hidden="1" customWidth="1"/>
    <col min="15" max="15" width="20" style="91" hidden="1" customWidth="1"/>
    <col min="16" max="16" width="20" style="91" customWidth="1"/>
    <col min="17" max="17" width="18.5" style="91" customWidth="1"/>
    <col min="18" max="18" width="12.83203125" style="89" customWidth="1"/>
    <col min="19" max="19" width="30.58203125" style="89" customWidth="1"/>
    <col min="20" max="20" width="18.5" style="91" customWidth="1"/>
    <col min="21" max="21" width="11.83203125" style="126" customWidth="1"/>
    <col min="22" max="23" width="9.1640625" style="91" customWidth="1"/>
    <col min="24" max="24" width="9.5" style="91" customWidth="1"/>
    <col min="25" max="27" width="14.6640625" style="126" customWidth="1"/>
    <col min="28" max="28" width="11.5" style="91" hidden="1" customWidth="1"/>
    <col min="29" max="29" width="13" style="91" customWidth="1"/>
    <col min="30" max="30" width="7.6640625" style="127" customWidth="1"/>
    <col min="31" max="16384" width="8.6640625" style="91"/>
  </cols>
  <sheetData>
    <row r="1" spans="1:30">
      <c r="A1" s="168" t="s">
        <v>0</v>
      </c>
      <c r="B1" s="91" t="s">
        <v>1</v>
      </c>
      <c r="C1" s="169" t="s">
        <v>2</v>
      </c>
      <c r="D1" s="170" t="s">
        <v>46</v>
      </c>
      <c r="E1" s="91" t="s">
        <v>47</v>
      </c>
      <c r="F1" s="89" t="s">
        <v>48</v>
      </c>
      <c r="G1" s="171" t="s">
        <v>49</v>
      </c>
      <c r="H1" s="89" t="s">
        <v>50</v>
      </c>
      <c r="I1" s="89" t="s">
        <v>11</v>
      </c>
      <c r="J1" s="171" t="s">
        <v>51</v>
      </c>
      <c r="K1" s="167" t="s">
        <v>52</v>
      </c>
      <c r="L1" s="89" t="s">
        <v>53</v>
      </c>
      <c r="M1" s="168" t="s">
        <v>54</v>
      </c>
      <c r="N1" s="91" t="s">
        <v>55</v>
      </c>
      <c r="O1" s="91" t="s">
        <v>56</v>
      </c>
      <c r="P1" s="91" t="s">
        <v>57</v>
      </c>
      <c r="Q1" s="168" t="s">
        <v>58</v>
      </c>
      <c r="R1" s="89" t="s">
        <v>59</v>
      </c>
      <c r="S1" s="89" t="s">
        <v>60</v>
      </c>
      <c r="T1" s="168" t="s">
        <v>61</v>
      </c>
      <c r="U1" s="190" t="s">
        <v>62</v>
      </c>
      <c r="V1" s="91" t="s">
        <v>63</v>
      </c>
      <c r="W1" s="91" t="s">
        <v>12</v>
      </c>
      <c r="X1" s="91" t="s">
        <v>64</v>
      </c>
      <c r="Y1" s="193" t="s">
        <v>65</v>
      </c>
      <c r="Z1" s="190" t="s">
        <v>7</v>
      </c>
      <c r="AA1" s="190" t="s">
        <v>66</v>
      </c>
      <c r="AB1" s="91" t="s">
        <v>67</v>
      </c>
      <c r="AC1" s="168" t="s">
        <v>68</v>
      </c>
      <c r="AD1" s="194" t="s">
        <v>69</v>
      </c>
    </row>
    <row r="2" spans="1:30">
      <c r="A2" s="91" t="s">
        <v>70</v>
      </c>
      <c r="D2" s="88">
        <f>MEDIAN(D5:D26)</f>
        <v>451.27487500000001</v>
      </c>
      <c r="E2" s="88">
        <f>MEDIAN(E5:E26)</f>
        <v>462.65999999999997</v>
      </c>
      <c r="F2" s="88">
        <f>MEDIAN(F5:F26)</f>
        <v>347.45499999999998</v>
      </c>
      <c r="G2" s="88">
        <f>MEDIAN(G5:G26)</f>
        <v>5.5840000000000001E-2</v>
      </c>
      <c r="H2" s="88"/>
      <c r="I2" s="88"/>
      <c r="J2" s="184">
        <f>MEDIAN(J5:J26)</f>
        <v>-2.7549381940360478E-3</v>
      </c>
      <c r="K2" s="185"/>
      <c r="L2" s="88"/>
      <c r="M2" s="88">
        <f t="shared" ref="M2:U2" si="0">MEDIAN(M5:M26)</f>
        <v>0</v>
      </c>
      <c r="N2" s="88">
        <f t="shared" si="0"/>
        <v>38.609870000000001</v>
      </c>
      <c r="O2" s="88">
        <f t="shared" si="0"/>
        <v>9.5249999999999986</v>
      </c>
      <c r="P2" s="88">
        <f t="shared" si="0"/>
        <v>10.100000000000001</v>
      </c>
      <c r="Q2" s="88">
        <f t="shared" si="0"/>
        <v>20.309438400000023</v>
      </c>
      <c r="R2" s="88">
        <f t="shared" si="0"/>
        <v>34.433464999999998</v>
      </c>
      <c r="S2" s="88">
        <f t="shared" si="0"/>
        <v>10.175000000000001</v>
      </c>
      <c r="T2" s="88">
        <f t="shared" si="0"/>
        <v>26.426942000000004</v>
      </c>
      <c r="U2" s="184">
        <f t="shared" si="0"/>
        <v>5.8500000000000002E-3</v>
      </c>
      <c r="V2" s="88"/>
      <c r="W2" s="88"/>
      <c r="X2" s="88"/>
      <c r="Y2" s="184" t="e">
        <f t="shared" ref="Y2:AD2" si="1">MEDIAN(Y5:Y26)</f>
        <v>#DIV/0!</v>
      </c>
      <c r="Z2" s="184" t="e">
        <f t="shared" si="1"/>
        <v>#DIV/0!</v>
      </c>
      <c r="AA2" s="184">
        <f t="shared" si="1"/>
        <v>9.3124149271054946E-2</v>
      </c>
      <c r="AB2" s="88">
        <f t="shared" si="1"/>
        <v>5.7679999999999995E-2</v>
      </c>
      <c r="AC2" s="88">
        <f t="shared" si="1"/>
        <v>57680</v>
      </c>
      <c r="AD2" s="127">
        <f t="shared" si="1"/>
        <v>61.5</v>
      </c>
    </row>
    <row r="3" spans="1:30">
      <c r="A3" s="91" t="s">
        <v>50</v>
      </c>
      <c r="D3" s="88">
        <f>SUM(D5:D26)</f>
        <v>59986.737125000007</v>
      </c>
      <c r="E3" s="88">
        <f>SUM(E5:E26)</f>
        <v>59376.12999999999</v>
      </c>
      <c r="F3" s="88">
        <f>SUM(F5:F26)</f>
        <v>49630.019575439997</v>
      </c>
      <c r="G3" s="88">
        <f>SUM(G5:G26)</f>
        <v>15.248040000000001</v>
      </c>
      <c r="H3" s="88"/>
      <c r="I3" s="88"/>
      <c r="J3" s="88"/>
      <c r="K3" s="185"/>
      <c r="L3" s="88"/>
      <c r="M3" s="88">
        <f>SUM(M5:M26)</f>
        <v>13.074515999999145</v>
      </c>
      <c r="N3" s="88">
        <f t="shared" ref="N3:T3" si="2">SUM(N5:N26)</f>
        <v>1104.51044</v>
      </c>
      <c r="O3" s="88">
        <f t="shared" si="2"/>
        <v>777.14018999999985</v>
      </c>
      <c r="P3" s="88">
        <f t="shared" si="2"/>
        <v>808.46032400000013</v>
      </c>
      <c r="Q3" s="88">
        <f t="shared" si="2"/>
        <v>2803.981357958779</v>
      </c>
      <c r="R3" s="88">
        <f t="shared" si="2"/>
        <v>943.50008000000003</v>
      </c>
      <c r="S3" s="88">
        <f t="shared" si="2"/>
        <v>672.92316600000004</v>
      </c>
      <c r="T3" s="88">
        <f t="shared" si="2"/>
        <v>10627.055685561041</v>
      </c>
      <c r="U3" s="184"/>
      <c r="V3" s="88"/>
      <c r="W3" s="88"/>
      <c r="X3" s="88"/>
      <c r="Y3" s="184"/>
      <c r="Z3" s="184"/>
      <c r="AA3" s="184"/>
      <c r="AB3" s="88"/>
      <c r="AC3" s="88"/>
      <c r="AD3" s="195"/>
    </row>
    <row r="4" spans="1:30">
      <c r="A4" s="91" t="s">
        <v>19</v>
      </c>
      <c r="C4" s="26" t="s">
        <v>20</v>
      </c>
      <c r="D4" s="88">
        <f>_xll.ciqfunctions.udf.CIQ(C4,"IQ_MARKETCAP",$A$28)</f>
        <v>366137.07750000001</v>
      </c>
      <c r="E4" s="172">
        <f>_xll.ciqfunctions.udf.CIQ(C4,"IQ_HOLDINGS_EQUITY_ASSETS",$A$28)</f>
        <v>366596.85</v>
      </c>
      <c r="F4" s="173">
        <f>_xll.ciqfunctions.udf.CIQ(C4,"IQ_MARKETCAP",$A$29)</f>
        <v>315505.59450000001</v>
      </c>
      <c r="G4" s="89">
        <f>_xll.ciqfunctions.udf.CIQ(C4,"IQ_VOLUME",$A$28)</f>
        <v>33.112920000000003</v>
      </c>
      <c r="H4" s="174">
        <f>_xll.ciqfunctions.udf.CIQ(C4,"IQ_CLOSEPRICE",$A$27)</f>
        <v>574.54999999999995</v>
      </c>
      <c r="I4" s="89">
        <f>_xll.ciqfunctions.udf.CIQ(C4,"IQ_CLOSEPRICE",$A$28)</f>
        <v>572.85</v>
      </c>
      <c r="J4" s="153">
        <f>(I4-H4)/H4</f>
        <v>-2.9588373509702062E-3</v>
      </c>
      <c r="K4" s="173">
        <f>_xll.ciqfunctions.udf.CIQ($C4,"IQ_VWAP",A$28)</f>
        <v>574.28</v>
      </c>
      <c r="L4" s="186">
        <f>_xll.ciqfunctions.udf.CIQ($C4,"IQ_SHARESOUTSTANDING",($A$27))</f>
        <v>639.15</v>
      </c>
      <c r="M4" s="187">
        <f t="shared" ref="M4:M9" si="3">K4*(P4-L4)</f>
        <v>0</v>
      </c>
      <c r="N4" s="172">
        <f>_xll.ciqfunctions.udf.CIQAVG($C4,"IQ_VWAP",A$29,A$28,"USD")</f>
        <v>513.65151000000003</v>
      </c>
      <c r="O4" s="172">
        <f>_xll.ciqfunctions.udf.CIQ($C4,"IQ_SHARESOUTSTANDING",$A$29)</f>
        <v>617.15</v>
      </c>
      <c r="P4" s="172">
        <f>_xll.ciqfunctions.udf.CIQ($C4,"IQ_SHARESOUTSTANDING",$A$28)</f>
        <v>639.15</v>
      </c>
      <c r="Q4" s="172">
        <f>(P4-O4)*N4</f>
        <v>11300.33322</v>
      </c>
      <c r="R4" s="173">
        <f>_xll.ciqfunctions.udf.CIQAVG($C4,"IQ_VWAP",A$30,A$28,"USD")</f>
        <v>482.9076</v>
      </c>
      <c r="S4" s="173">
        <f>_xll.ciqfunctions.udf.CIQ($C4,"IQ_SHARESOUTSTANDING",$A$30)</f>
        <v>560.35</v>
      </c>
      <c r="T4" s="172">
        <f>(P4-S4)*R4</f>
        <v>38053.11887999998</v>
      </c>
      <c r="U4" s="126">
        <v>2E-3</v>
      </c>
      <c r="V4" s="91">
        <f>_xll.ciqfunctions.udf.CIQ(C4,"IQ_CLOSEPRICE",$A$30)</f>
        <v>409.52</v>
      </c>
      <c r="W4" s="91">
        <f>_xll.ciqfunctions.udf.CIQ($C4,"IQ_CLOSEPRICE",$A$29)</f>
        <v>511.23</v>
      </c>
      <c r="X4" s="91">
        <f>_xll.ciqfunctions.udf.CIQ(C4,"IQ_CLOSEPRICE",$A$28)</f>
        <v>572.85</v>
      </c>
      <c r="Y4" s="153">
        <f>(X4/V4)^(365/($A$28-$A$30))-1</f>
        <v>0.23033835764193755</v>
      </c>
      <c r="Z4" s="153">
        <f>X4/V4-1</f>
        <v>0.39883277983981258</v>
      </c>
      <c r="AA4" s="153">
        <f>X4/W4-1</f>
        <v>0.12053283258024772</v>
      </c>
      <c r="AB4" s="89">
        <f>_xll.ciqfunctions.udf.CIQAVG(C4,"IQ_VOLUME","-30D",$A$28)</f>
        <v>44.016350000000003</v>
      </c>
      <c r="AC4" s="89">
        <f>AB4*1000000</f>
        <v>44016350</v>
      </c>
      <c r="AD4" s="127">
        <v>101</v>
      </c>
    </row>
    <row r="5" spans="1:30">
      <c r="A5" s="119" t="s">
        <v>71</v>
      </c>
      <c r="C5" s="119" t="s">
        <v>72</v>
      </c>
      <c r="D5" s="88">
        <f>_xll.ciqfunctions.udf.CIQ(C5,"IQ_MARKETCAP",$A$28)</f>
        <v>29.39254</v>
      </c>
      <c r="E5" s="172">
        <f>_xll.ciqfunctions.udf.CIQ(C5,"IQ_HOLDINGS_EQUITY_ASSETS",$A$28)</f>
        <v>28.22</v>
      </c>
      <c r="F5" s="173">
        <f>_xll.ciqfunctions.udf.CIQ(C5,"IQ_MARKETCAP",$A$29)</f>
        <v>11.372059999999999</v>
      </c>
      <c r="G5" s="89">
        <f>_xll.ciqfunctions.udf.CIQ(C5,"IQ_VOLUME",$A$28)</f>
        <v>2.461E-2</v>
      </c>
      <c r="H5" s="174">
        <f>_xll.ciqfunctions.udf.CIQ(C5,"IQ_CLOSEPRICE",$A$27)</f>
        <v>32.858499999999999</v>
      </c>
      <c r="I5" s="89">
        <f>_xll.ciqfunctions.udf.CIQ(C5,"IQ_CLOSEPRICE",$A$28)</f>
        <v>32.658299999999997</v>
      </c>
      <c r="J5" s="153">
        <f>(I5-H5)/H5</f>
        <v>-6.0927918194683987E-3</v>
      </c>
      <c r="K5" s="173">
        <f>_xll.ciqfunctions.udf.CIQ($C5,"IQ_VWAP",A$28)</f>
        <v>32.94</v>
      </c>
      <c r="L5" s="186">
        <f>_xll.ciqfunctions.udf.CIQ($C5,"IQ_SHARESOUTSTANDING",($A$27))</f>
        <v>0.9</v>
      </c>
      <c r="M5" s="187">
        <f>K5*(P5-L5)</f>
        <v>0</v>
      </c>
      <c r="N5" s="172">
        <f>_xll.ciqfunctions.udf.CIQAVG($C5,"IQ_VWAP",A$29,A$28,"USD")</f>
        <v>28.717169999999999</v>
      </c>
      <c r="O5" s="172">
        <f>_xll.ciqfunctions.udf.CIQ($C5,"IQ_SHARESOUTSTANDING",$A$29)</f>
        <v>0.4</v>
      </c>
      <c r="P5" s="172">
        <f>_xll.ciqfunctions.udf.CIQ($C5,"IQ_SHARESOUTSTANDING",$A$28)</f>
        <v>0.9</v>
      </c>
      <c r="Q5" s="172">
        <f>(P5-O5)*N5</f>
        <v>14.358585</v>
      </c>
      <c r="R5" s="173">
        <f>_xll.ciqfunctions.udf.CIQAVG($C5,"IQ_VWAP",A$30,A$28,"USD")</f>
        <v>27.597190000000001</v>
      </c>
      <c r="S5" s="173">
        <f>_xll.ciqfunctions.udf.CIQ($C5,"IQ_SHARESOUTSTANDING",$A$30)</f>
        <v>0</v>
      </c>
      <c r="T5" s="172">
        <f>(P5-S5)*R5</f>
        <v>24.837471000000001</v>
      </c>
      <c r="U5" s="126">
        <v>0.01</v>
      </c>
      <c r="V5" s="191">
        <v>3878.75</v>
      </c>
      <c r="W5" s="191">
        <v>5445.64</v>
      </c>
      <c r="X5" s="171">
        <f>'raw1'!N2</f>
        <v>6013.15</v>
      </c>
      <c r="Y5" s="153">
        <f>(X5/V5)^(365/($A$28-$A$30))-1</f>
        <v>0.31098237883329971</v>
      </c>
      <c r="Z5" s="153">
        <f>X5/V5-1</f>
        <v>0.55028037383177564</v>
      </c>
      <c r="AA5" s="153">
        <f>I5/'raw1'!N1-1</f>
        <v>0.14872669715089692</v>
      </c>
      <c r="AB5" s="89">
        <f>_xll.ciqfunctions.udf.CIQAVG(C5,"IQ_VOLUME","-30D",$A$28)</f>
        <v>3.4569999999999997E-2</v>
      </c>
      <c r="AC5" s="89">
        <f>AB5*1000000</f>
        <v>34570</v>
      </c>
      <c r="AD5" s="127">
        <v>48</v>
      </c>
    </row>
    <row r="6" spans="1:30">
      <c r="A6" s="91" t="s">
        <v>30</v>
      </c>
      <c r="C6" s="119" t="s">
        <v>31</v>
      </c>
      <c r="D6" s="88">
        <f>_xll.ciqfunctions.udf.CIQ(C6,"IQ_MARKETCAP",$A$28)</f>
        <v>27723.915830000002</v>
      </c>
      <c r="E6" s="172">
        <f>_xll.ciqfunctions.udf.CIQ(C6,"IQ_HOLDINGS_EQUITY_ASSETS",$A$28)</f>
        <v>27224.62</v>
      </c>
      <c r="F6" s="173">
        <f>_xll.ciqfunctions.udf.CIQ(C6,"IQ_MARKETCAP",$A$29)</f>
        <v>23306.894629999999</v>
      </c>
      <c r="G6" s="89">
        <f>_xll.ciqfunctions.udf.CIQ(C6,"IQ_VOLUME",$A$28)</f>
        <v>5.7997399999999999</v>
      </c>
      <c r="H6" s="174">
        <f>_xll.ciqfunctions.udf.CIQ(C6,"IQ_CLOSEPRICE",$A$27)</f>
        <v>293.52999999999997</v>
      </c>
      <c r="I6" s="89">
        <f>_xll.ciqfunctions.udf.CIQ(C6,"IQ_CLOSEPRICE",$A$28)</f>
        <v>293.39999999999998</v>
      </c>
      <c r="J6" s="153">
        <f>(I6-H6)/H6</f>
        <v>-4.4288488399821301E-4</v>
      </c>
      <c r="K6" s="173">
        <f>_xll.ciqfunctions.udf.CIQ($C6,"IQ_VWAP",A$28)</f>
        <v>295.25</v>
      </c>
      <c r="L6" s="186">
        <f>_xll.ciqfunctions.udf.CIQ($C6,"IQ_SHARESOUTSTANDING",($A$27))</f>
        <v>94.491870000000006</v>
      </c>
      <c r="M6" s="187">
        <f t="shared" si="3"/>
        <v>0</v>
      </c>
      <c r="N6" s="172">
        <f>_xll.ciqfunctions.udf.CIQAVG($C6,"IQ_VWAP",A$29,A$28,"USD")</f>
        <v>245.59414000000001</v>
      </c>
      <c r="O6" s="172">
        <f>_xll.ciqfunctions.udf.CIQ($C6,"IQ_SHARESOUTSTANDING",$A$29)</f>
        <v>96.241870000000006</v>
      </c>
      <c r="P6" s="172">
        <f>_xll.ciqfunctions.udf.CIQ($C6,"IQ_SHARESOUTSTANDING",$A$28)</f>
        <v>94.491870000000006</v>
      </c>
      <c r="Q6" s="172">
        <f>(P6-O6)*N6</f>
        <v>-429.78974500000004</v>
      </c>
      <c r="R6" s="173">
        <f>_xll.ciqfunctions.udf.CIQAVG($C6,"IQ_VWAP",A$30,A$28,"USD")</f>
        <v>236.95587</v>
      </c>
      <c r="S6" s="173">
        <f>_xll.ciqfunctions.udf.CIQ($C6,"IQ_SHARESOUTSTANDING",$A$30)</f>
        <v>68.441869999999994</v>
      </c>
      <c r="T6" s="172">
        <f>(P6-S6)*R6</f>
        <v>6172.7004135000025</v>
      </c>
      <c r="U6" s="184">
        <v>3.5000000000000001E-3</v>
      </c>
      <c r="V6" s="91">
        <f>_xll.ciqfunctions.udf.CIQ(C6,"IQ_CLOSEPRICE",$A$30)</f>
        <v>174.87</v>
      </c>
      <c r="W6" s="91">
        <f>_xll.ciqfunctions.udf.CIQ($C6,"IQ_CLOSEPRICE",$A$29)</f>
        <v>242.17</v>
      </c>
      <c r="X6" s="91">
        <f>_xll.ciqfunctions.udf.CIQ(C6,"IQ_CLOSEPRICE",$A$28)</f>
        <v>293.39999999999998</v>
      </c>
      <c r="Y6" s="153">
        <f>(X6/V6)^(365/($A$28-$A$30))-1</f>
        <v>0.3765810276210062</v>
      </c>
      <c r="Z6" s="153">
        <f>X6/V6-1</f>
        <v>0.67781780751415321</v>
      </c>
      <c r="AA6" s="153">
        <f>X6/W6-1</f>
        <v>0.21154560845686921</v>
      </c>
      <c r="AB6" s="89">
        <f>_xll.ciqfunctions.udf.CIQAVG(C6,"IQ_VOLUME","-30D",$A$28)</f>
        <v>7.49444</v>
      </c>
      <c r="AC6" s="89">
        <f>AB6*1000000</f>
        <v>7494440</v>
      </c>
      <c r="AD6" s="127">
        <v>27</v>
      </c>
    </row>
    <row r="7" spans="1:30">
      <c r="A7" s="91" t="s">
        <v>73</v>
      </c>
      <c r="C7" s="119" t="s">
        <v>74</v>
      </c>
      <c r="D7" s="88">
        <f>_xll.ciqfunctions.udf.CIQ(C7,"IQ_MARKETCAP",$A$28)</f>
        <v>11703.96</v>
      </c>
      <c r="E7" s="172">
        <f>_xll.ciqfunctions.udf.CIQ(C7,"IQ_HOLDINGS_EQUITY_ASSETS",$A$28)</f>
        <v>11261.25</v>
      </c>
      <c r="F7" s="173">
        <f>_xll.ciqfunctions.udf.CIQ(C7,"IQ_MARKETCAP",$A$29)</f>
        <v>9321.1720000000005</v>
      </c>
      <c r="G7" s="89">
        <f>_xll.ciqfunctions.udf.CIQ(C7,"IQ_VOLUME",$A$28)</f>
        <v>6.1127399999999996</v>
      </c>
      <c r="H7" s="174">
        <f>_xll.ciqfunctions.udf.CIQ(C7,"IQ_CLOSEPRICE",$A$27)</f>
        <v>109.63</v>
      </c>
      <c r="I7" s="89">
        <f>_xll.ciqfunctions.udf.CIQ(C7,"IQ_CLOSEPRICE",$A$28)</f>
        <v>108.37</v>
      </c>
      <c r="J7" s="153">
        <f>(I7-H7)/H7</f>
        <v>-1.1493204414849868E-2</v>
      </c>
      <c r="K7" s="173"/>
      <c r="L7" s="186">
        <f>_xll.ciqfunctions.udf.CIQ($C7,"IQ_SHARESOUTSTANDING",($A$27))</f>
        <v>108</v>
      </c>
      <c r="M7" s="187">
        <f t="shared" si="3"/>
        <v>0</v>
      </c>
      <c r="N7" s="172">
        <f>_xll.ciqfunctions.udf.CIQAVG($C7,"IQ_VWAP",A$29,A$28,"USD")</f>
        <v>101.05987</v>
      </c>
      <c r="O7" s="172">
        <f>_xll.ciqfunctions.udf.CIQ($C7,"IQ_SHARESOUTSTANDING",$A$29)</f>
        <v>93.1</v>
      </c>
      <c r="P7" s="172">
        <f>_xll.ciqfunctions.udf.CIQ($C7,"IQ_SHARESOUTSTANDING",$A$28)</f>
        <v>108</v>
      </c>
      <c r="Q7" s="172">
        <f>(P7-O7)*N7</f>
        <v>1505.7920630000006</v>
      </c>
      <c r="R7" s="173">
        <f>_xll.ciqfunctions.udf.CIQAVG($C7,"IQ_VWAP",A$30,A$28,"USD")</f>
        <v>92.799980000000005</v>
      </c>
      <c r="S7" s="173">
        <f>_xll.ciqfunctions.udf.CIQ($C7,"IQ_SHARESOUTSTANDING",$A$30)</f>
        <v>92.25</v>
      </c>
      <c r="T7" s="172">
        <f>(P7-S7)*R7</f>
        <v>1461.5996850000001</v>
      </c>
      <c r="U7" s="184">
        <v>0.01</v>
      </c>
      <c r="V7" s="91">
        <f>_xll.ciqfunctions.udf.CIQ(C7,"IQ_CLOSEPRICE",$A$30)</f>
        <v>81.128</v>
      </c>
      <c r="W7" s="91">
        <f>_xll.ciqfunctions.udf.CIQ($C7,"IQ_CLOSEPRICE",$A$29)</f>
        <v>100.12</v>
      </c>
      <c r="X7" s="91">
        <f>_xll.ciqfunctions.udf.CIQ(C7,"IQ_CLOSEPRICE",$A$28)</f>
        <v>108.37</v>
      </c>
      <c r="Y7" s="153">
        <f>(X7/V7)^(365/($A$28-$A$30))-1</f>
        <v>0.19579197886269384</v>
      </c>
      <c r="Z7" s="153">
        <f>X7/V7-1</f>
        <v>0.33579035598067253</v>
      </c>
      <c r="AA7" s="153">
        <f>X7/W7-1</f>
        <v>8.2401118657610795E-2</v>
      </c>
      <c r="AB7" s="89">
        <f>_xll.ciqfunctions.udf.CIQAVG(C7,"IQ_VOLUME","-30D",$A$28)</f>
        <v>4.6197100000000004</v>
      </c>
      <c r="AC7" s="89">
        <f>AB7*1000000</f>
        <v>4619710</v>
      </c>
      <c r="AD7" s="127">
        <v>121</v>
      </c>
    </row>
    <row r="8" spans="1:30">
      <c r="A8" s="25" t="s">
        <v>293</v>
      </c>
      <c r="B8" s="175" t="s">
        <v>75</v>
      </c>
      <c r="C8" s="26" t="s">
        <v>35</v>
      </c>
      <c r="D8" s="88">
        <f>_xll.ciqfunctions.udf.CIQ(C8,"IQ_MARKETCAP",$A$28)</f>
        <v>2786.7145999999998</v>
      </c>
      <c r="E8" s="172">
        <f>_xll.ciqfunctions.udf.CIQ(C8,"IQ_HOLDINGS_EQUITY_ASSETS",$A$28)</f>
        <v>2818.83</v>
      </c>
      <c r="F8" s="173">
        <f>_xll.ciqfunctions.udf.CIQ(C8,"IQ_MARKETCAP",$A$29)</f>
        <v>2582.8380000000002</v>
      </c>
      <c r="G8" s="89">
        <f>_xll.ciqfunctions.udf.CIQ(C8,"IQ_VOLUME",$A$28)</f>
        <v>0.41169</v>
      </c>
      <c r="H8" s="174">
        <f>_xll.ciqfunctions.udf.CIQ(C8,"IQ_CLOSEPRICE",$A$27)</f>
        <v>33.6</v>
      </c>
      <c r="I8" s="89">
        <f>_xll.ciqfunctions.udf.CIQ(C8,"IQ_CLOSEPRICE",$A$28)</f>
        <v>33.31</v>
      </c>
      <c r="J8" s="153">
        <f t="shared" ref="J8:J20" si="4">(I8-H8)/H8</f>
        <v>-8.6309523809523555E-3</v>
      </c>
      <c r="K8" s="173">
        <f>_xll.ciqfunctions.udf.CIQ($C8,"IQ_VWAP",A$28)</f>
        <v>33.4</v>
      </c>
      <c r="L8" s="186">
        <f>_xll.ciqfunctions.udf.CIQ($C8,"IQ_SHARESOUTSTANDING",($A$27))</f>
        <v>83.66</v>
      </c>
      <c r="M8" s="187">
        <f t="shared" si="3"/>
        <v>0</v>
      </c>
      <c r="N8" s="172">
        <f>_xll.ciqfunctions.udf.CIQAVG($C8,"IQ_VWAP",A$29,A$28,"USD")</f>
        <v>31.357109999999999</v>
      </c>
      <c r="O8" s="172">
        <f>_xll.ciqfunctions.udf.CIQ($C8,"IQ_SHARESOUTSTANDING",$A$29)</f>
        <v>80.84</v>
      </c>
      <c r="P8" s="172">
        <f>_xll.ciqfunctions.udf.CIQ($C8,"IQ_SHARESOUTSTANDING",$A$28)</f>
        <v>83.66</v>
      </c>
      <c r="Q8" s="172">
        <f>(P8-O8)*N8</f>
        <v>88.427050199999783</v>
      </c>
      <c r="R8" s="173">
        <f>_xll.ciqfunctions.udf.CIQAVG($C8,"IQ_VWAP",A$30,A$28,"USD")</f>
        <v>31.153289999999998</v>
      </c>
      <c r="S8" s="173">
        <f>_xll.ciqfunctions.udf.CIQ($C8,"IQ_SHARESOUTSTANDING",$A$30)</f>
        <v>87.06</v>
      </c>
      <c r="T8" s="172">
        <f>(P8-S8)*R8</f>
        <v>-105.92118600000018</v>
      </c>
      <c r="U8" s="126">
        <v>6.8999999999999999E-3</v>
      </c>
      <c r="V8" s="91">
        <f>_xll.ciqfunctions.udf.CIQ(C8,"IQ_CLOSEPRICE",$A$30)</f>
        <v>28.5</v>
      </c>
      <c r="W8" s="91">
        <f>_xll.ciqfunctions.udf.CIQ($C8,"IQ_CLOSEPRICE",$A$29)</f>
        <v>31.95</v>
      </c>
      <c r="X8" s="91">
        <f>_xll.ciqfunctions.udf.CIQ(C8,"IQ_CLOSEPRICE",$A$28)</f>
        <v>33.31</v>
      </c>
      <c r="Y8" s="153">
        <f t="shared" ref="Y8:Y14" si="5">(X8/V8)^(365/($A$28-$A$30))-1</f>
        <v>0.10110750881701236</v>
      </c>
      <c r="Z8" s="153">
        <f>X8/V8-1</f>
        <v>0.16877192982456157</v>
      </c>
      <c r="AA8" s="153">
        <f t="shared" ref="AA8:AA26" si="6">X8/W8-1</f>
        <v>4.2566510172143968E-2</v>
      </c>
      <c r="AB8" s="89">
        <f>_xll.ciqfunctions.udf.CIQAVG(C8,"IQ_VOLUME","-30D",$A$28)</f>
        <v>0.69854000000000005</v>
      </c>
      <c r="AC8" s="89">
        <f>AB8*1000000</f>
        <v>698540</v>
      </c>
      <c r="AD8" s="127">
        <v>43</v>
      </c>
    </row>
    <row r="9" spans="1:30">
      <c r="A9" s="25" t="s">
        <v>291</v>
      </c>
      <c r="B9" s="175" t="s">
        <v>76</v>
      </c>
      <c r="C9" s="26" t="s">
        <v>28</v>
      </c>
      <c r="D9" s="88">
        <f>_xll.ciqfunctions.udf.CIQ(C9,"IQ_MARKETCAP",$A$28)</f>
        <v>3987.6900900000001</v>
      </c>
      <c r="E9" s="172">
        <f>_xll.ciqfunctions.udf.CIQ(C9,"IQ_HOLDINGS_EQUITY_ASSETS",$A$28)</f>
        <v>4256.07</v>
      </c>
      <c r="F9" s="173">
        <f>_xll.ciqfunctions.udf.CIQ(C9,"IQ_MARKETCAP",$A$29)</f>
        <v>2610.90488</v>
      </c>
      <c r="G9" s="89">
        <f>_xll.ciqfunctions.udf.CIQ(C9,"IQ_VOLUME",$A$28)</f>
        <v>1.49935</v>
      </c>
      <c r="H9" s="174">
        <f>_xll.ciqfunctions.udf.CIQ(C9,"IQ_CLOSEPRICE",$A$27)</f>
        <v>44.91</v>
      </c>
      <c r="I9" s="89">
        <f>_xll.ciqfunctions.udf.CIQ(C9,"IQ_CLOSEPRICE",$A$28)</f>
        <v>44.68</v>
      </c>
      <c r="J9" s="153">
        <f t="shared" si="4"/>
        <v>-5.1213538187485389E-3</v>
      </c>
      <c r="K9" s="173">
        <f>_xll.ciqfunctions.udf.CIQ($C9,"IQ_VWAP",A$28)</f>
        <v>44.87</v>
      </c>
      <c r="L9" s="186">
        <f>_xll.ciqfunctions.udf.CIQ($C9,"IQ_SHARESOUTSTANDING",($A$27))</f>
        <v>89.25</v>
      </c>
      <c r="M9" s="172">
        <f t="shared" si="3"/>
        <v>0</v>
      </c>
      <c r="N9" s="172">
        <f>_xll.ciqfunctions.udf.CIQAVG($C9,"IQ_VWAP",A$29,A$28,"USD")</f>
        <v>40.05395</v>
      </c>
      <c r="O9" s="172">
        <f>_xll.ciqfunctions.udf.CIQ($C9,"IQ_SHARESOUTSTANDING",$A$29)</f>
        <v>67.569999999999993</v>
      </c>
      <c r="P9" s="172">
        <f>_xll.ciqfunctions.udf.CIQ($C9,"IQ_SHARESOUTSTANDING",$A$28)</f>
        <v>89.25</v>
      </c>
      <c r="Q9" s="172">
        <f t="shared" ref="Q9:Q26" si="7">(P9-O9)*N9</f>
        <v>868.36963600000024</v>
      </c>
      <c r="R9" s="173">
        <f>_xll.ciqfunctions.udf.CIQAVG($C9,"IQ_VWAP",A$30,A$28,"USD")</f>
        <v>36.882800000000003</v>
      </c>
      <c r="S9" s="173">
        <f>_xll.ciqfunctions.udf.CIQ($C9,"IQ_SHARESOUTSTANDING",$A$30)</f>
        <v>28.86</v>
      </c>
      <c r="T9" s="172">
        <f t="shared" ref="T9:T26" si="8">(P9-S9)*R9</f>
        <v>2227.352292</v>
      </c>
      <c r="U9" s="126">
        <v>6.7999999999999996E-3</v>
      </c>
      <c r="V9" s="91">
        <f>_xll.ciqfunctions.udf.CIQ(C9,"IQ_CLOSEPRICE",$A$30)</f>
        <v>31.18</v>
      </c>
      <c r="W9" s="91">
        <f>_xll.ciqfunctions.udf.CIQ($C9,"IQ_CLOSEPRICE",$A$29)</f>
        <v>38.64</v>
      </c>
      <c r="X9" s="91">
        <f>_xll.ciqfunctions.udf.CIQ(C9,"IQ_CLOSEPRICE",$A$28)</f>
        <v>44.68</v>
      </c>
      <c r="Y9" s="153">
        <f t="shared" si="5"/>
        <v>0.24879623678399709</v>
      </c>
      <c r="Z9" s="153">
        <f t="shared" ref="Z9:Z26" si="9">X9/V9-1</f>
        <v>0.43296985246953179</v>
      </c>
      <c r="AA9" s="153">
        <f t="shared" si="6"/>
        <v>0.15631469979296053</v>
      </c>
      <c r="AB9" s="89">
        <f>_xll.ciqfunctions.udf.CIQAVG(C9,"IQ_VOLUME","-30D",$A$28)</f>
        <v>1.0889500000000001</v>
      </c>
      <c r="AC9" s="89">
        <f t="shared" ref="AC9:AC26" si="10">AB9*1000000</f>
        <v>1088950</v>
      </c>
      <c r="AD9" s="127">
        <v>86</v>
      </c>
    </row>
    <row r="10" spans="1:30">
      <c r="A10" s="25" t="s">
        <v>297</v>
      </c>
      <c r="B10" s="175" t="s">
        <v>77</v>
      </c>
      <c r="C10" s="27" t="s">
        <v>78</v>
      </c>
      <c r="D10" s="88">
        <f>_xll.ciqfunctions.udf.CIQ(C10,"IQ_MARKETCAP",$A$28)</f>
        <v>1193.2784999999999</v>
      </c>
      <c r="E10" s="172">
        <f>_xll.ciqfunctions.udf.CIQ(C10,"IQ_HOLDINGS_EQUITY_ASSETS",$A$28)</f>
        <v>1270.0899999999999</v>
      </c>
      <c r="F10" s="173">
        <f>_xll.ciqfunctions.udf.CIQ(C10,"IQ_MARKETCAP",$A$29)</f>
        <v>719.15800000000002</v>
      </c>
      <c r="G10" s="89">
        <f>_xll.ciqfunctions.udf.CIQ(C10,"IQ_VOLUME",$A$28)</f>
        <v>0.43761</v>
      </c>
      <c r="H10" s="174">
        <f>_xll.ciqfunctions.udf.CIQ(C10,"IQ_CLOSEPRICE",$A$27)</f>
        <v>42.51</v>
      </c>
      <c r="I10" s="89">
        <f>_xll.ciqfunctions.udf.CIQ(C10,"IQ_CLOSEPRICE",$A$28)</f>
        <v>42.39</v>
      </c>
      <c r="J10" s="153">
        <f t="shared" si="4"/>
        <v>-2.822865208186249E-3</v>
      </c>
      <c r="K10" s="173">
        <f>_xll.ciqfunctions.udf.CIQ($C10,"IQ_VWAP",A$28)</f>
        <v>42.61</v>
      </c>
      <c r="L10" s="186">
        <f>_xll.ciqfunctions.udf.CIQ($C10,"IQ_SHARESOUTSTANDING",($A$27))</f>
        <v>28.15</v>
      </c>
      <c r="M10" s="172">
        <f t="shared" ref="M10:M26" si="11">K10*(P10-L10)</f>
        <v>0</v>
      </c>
      <c r="N10" s="172">
        <f>_xll.ciqfunctions.udf.CIQAVG($C10,"IQ_VWAP",A$29,A$28,"USD")</f>
        <v>37.165790000000001</v>
      </c>
      <c r="O10" s="172">
        <f>_xll.ciqfunctions.udf.CIQ($C10,"IQ_SHARESOUTSTANDING",$A$29)</f>
        <v>19.399999999999999</v>
      </c>
      <c r="P10" s="172">
        <f>_xll.ciqfunctions.udf.CIQ($C10,"IQ_SHARESOUTSTANDING",$A$28)</f>
        <v>28.15</v>
      </c>
      <c r="Q10" s="172">
        <f t="shared" si="7"/>
        <v>325.20066250000002</v>
      </c>
      <c r="R10" s="173">
        <f>_xll.ciqfunctions.udf.CIQAVG($C10,"IQ_VWAP",A$30,A$28,"USD")</f>
        <v>35.267049999999998</v>
      </c>
      <c r="S10" s="173">
        <f>_xll.ciqfunctions.udf.CIQ($C10,"IQ_SHARESOUTSTANDING",$A$30)</f>
        <v>17.399999999999999</v>
      </c>
      <c r="T10" s="172">
        <f t="shared" si="8"/>
        <v>379.12078749999995</v>
      </c>
      <c r="U10" s="126">
        <v>4.7000000000000002E-3</v>
      </c>
      <c r="V10" s="91">
        <f>_xll.ciqfunctions.udf.CIQ(C10,"IQ_CLOSEPRICE",$A$30)</f>
        <v>34.5</v>
      </c>
      <c r="W10" s="91">
        <f>_xll.ciqfunctions.udf.CIQ($C10,"IQ_CLOSEPRICE",$A$29)</f>
        <v>37.07</v>
      </c>
      <c r="X10" s="91">
        <f>_xll.ciqfunctions.udf.CIQ(C10,"IQ_CLOSEPRICE",$A$28)</f>
        <v>42.39</v>
      </c>
      <c r="Y10" s="153">
        <f t="shared" si="5"/>
        <v>0.13563971177124445</v>
      </c>
      <c r="Z10" s="153">
        <f t="shared" si="9"/>
        <v>0.22869565217391297</v>
      </c>
      <c r="AA10" s="153">
        <f t="shared" si="6"/>
        <v>0.14351227407607237</v>
      </c>
      <c r="AB10" s="89">
        <f>_xll.ciqfunctions.udf.CIQAVG(C10,"IQ_VOLUME","-30D",$A$28)</f>
        <v>0.49987999999999999</v>
      </c>
      <c r="AC10" s="89">
        <f t="shared" si="10"/>
        <v>499880</v>
      </c>
      <c r="AD10" s="127">
        <v>112</v>
      </c>
    </row>
    <row r="11" spans="1:30">
      <c r="A11" s="176" t="s">
        <v>79</v>
      </c>
      <c r="B11" s="175" t="s">
        <v>80</v>
      </c>
      <c r="C11" s="27" t="s">
        <v>81</v>
      </c>
      <c r="D11" s="88">
        <f>_xll.ciqfunctions.udf.CIQ(C11,"IQ_MARKETCAP",$A$28)</f>
        <v>505.42110000000002</v>
      </c>
      <c r="E11" s="172">
        <f>_xll.ciqfunctions.udf.CIQ(C11,"IQ_HOLDINGS_EQUITY_ASSETS",$A$28)</f>
        <v>537.14</v>
      </c>
      <c r="F11" s="173">
        <f>_xll.ciqfunctions.udf.CIQ(C11,"IQ_MARKETCAP",$A$29)</f>
        <v>443.64409000000001</v>
      </c>
      <c r="G11" s="89">
        <f>_xll.ciqfunctions.udf.CIQ(C11,"IQ_VOLUME",$A$28)</f>
        <v>7.8909999999999994E-2</v>
      </c>
      <c r="H11" s="174">
        <f>_xll.ciqfunctions.udf.CIQ(C11,"IQ_CLOSEPRICE",$A$27)</f>
        <v>49.96</v>
      </c>
      <c r="I11" s="89">
        <f>_xll.ciqfunctions.udf.CIQ(C11,"IQ_CLOSEPRICE",$A$28)</f>
        <v>49.07</v>
      </c>
      <c r="J11" s="153">
        <f t="shared" si="4"/>
        <v>-1.7814251401120907E-2</v>
      </c>
      <c r="K11" s="173">
        <f>_xll.ciqfunctions.udf.CIQ($C11,"IQ_VWAP",A$28)</f>
        <v>49.38</v>
      </c>
      <c r="L11" s="186">
        <f>_xll.ciqfunctions.udf.CIQ($C11,"IQ_SHARESOUTSTANDING",($A$27))</f>
        <v>10.3</v>
      </c>
      <c r="M11" s="172">
        <f t="shared" si="11"/>
        <v>0</v>
      </c>
      <c r="N11" s="172">
        <f>_xll.ciqfunctions.udf.CIQAVG($C11,"IQ_VWAP",A$29,A$28,"USD")</f>
        <v>45.172759999999997</v>
      </c>
      <c r="O11" s="172">
        <f>_xll.ciqfunctions.udf.CIQ($C11,"IQ_SHARESOUTSTANDING",$A$29)</f>
        <v>9.85</v>
      </c>
      <c r="P11" s="172">
        <f>_xll.ciqfunctions.udf.CIQ($C11,"IQ_SHARESOUTSTANDING",$A$28)</f>
        <v>10.3</v>
      </c>
      <c r="Q11" s="172">
        <f t="shared" si="7"/>
        <v>20.327742000000047</v>
      </c>
      <c r="R11" s="173">
        <f>_xll.ciqfunctions.udf.CIQAVG($C11,"IQ_VWAP",A$30,A$28,"USD")</f>
        <v>44.282350000000001</v>
      </c>
      <c r="S11" s="173">
        <f>_xll.ciqfunctions.udf.CIQ($C11,"IQ_SHARESOUTSTANDING",$A$30)</f>
        <v>10.8</v>
      </c>
      <c r="T11" s="172">
        <f t="shared" si="8"/>
        <v>-22.141175</v>
      </c>
      <c r="U11" s="126">
        <v>6.4999999999999997E-3</v>
      </c>
      <c r="V11" s="91">
        <f>_xll.ciqfunctions.udf.CIQ(C11,"IQ_CLOSEPRICE",$A$30)</f>
        <v>45.53</v>
      </c>
      <c r="W11" s="91">
        <f>_xll.ciqfunctions.udf.CIQ($C11,"IQ_CLOSEPRICE",$A$29)</f>
        <v>45.04</v>
      </c>
      <c r="X11" s="91">
        <f>_xll.ciqfunctions.udf.CIQ(C11,"IQ_CLOSEPRICE",$A$28)</f>
        <v>49.07</v>
      </c>
      <c r="Y11" s="153">
        <f t="shared" si="5"/>
        <v>4.7329365235711185E-2</v>
      </c>
      <c r="Z11" s="153">
        <f t="shared" si="9"/>
        <v>7.7750933450472237E-2</v>
      </c>
      <c r="AA11" s="153">
        <f t="shared" si="6"/>
        <v>8.9476021314387255E-2</v>
      </c>
      <c r="AB11" s="89">
        <f>_xll.ciqfunctions.udf.CIQAVG(C11,"IQ_VOLUME","-30D",$A$28)</f>
        <v>6.3240000000000005E-2</v>
      </c>
      <c r="AC11" s="89">
        <f t="shared" si="10"/>
        <v>63240.000000000007</v>
      </c>
      <c r="AD11" s="127">
        <v>110</v>
      </c>
    </row>
    <row r="12" spans="1:30">
      <c r="A12" s="175" t="s">
        <v>82</v>
      </c>
      <c r="B12" s="25" t="s">
        <v>83</v>
      </c>
      <c r="C12" s="25" t="s">
        <v>84</v>
      </c>
      <c r="D12" s="88">
        <f>_xll.ciqfunctions.udf.CIQ(C12,"IQ_MARKETCAP",$A$28)</f>
        <v>497.178</v>
      </c>
      <c r="E12" s="172">
        <f>_xll.ciqfunctions.udf.CIQ(C12,"IQ_HOLDINGS_EQUITY_ASSETS",$A$28)</f>
        <v>495.98</v>
      </c>
      <c r="F12" s="173">
        <f>_xll.ciqfunctions.udf.CIQ(C12,"IQ_MARKETCAP",$A$29)</f>
        <v>407.07</v>
      </c>
      <c r="G12" s="89">
        <f>_xll.ciqfunctions.udf.CIQ(C12,"IQ_VOLUME",$A$28)</f>
        <v>3.5920000000000001E-2</v>
      </c>
      <c r="H12" s="174">
        <f>_xll.ciqfunctions.udf.CIQ(C12,"IQ_CLOSEPRICE",$A$27)</f>
        <v>50.164999999999999</v>
      </c>
      <c r="I12" s="89">
        <f>_xll.ciqfunctions.udf.CIQ(C12,"IQ_CLOSEPRICE",$A$28)</f>
        <v>50.22</v>
      </c>
      <c r="J12" s="153">
        <f t="shared" si="4"/>
        <v>1.0963819395993165E-3</v>
      </c>
      <c r="K12" s="173">
        <f>_xll.ciqfunctions.udf.CIQ($C12,"IQ_VWAP",A$28)</f>
        <v>50.4</v>
      </c>
      <c r="L12" s="186">
        <f>_xll.ciqfunctions.udf.CIQ($C12,"IQ_SHARESOUTSTANDING",($A$27))</f>
        <v>9.9</v>
      </c>
      <c r="M12" s="172">
        <f t="shared" si="11"/>
        <v>0</v>
      </c>
      <c r="N12" s="172">
        <f>_xll.ciqfunctions.udf.CIQAVG($C12,"IQ_VWAP",A$29,A$28,"USD")</f>
        <v>45.388159999999999</v>
      </c>
      <c r="O12" s="172">
        <f>_xll.ciqfunctions.udf.CIQ($C12,"IQ_SHARESOUTSTANDING",$A$29)</f>
        <v>9</v>
      </c>
      <c r="P12" s="172">
        <f>_xll.ciqfunctions.udf.CIQ($C12,"IQ_SHARESOUTSTANDING",$A$28)</f>
        <v>9.9</v>
      </c>
      <c r="Q12" s="172">
        <f t="shared" si="7"/>
        <v>40.849344000000016</v>
      </c>
      <c r="R12" s="173">
        <f>_xll.ciqfunctions.udf.CIQAVG($C12,"IQ_VWAP",A$30,A$28,"USD")</f>
        <v>44.911749999999998</v>
      </c>
      <c r="S12" s="173">
        <f>_xll.ciqfunctions.udf.CIQ($C12,"IQ_SHARESOUTSTANDING",$A$30)</f>
        <v>4.76</v>
      </c>
      <c r="T12" s="172">
        <f t="shared" si="8"/>
        <v>230.846395</v>
      </c>
      <c r="U12" s="126">
        <v>6.0000000000000001E-3</v>
      </c>
      <c r="V12" s="91">
        <f>_xll.ciqfunctions.udf.CIQ(C12,"IQ_CLOSEPRICE",$A$30)</f>
        <v>38.61</v>
      </c>
      <c r="W12" s="91">
        <f>_xll.ciqfunctions.udf.CIQ($C12,"IQ_CLOSEPRICE",$A$29)</f>
        <v>45.23</v>
      </c>
      <c r="X12" s="91">
        <f>_xll.ciqfunctions.udf.CIQ(C12,"IQ_CLOSEPRICE",$A$28)</f>
        <v>50.22</v>
      </c>
      <c r="Y12" s="153">
        <f t="shared" si="5"/>
        <v>0.1762925555786341</v>
      </c>
      <c r="Z12" s="153">
        <f t="shared" si="9"/>
        <v>0.30069930069930062</v>
      </c>
      <c r="AA12" s="153">
        <f t="shared" si="6"/>
        <v>0.11032500552730484</v>
      </c>
      <c r="AB12" s="89">
        <f>_xll.ciqfunctions.udf.CIQAVG(C12,"IQ_VOLUME","-30D",$A$28)</f>
        <v>4.163E-2</v>
      </c>
      <c r="AC12" s="89">
        <f t="shared" si="10"/>
        <v>41630</v>
      </c>
      <c r="AD12" s="127">
        <v>102</v>
      </c>
    </row>
    <row r="13" spans="1:30">
      <c r="A13" s="25" t="s">
        <v>295</v>
      </c>
      <c r="B13" s="176" t="s">
        <v>85</v>
      </c>
      <c r="C13" s="26" t="s">
        <v>86</v>
      </c>
      <c r="D13" s="88">
        <f>_xll.ciqfunctions.udf.CIQ(C13,"IQ_MARKETCAP",$A$28)</f>
        <v>218.44</v>
      </c>
      <c r="E13" s="172">
        <f>_xll.ciqfunctions.udf.CIQ(C13,"IQ_HOLDINGS_EQUITY_ASSETS",$A$28)</f>
        <v>224.57</v>
      </c>
      <c r="F13" s="173">
        <f>_xll.ciqfunctions.udf.CIQ(C13,"IQ_MARKETCAP",$A$29)</f>
        <v>202.4</v>
      </c>
      <c r="G13" s="89">
        <f>_xll.ciqfunctions.udf.CIQ(C13,"IQ_VOLUME",$A$28)</f>
        <v>0.15048</v>
      </c>
      <c r="H13" s="174">
        <f>_xll.ciqfunctions.udf.CIQ(C13,"IQ_CLOSEPRICE",$A$27)</f>
        <v>25.53</v>
      </c>
      <c r="I13" s="89">
        <f>_xll.ciqfunctions.udf.CIQ(C13,"IQ_CLOSEPRICE",$A$28)</f>
        <v>25.4</v>
      </c>
      <c r="J13" s="153">
        <f t="shared" si="4"/>
        <v>-5.0920485703095401E-3</v>
      </c>
      <c r="K13" s="173">
        <f>_xll.ciqfunctions.udf.CIQ($C13,"IQ_VWAP",A$28)</f>
        <v>25.55</v>
      </c>
      <c r="L13" s="186">
        <f>_xll.ciqfunctions.udf.CIQ($C13,"IQ_SHARESOUTSTANDING",($A$27))</f>
        <v>8.6</v>
      </c>
      <c r="M13" s="172">
        <f t="shared" si="11"/>
        <v>0</v>
      </c>
      <c r="N13" s="172">
        <f>_xll.ciqfunctions.udf.CIQAVG($C13,"IQ_VWAP",A$29,A$28,"USD")</f>
        <v>22.183160000000001</v>
      </c>
      <c r="O13" s="172">
        <f>_xll.ciqfunctions.udf.CIQ($C13,"IQ_SHARESOUTSTANDING",$A$29)</f>
        <v>9.1999999999999993</v>
      </c>
      <c r="P13" s="172">
        <f>_xll.ciqfunctions.udf.CIQ($C13,"IQ_SHARESOUTSTANDING",$A$28)</f>
        <v>8.6</v>
      </c>
      <c r="Q13" s="172">
        <f t="shared" si="7"/>
        <v>-13.309895999999993</v>
      </c>
      <c r="R13" s="173">
        <f>_xll.ciqfunctions.udf.CIQAVG($C13,"IQ_VWAP",A$30,A$28,"USD")</f>
        <v>21.108000000000001</v>
      </c>
      <c r="S13" s="173">
        <f>_xll.ciqfunctions.udf.CIQ($C13,"IQ_SHARESOUTSTANDING",$A$30)</f>
        <v>9.5500000000000007</v>
      </c>
      <c r="T13" s="172">
        <f t="shared" si="8"/>
        <v>-20.052600000000023</v>
      </c>
      <c r="U13" s="126">
        <v>4.4999999999999997E-3</v>
      </c>
      <c r="V13" s="91">
        <f>_xll.ciqfunctions.udf.CIQ(C13,"IQ_CLOSEPRICE",$A$30)</f>
        <v>20.69</v>
      </c>
      <c r="W13" s="91">
        <f>_xll.ciqfunctions.udf.CIQ($C13,"IQ_CLOSEPRICE",$A$29)</f>
        <v>22</v>
      </c>
      <c r="X13" s="91">
        <f>_xll.ciqfunctions.udf.CIQ(C13,"IQ_CLOSEPRICE",$A$28)</f>
        <v>25.4</v>
      </c>
      <c r="Y13" s="153">
        <f t="shared" si="5"/>
        <v>0.13504056559772759</v>
      </c>
      <c r="Z13" s="153">
        <f t="shared" si="9"/>
        <v>0.22764620589656825</v>
      </c>
      <c r="AA13" s="153">
        <f t="shared" si="6"/>
        <v>0.15454545454545454</v>
      </c>
      <c r="AB13" s="89">
        <f>_xll.ciqfunctions.udf.CIQAVG(C13,"IQ_VOLUME","-30D",$A$28)</f>
        <v>9.5850000000000005E-2</v>
      </c>
      <c r="AC13" s="89">
        <f t="shared" si="10"/>
        <v>95850</v>
      </c>
      <c r="AD13" s="127">
        <v>81</v>
      </c>
    </row>
    <row r="14" spans="1:30">
      <c r="A14" s="25" t="s">
        <v>87</v>
      </c>
      <c r="B14" s="176" t="s">
        <v>88</v>
      </c>
      <c r="C14" s="25" t="s">
        <v>89</v>
      </c>
      <c r="D14" s="88">
        <f>_xll.ciqfunctions.udf.CIQ(C14,"IQ_MARKETCAP",$A$28)</f>
        <v>207.89224999999999</v>
      </c>
      <c r="E14" s="172">
        <f>_xll.ciqfunctions.udf.CIQ(C14,"IQ_HOLDINGS_EQUITY_ASSETS",$A$28)</f>
        <v>216.77</v>
      </c>
      <c r="F14" s="173">
        <f>_xll.ciqfunctions.udf.CIQ(C14,"IQ_MARKETCAP",$A$29)</f>
        <v>149.44999999999999</v>
      </c>
      <c r="G14" s="89">
        <f>_xll.ciqfunctions.udf.CIQ(C14,"IQ_VOLUME",$A$28)</f>
        <v>2.2509999999999999E-2</v>
      </c>
      <c r="H14" s="174">
        <f>_xll.ciqfunctions.udf.CIQ(C14,"IQ_CLOSEPRICE",$A$27)</f>
        <v>56.21</v>
      </c>
      <c r="I14" s="89">
        <f>_xll.ciqfunctions.udf.CIQ(C14,"IQ_CLOSEPRICE",$A$28)</f>
        <v>55.81</v>
      </c>
      <c r="J14" s="153">
        <f t="shared" si="4"/>
        <v>-7.1161714997331179E-3</v>
      </c>
      <c r="K14" s="173">
        <f>_xll.ciqfunctions.udf.CIQ($C14,"IQ_VWAP",A$28)</f>
        <v>56.16</v>
      </c>
      <c r="L14" s="186">
        <f>_xll.ciqfunctions.udf.CIQ($C14,"IQ_SHARESOUTSTANDING",($A$27))</f>
        <v>3.7250000000000001</v>
      </c>
      <c r="M14" s="172">
        <f t="shared" si="11"/>
        <v>0</v>
      </c>
      <c r="N14" s="172">
        <f>_xll.ciqfunctions.udf.CIQAVG($C14,"IQ_VWAP",A$29,A$28,"USD")</f>
        <v>50.37829</v>
      </c>
      <c r="O14" s="172">
        <f>_xll.ciqfunctions.udf.CIQ($C14,"IQ_SHARESOUTSTANDING",$A$29)</f>
        <v>3.05</v>
      </c>
      <c r="P14" s="172">
        <f>_xll.ciqfunctions.udf.CIQ($C14,"IQ_SHARESOUTSTANDING",$A$28)</f>
        <v>3.7250000000000001</v>
      </c>
      <c r="Q14" s="172">
        <f t="shared" si="7"/>
        <v>34.005345750000011</v>
      </c>
      <c r="R14" s="173">
        <f>_xll.ciqfunctions.udf.CIQAVG($C14,"IQ_VWAP",A$30,A$28,"USD")</f>
        <v>46.810589999999998</v>
      </c>
      <c r="S14" s="173">
        <f>_xll.ciqfunctions.udf.CIQ($C14,"IQ_SHARESOUTSTANDING",$A$30)</f>
        <v>3.1</v>
      </c>
      <c r="T14" s="172">
        <f t="shared" si="8"/>
        <v>29.256618749999998</v>
      </c>
      <c r="U14" s="126">
        <v>6.7999999999999996E-3</v>
      </c>
      <c r="V14" s="91">
        <f>_xll.ciqfunctions.udf.CIQ(C14,"IQ_CLOSEPRICE",$A$30)</f>
        <v>41.240499999999997</v>
      </c>
      <c r="W14" s="91">
        <f>_xll.ciqfunctions.udf.CIQ($C14,"IQ_CLOSEPRICE",$A$29)</f>
        <v>49</v>
      </c>
      <c r="X14" s="91">
        <f>_xll.ciqfunctions.udf.CIQ(C14,"IQ_CLOSEPRICE",$A$28)</f>
        <v>55.81</v>
      </c>
      <c r="Y14" s="153">
        <f t="shared" si="5"/>
        <v>0.20543815874013927</v>
      </c>
      <c r="Z14" s="153">
        <f t="shared" si="9"/>
        <v>0.35328136176816494</v>
      </c>
      <c r="AA14" s="153">
        <f t="shared" si="6"/>
        <v>0.13897959183673469</v>
      </c>
      <c r="AB14" s="89">
        <f>_xll.ciqfunctions.udf.CIQAVG(C14,"IQ_VOLUME","-30D",$A$28)</f>
        <v>3.1989999999999998E-2</v>
      </c>
      <c r="AC14" s="89">
        <f t="shared" si="10"/>
        <v>31989.999999999996</v>
      </c>
      <c r="AD14" s="127">
        <v>62</v>
      </c>
    </row>
    <row r="15" spans="1:30">
      <c r="A15" s="177" t="s">
        <v>90</v>
      </c>
      <c r="B15" s="176" t="s">
        <v>91</v>
      </c>
      <c r="C15" s="25" t="s">
        <v>92</v>
      </c>
      <c r="D15" s="88">
        <f>_xll.ciqfunctions.udf.CIQ(C15,"IQ_MARKETCAP",$A$28)</f>
        <v>181.77616</v>
      </c>
      <c r="E15" s="172">
        <f>_xll.ciqfunctions.udf.CIQ(C15,"IQ_HOLDINGS_EQUITY_ASSETS",$A$28)</f>
        <v>185.02</v>
      </c>
      <c r="F15" s="173">
        <f>_xll.ciqfunctions.udf.CIQ(C15,"IQ_MARKETCAP",$A$29)</f>
        <v>162.20238000000001</v>
      </c>
      <c r="G15" s="89">
        <f>_xll.ciqfunctions.udf.CIQ(C15,"IQ_VOLUME",$A$28)</f>
        <v>2.3400000000000001E-2</v>
      </c>
      <c r="H15" s="174">
        <f>_xll.ciqfunctions.udf.CIQ(C15,"IQ_CLOSEPRICE",$A$27)</f>
        <v>39.527099999999997</v>
      </c>
      <c r="I15" s="89">
        <f>_xll.ciqfunctions.udf.CIQ(C15,"IQ_CLOSEPRICE",$A$28)</f>
        <v>38.770899999999997</v>
      </c>
      <c r="J15" s="153">
        <f t="shared" si="4"/>
        <v>-1.9131178356115167E-2</v>
      </c>
      <c r="K15" s="173">
        <f>_xll.ciqfunctions.udf.CIQ($C15,"IQ_VWAP",A$28)</f>
        <v>39.15</v>
      </c>
      <c r="L15" s="186">
        <f>_xll.ciqfunctions.udf.CIQ($C15,"IQ_SHARESOUTSTANDING",($A$27))</f>
        <v>4.6884699999999997</v>
      </c>
      <c r="M15" s="172">
        <f t="shared" si="11"/>
        <v>0</v>
      </c>
      <c r="N15" s="172">
        <f>_xll.ciqfunctions.udf.CIQAVG($C15,"IQ_VWAP",A$29,A$28,"USD")</f>
        <v>35.621839999999999</v>
      </c>
      <c r="O15" s="172">
        <f>_xll.ciqfunctions.udf.CIQ($C15,"IQ_SHARESOUTSTANDING",$A$29)</f>
        <v>4.58847</v>
      </c>
      <c r="P15" s="172">
        <f>_xll.ciqfunctions.udf.CIQ($C15,"IQ_SHARESOUTSTANDING",$A$28)</f>
        <v>4.6884699999999997</v>
      </c>
      <c r="Q15" s="172">
        <f t="shared" si="7"/>
        <v>3.5621839999999874</v>
      </c>
      <c r="R15" s="173">
        <f>_xll.ciqfunctions.udf.CIQAVG($C15,"IQ_VWAP",A$30,A$28,"USD")</f>
        <v>33.599879999999999</v>
      </c>
      <c r="S15" s="173">
        <f>_xll.ciqfunctions.udf.CIQ($C15,"IQ_SHARESOUTSTANDING",$A$30)</f>
        <v>3.7884699999999998</v>
      </c>
      <c r="T15" s="172">
        <f t="shared" si="8"/>
        <v>30.239891999999998</v>
      </c>
      <c r="U15" s="126">
        <v>5.0000000000000001E-3</v>
      </c>
      <c r="V15" s="192">
        <f>_xll.ciqfunctions.udf.CIQ(C15,"IQ_CLOSEPRICE","2023/6/12")</f>
        <v>25.517099999999999</v>
      </c>
      <c r="W15" s="91">
        <f>_xll.ciqfunctions.udf.CIQ($C15,"IQ_CLOSEPRICE",$A$29)</f>
        <v>35.35</v>
      </c>
      <c r="X15" s="91">
        <f>_xll.ciqfunctions.udf.CIQ(C15,"IQ_CLOSEPRICE",$A$28)</f>
        <v>38.770899999999997</v>
      </c>
      <c r="Y15" s="196">
        <f>(X15/V15)^(365/($A$28-"2023/6/12"))-1</f>
        <v>0.21291993129789932</v>
      </c>
      <c r="Z15" s="197">
        <f t="shared" si="9"/>
        <v>0.51940855347982318</v>
      </c>
      <c r="AA15" s="153">
        <f t="shared" si="6"/>
        <v>9.6772277227722636E-2</v>
      </c>
      <c r="AB15" s="89">
        <f>_xll.ciqfunctions.udf.CIQAVG(C15,"IQ_VOLUME","-30D",$A$28)</f>
        <v>1.848E-2</v>
      </c>
      <c r="AC15" s="89">
        <f t="shared" si="10"/>
        <v>18480</v>
      </c>
      <c r="AD15" s="127">
        <v>47</v>
      </c>
    </row>
    <row r="16" spans="1:30">
      <c r="A16" s="178" t="s">
        <v>289</v>
      </c>
      <c r="B16" s="175" t="s">
        <v>94</v>
      </c>
      <c r="C16" s="26" t="s">
        <v>95</v>
      </c>
      <c r="D16" s="88">
        <f>_xll.ciqfunctions.udf.CIQ(C16,"IQ_MARKETCAP",$A$28)</f>
        <v>405.37175000000002</v>
      </c>
      <c r="E16" s="172">
        <f>_xll.ciqfunctions.udf.CIQ(C16,"IQ_HOLDINGS_EQUITY_ASSETS",$A$28)</f>
        <v>429.34</v>
      </c>
      <c r="F16" s="173">
        <f>_xll.ciqfunctions.udf.CIQ(C16,"IQ_MARKETCAP",$A$29)</f>
        <v>225.56450000000001</v>
      </c>
      <c r="G16" s="89">
        <f>_xll.ciqfunctions.udf.CIQ(C16,"IQ_VOLUME",$A$28)</f>
        <v>0.33478000000000002</v>
      </c>
      <c r="H16" s="174">
        <f>_xll.ciqfunctions.udf.CIQ(C16,"IQ_CLOSEPRICE",$A$27)</f>
        <v>53.8</v>
      </c>
      <c r="I16" s="89">
        <f>_xll.ciqfunctions.udf.CIQ(C16,"IQ_CLOSEPRICE",$A$28)</f>
        <v>53.87</v>
      </c>
      <c r="J16" s="153">
        <f t="shared" si="4"/>
        <v>1.301115241635693E-3</v>
      </c>
      <c r="K16" s="173">
        <f>_xll.ciqfunctions.udf.CIQ($C16,"IQ_VWAP",A$28)</f>
        <v>54.14</v>
      </c>
      <c r="L16" s="186">
        <f>_xll.ciqfunctions.udf.CIQ($C16,"IQ_SHARESOUTSTANDING",($A$27))</f>
        <v>7.5250000000000004</v>
      </c>
      <c r="M16" s="172">
        <f t="shared" si="11"/>
        <v>0</v>
      </c>
      <c r="N16" s="172">
        <f>_xll.ciqfunctions.udf.CIQAVG($C16,"IQ_VWAP",A$29,A$28,"USD")</f>
        <v>41.922960000000003</v>
      </c>
      <c r="O16" s="172">
        <f>_xll.ciqfunctions.udf.CIQ($C16,"IQ_SHARESOUTSTANDING",$A$29)</f>
        <v>5.5750000000000002</v>
      </c>
      <c r="P16" s="172">
        <f>_xll.ciqfunctions.udf.CIQ($C16,"IQ_SHARESOUTSTANDING",$A$28)</f>
        <v>7.5250000000000004</v>
      </c>
      <c r="Q16" s="172">
        <f t="shared" si="7"/>
        <v>81.749772000000007</v>
      </c>
      <c r="R16" s="173">
        <f>_xll.ciqfunctions.udf.CIQAVG($C16,"IQ_VWAP",A$30,A$28,"USD")</f>
        <v>38.27337</v>
      </c>
      <c r="S16" s="173">
        <f>_xll.ciqfunctions.udf.CIQ($C16,"IQ_SHARESOUTSTANDING",$A$30)</f>
        <v>2.0750000000000002</v>
      </c>
      <c r="T16" s="172">
        <f t="shared" si="8"/>
        <v>208.5898665</v>
      </c>
      <c r="U16" s="126">
        <v>7.4999999999999997E-3</v>
      </c>
      <c r="V16" s="192">
        <f>_xll.ciqfunctions.udf.CIQ(C16,"IQ_CLOSEPRICE","2023/5/18")</f>
        <v>25.907800000000002</v>
      </c>
      <c r="W16" s="91">
        <f>_xll.ciqfunctions.udf.CIQ($C16,"IQ_CLOSEPRICE",$A$29)</f>
        <v>40.46</v>
      </c>
      <c r="X16" s="91">
        <f>_xll.ciqfunctions.udf.CIQ(C16,"IQ_CLOSEPRICE",$A$28)</f>
        <v>53.87</v>
      </c>
      <c r="Y16" s="153">
        <f>(X16/V16)^(365/($A$28-"2023/5/18"))-1</f>
        <v>0.38741143697925984</v>
      </c>
      <c r="Z16" s="197">
        <f t="shared" si="9"/>
        <v>1.0792965824963909</v>
      </c>
      <c r="AA16" s="153">
        <f t="shared" si="6"/>
        <v>0.33143845773603542</v>
      </c>
      <c r="AB16" s="89">
        <f>_xll.ciqfunctions.udf.CIQAVG(C16,"IQ_VOLUME","-30D",$A$28)</f>
        <v>0.19814000000000001</v>
      </c>
      <c r="AC16" s="89">
        <f t="shared" si="10"/>
        <v>198140</v>
      </c>
      <c r="AD16" s="127">
        <v>47</v>
      </c>
    </row>
    <row r="17" spans="1:30">
      <c r="A17" s="176" t="s">
        <v>96</v>
      </c>
      <c r="B17" s="175" t="s">
        <v>97</v>
      </c>
      <c r="C17" s="27" t="s">
        <v>98</v>
      </c>
      <c r="D17" s="88">
        <f>_xll.ciqfunctions.udf.CIQ(C17,"IQ_MARKETCAP",$A$28)</f>
        <v>102.54982</v>
      </c>
      <c r="E17" s="172">
        <f>_xll.ciqfunctions.udf.CIQ(C17,"IQ_HOLDINGS_EQUITY_ASSETS",$A$28)</f>
        <v>103.08</v>
      </c>
      <c r="F17" s="173">
        <f>_xll.ciqfunctions.udf.CIQ(C17,"IQ_MARKETCAP",$A$29)</f>
        <v>66.678550000000001</v>
      </c>
      <c r="G17" s="89">
        <f>_xll.ciqfunctions.udf.CIQ(C17,"IQ_VOLUME",$A$28)</f>
        <v>8.09E-3</v>
      </c>
      <c r="H17" s="174">
        <f>_xll.ciqfunctions.udf.CIQ(C17,"IQ_CLOSEPRICE",$A$27)</f>
        <v>64.569999999999993</v>
      </c>
      <c r="I17" s="89">
        <f>_xll.ciqfunctions.udf.CIQ(C17,"IQ_CLOSEPRICE",$A$28)</f>
        <v>64.093599999999995</v>
      </c>
      <c r="J17" s="153">
        <f t="shared" si="4"/>
        <v>-7.3780393371534487E-3</v>
      </c>
      <c r="K17" s="173">
        <f>_xll.ciqfunctions.udf.CIQ($C17,"IQ_VWAP",A$28)</f>
        <v>64.73</v>
      </c>
      <c r="L17" s="173">
        <f>_xll.ciqfunctions.udf.CIQ($C17,"IQ_SHARESOUTSTANDING",($A$27))</f>
        <v>1.6</v>
      </c>
      <c r="M17" s="172">
        <f t="shared" si="11"/>
        <v>0</v>
      </c>
      <c r="N17" s="172">
        <f>_xll.ciqfunctions.udf.CIQAVG($C17,"IQ_VWAP",A$29,A$28,"USD")</f>
        <v>55.025129999999997</v>
      </c>
      <c r="O17" s="172">
        <f>_xll.ciqfunctions.udf.CIQ($C17,"IQ_SHARESOUTSTANDING",$A$29)</f>
        <v>1.25</v>
      </c>
      <c r="P17" s="172">
        <f>_xll.ciqfunctions.udf.CIQ($C17,"IQ_SHARESOUTSTANDING",$A$28)</f>
        <v>1.6</v>
      </c>
      <c r="Q17" s="172">
        <f t="shared" si="7"/>
        <v>19.258795500000005</v>
      </c>
      <c r="R17" s="173">
        <f>_xll.ciqfunctions.udf.CIQAVG($C17,"IQ_VWAP",A$30,A$28,"USD")</f>
        <v>50.278320000000001</v>
      </c>
      <c r="S17" s="173">
        <f>_xll.ciqfunctions.udf.CIQ($C17,"IQ_SHARESOUTSTANDING",$A$30)</f>
        <v>1.05</v>
      </c>
      <c r="T17" s="172">
        <f t="shared" si="8"/>
        <v>27.653076000000002</v>
      </c>
      <c r="U17" s="126">
        <v>7.0000000000000001E-3</v>
      </c>
      <c r="V17" s="91">
        <f>_xll.ciqfunctions.udf.CIQ(C17,"IQ_CLOSEPRICE",$A$30)</f>
        <v>43.796900000000001</v>
      </c>
      <c r="W17" s="91">
        <f>_xll.ciqfunctions.udf.CIQ($C17,"IQ_CLOSEPRICE",$A$29)</f>
        <v>53.342799999999997</v>
      </c>
      <c r="X17" s="91">
        <f>_xll.ciqfunctions.udf.CIQ(C17,"IQ_CLOSEPRICE",$A$28)</f>
        <v>64.093599999999995</v>
      </c>
      <c r="Y17" s="153">
        <f>(X17/V17)^(365/($A$28-$A$30))-1</f>
        <v>0.26512332671091121</v>
      </c>
      <c r="Z17" s="153">
        <f t="shared" si="9"/>
        <v>0.46342777685178627</v>
      </c>
      <c r="AA17" s="153">
        <f t="shared" si="6"/>
        <v>0.20154172634357392</v>
      </c>
      <c r="AB17" s="89">
        <f>_xll.ciqfunctions.udf.CIQAVG(C17,"IQ_VOLUME","-30D",$A$28)</f>
        <v>7.8600000000000007E-3</v>
      </c>
      <c r="AC17" s="89">
        <f t="shared" si="10"/>
        <v>7860.0000000000009</v>
      </c>
      <c r="AD17" s="127">
        <v>31</v>
      </c>
    </row>
    <row r="18" spans="1:30">
      <c r="A18" s="176" t="s">
        <v>99</v>
      </c>
      <c r="B18" s="176" t="s">
        <v>100</v>
      </c>
      <c r="C18" s="25" t="s">
        <v>101</v>
      </c>
      <c r="D18" s="88">
        <f>_xll.ciqfunctions.udf.CIQ(C18,"IQ_MARKETCAP",$A$28)</f>
        <v>32.424599999999998</v>
      </c>
      <c r="E18" s="172">
        <f>_xll.ciqfunctions.udf.CIQ(C18,"IQ_HOLDINGS_EQUITY_ASSETS",$A$28)</f>
        <v>32.659999999999997</v>
      </c>
      <c r="F18" s="173">
        <f>_xll.ciqfunctions.udf.CIQ(C18,"IQ_MARKETCAP",$A$29)</f>
        <v>33.911209999999997</v>
      </c>
      <c r="G18" s="89">
        <f>_xll.ciqfunctions.udf.CIQ(C18,"IQ_VOLUME",$A$28)</f>
        <v>9.8399999999999998E-3</v>
      </c>
      <c r="H18" s="174">
        <f>_xll.ciqfunctions.udf.CIQ(C18,"IQ_CLOSEPRICE",$A$27)</f>
        <v>41.682000000000002</v>
      </c>
      <c r="I18" s="89">
        <f>_xll.ciqfunctions.udf.CIQ(C18,"IQ_CLOSEPRICE",$A$28)</f>
        <v>41.57</v>
      </c>
      <c r="J18" s="153">
        <f t="shared" si="4"/>
        <v>-2.6870111798858471E-3</v>
      </c>
      <c r="K18" s="173">
        <f>_xll.ciqfunctions.udf.CIQ($C18,"IQ_VWAP",A$28)</f>
        <v>41.71</v>
      </c>
      <c r="L18" s="173">
        <f>_xll.ciqfunctions.udf.CIQ($C18,"IQ_SHARESOUTSTANDING",($A$27))</f>
        <v>0.78</v>
      </c>
      <c r="M18" s="172">
        <f t="shared" si="11"/>
        <v>0</v>
      </c>
      <c r="N18" s="172">
        <f>_xll.ciqfunctions.udf.CIQAVG($C18,"IQ_VWAP",A$29,A$28,"USD")</f>
        <v>40.23283</v>
      </c>
      <c r="O18" s="172">
        <f>_xll.ciqfunctions.udf.CIQ($C18,"IQ_SHARESOUTSTANDING",$A$29)</f>
        <v>0.87</v>
      </c>
      <c r="P18" s="172">
        <f>_xll.ciqfunctions.udf.CIQ($C18,"IQ_SHARESOUTSTANDING",$A$28)</f>
        <v>0.78</v>
      </c>
      <c r="Q18" s="172">
        <f t="shared" si="7"/>
        <v>-3.6209546999999986</v>
      </c>
      <c r="R18" s="173">
        <f>_xll.ciqfunctions.udf.CIQAVG($C18,"IQ_VWAP",A$30,A$28,"USD")</f>
        <v>39.158940000000001</v>
      </c>
      <c r="S18" s="173">
        <f>_xll.ciqfunctions.udf.CIQ($C18,"IQ_SHARESOUTSTANDING",$A$30)</f>
        <v>0.96</v>
      </c>
      <c r="T18" s="172">
        <f t="shared" si="8"/>
        <v>-7.0486091999999978</v>
      </c>
      <c r="U18" s="184">
        <v>6.7999999999999996E-3</v>
      </c>
      <c r="V18" s="91">
        <f>_xll.ciqfunctions.udf.CIQ(C18,"IQ_CLOSEPRICE",$A$30)</f>
        <v>38.210599999999999</v>
      </c>
      <c r="W18" s="91">
        <f>_xll.ciqfunctions.udf.CIQ($C18,"IQ_CLOSEPRICE",$A$29)</f>
        <v>38.978400000000001</v>
      </c>
      <c r="X18" s="91">
        <f>_xll.ciqfunctions.udf.CIQ(C18,"IQ_CLOSEPRICE",$A$28)</f>
        <v>41.57</v>
      </c>
      <c r="Y18" s="153">
        <f>(X18/V18)^(365/($A$28-$A$30))-1</f>
        <v>5.3420325794178991E-2</v>
      </c>
      <c r="Z18" s="153">
        <f t="shared" si="9"/>
        <v>8.7918012279315283E-2</v>
      </c>
      <c r="AA18" s="153">
        <f t="shared" si="6"/>
        <v>6.6488106233195898E-2</v>
      </c>
      <c r="AB18" s="89">
        <f>_xll.ciqfunctions.udf.CIQAVG(C18,"IQ_VOLUME","-30D",$A$28)</f>
        <v>4.81E-3</v>
      </c>
      <c r="AC18" s="89">
        <f t="shared" si="10"/>
        <v>4810</v>
      </c>
      <c r="AD18" s="127">
        <v>24</v>
      </c>
    </row>
    <row r="19" spans="1:30">
      <c r="A19" s="176" t="s">
        <v>102</v>
      </c>
      <c r="B19" s="176"/>
      <c r="C19" s="25" t="s">
        <v>103</v>
      </c>
      <c r="D19" s="88">
        <f>_xll.ciqfunctions.udf.CIQ(C19,"IQ_MARKETCAP",$A$28)</f>
        <v>23.79008</v>
      </c>
      <c r="E19" s="172">
        <f>_xll.ciqfunctions.udf.CIQ(C19,"IQ_HOLDINGS_EQUITY_ASSETS",$A$28)</f>
        <v>16.95</v>
      </c>
      <c r="F19" s="173">
        <f>_xll.ciqfunctions.udf.CIQ(C19,"IQ_MARKETCAP",$A$29)</f>
        <v>0.59631999999999996</v>
      </c>
      <c r="G19" s="89">
        <f>_xll.ciqfunctions.udf.CIQ(C19,"IQ_VOLUME",$A$28)</f>
        <v>6.216E-2</v>
      </c>
      <c r="H19" s="174">
        <f>_xll.ciqfunctions.udf.CIQ(C19,"IQ_CLOSEPRICE",$A$27)</f>
        <v>29.729199999999999</v>
      </c>
      <c r="I19" s="89">
        <f>_xll.ciqfunctions.udf.CIQ(C19,"IQ_CLOSEPRICE",$A$28)</f>
        <v>29.7376</v>
      </c>
      <c r="J19" s="153">
        <f t="shared" ref="J19" si="12">(I19-H19)/H19</f>
        <v>2.8255048908150035E-4</v>
      </c>
      <c r="K19" s="173">
        <f>_xll.ciqfunctions.udf.CIQ($C19,"IQ_VWAP",A$28)</f>
        <v>29.92</v>
      </c>
      <c r="L19" s="173">
        <f>_xll.ciqfunctions.udf.CIQ($C19,"IQ_SHARESOUTSTANDING",($A$27))</f>
        <v>0.8</v>
      </c>
      <c r="M19" s="172">
        <f t="shared" ref="M19" si="13">K19*(P19-L19)</f>
        <v>0</v>
      </c>
      <c r="N19" s="172">
        <f>_xll.ciqfunctions.udf.CIQAVG($C19,"IQ_VWAP",A$29,A$28,"USD")</f>
        <v>24.79974</v>
      </c>
      <c r="O19" s="172">
        <f>_xll.ciqfunctions.udf.CIQ($C19,"IQ_SHARESOUTSTANDING",$A$29)</f>
        <v>2.5000000000000001E-2</v>
      </c>
      <c r="P19" s="172">
        <f>_xll.ciqfunctions.udf.CIQ($C19,"IQ_SHARESOUTSTANDING",$A$28)</f>
        <v>0.8</v>
      </c>
      <c r="Q19" s="172">
        <f t="shared" ref="Q19" si="14">(P19-O19)*N19</f>
        <v>19.2197985</v>
      </c>
      <c r="R19" s="173">
        <f>_xll.ciqfunctions.udf.CIQAVG($C19,"IQ_VWAP",A$30,A$28,"USD")</f>
        <v>24.798950000000001</v>
      </c>
      <c r="S19" s="173">
        <f>_xll.ciqfunctions.udf.CIQ($C19,"IQ_SHARESOUTSTANDING",$A$30)</f>
        <v>0</v>
      </c>
      <c r="T19" s="172">
        <f t="shared" ref="T19" si="15">(P19-S19)*R19</f>
        <v>19.839160000000003</v>
      </c>
      <c r="U19" s="184">
        <v>7.4999999999999997E-3</v>
      </c>
      <c r="V19" s="91">
        <f>_xll.ciqfunctions.udf.CIQ(C19,"IQ_CLOSEPRICE",$A$30)</f>
        <v>0</v>
      </c>
      <c r="W19" s="91">
        <f>_xll.ciqfunctions.udf.CIQ($C19,"IQ_CLOSEPRICE",$A$29)</f>
        <v>23.852699999999999</v>
      </c>
      <c r="X19" s="91">
        <f>_xll.ciqfunctions.udf.CIQ(C19,"IQ_CLOSEPRICE",$A$28)</f>
        <v>29.7376</v>
      </c>
      <c r="Y19" s="153" t="e">
        <f>(X19/V19)^(365/($A$28-$A$30))-1</f>
        <v>#DIV/0!</v>
      </c>
      <c r="Z19" s="153" t="e">
        <f t="shared" ref="Z19" si="16">X19/V19-1</f>
        <v>#DIV/0!</v>
      </c>
      <c r="AA19" s="153">
        <f t="shared" ref="AA19" si="17">X19/W19-1</f>
        <v>0.24671840085189523</v>
      </c>
      <c r="AB19" s="89">
        <f>_xll.ciqfunctions.udf.CIQAVG(C19,"IQ_VOLUME","-30D",$A$28)</f>
        <v>3.7449999999999997E-2</v>
      </c>
      <c r="AC19" s="89">
        <f t="shared" ref="AC19" si="18">AB19*1000000</f>
        <v>37450</v>
      </c>
      <c r="AD19" s="127">
        <v>83</v>
      </c>
    </row>
    <row r="20" spans="1:30">
      <c r="A20" s="177" t="s">
        <v>104</v>
      </c>
      <c r="B20" s="176" t="s">
        <v>105</v>
      </c>
      <c r="C20" s="25" t="s">
        <v>106</v>
      </c>
      <c r="D20" s="88">
        <f>_xll.ciqfunctions.udf.CIQ(C20,"IQ_MARKETCAP",$A$28)</f>
        <v>33.508519999999997</v>
      </c>
      <c r="E20" s="172">
        <f>_xll.ciqfunctions.udf.CIQ(C20,"IQ_HOLDINGS_EQUITY_ASSETS",$A$28)</f>
        <v>31.83</v>
      </c>
      <c r="F20" s="173">
        <f>_xll.ciqfunctions.udf.CIQ(C20,"IQ_MARKETCAP",$A$29)</f>
        <v>20.719799999999999</v>
      </c>
      <c r="G20" s="89">
        <f>_xll.ciqfunctions.udf.CIQ(C20,"IQ_VOLUME",$A$28)</f>
        <v>1.5129999999999999E-2</v>
      </c>
      <c r="H20" s="174">
        <f>_xll.ciqfunctions.udf.CIQ(C20,"IQ_CLOSEPRICE",$A$27)</f>
        <v>38.94</v>
      </c>
      <c r="I20" s="89">
        <f>_xll.ciqfunctions.udf.CIQ(C20,"IQ_CLOSEPRICE",$A$28)</f>
        <v>38.9634</v>
      </c>
      <c r="J20" s="153">
        <f t="shared" si="4"/>
        <v>6.0092449922964327E-4</v>
      </c>
      <c r="K20" s="173">
        <f>_xll.ciqfunctions.udf.CIQ($C20,"IQ_VWAP",A$28)</f>
        <v>39.24</v>
      </c>
      <c r="L20" s="173">
        <f>_xll.ciqfunctions.udf.CIQ($C20,"IQ_SHARESOUTSTANDING",($A$27))</f>
        <v>0.86</v>
      </c>
      <c r="M20" s="172">
        <f t="shared" si="11"/>
        <v>0</v>
      </c>
      <c r="N20" s="172">
        <f>_xll.ciqfunctions.udf.CIQAVG($C20,"IQ_VWAP",A$29,A$28,"USD")</f>
        <v>34.621450000000003</v>
      </c>
      <c r="O20" s="172">
        <f>_xll.ciqfunctions.udf.CIQ($C20,"IQ_SHARESOUTSTANDING",$A$29)</f>
        <v>0.54</v>
      </c>
      <c r="P20" s="172">
        <f>_xll.ciqfunctions.udf.CIQ($C20,"IQ_SHARESOUTSTANDING",$A$28)</f>
        <v>0.86</v>
      </c>
      <c r="Q20" s="172">
        <f t="shared" si="7"/>
        <v>11.078863999999999</v>
      </c>
      <c r="R20" s="173">
        <f>_xll.ciqfunctions.udf.CIQAVG($C20,"IQ_VWAP",A$30,A$28,"USD")</f>
        <v>31.501010000000001</v>
      </c>
      <c r="S20" s="173">
        <f>_xll.ciqfunctions.udf.CIQ($C20,"IQ_SHARESOUTSTANDING",$A$30)</f>
        <v>0.06</v>
      </c>
      <c r="T20" s="172">
        <f t="shared" si="8"/>
        <v>25.200808000000002</v>
      </c>
      <c r="U20" s="126">
        <v>3.5000000000000001E-3</v>
      </c>
      <c r="V20" s="192">
        <f>_xll.ciqfunctions.udf.CIQ(C20,"IQ_CLOSEPRICE","2023/12/8")</f>
        <v>25.402899999999999</v>
      </c>
      <c r="W20" s="91">
        <f>_xll.ciqfunctions.udf.CIQ($C20,"IQ_CLOSEPRICE",$A$29)</f>
        <v>38.369999999999997</v>
      </c>
      <c r="X20" s="91">
        <f>_xll.ciqfunctions.udf.CIQ(C20,"IQ_CLOSEPRICE",$A$28)</f>
        <v>38.9634</v>
      </c>
      <c r="Y20" s="153">
        <f>(X20/V20)^(365/($A$28-"2023/12/8"))-1</f>
        <v>0.29061383300137189</v>
      </c>
      <c r="Z20" s="197">
        <f t="shared" si="9"/>
        <v>0.5338170051450819</v>
      </c>
      <c r="AA20" s="153">
        <f t="shared" si="6"/>
        <v>1.5465207193119612E-2</v>
      </c>
      <c r="AB20" s="89">
        <f>_xll.ciqfunctions.udf.CIQAVG(C20,"IQ_VOLUME","-30D",$A$28)</f>
        <v>1.1939999999999999E-2</v>
      </c>
      <c r="AC20" s="198">
        <f t="shared" si="10"/>
        <v>11940</v>
      </c>
      <c r="AD20" s="127">
        <v>41</v>
      </c>
    </row>
    <row r="21" spans="1:30">
      <c r="A21" s="178" t="s">
        <v>299</v>
      </c>
      <c r="B21" s="176" t="s">
        <v>108</v>
      </c>
      <c r="C21" s="25" t="s">
        <v>109</v>
      </c>
      <c r="D21" s="179">
        <v>3369.5079150000001</v>
      </c>
      <c r="E21" s="172">
        <f>_xll.ciqfunctions.udf.CIQ(C21,"IQ_HOLDINGS_EQUITY_ASSETS",$A$28)</f>
        <v>3291.32</v>
      </c>
      <c r="F21" s="180">
        <v>3540.3424654400001</v>
      </c>
      <c r="G21" s="89">
        <f>_xll.ciqfunctions.udf.CIQ(C21,"IQ_VOLUME",$A$28)</f>
        <v>5.8889999999999998E-2</v>
      </c>
      <c r="H21" s="174">
        <f>_xll.ciqfunctions.udf.CIQ(C21,"IQ_CLOSEPRICE",$A$27)</f>
        <v>15.164999999999999</v>
      </c>
      <c r="I21" s="89">
        <f>_xll.ciqfunctions.udf.CIQ(C21,"IQ_CLOSEPRICE",$A$28)</f>
        <v>15.07</v>
      </c>
      <c r="J21" s="153">
        <f t="shared" ref="J21:J26" si="19">(I21-H21)/H21</f>
        <v>-6.2644246620507001E-3</v>
      </c>
      <c r="K21" s="173">
        <f>_xll.ciqfunctions.udf.CIQ($C21,"IQ_VWAP",A$28)</f>
        <v>15.143219999999999</v>
      </c>
      <c r="L21" s="174">
        <v>240.87632400000001</v>
      </c>
      <c r="M21" s="172">
        <f t="shared" si="11"/>
        <v>0</v>
      </c>
      <c r="N21" s="172">
        <f>_xll.ciqfunctions.udf.CIQAVG($C21,"IQ_VWAP",A$29,A$28,"USD")</f>
        <v>14.13467</v>
      </c>
      <c r="O21" s="188">
        <v>276.96149000000003</v>
      </c>
      <c r="P21" s="174">
        <v>240.87632400000001</v>
      </c>
      <c r="Q21" s="172">
        <f t="shared" si="7"/>
        <v>-510.05191330522018</v>
      </c>
      <c r="R21" s="173">
        <f>_xll.ciqfunctions.udf.CIQAVG($C21,"IQ_VWAP",A$30,A$28,"USD")</f>
        <v>13.610480000000001</v>
      </c>
      <c r="S21" s="189">
        <v>266.68502599999999</v>
      </c>
      <c r="T21" s="172">
        <f t="shared" si="8"/>
        <v>-351.26882239695976</v>
      </c>
      <c r="U21" s="126">
        <v>4.0000000000000001E-3</v>
      </c>
      <c r="V21" s="91">
        <f>_xll.ciqfunctions.udf.CIQ(C21,"IQ_CLOSEPRICE",$A$30)</f>
        <v>13.15</v>
      </c>
      <c r="W21" s="91">
        <f>_xll.ciqfunctions.udf.CIQ($C21,"IQ_CLOSEPRICE",$A$29)</f>
        <v>13.875</v>
      </c>
      <c r="X21" s="91">
        <f>_xll.ciqfunctions.udf.CIQ(C21,"IQ_CLOSEPRICE",$A$28)</f>
        <v>15.07</v>
      </c>
      <c r="Y21" s="153">
        <f t="shared" ref="Y21:Y26" si="20">(X21/V21)^(365/($A$28-$A$30))-1</f>
        <v>8.7812486181247706E-2</v>
      </c>
      <c r="Z21" s="153">
        <f t="shared" si="9"/>
        <v>0.14600760456273765</v>
      </c>
      <c r="AA21" s="153">
        <f t="shared" si="6"/>
        <v>8.6126126126126135E-2</v>
      </c>
      <c r="AB21" s="89">
        <f>_xll.ciqfunctions.udf.CIQAVG(C21,"IQ_VOLUME","-30D",$A$28)</f>
        <v>0.15140999999999999</v>
      </c>
      <c r="AC21" s="88">
        <f t="shared" si="10"/>
        <v>151410</v>
      </c>
      <c r="AD21" s="127">
        <v>154</v>
      </c>
    </row>
    <row r="22" spans="1:30">
      <c r="A22" s="177" t="s">
        <v>110</v>
      </c>
      <c r="B22" s="176" t="s">
        <v>111</v>
      </c>
      <c r="C22" s="25" t="s">
        <v>112</v>
      </c>
      <c r="D22" s="88">
        <f>_xll.ciqfunctions.udf.CIQ(C22,"IQ_MARKETCAP",$A$28)</f>
        <v>5044.2630900000004</v>
      </c>
      <c r="E22" s="172">
        <f>_xll.ciqfunctions.udf.CIQ(C22,"IQ_HOLDINGS_EQUITY_ASSETS",$A$28)</f>
        <v>4921.26</v>
      </c>
      <c r="F22" s="173">
        <f>_xll.ciqfunctions.udf.CIQ(C22,"IQ_MARKETCAP",$A$29)</f>
        <v>4108.5170600000001</v>
      </c>
      <c r="G22" s="89">
        <f>_xll.ciqfunctions.udf.CIQ(C22,"IQ_VOLUME",$A$28)</f>
        <v>6.3149999999999998E-2</v>
      </c>
      <c r="H22" s="174">
        <f>_xll.ciqfunctions.udf.CIQ(C22,"IQ_CLOSEPRICE",$A$27)</f>
        <v>140.28</v>
      </c>
      <c r="I22" s="89">
        <f>_xll.ciqfunctions.udf.CIQ(C22,"IQ_CLOSEPRICE",$A$28)</f>
        <v>141.26</v>
      </c>
      <c r="J22" s="153">
        <f t="shared" si="19"/>
        <v>6.9860279441117034E-3</v>
      </c>
      <c r="K22" s="189">
        <f>_xll.ciqfunctions.udf.CIQ(C22,"IQ_CLOSEPRICE",$A$28)</f>
        <v>141.26</v>
      </c>
      <c r="L22" s="173">
        <f>_xll.ciqfunctions.udf.CIQ($C22,"IQ_SHARESOUTSTANDING",($A$27))</f>
        <v>35.625770000000003</v>
      </c>
      <c r="M22" s="172">
        <f t="shared" si="11"/>
        <v>11.766957999999173</v>
      </c>
      <c r="N22" s="188">
        <f>_xll.ciqfunctions.udf.CIQAVG($C22,"IQ_VWAP","2023/6/30",A$28,"USD")</f>
        <v>94.16234</v>
      </c>
      <c r="O22" s="172">
        <f>_xll.ciqfunctions.udf.CIQ($C22,"IQ_SHARESOUTSTANDING",$A$29)</f>
        <v>30.43797</v>
      </c>
      <c r="P22" s="172">
        <f>_xll.ciqfunctions.udf.CIQ($C22,"IQ_SHARESOUTSTANDING",$A$28)</f>
        <v>35.709069999999997</v>
      </c>
      <c r="Q22" s="172">
        <f t="shared" si="7"/>
        <v>496.33911037399974</v>
      </c>
      <c r="R22" s="173">
        <f>_xll.ciqfunctions.udf.CIQAVG($C22,"IQ_VWAP",A$30,A$28,"USD")</f>
        <v>0</v>
      </c>
      <c r="S22" s="173">
        <f>_xll.ciqfunctions.udf.CIQ($C22,"IQ_SHARESOUTSTANDING",$A$30)</f>
        <v>15.80597</v>
      </c>
      <c r="T22" s="172">
        <f t="shared" si="8"/>
        <v>0</v>
      </c>
      <c r="U22" s="126">
        <v>3.5000000000000001E-3</v>
      </c>
      <c r="V22" s="91">
        <f>_xll.ciqfunctions.udf.CIQ(C22,"IQ_CLOSEPRICE",$A$30)</f>
        <v>100.26</v>
      </c>
      <c r="W22" s="91">
        <f>_xll.ciqfunctions.udf.CIQ($C22,"IQ_CLOSEPRICE","2024/12/30")</f>
        <v>134.97999999999999</v>
      </c>
      <c r="X22" s="91">
        <f>_xll.ciqfunctions.udf.CIQ(C22,"IQ_CLOSEPRICE",$A$28)</f>
        <v>141.26</v>
      </c>
      <c r="Y22" s="153">
        <f t="shared" si="20"/>
        <v>0.23581934251038583</v>
      </c>
      <c r="Z22" s="153">
        <f t="shared" si="9"/>
        <v>0.40893676441252724</v>
      </c>
      <c r="AA22" s="153">
        <f t="shared" si="6"/>
        <v>4.6525411172025466E-2</v>
      </c>
      <c r="AB22" s="89">
        <f>_xll.ciqfunctions.udf.CIQAVG(C22,"IQ_VOLUME","-30D",$A$28)</f>
        <v>6.9739999999999996E-2</v>
      </c>
      <c r="AC22" s="198">
        <f t="shared" si="10"/>
        <v>69740</v>
      </c>
      <c r="AD22" s="127">
        <v>98</v>
      </c>
    </row>
    <row r="23" spans="1:30">
      <c r="A23" s="176" t="s">
        <v>113</v>
      </c>
      <c r="B23" s="176" t="s">
        <v>114</v>
      </c>
      <c r="C23" s="25" t="s">
        <v>115</v>
      </c>
      <c r="D23" s="88">
        <f>_xll.ciqfunctions.udf.CIQ(C23,"IQ_MARKETCAP",$A$28)</f>
        <v>787.35134000000005</v>
      </c>
      <c r="E23" s="172">
        <f>_xll.ciqfunctions.udf.CIQ(C23,"IQ_HOLDINGS_EQUITY_ASSETS",$A$28)</f>
        <v>919.23</v>
      </c>
      <c r="F23" s="173">
        <f>_xll.ciqfunctions.udf.CIQ(C23,"IQ_MARKETCAP",$A$29)</f>
        <v>769.37172999999996</v>
      </c>
      <c r="G23" s="89">
        <f>_xll.ciqfunctions.udf.CIQ(C23,"IQ_VOLUME",$A$28)</f>
        <v>8.9499999999999996E-3</v>
      </c>
      <c r="H23" s="174">
        <f>_xll.ciqfunctions.udf.CIQ(C23,"IQ_CLOSEPRICE",$A$27)</f>
        <v>65.44</v>
      </c>
      <c r="I23" s="89">
        <f>_xll.ciqfunctions.udf.CIQ(C23,"IQ_CLOSEPRICE",$A$28)</f>
        <v>65.56</v>
      </c>
      <c r="J23" s="153">
        <f t="shared" si="19"/>
        <v>1.8337408312959131E-3</v>
      </c>
      <c r="K23" s="173">
        <f>_xll.ciqfunctions.udf.CIQ($C23,"IQ_VWAP",A$28)</f>
        <v>65.377899999999997</v>
      </c>
      <c r="L23" s="173">
        <f>_xll.ciqfunctions.udf.CIQ($C23,"IQ_SHARESOUTSTANDING",($A$27))</f>
        <v>11.98963</v>
      </c>
      <c r="M23" s="172">
        <f t="shared" si="11"/>
        <v>1.307557999999972</v>
      </c>
      <c r="N23" s="172">
        <f>_xll.ciqfunctions.udf.CIQAVG($C23,"IQ_VWAP",A$29,A$28,"USD")</f>
        <v>67.016220000000004</v>
      </c>
      <c r="O23" s="172">
        <f>_xll.ciqfunctions.udf.CIQ($C23,"IQ_SHARESOUTSTANDING",$A$29)</f>
        <v>11.462630000000001</v>
      </c>
      <c r="P23" s="172">
        <f>_xll.ciqfunctions.udf.CIQ($C23,"IQ_SHARESOUTSTANDING",$A$28)</f>
        <v>12.00963</v>
      </c>
      <c r="Q23" s="172">
        <f t="shared" si="7"/>
        <v>36.657872339999926</v>
      </c>
      <c r="R23" s="173">
        <f>_xll.ciqfunctions.udf.CIQAVG($C23,"IQ_VWAP",A$30,A$28,"USD")</f>
        <v>64.750060000000005</v>
      </c>
      <c r="S23" s="173">
        <f>_xll.ciqfunctions.udf.CIQ($C23,"IQ_SHARESOUTSTANDING",$A$30)</f>
        <v>11.798629999999999</v>
      </c>
      <c r="T23" s="172">
        <f t="shared" si="8"/>
        <v>13.662262660000021</v>
      </c>
      <c r="U23" s="126">
        <v>4.0000000000000001E-3</v>
      </c>
      <c r="V23" s="91">
        <f>_xll.ciqfunctions.udf.CIQ(C23,"IQ_CLOSEPRICE",$A$30)</f>
        <v>55.94</v>
      </c>
      <c r="W23" s="91">
        <f>_xll.ciqfunctions.udf.CIQ($C23,"IQ_CLOSEPRICE","2024/12/30")</f>
        <v>67.12</v>
      </c>
      <c r="X23" s="91">
        <f>_xll.ciqfunctions.udf.CIQ(C23,"IQ_CLOSEPRICE",$A$28)</f>
        <v>65.56</v>
      </c>
      <c r="Y23" s="153">
        <f t="shared" si="20"/>
        <v>0.10296729051943365</v>
      </c>
      <c r="Z23" s="153">
        <f t="shared" si="9"/>
        <v>0.17196996782266716</v>
      </c>
      <c r="AA23" s="153">
        <f t="shared" si="6"/>
        <v>-2.3241954707985735E-2</v>
      </c>
      <c r="AB23" s="89">
        <f>_xll.ciqfunctions.udf.CIQAVG(C23,"IQ_VOLUME","-30D",$A$28)</f>
        <v>1.341E-2</v>
      </c>
      <c r="AC23" s="89">
        <f t="shared" si="10"/>
        <v>13410</v>
      </c>
      <c r="AD23" s="127">
        <v>67</v>
      </c>
    </row>
    <row r="24" spans="1:30">
      <c r="A24" s="176" t="s">
        <v>116</v>
      </c>
      <c r="B24" s="176" t="s">
        <v>117</v>
      </c>
      <c r="C24" s="25" t="s">
        <v>118</v>
      </c>
      <c r="D24" s="88">
        <f>_xll.ciqfunctions.udf.CIQ(C24,"IQ_MARKETCAP",$A$28)</f>
        <v>773.14138000000003</v>
      </c>
      <c r="E24" s="172">
        <f>_xll.ciqfunctions.udf.CIQ(C24,"IQ_HOLDINGS_EQUITY_ASSETS",$A$28)</f>
        <v>810.43</v>
      </c>
      <c r="F24" s="173">
        <f>_xll.ciqfunctions.udf.CIQ(C24,"IQ_MARKETCAP",$A$29)</f>
        <v>598.08190000000002</v>
      </c>
      <c r="G24" s="89">
        <f>_xll.ciqfunctions.udf.CIQ(C24,"IQ_VOLUME",$A$28)</f>
        <v>3.73E-2</v>
      </c>
      <c r="H24" s="174">
        <f>_xll.ciqfunctions.udf.CIQ(C24,"IQ_CLOSEPRICE",$A$27)</f>
        <v>18.350000000000001</v>
      </c>
      <c r="I24" s="89">
        <f>_xll.ciqfunctions.udf.CIQ(C24,"IQ_CLOSEPRICE",$A$28)</f>
        <v>18.507999999999999</v>
      </c>
      <c r="J24" s="153">
        <f t="shared" si="19"/>
        <v>8.6103542234331164E-3</v>
      </c>
      <c r="K24" s="173">
        <f>_xll.ciqfunctions.udf.CIQ($C24,"IQ_VWAP",A$28)</f>
        <v>18.469989999999999</v>
      </c>
      <c r="L24" s="173">
        <f>_xll.ciqfunctions.udf.CIQ($C24,"IQ_SHARESOUTSTANDING",($A$27))</f>
        <v>41.773359999999997</v>
      </c>
      <c r="M24" s="172">
        <f t="shared" si="11"/>
        <v>0</v>
      </c>
      <c r="N24" s="172">
        <f>_xll.ciqfunctions.udf.CIQAVG($C24,"IQ_VWAP",A$29,A$28,"USD")</f>
        <v>22.26454</v>
      </c>
      <c r="O24" s="172">
        <f>_xll.ciqfunctions.udf.CIQ($C24,"IQ_SHARESOUTSTANDING",$A$29)</f>
        <v>34.511360000000003</v>
      </c>
      <c r="P24" s="172">
        <f>_xll.ciqfunctions.udf.CIQ($C24,"IQ_SHARESOUTSTANDING",$A$28)</f>
        <v>41.773359999999997</v>
      </c>
      <c r="Q24" s="172">
        <f t="shared" si="7"/>
        <v>161.68508947999985</v>
      </c>
      <c r="R24" s="173">
        <f>_xll.ciqfunctions.udf.CIQAVG($C24,"IQ_VWAP",A$30,A$28,"USD")</f>
        <v>20.649979999999999</v>
      </c>
      <c r="S24" s="173">
        <f>_xll.ciqfunctions.udf.CIQ($C24,"IQ_SHARESOUTSTANDING",$A$30)</f>
        <v>29.866530000000001</v>
      </c>
      <c r="T24" s="172">
        <f t="shared" si="8"/>
        <v>245.87580136339992</v>
      </c>
      <c r="U24" s="126">
        <v>4.8999999999999998E-3</v>
      </c>
      <c r="V24" s="91">
        <f>_xll.ciqfunctions.udf.CIQ(C24,"IQ_CLOSEPRICE",$A$30)</f>
        <v>14.372999999999999</v>
      </c>
      <c r="W24" s="91">
        <f>_xll.ciqfunctions.udf.CIQ($C24,"IQ_CLOSEPRICE",$A$29)</f>
        <v>17.329999999999998</v>
      </c>
      <c r="X24" s="168">
        <f>_xll.ciqfunctions.udf.CIQ(C24,"IQ_CLOSEPRICE",$A$28)</f>
        <v>18.507999999999999</v>
      </c>
      <c r="Y24" s="153">
        <f t="shared" si="20"/>
        <v>0.1690137898942532</v>
      </c>
      <c r="Z24" s="153">
        <f t="shared" si="9"/>
        <v>0.28769220065400414</v>
      </c>
      <c r="AA24" s="153">
        <f t="shared" si="6"/>
        <v>6.7974610502019583E-2</v>
      </c>
      <c r="AB24" s="89">
        <f>_xll.ciqfunctions.udf.CIQAVG(C24,"IQ_VOLUME","-30D",$A$28)</f>
        <v>6.318E-2</v>
      </c>
      <c r="AC24" s="89">
        <f t="shared" si="10"/>
        <v>63180</v>
      </c>
      <c r="AD24" s="127">
        <v>61</v>
      </c>
    </row>
    <row r="25" spans="1:30">
      <c r="A25" s="176" t="s">
        <v>119</v>
      </c>
      <c r="B25" s="176" t="s">
        <v>120</v>
      </c>
      <c r="C25" s="25" t="s">
        <v>121</v>
      </c>
      <c r="D25" s="88">
        <f>_xll.ciqfunctions.udf.CIQ(C25,"IQ_MARKETCAP",$A$28)</f>
        <v>301.81130000000002</v>
      </c>
      <c r="E25" s="172">
        <f>_xll.ciqfunctions.udf.CIQ(C25,"IQ_HOLDINGS_EQUITY_ASSETS",$A$28)</f>
        <v>195.2</v>
      </c>
      <c r="F25" s="173">
        <f>_xll.ciqfunctions.udf.CIQ(C25,"IQ_MARKETCAP",$A$29)</f>
        <v>287.83999999999997</v>
      </c>
      <c r="G25" s="89">
        <f>_xll.ciqfunctions.udf.CIQ(C25,"IQ_VOLUME",$A$28)</f>
        <v>5.2789999999999997E-2</v>
      </c>
      <c r="H25" s="174">
        <f>_xll.ciqfunctions.udf.CIQ(C25,"IQ_CLOSEPRICE",$A$27)</f>
        <v>14.55</v>
      </c>
      <c r="I25" s="89">
        <f>_xll.ciqfunctions.udf.CIQ(C25,"IQ_CLOSEPRICE",$A$28)</f>
        <v>14.53</v>
      </c>
      <c r="J25" s="153">
        <f t="shared" si="19"/>
        <v>-1.3745704467354879E-3</v>
      </c>
      <c r="K25" s="173">
        <f>_xll.ciqfunctions.udf.CIQ($C25,"IQ_VWAP",A$28)</f>
        <v>14.5844</v>
      </c>
      <c r="L25" s="173">
        <f>_xll.ciqfunctions.udf.CIQ($C25,"IQ_SHARESOUTSTANDING",($A$27))</f>
        <v>20.771599999999999</v>
      </c>
      <c r="M25" s="172">
        <f t="shared" si="11"/>
        <v>0</v>
      </c>
      <c r="N25" s="172">
        <f>_xll.ciqfunctions.udf.CIQAVG($C25,"IQ_VWAP",A$29,A$28,"USD")</f>
        <v>9.0226000000000006</v>
      </c>
      <c r="O25" s="172">
        <f>_xll.ciqfunctions.udf.CIQ($C25,"IQ_SHARESOUTSTANDING",$A$29)</f>
        <v>19.266400000000001</v>
      </c>
      <c r="P25" s="172">
        <f>_xll.ciqfunctions.udf.CIQ($C25,"IQ_SHARESOUTSTANDING",$A$28)</f>
        <v>20.771599999999999</v>
      </c>
      <c r="Q25" s="172">
        <f t="shared" si="7"/>
        <v>13.580817519999988</v>
      </c>
      <c r="R25" s="173">
        <f>_xll.ciqfunctions.udf.CIQAVG($C25,"IQ_VWAP",A$30,A$28,"USD")</f>
        <v>9.11022</v>
      </c>
      <c r="S25" s="173">
        <f>_xll.ciqfunctions.udf.CIQ($C25,"IQ_SHARESOUTSTANDING",$A$30)</f>
        <v>16.741669999999999</v>
      </c>
      <c r="T25" s="172">
        <f t="shared" si="8"/>
        <v>36.713548884600002</v>
      </c>
      <c r="U25" s="126">
        <v>5.7000000000000002E-3</v>
      </c>
      <c r="V25" s="91">
        <f>_xll.ciqfunctions.udf.CIQ(C25,"IQ_CLOSEPRICE",$A$30)</f>
        <v>12.65</v>
      </c>
      <c r="W25" s="91">
        <f>_xll.ciqfunctions.udf.CIQ($C25,"IQ_CLOSEPRICE",$A$29)</f>
        <v>14.94</v>
      </c>
      <c r="X25" s="91">
        <f>_xll.ciqfunctions.udf.CIQ(C25,"IQ_CLOSEPRICE",$A$28)</f>
        <v>14.53</v>
      </c>
      <c r="Y25" s="153">
        <f t="shared" si="20"/>
        <v>8.9341306649078689E-2</v>
      </c>
      <c r="Z25" s="153">
        <f t="shared" si="9"/>
        <v>0.14861660079051364</v>
      </c>
      <c r="AA25" s="153">
        <f t="shared" si="6"/>
        <v>-2.7443105756358777E-2</v>
      </c>
      <c r="AB25" s="89">
        <f>_xll.ciqfunctions.udf.CIQAVG(C25,"IQ_VOLUME","-30D",$A$28)</f>
        <v>5.2179999999999997E-2</v>
      </c>
      <c r="AC25" s="89">
        <f t="shared" si="10"/>
        <v>52180</v>
      </c>
      <c r="AD25" s="127">
        <v>42</v>
      </c>
    </row>
    <row r="26" spans="1:30">
      <c r="A26" s="177" t="s">
        <v>122</v>
      </c>
      <c r="B26" s="175" t="s">
        <v>123</v>
      </c>
      <c r="C26" s="27" t="s">
        <v>124</v>
      </c>
      <c r="D26" s="88">
        <f>_xll.ciqfunctions.udf.CIQ(C26,"IQ_MARKETCAP",$A$28)</f>
        <v>77.358260000000001</v>
      </c>
      <c r="E26" s="172">
        <f>_xll.ciqfunctions.udf.CIQ(C26,"IQ_HOLDINGS_EQUITY_ASSETS",$A$28)</f>
        <v>106.27</v>
      </c>
      <c r="F26" s="173">
        <f>_xll.ciqfunctions.udf.CIQ(C26,"IQ_MARKETCAP",$A$29)</f>
        <v>61.29</v>
      </c>
      <c r="G26" s="171">
        <f>_xll.ciqfunctions.udf.CIQ(C26,"IQ_VOLUME",$A$28)</f>
        <v>0</v>
      </c>
      <c r="H26" s="174">
        <f>_xll.ciqfunctions.udf.CIQ(C26,"IQ_CLOSEPRICE",$A$27)</f>
        <v>18.998000000000001</v>
      </c>
      <c r="I26" s="89">
        <v>20.43</v>
      </c>
      <c r="J26" s="153">
        <f t="shared" si="19"/>
        <v>7.537635540583211E-2</v>
      </c>
      <c r="K26" s="189">
        <f>_xll.ciqfunctions.udf.CIQ(C26,"IQ_CLOSEPRICE",$A$28)</f>
        <v>18.914000000000001</v>
      </c>
      <c r="L26" s="173">
        <f>_xll.ciqfunctions.udf.CIQ($C26,"IQ_SHARESOUTSTANDING",($A$27))</f>
        <v>4.09</v>
      </c>
      <c r="M26" s="172">
        <f t="shared" si="11"/>
        <v>0</v>
      </c>
      <c r="N26" s="188">
        <f>_xll.ciqfunctions.udf.CIQAVG($C26,"IQ_VWAP","2023/6/30",A$28,"USD")</f>
        <v>18.61572</v>
      </c>
      <c r="O26" s="172">
        <f>_xll.ciqfunctions.udf.CIQ($C26,"IQ_SHARESOUTSTANDING",$A$29)</f>
        <v>3</v>
      </c>
      <c r="P26" s="172">
        <f>_xll.ciqfunctions.udf.CIQ($C26,"IQ_SHARESOUTSTANDING",$A$28)</f>
        <v>4.09</v>
      </c>
      <c r="Q26" s="172">
        <f t="shared" si="7"/>
        <v>20.291134799999998</v>
      </c>
      <c r="R26" s="173">
        <f>_xll.ciqfunctions.udf.CIQAVG($C26,"IQ_VWAP",A$30,A$28,"USD")</f>
        <v>0</v>
      </c>
      <c r="S26" s="173">
        <f>_xll.ciqfunctions.udf.CIQ($C26,"IQ_SHARESOUTSTANDING",$A$30)</f>
        <v>1.87</v>
      </c>
      <c r="T26" s="172">
        <f t="shared" si="8"/>
        <v>0</v>
      </c>
      <c r="U26" s="126">
        <v>5.0000000000000001E-3</v>
      </c>
      <c r="V26" s="91">
        <f>_xll.ciqfunctions.udf.CIQ(C26,"IQ_CLOSEPRICE",$A$30)</f>
        <v>17.02</v>
      </c>
      <c r="W26" s="91">
        <f>_xll.ciqfunctions.udf.CIQ($C26,"IQ_CLOSEPRICE","2024/12/30")</f>
        <v>20.43</v>
      </c>
      <c r="X26" s="91">
        <f>_xll.ciqfunctions.udf.CIQ(C26,"IQ_CLOSEPRICE",$A$28)</f>
        <v>18.914000000000001</v>
      </c>
      <c r="Y26" s="153">
        <f t="shared" si="20"/>
        <v>6.7334807514678019E-2</v>
      </c>
      <c r="Z26" s="153">
        <f t="shared" si="9"/>
        <v>0.1112808460634549</v>
      </c>
      <c r="AA26" s="153">
        <f t="shared" si="6"/>
        <v>-7.4204601076847676E-2</v>
      </c>
      <c r="AB26" s="89">
        <f>_xll.ciqfunctions.udf.CIQAVG(C26,"IQ_VOLUME","-30D",$A$28)</f>
        <v>0</v>
      </c>
      <c r="AC26" s="198">
        <f t="shared" si="10"/>
        <v>0</v>
      </c>
      <c r="AD26" s="127">
        <v>42</v>
      </c>
    </row>
    <row r="27" spans="1:30">
      <c r="A27" s="211">
        <f>'raw1'!$A$14</f>
        <v>45877</v>
      </c>
      <c r="B27" s="175"/>
      <c r="C27" s="27"/>
      <c r="E27" s="172"/>
      <c r="F27" s="173"/>
      <c r="G27" s="171"/>
      <c r="H27" s="174"/>
      <c r="J27" s="153"/>
      <c r="K27" s="189"/>
      <c r="L27" s="173"/>
      <c r="M27" s="172"/>
      <c r="N27" s="188"/>
      <c r="O27" s="172"/>
      <c r="P27" s="172"/>
      <c r="Q27" s="172"/>
      <c r="R27" s="173"/>
      <c r="S27" s="173"/>
      <c r="T27" s="172"/>
      <c r="Y27" s="153"/>
      <c r="Z27" s="153"/>
      <c r="AA27" s="153"/>
      <c r="AB27" s="89"/>
      <c r="AC27" s="198"/>
    </row>
    <row r="28" spans="1:30">
      <c r="A28" s="212">
        <f>'raw1'!$A$13</f>
        <v>45880</v>
      </c>
      <c r="H28"/>
      <c r="I28"/>
      <c r="M28" s="172"/>
      <c r="Q28" s="172"/>
      <c r="T28" s="172"/>
      <c r="Y28" s="153"/>
      <c r="Z28" s="153"/>
      <c r="AA28" s="153"/>
      <c r="AC28" s="89"/>
    </row>
    <row r="29" spans="1:30">
      <c r="A29" s="212">
        <v>45657</v>
      </c>
      <c r="M29" s="172"/>
      <c r="Q29" s="172"/>
      <c r="T29" s="172"/>
      <c r="Y29" s="153"/>
      <c r="Z29" s="153"/>
      <c r="AA29" s="153"/>
      <c r="AC29" s="89"/>
    </row>
    <row r="30" spans="1:30">
      <c r="A30" s="212">
        <v>45289</v>
      </c>
      <c r="E30" s="182"/>
      <c r="M30" s="172"/>
      <c r="N30" s="182"/>
      <c r="O30" s="182"/>
      <c r="P30" s="182"/>
      <c r="Q30" s="172"/>
      <c r="T30" s="172"/>
      <c r="Y30" s="153"/>
      <c r="Z30" s="153"/>
      <c r="AA30" s="153"/>
      <c r="AC30" s="89"/>
    </row>
    <row r="31" spans="1:30">
      <c r="A31" s="181"/>
      <c r="C31" s="183"/>
      <c r="E31" s="182"/>
      <c r="N31" s="182"/>
      <c r="O31" s="182"/>
      <c r="P31" s="182"/>
      <c r="AA31" s="153"/>
    </row>
    <row r="32" spans="1:30">
      <c r="C32" s="183"/>
      <c r="E32" s="182"/>
      <c r="N32" s="182"/>
      <c r="O32" s="182"/>
      <c r="P32" s="182"/>
    </row>
    <row r="33" spans="3:16">
      <c r="C33" s="183"/>
      <c r="E33" s="182"/>
      <c r="N33" s="182"/>
      <c r="O33" s="182"/>
      <c r="P33" s="182"/>
    </row>
    <row r="34" spans="3:16">
      <c r="C34" s="183"/>
      <c r="E34" s="182"/>
      <c r="N34" s="182"/>
      <c r="O34" s="182"/>
      <c r="P34" s="182"/>
    </row>
    <row r="35" spans="3:16">
      <c r="C35" s="183"/>
      <c r="E35" s="182"/>
      <c r="N35" s="182"/>
      <c r="O35" s="182"/>
      <c r="P35" s="182"/>
    </row>
    <row r="36" spans="3:16">
      <c r="C36" s="183"/>
    </row>
    <row r="37" spans="3:16">
      <c r="C37" s="183"/>
    </row>
    <row r="38" spans="3:16">
      <c r="C38" s="183"/>
    </row>
    <row r="39" spans="3:16">
      <c r="C39" s="183"/>
    </row>
    <row r="40" spans="3:16">
      <c r="C40" s="183"/>
    </row>
    <row r="41" spans="3:16">
      <c r="C41" s="183"/>
    </row>
    <row r="42" spans="3:16">
      <c r="C42" s="183"/>
    </row>
    <row r="43" spans="3:16">
      <c r="C43" s="183"/>
    </row>
    <row r="44" spans="3:16">
      <c r="C44" s="183"/>
    </row>
    <row r="45" spans="3:16">
      <c r="C45" s="183"/>
    </row>
    <row r="46" spans="3:16">
      <c r="C46" s="183"/>
    </row>
    <row r="47" spans="3:16">
      <c r="C47" s="183"/>
    </row>
    <row r="48" spans="3:16">
      <c r="C48" s="183"/>
    </row>
    <row r="49" spans="3:3">
      <c r="C49" s="183"/>
    </row>
    <row r="50" spans="3:3">
      <c r="C50" s="183"/>
    </row>
    <row r="51" spans="3:3">
      <c r="C51" s="183"/>
    </row>
    <row r="52" spans="3:3">
      <c r="C52" s="183"/>
    </row>
  </sheetData>
  <phoneticPr fontId="24" type="noConversion"/>
  <conditionalFormatting sqref="K28:K1048576 K1">
    <cfRule type="dataBar" priority="6">
      <dataBar>
        <cfvo type="min"/>
        <cfvo type="max"/>
        <color theme="9" tint="0.39704580828272346"/>
      </dataBar>
      <extLst>
        <ext xmlns:x14="http://schemas.microsoft.com/office/spreadsheetml/2009/9/main" uri="{B025F937-C7B1-47D3-B67F-A62EFF666E3E}">
          <x14:id>{FA552820-ABC4-45D7-813A-91588E669B92}</x14:id>
        </ext>
      </extLst>
    </cfRule>
  </conditionalFormatting>
  <conditionalFormatting sqref="O28:O1048576 O1 R6:R1048576">
    <cfRule type="dataBar" priority="17">
      <dataBar>
        <cfvo type="min"/>
        <cfvo type="max"/>
        <color theme="9" tint="0.39704580828272346"/>
      </dataBar>
      <extLst>
        <ext xmlns:x14="http://schemas.microsoft.com/office/spreadsheetml/2009/9/main" uri="{B025F937-C7B1-47D3-B67F-A62EFF666E3E}">
          <x14:id>{51882E5B-0C07-494F-951F-A7EA1D56ABF9}</x14:id>
        </ext>
      </extLst>
    </cfRule>
  </conditionalFormatting>
  <conditionalFormatting sqref="R1">
    <cfRule type="dataBar" priority="7">
      <dataBar>
        <cfvo type="min"/>
        <cfvo type="max"/>
        <color theme="9" tint="0.39704580828272346"/>
      </dataBar>
      <extLst>
        <ext xmlns:x14="http://schemas.microsoft.com/office/spreadsheetml/2009/9/main" uri="{B025F937-C7B1-47D3-B67F-A62EFF666E3E}">
          <x14:id>{73848476-EE79-4B4D-A8AE-652A12DE08D8}</x14:id>
        </ext>
      </extLst>
    </cfRule>
  </conditionalFormatting>
  <conditionalFormatting sqref="R4:R5">
    <cfRule type="dataBar" priority="3">
      <dataBar>
        <cfvo type="min"/>
        <cfvo type="max"/>
        <color theme="9" tint="0.39704580828272346"/>
      </dataBar>
      <extLst>
        <ext xmlns:x14="http://schemas.microsoft.com/office/spreadsheetml/2009/9/main" uri="{B025F937-C7B1-47D3-B67F-A62EFF666E3E}">
          <x14:id>{21AE5C96-A589-43E7-A10E-EBF02A679733}</x14:id>
        </ext>
      </extLst>
    </cfRule>
  </conditionalFormatting>
  <conditionalFormatting sqref="V5">
    <cfRule type="dataBar" priority="1">
      <dataBar>
        <cfvo type="min"/>
        <cfvo type="max"/>
        <color theme="9" tint="0.39704580828272346"/>
      </dataBar>
      <extLst>
        <ext xmlns:x14="http://schemas.microsoft.com/office/spreadsheetml/2009/9/main" uri="{B025F937-C7B1-47D3-B67F-A62EFF666E3E}">
          <x14:id>{455E6D0F-D051-4AF9-93BB-C767D77BF8E1}</x14:id>
        </ext>
      </extLst>
    </cfRule>
  </conditionalFormatting>
  <conditionalFormatting sqref="V4:X4 W5:W31">
    <cfRule type="dataBar" priority="29">
      <dataBar>
        <cfvo type="min"/>
        <cfvo type="max"/>
        <color theme="9" tint="0.39704580828272346"/>
      </dataBar>
      <extLst>
        <ext xmlns:x14="http://schemas.microsoft.com/office/spreadsheetml/2009/9/main" uri="{B025F937-C7B1-47D3-B67F-A62EFF666E3E}">
          <x14:id>{0B36A972-106B-4F7B-8919-BB2AFA5229C4}</x14:id>
        </ext>
      </extLst>
    </cfRule>
  </conditionalFormatting>
  <conditionalFormatting sqref="V32:X1048576 V1:X1 X6:X31 V6:V31">
    <cfRule type="dataBar" priority="8">
      <dataBar>
        <cfvo type="min"/>
        <cfvo type="max"/>
        <color theme="9" tint="0.39704580828272346"/>
      </dataBar>
      <extLst>
        <ext xmlns:x14="http://schemas.microsoft.com/office/spreadsheetml/2009/9/main" uri="{B025F937-C7B1-47D3-B67F-A62EFF666E3E}">
          <x14:id>{E6B0BC73-D69B-4221-B862-909671FC8431}</x14:id>
        </ext>
      </extLst>
    </cfRule>
  </conditionalFormatting>
  <pageMargins left="0.75" right="0.75" top="1" bottom="1" header="0.5" footer="0.5"/>
  <pageSetup paperSize="9" orientation="portrait"/>
  <drawing r:id="rId1"/>
  <extLst>
    <ext xmlns:x14="http://schemas.microsoft.com/office/spreadsheetml/2009/9/main" uri="{78C0D931-6437-407d-A8EE-F0AAD7539E65}">
      <x14:conditionalFormattings>
        <x14:conditionalFormatting xmlns:xm="http://schemas.microsoft.com/office/excel/2006/main">
          <x14:cfRule type="dataBar" id="{FA552820-ABC4-45D7-813A-91588E669B92}">
            <x14:dataBar minLength="0" maxLength="100" gradient="0">
              <x14:cfvo type="autoMin"/>
              <x14:cfvo type="autoMax"/>
              <x14:negativeFillColor rgb="FFFF0000"/>
              <x14:axisColor rgb="FF000000"/>
            </x14:dataBar>
          </x14:cfRule>
          <xm:sqref>K28:K1048576 K1</xm:sqref>
        </x14:conditionalFormatting>
        <x14:conditionalFormatting xmlns:xm="http://schemas.microsoft.com/office/excel/2006/main">
          <x14:cfRule type="dataBar" id="{51882E5B-0C07-494F-951F-A7EA1D56ABF9}">
            <x14:dataBar minLength="0" maxLength="100" gradient="0">
              <x14:cfvo type="autoMin"/>
              <x14:cfvo type="autoMax"/>
              <x14:negativeFillColor rgb="FFFF0000"/>
              <x14:axisColor rgb="FF000000"/>
            </x14:dataBar>
          </x14:cfRule>
          <xm:sqref>O28:O1048576 O1 R6:R1048576</xm:sqref>
        </x14:conditionalFormatting>
        <x14:conditionalFormatting xmlns:xm="http://schemas.microsoft.com/office/excel/2006/main">
          <x14:cfRule type="dataBar" id="{73848476-EE79-4B4D-A8AE-652A12DE08D8}">
            <x14:dataBar minLength="0" maxLength="100" gradient="0">
              <x14:cfvo type="autoMin"/>
              <x14:cfvo type="autoMax"/>
              <x14:negativeFillColor rgb="FFFF0000"/>
              <x14:axisColor rgb="FF000000"/>
            </x14:dataBar>
          </x14:cfRule>
          <xm:sqref>R1</xm:sqref>
        </x14:conditionalFormatting>
        <x14:conditionalFormatting xmlns:xm="http://schemas.microsoft.com/office/excel/2006/main">
          <x14:cfRule type="dataBar" id="{21AE5C96-A589-43E7-A10E-EBF02A679733}">
            <x14:dataBar minLength="0" maxLength="100" gradient="0">
              <x14:cfvo type="autoMin"/>
              <x14:cfvo type="autoMax"/>
              <x14:negativeFillColor rgb="FFFF0000"/>
              <x14:axisColor rgb="FF000000"/>
            </x14:dataBar>
          </x14:cfRule>
          <xm:sqref>R4:R5</xm:sqref>
        </x14:conditionalFormatting>
        <x14:conditionalFormatting xmlns:xm="http://schemas.microsoft.com/office/excel/2006/main">
          <x14:cfRule type="dataBar" id="{455E6D0F-D051-4AF9-93BB-C767D77BF8E1}">
            <x14:dataBar minLength="0" maxLength="100" gradient="0">
              <x14:cfvo type="autoMin"/>
              <x14:cfvo type="autoMax"/>
              <x14:negativeFillColor rgb="FFFF0000"/>
              <x14:axisColor rgb="FF000000"/>
            </x14:dataBar>
          </x14:cfRule>
          <xm:sqref>V5</xm:sqref>
        </x14:conditionalFormatting>
        <x14:conditionalFormatting xmlns:xm="http://schemas.microsoft.com/office/excel/2006/main">
          <x14:cfRule type="dataBar" id="{0B36A972-106B-4F7B-8919-BB2AFA5229C4}">
            <x14:dataBar minLength="0" maxLength="100" gradient="0">
              <x14:cfvo type="autoMin"/>
              <x14:cfvo type="autoMax"/>
              <x14:negativeFillColor rgb="FFFF0000"/>
              <x14:axisColor rgb="FF000000"/>
            </x14:dataBar>
          </x14:cfRule>
          <xm:sqref>V4:X4 W5:W31</xm:sqref>
        </x14:conditionalFormatting>
        <x14:conditionalFormatting xmlns:xm="http://schemas.microsoft.com/office/excel/2006/main">
          <x14:cfRule type="dataBar" id="{E6B0BC73-D69B-4221-B862-909671FC8431}">
            <x14:dataBar minLength="0" maxLength="100" gradient="0">
              <x14:cfvo type="autoMin"/>
              <x14:cfvo type="autoMax"/>
              <x14:negativeFillColor rgb="FFFF0000"/>
              <x14:axisColor rgb="FF000000"/>
            </x14:dataBar>
          </x14:cfRule>
          <xm:sqref>V32:X1048576 V1:X1 X6:X31 V6:V31</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M31"/>
  <sheetViews>
    <sheetView zoomScale="74" zoomScaleNormal="63" workbookViewId="0">
      <selection activeCell="F4" sqref="F4"/>
    </sheetView>
  </sheetViews>
  <sheetFormatPr defaultColWidth="8.6640625" defaultRowHeight="14"/>
  <cols>
    <col min="1" max="1" width="50.83203125" style="119" customWidth="1"/>
    <col min="2" max="2" width="15.5" style="119" customWidth="1"/>
    <col min="3" max="3" width="20.5" style="120" customWidth="1"/>
    <col min="4" max="4" width="14.33203125" style="121" customWidth="1"/>
    <col min="5" max="5" width="12.33203125" style="122" customWidth="1"/>
    <col min="6" max="7" width="11" style="123" customWidth="1"/>
    <col min="8" max="8" width="18.6640625" style="124" customWidth="1"/>
    <col min="9" max="9" width="11.83203125" style="125" customWidth="1"/>
    <col min="10" max="11" width="16.1640625" style="126" customWidth="1"/>
    <col min="12" max="12" width="14.6640625" style="119" customWidth="1"/>
    <col min="13" max="13" width="7.6640625" style="127" customWidth="1"/>
    <col min="14" max="16384" width="8.6640625" style="91"/>
  </cols>
  <sheetData>
    <row r="1" spans="1:13">
      <c r="A1" s="128" t="s">
        <v>0</v>
      </c>
      <c r="B1" s="129" t="s">
        <v>2</v>
      </c>
      <c r="C1" s="130" t="s">
        <v>46</v>
      </c>
      <c r="D1" s="131" t="s">
        <v>49</v>
      </c>
      <c r="E1" s="132" t="s">
        <v>51</v>
      </c>
      <c r="F1" s="133" t="s">
        <v>54</v>
      </c>
      <c r="G1" s="133" t="s">
        <v>58</v>
      </c>
      <c r="H1" s="130" t="s">
        <v>61</v>
      </c>
      <c r="I1" s="132" t="s">
        <v>62</v>
      </c>
      <c r="J1" s="146" t="s">
        <v>7</v>
      </c>
      <c r="K1" s="146" t="s">
        <v>66</v>
      </c>
      <c r="L1" s="129" t="s">
        <v>68</v>
      </c>
      <c r="M1" s="147" t="s">
        <v>69</v>
      </c>
    </row>
    <row r="2" spans="1:13">
      <c r="A2" s="103" t="s">
        <v>70</v>
      </c>
      <c r="B2" s="104"/>
      <c r="C2" s="94">
        <f>'raw2'!D2</f>
        <v>451.27487500000001</v>
      </c>
      <c r="D2" s="95">
        <f>'raw2'!G2</f>
        <v>5.5840000000000001E-2</v>
      </c>
      <c r="E2" s="96">
        <f>'raw2'!J2</f>
        <v>-2.7549381940360478E-3</v>
      </c>
      <c r="F2" s="134">
        <f>'raw2'!M2</f>
        <v>0</v>
      </c>
      <c r="G2" s="134">
        <f>'raw2'!Q2</f>
        <v>20.309438400000023</v>
      </c>
      <c r="H2" s="135">
        <f>'raw2'!T2</f>
        <v>26.426942000000004</v>
      </c>
      <c r="I2" s="148">
        <f>'raw2'!U2</f>
        <v>5.8500000000000002E-3</v>
      </c>
      <c r="J2" s="149" t="e">
        <f>'raw2'!Z2</f>
        <v>#DIV/0!</v>
      </c>
      <c r="K2" s="149">
        <f>'raw2'!AA2</f>
        <v>9.3124149271054946E-2</v>
      </c>
      <c r="L2" s="112">
        <f>'raw2'!AC2</f>
        <v>57680</v>
      </c>
      <c r="M2" s="113">
        <f>'raw2'!AD2</f>
        <v>61.5</v>
      </c>
    </row>
    <row r="3" spans="1:13">
      <c r="A3" s="103" t="s">
        <v>50</v>
      </c>
      <c r="B3" s="104"/>
      <c r="C3" s="94">
        <f>'raw2'!D3</f>
        <v>59986.737125000007</v>
      </c>
      <c r="D3" s="95">
        <f>'raw2'!G3</f>
        <v>15.248040000000001</v>
      </c>
      <c r="E3" s="96">
        <f>'raw2'!J3</f>
        <v>0</v>
      </c>
      <c r="F3" s="134">
        <f>'raw2'!M3</f>
        <v>13.074515999999145</v>
      </c>
      <c r="G3" s="134">
        <f>'raw2'!Q3</f>
        <v>2803.981357958779</v>
      </c>
      <c r="H3" s="135">
        <f>'raw2'!T3</f>
        <v>10627.055685561041</v>
      </c>
      <c r="I3" s="148">
        <f>'raw2'!U3</f>
        <v>0</v>
      </c>
      <c r="J3" s="149">
        <f>'raw2'!Z3</f>
        <v>0</v>
      </c>
      <c r="K3" s="149">
        <f>'raw2'!AA3</f>
        <v>0</v>
      </c>
      <c r="L3" s="112">
        <f>'raw2'!AC3</f>
        <v>0</v>
      </c>
      <c r="M3" s="113">
        <f>'raw2'!AD3</f>
        <v>0</v>
      </c>
    </row>
    <row r="4" spans="1:13">
      <c r="A4" s="103" t="s">
        <v>19</v>
      </c>
      <c r="B4" s="104" t="s">
        <v>20</v>
      </c>
      <c r="C4" s="94">
        <f>'raw2'!D4</f>
        <v>366137.07750000001</v>
      </c>
      <c r="D4" s="95">
        <f>'raw2'!G4</f>
        <v>33.112920000000003</v>
      </c>
      <c r="E4" s="96">
        <f>'raw2'!J4</f>
        <v>-2.9588373509702062E-3</v>
      </c>
      <c r="F4" s="134">
        <f>'raw2'!M4</f>
        <v>0</v>
      </c>
      <c r="G4" s="134">
        <f>'raw2'!Q4</f>
        <v>11300.33322</v>
      </c>
      <c r="H4" s="135">
        <f>'raw2'!T4</f>
        <v>38053.11887999998</v>
      </c>
      <c r="I4" s="148">
        <f>'raw2'!U4</f>
        <v>2E-3</v>
      </c>
      <c r="J4" s="149">
        <f>'raw2'!Z4</f>
        <v>0.39883277983981258</v>
      </c>
      <c r="K4" s="149">
        <f>'raw2'!AA4</f>
        <v>0.12053283258024772</v>
      </c>
      <c r="L4" s="112">
        <f>'raw2'!AC4</f>
        <v>44016350</v>
      </c>
      <c r="M4" s="113">
        <f>'raw2'!AD4</f>
        <v>101</v>
      </c>
    </row>
    <row r="5" spans="1:13" s="118" customFormat="1">
      <c r="A5" s="136" t="s">
        <v>71</v>
      </c>
      <c r="B5" s="137" t="s">
        <v>72</v>
      </c>
      <c r="C5" s="138">
        <f>'raw2'!D5</f>
        <v>29.39254</v>
      </c>
      <c r="D5" s="90">
        <f>'raw2'!G5</f>
        <v>2.461E-2</v>
      </c>
      <c r="E5" s="139">
        <f>'raw2'!J5</f>
        <v>-6.0927918194683987E-3</v>
      </c>
      <c r="F5" s="219">
        <f>'raw2'!M5</f>
        <v>0</v>
      </c>
      <c r="G5" s="219">
        <f>'raw2'!Q5</f>
        <v>14.358585</v>
      </c>
      <c r="H5" s="220">
        <f>'raw2'!T5</f>
        <v>24.837471000000001</v>
      </c>
      <c r="I5" s="150">
        <f>'raw2'!U5</f>
        <v>0.01</v>
      </c>
      <c r="J5" s="221">
        <f>'raw2'!Z5</f>
        <v>0.55028037383177564</v>
      </c>
      <c r="K5" s="221">
        <f>'raw2'!AA5</f>
        <v>0.14872669715089692</v>
      </c>
      <c r="L5" s="151">
        <f>'raw2'!AC5</f>
        <v>34570</v>
      </c>
      <c r="M5" s="152">
        <f>'raw2'!AD5</f>
        <v>48</v>
      </c>
    </row>
    <row r="6" spans="1:13">
      <c r="A6" s="140" t="s">
        <v>30</v>
      </c>
      <c r="B6" s="141" t="s">
        <v>31</v>
      </c>
      <c r="C6" s="94">
        <f>'raw2'!D6</f>
        <v>27723.915830000002</v>
      </c>
      <c r="D6" s="95">
        <f>'raw2'!G6</f>
        <v>5.7997399999999999</v>
      </c>
      <c r="E6" s="96">
        <f>'raw2'!J6</f>
        <v>-4.4288488399821301E-4</v>
      </c>
      <c r="F6" s="134">
        <f>'raw2'!M6</f>
        <v>0</v>
      </c>
      <c r="G6" s="134">
        <f>'raw2'!Q6</f>
        <v>-429.78974500000004</v>
      </c>
      <c r="H6" s="135">
        <f>'raw2'!T6</f>
        <v>6172.7004135000025</v>
      </c>
      <c r="I6" s="148">
        <f>'raw2'!U6</f>
        <v>3.5000000000000001E-3</v>
      </c>
      <c r="J6" s="149">
        <f>'raw2'!Z6</f>
        <v>0.67781780751415321</v>
      </c>
      <c r="K6" s="149">
        <f>'raw2'!AA6</f>
        <v>0.21154560845686921</v>
      </c>
      <c r="L6" s="112">
        <f>'raw2'!AC6</f>
        <v>7494440</v>
      </c>
      <c r="M6" s="113">
        <f>'raw2'!AD6</f>
        <v>27</v>
      </c>
    </row>
    <row r="7" spans="1:13">
      <c r="A7" s="142" t="s">
        <v>73</v>
      </c>
      <c r="B7" s="141" t="s">
        <v>74</v>
      </c>
      <c r="C7" s="94">
        <f>'raw2'!D7</f>
        <v>11703.96</v>
      </c>
      <c r="D7" s="95">
        <f>'raw2'!G7</f>
        <v>6.1127399999999996</v>
      </c>
      <c r="E7" s="96">
        <f>'raw2'!J7</f>
        <v>-1.1493204414849868E-2</v>
      </c>
      <c r="F7" s="134">
        <f>'raw2'!M7</f>
        <v>0</v>
      </c>
      <c r="G7" s="134">
        <f>'raw2'!Q7</f>
        <v>1505.7920630000006</v>
      </c>
      <c r="H7" s="135">
        <f>'raw2'!T7</f>
        <v>1461.5996850000001</v>
      </c>
      <c r="I7" s="148">
        <f>'raw2'!U7</f>
        <v>0.01</v>
      </c>
      <c r="J7" s="149">
        <f>'raw2'!Z7</f>
        <v>0.33579035598067253</v>
      </c>
      <c r="K7" s="149">
        <f>'raw2'!AA7</f>
        <v>8.2401118657610795E-2</v>
      </c>
      <c r="L7" s="112">
        <f>'raw2'!AC7</f>
        <v>4619710</v>
      </c>
      <c r="M7" s="113">
        <f>'raw2'!AD7</f>
        <v>121</v>
      </c>
    </row>
    <row r="8" spans="1:13">
      <c r="A8" s="92" t="s">
        <v>93</v>
      </c>
      <c r="B8" s="99" t="s">
        <v>95</v>
      </c>
      <c r="C8" s="94">
        <f>'raw2'!D8</f>
        <v>2786.7145999999998</v>
      </c>
      <c r="D8" s="95">
        <f>'raw2'!G8</f>
        <v>0.41169</v>
      </c>
      <c r="E8" s="96">
        <f>'raw2'!J8</f>
        <v>-8.6309523809523555E-3</v>
      </c>
      <c r="F8" s="134">
        <f>'raw2'!M8</f>
        <v>0</v>
      </c>
      <c r="G8" s="134">
        <f>'raw2'!Q8</f>
        <v>88.427050199999783</v>
      </c>
      <c r="H8" s="135">
        <f>'raw2'!T8</f>
        <v>-105.92118600000018</v>
      </c>
      <c r="I8" s="148">
        <f>'raw2'!U8</f>
        <v>6.8999999999999999E-3</v>
      </c>
      <c r="J8" s="149">
        <f>'raw2'!Z8</f>
        <v>0.16877192982456157</v>
      </c>
      <c r="K8" s="149">
        <f>'raw2'!AA8</f>
        <v>4.2566510172143968E-2</v>
      </c>
      <c r="L8" s="112">
        <f>'raw2'!AC8</f>
        <v>698540</v>
      </c>
      <c r="M8" s="113">
        <f>'raw2'!AD8</f>
        <v>43</v>
      </c>
    </row>
    <row r="9" spans="1:13">
      <c r="A9" s="92" t="s">
        <v>102</v>
      </c>
      <c r="B9" s="93" t="s">
        <v>103</v>
      </c>
      <c r="C9" s="94">
        <f>'raw2'!D9</f>
        <v>3987.6900900000001</v>
      </c>
      <c r="D9" s="95">
        <f>'raw2'!G9</f>
        <v>1.49935</v>
      </c>
      <c r="E9" s="96">
        <f>'raw2'!J9</f>
        <v>-5.1213538187485389E-3</v>
      </c>
      <c r="F9" s="134">
        <f>'raw2'!M9</f>
        <v>0</v>
      </c>
      <c r="G9" s="134">
        <f>'raw2'!Q9</f>
        <v>868.36963600000024</v>
      </c>
      <c r="H9" s="135">
        <f>'raw2'!T9</f>
        <v>2227.352292</v>
      </c>
      <c r="I9" s="148">
        <f>'raw2'!U9</f>
        <v>6.7999999999999996E-3</v>
      </c>
      <c r="J9" s="149">
        <f>'raw2'!Z9</f>
        <v>0.43296985246953179</v>
      </c>
      <c r="K9" s="149">
        <f>'raw2'!AA9</f>
        <v>0.15631469979296053</v>
      </c>
      <c r="L9" s="112">
        <f>'raw2'!AC9</f>
        <v>1088950</v>
      </c>
      <c r="M9" s="113">
        <f>'raw2'!AD9</f>
        <v>86</v>
      </c>
    </row>
    <row r="10" spans="1:13">
      <c r="A10" s="100" t="s">
        <v>178</v>
      </c>
      <c r="B10" s="102" t="s">
        <v>98</v>
      </c>
      <c r="C10" s="94">
        <f>'raw2'!D10</f>
        <v>1193.2784999999999</v>
      </c>
      <c r="D10" s="95">
        <f>'raw2'!G10</f>
        <v>0.43761</v>
      </c>
      <c r="E10" s="96">
        <f>'raw2'!J10</f>
        <v>-2.822865208186249E-3</v>
      </c>
      <c r="F10" s="134">
        <f>'raw2'!M10</f>
        <v>0</v>
      </c>
      <c r="G10" s="134">
        <f>'raw2'!Q10</f>
        <v>325.20066250000002</v>
      </c>
      <c r="H10" s="135">
        <f>'raw2'!T10</f>
        <v>379.12078749999995</v>
      </c>
      <c r="I10" s="148">
        <f>'raw2'!U10</f>
        <v>4.7000000000000002E-3</v>
      </c>
      <c r="J10" s="149">
        <f>'raw2'!Z10</f>
        <v>0.22869565217391297</v>
      </c>
      <c r="K10" s="149">
        <f>'raw2'!AA10</f>
        <v>0.14351227407607237</v>
      </c>
      <c r="L10" s="112">
        <f>'raw2'!AC10</f>
        <v>499880</v>
      </c>
      <c r="M10" s="113">
        <f>'raw2'!AD10</f>
        <v>112</v>
      </c>
    </row>
    <row r="11" spans="1:13">
      <c r="A11" s="92" t="s">
        <v>177</v>
      </c>
      <c r="B11" s="99" t="s">
        <v>101</v>
      </c>
      <c r="C11" s="94">
        <f>'raw2'!D11</f>
        <v>505.42110000000002</v>
      </c>
      <c r="D11" s="95">
        <f>'raw2'!G11</f>
        <v>7.8909999999999994E-2</v>
      </c>
      <c r="E11" s="96">
        <f>'raw2'!J11</f>
        <v>-1.7814251401120907E-2</v>
      </c>
      <c r="F11" s="134">
        <f>'raw2'!M11</f>
        <v>0</v>
      </c>
      <c r="G11" s="134">
        <f>'raw2'!Q11</f>
        <v>20.327742000000047</v>
      </c>
      <c r="H11" s="135">
        <f>'raw2'!T11</f>
        <v>-22.141175</v>
      </c>
      <c r="I11" s="148">
        <f>'raw2'!U11</f>
        <v>6.4999999999999997E-3</v>
      </c>
      <c r="J11" s="149">
        <f>'raw2'!Z11</f>
        <v>7.7750933450472237E-2</v>
      </c>
      <c r="K11" s="149">
        <f>'raw2'!AA11</f>
        <v>8.9476021314387255E-2</v>
      </c>
      <c r="L11" s="112">
        <f>'raw2'!AC11</f>
        <v>63240.000000000007</v>
      </c>
      <c r="M11" s="113">
        <f>'raw2'!AD11</f>
        <v>110</v>
      </c>
    </row>
    <row r="12" spans="1:13">
      <c r="A12" s="92" t="s">
        <v>26</v>
      </c>
      <c r="B12" s="93" t="s">
        <v>28</v>
      </c>
      <c r="C12" s="94">
        <f>'raw2'!D12</f>
        <v>497.178</v>
      </c>
      <c r="D12" s="95">
        <f>'raw2'!G12</f>
        <v>3.5920000000000001E-2</v>
      </c>
      <c r="E12" s="96">
        <f>'raw2'!J12</f>
        <v>1.0963819395993165E-3</v>
      </c>
      <c r="F12" s="134">
        <f>'raw2'!M12</f>
        <v>0</v>
      </c>
      <c r="G12" s="134">
        <f>'raw2'!Q12</f>
        <v>40.849344000000016</v>
      </c>
      <c r="H12" s="135">
        <f>'raw2'!T12</f>
        <v>230.846395</v>
      </c>
      <c r="I12" s="148">
        <f>'raw2'!U12</f>
        <v>6.0000000000000001E-3</v>
      </c>
      <c r="J12" s="149">
        <f>'raw2'!Z12</f>
        <v>0.30069930069930062</v>
      </c>
      <c r="K12" s="149">
        <f>'raw2'!AA12</f>
        <v>0.11032500552730484</v>
      </c>
      <c r="L12" s="112">
        <f>'raw2'!AC12</f>
        <v>41630</v>
      </c>
      <c r="M12" s="113">
        <f>'raw2'!AD12</f>
        <v>102</v>
      </c>
    </row>
    <row r="13" spans="1:13">
      <c r="A13" s="92" t="s">
        <v>87</v>
      </c>
      <c r="B13" s="99" t="s">
        <v>89</v>
      </c>
      <c r="C13" s="94">
        <f>'raw2'!D13</f>
        <v>218.44</v>
      </c>
      <c r="D13" s="95">
        <f>'raw2'!G13</f>
        <v>0.15048</v>
      </c>
      <c r="E13" s="96">
        <f>'raw2'!J13</f>
        <v>-5.0920485703095401E-3</v>
      </c>
      <c r="F13" s="134">
        <f>'raw2'!M13</f>
        <v>0</v>
      </c>
      <c r="G13" s="134">
        <f>'raw2'!Q13</f>
        <v>-13.309895999999993</v>
      </c>
      <c r="H13" s="135">
        <f>'raw2'!T13</f>
        <v>-20.052600000000023</v>
      </c>
      <c r="I13" s="148">
        <f>'raw2'!U13</f>
        <v>4.4999999999999997E-3</v>
      </c>
      <c r="J13" s="149">
        <f>'raw2'!Z13</f>
        <v>0.22764620589656825</v>
      </c>
      <c r="K13" s="149">
        <f>'raw2'!AA13</f>
        <v>0.15454545454545454</v>
      </c>
      <c r="L13" s="112">
        <f>'raw2'!AC13</f>
        <v>95850</v>
      </c>
      <c r="M13" s="113">
        <f>'raw2'!AD13</f>
        <v>81</v>
      </c>
    </row>
    <row r="14" spans="1:13">
      <c r="A14" s="92" t="s">
        <v>179</v>
      </c>
      <c r="B14" s="99" t="s">
        <v>86</v>
      </c>
      <c r="C14" s="94">
        <f>'raw2'!D14</f>
        <v>207.89224999999999</v>
      </c>
      <c r="D14" s="95">
        <f>'raw2'!G14</f>
        <v>2.2509999999999999E-2</v>
      </c>
      <c r="E14" s="96">
        <f>'raw2'!J14</f>
        <v>-7.1161714997331179E-3</v>
      </c>
      <c r="F14" s="134">
        <f>'raw2'!M14</f>
        <v>0</v>
      </c>
      <c r="G14" s="134">
        <f>'raw2'!Q14</f>
        <v>34.005345750000011</v>
      </c>
      <c r="H14" s="135">
        <f>'raw2'!T14</f>
        <v>29.256618749999998</v>
      </c>
      <c r="I14" s="148">
        <f>'raw2'!U14</f>
        <v>6.7999999999999996E-3</v>
      </c>
      <c r="J14" s="149">
        <f>'raw2'!Z14</f>
        <v>0.35328136176816494</v>
      </c>
      <c r="K14" s="149">
        <f>'raw2'!AA14</f>
        <v>0.13897959183673469</v>
      </c>
      <c r="L14" s="112">
        <f>'raw2'!AC14</f>
        <v>31989.999999999996</v>
      </c>
      <c r="M14" s="113">
        <f>'raw2'!AD14</f>
        <v>62</v>
      </c>
    </row>
    <row r="15" spans="1:13">
      <c r="A15" s="92" t="s">
        <v>90</v>
      </c>
      <c r="B15" s="102" t="s">
        <v>92</v>
      </c>
      <c r="C15" s="94">
        <f>'raw2'!D15</f>
        <v>181.77616</v>
      </c>
      <c r="D15" s="95">
        <f>'raw2'!G15</f>
        <v>2.3400000000000001E-2</v>
      </c>
      <c r="E15" s="96">
        <f>'raw2'!J15</f>
        <v>-1.9131178356115167E-2</v>
      </c>
      <c r="F15" s="134">
        <f>'raw2'!M15</f>
        <v>0</v>
      </c>
      <c r="G15" s="134">
        <f>'raw2'!Q15</f>
        <v>3.5621839999999874</v>
      </c>
      <c r="H15" s="135">
        <f>'raw2'!T15</f>
        <v>30.239891999999998</v>
      </c>
      <c r="I15" s="148">
        <f>'raw2'!U15</f>
        <v>5.0000000000000001E-3</v>
      </c>
      <c r="J15" s="149">
        <f>'raw2'!Z15</f>
        <v>0.51940855347982318</v>
      </c>
      <c r="K15" s="149">
        <f>'raw2'!AA15</f>
        <v>9.6772277227722636E-2</v>
      </c>
      <c r="L15" s="112">
        <f>'raw2'!AC15</f>
        <v>18480</v>
      </c>
      <c r="M15" s="113">
        <f>'raw2'!AD15</f>
        <v>47</v>
      </c>
    </row>
    <row r="16" spans="1:13">
      <c r="A16" s="92" t="s">
        <v>182</v>
      </c>
      <c r="B16" s="99" t="s">
        <v>78</v>
      </c>
      <c r="C16" s="94">
        <f>'raw2'!D16</f>
        <v>405.37175000000002</v>
      </c>
      <c r="D16" s="95">
        <f>'raw2'!G16</f>
        <v>0.33478000000000002</v>
      </c>
      <c r="E16" s="96">
        <f>'raw2'!J16</f>
        <v>1.301115241635693E-3</v>
      </c>
      <c r="F16" s="134">
        <f>'raw2'!M16</f>
        <v>0</v>
      </c>
      <c r="G16" s="134">
        <f>'raw2'!Q16</f>
        <v>81.749772000000007</v>
      </c>
      <c r="H16" s="135">
        <f>'raw2'!T16</f>
        <v>208.5898665</v>
      </c>
      <c r="I16" s="148">
        <f>'raw2'!U16</f>
        <v>7.4999999999999997E-3</v>
      </c>
      <c r="J16" s="149">
        <f>'raw2'!Z16</f>
        <v>1.0792965824963909</v>
      </c>
      <c r="K16" s="149">
        <f>'raw2'!AA16</f>
        <v>0.33143845773603542</v>
      </c>
      <c r="L16" s="112">
        <f>'raw2'!AC16</f>
        <v>198140</v>
      </c>
      <c r="M16" s="113">
        <f>'raw2'!AD16</f>
        <v>47</v>
      </c>
    </row>
    <row r="17" spans="1:13">
      <c r="A17" s="92" t="s">
        <v>107</v>
      </c>
      <c r="B17" s="99" t="s">
        <v>109</v>
      </c>
      <c r="C17" s="94">
        <f>'raw2'!D17</f>
        <v>102.54982</v>
      </c>
      <c r="D17" s="95">
        <f>'raw2'!G17</f>
        <v>8.09E-3</v>
      </c>
      <c r="E17" s="96">
        <f>'raw2'!J17</f>
        <v>-7.3780393371534487E-3</v>
      </c>
      <c r="F17" s="134">
        <f>'raw2'!M17</f>
        <v>0</v>
      </c>
      <c r="G17" s="134">
        <f>'raw2'!Q17</f>
        <v>19.258795500000005</v>
      </c>
      <c r="H17" s="135">
        <f>'raw2'!T17</f>
        <v>27.653076000000002</v>
      </c>
      <c r="I17" s="148">
        <f>'raw2'!U17</f>
        <v>7.0000000000000001E-3</v>
      </c>
      <c r="J17" s="149">
        <f>'raw2'!Z17</f>
        <v>0.46342777685178627</v>
      </c>
      <c r="K17" s="149">
        <f>'raw2'!AA17</f>
        <v>0.20154172634357392</v>
      </c>
      <c r="L17" s="112">
        <f>'raw2'!AC17</f>
        <v>7860.0000000000009</v>
      </c>
      <c r="M17" s="113">
        <f>'raw2'!AD17</f>
        <v>31</v>
      </c>
    </row>
    <row r="18" spans="1:13">
      <c r="A18" s="100" t="s">
        <v>180</v>
      </c>
      <c r="B18" s="99" t="s">
        <v>84</v>
      </c>
      <c r="C18" s="94">
        <f>'raw2'!D18</f>
        <v>32.424599999999998</v>
      </c>
      <c r="D18" s="95">
        <f>'raw2'!G18</f>
        <v>9.8399999999999998E-3</v>
      </c>
      <c r="E18" s="96">
        <f>'raw2'!J18</f>
        <v>-2.6870111798858471E-3</v>
      </c>
      <c r="F18" s="134">
        <f>'raw2'!M18</f>
        <v>0</v>
      </c>
      <c r="G18" s="134">
        <f>'raw2'!Q18</f>
        <v>-3.6209546999999986</v>
      </c>
      <c r="H18" s="135">
        <f>'raw2'!T18</f>
        <v>-7.0486091999999978</v>
      </c>
      <c r="I18" s="148">
        <f>'raw2'!U18</f>
        <v>6.7999999999999996E-3</v>
      </c>
      <c r="J18" s="149">
        <f>'raw2'!Z18</f>
        <v>8.7918012279315283E-2</v>
      </c>
      <c r="K18" s="149">
        <f>'raw2'!AA18</f>
        <v>6.6488106233195898E-2</v>
      </c>
      <c r="L18" s="112">
        <f>'raw2'!AC18</f>
        <v>4810</v>
      </c>
      <c r="M18" s="113">
        <f>'raw2'!AD18</f>
        <v>24</v>
      </c>
    </row>
    <row r="19" spans="1:13">
      <c r="A19" s="92" t="s">
        <v>181</v>
      </c>
      <c r="B19" s="93" t="s">
        <v>81</v>
      </c>
      <c r="C19" s="94">
        <f>'raw2'!D19</f>
        <v>23.79008</v>
      </c>
      <c r="D19" s="95">
        <f>'raw2'!G19</f>
        <v>6.216E-2</v>
      </c>
      <c r="E19" s="96">
        <f>'raw2'!J19</f>
        <v>2.8255048908150035E-4</v>
      </c>
      <c r="F19" s="134">
        <f>'raw2'!M19</f>
        <v>0</v>
      </c>
      <c r="G19" s="134">
        <f>'raw2'!Q19</f>
        <v>19.2197985</v>
      </c>
      <c r="H19" s="135">
        <f>'raw2'!T19</f>
        <v>19.839160000000003</v>
      </c>
      <c r="I19" s="148">
        <f>'raw2'!U19</f>
        <v>7.4999999999999997E-3</v>
      </c>
      <c r="J19" s="149" t="e">
        <f>'raw2'!Z19</f>
        <v>#DIV/0!</v>
      </c>
      <c r="K19" s="149">
        <f>'raw2'!AA19</f>
        <v>0.24671840085189523</v>
      </c>
      <c r="L19" s="112">
        <f>'raw2'!AC19</f>
        <v>37450</v>
      </c>
      <c r="M19" s="113">
        <f>'raw2'!AD19</f>
        <v>83</v>
      </c>
    </row>
    <row r="20" spans="1:13">
      <c r="A20" s="92" t="s">
        <v>33</v>
      </c>
      <c r="B20" s="99" t="s">
        <v>35</v>
      </c>
      <c r="C20" s="94">
        <f>'raw2'!D20</f>
        <v>33.508519999999997</v>
      </c>
      <c r="D20" s="95">
        <f>'raw2'!G20</f>
        <v>1.5129999999999999E-2</v>
      </c>
      <c r="E20" s="96">
        <f>'raw2'!J20</f>
        <v>6.0092449922964327E-4</v>
      </c>
      <c r="F20" s="134">
        <f>'raw2'!M20</f>
        <v>0</v>
      </c>
      <c r="G20" s="134">
        <f>'raw2'!Q20</f>
        <v>11.078863999999999</v>
      </c>
      <c r="H20" s="135">
        <f>'raw2'!T20</f>
        <v>25.200808000000002</v>
      </c>
      <c r="I20" s="148">
        <f>'raw2'!U20</f>
        <v>3.5000000000000001E-3</v>
      </c>
      <c r="J20" s="149">
        <f>'raw2'!Z20</f>
        <v>0.5338170051450819</v>
      </c>
      <c r="K20" s="149">
        <f>'raw2'!AA20</f>
        <v>1.5465207193119612E-2</v>
      </c>
      <c r="L20" s="112">
        <f>'raw2'!AC20</f>
        <v>11940</v>
      </c>
      <c r="M20" s="113">
        <f>'raw2'!AD20</f>
        <v>41</v>
      </c>
    </row>
    <row r="21" spans="1:13">
      <c r="A21" s="92" t="s">
        <v>183</v>
      </c>
      <c r="B21" s="99" t="s">
        <v>118</v>
      </c>
      <c r="C21" s="94">
        <f>'raw2'!D21</f>
        <v>3369.5079150000001</v>
      </c>
      <c r="D21" s="95">
        <f>'raw2'!G21</f>
        <v>5.8889999999999998E-2</v>
      </c>
      <c r="E21" s="96">
        <f>'raw2'!J21</f>
        <v>-6.2644246620507001E-3</v>
      </c>
      <c r="F21" s="134">
        <f>'raw2'!M21</f>
        <v>0</v>
      </c>
      <c r="G21" s="134">
        <f>'raw2'!Q21</f>
        <v>-510.05191330522018</v>
      </c>
      <c r="H21" s="135">
        <f>'raw2'!T21</f>
        <v>-351.26882239695976</v>
      </c>
      <c r="I21" s="148">
        <f>'raw2'!U21</f>
        <v>4.0000000000000001E-3</v>
      </c>
      <c r="J21" s="149">
        <f>'raw2'!Z21</f>
        <v>0.14600760456273765</v>
      </c>
      <c r="K21" s="149">
        <f>'raw2'!AA21</f>
        <v>8.6126126126126135E-2</v>
      </c>
      <c r="L21" s="112">
        <f>'raw2'!AC21</f>
        <v>151410</v>
      </c>
      <c r="M21" s="113">
        <f>'raw2'!AD21</f>
        <v>154</v>
      </c>
    </row>
    <row r="22" spans="1:13">
      <c r="A22" s="100" t="s">
        <v>110</v>
      </c>
      <c r="B22" s="99" t="s">
        <v>112</v>
      </c>
      <c r="C22" s="94">
        <f>'raw2'!D22</f>
        <v>5044.2630900000004</v>
      </c>
      <c r="D22" s="95">
        <f>'raw2'!G22</f>
        <v>6.3149999999999998E-2</v>
      </c>
      <c r="E22" s="96">
        <f>'raw2'!J22</f>
        <v>6.9860279441117034E-3</v>
      </c>
      <c r="F22" s="134">
        <f>'raw2'!M22</f>
        <v>11.766957999999173</v>
      </c>
      <c r="G22" s="134">
        <f>'raw2'!Q22</f>
        <v>496.33911037399974</v>
      </c>
      <c r="H22" s="135">
        <f>'raw2'!T22</f>
        <v>0</v>
      </c>
      <c r="I22" s="148">
        <f>'raw2'!U22</f>
        <v>3.5000000000000001E-3</v>
      </c>
      <c r="J22" s="149">
        <f>'raw2'!Z22</f>
        <v>0.40893676441252724</v>
      </c>
      <c r="K22" s="149">
        <f>'raw2'!AA22</f>
        <v>4.6525411172025466E-2</v>
      </c>
      <c r="L22" s="112">
        <f>'raw2'!AC22</f>
        <v>69740</v>
      </c>
      <c r="M22" s="113">
        <f>'raw2'!AD22</f>
        <v>98</v>
      </c>
    </row>
    <row r="23" spans="1:13">
      <c r="A23" s="100" t="s">
        <v>184</v>
      </c>
      <c r="B23" s="99" t="s">
        <v>121</v>
      </c>
      <c r="C23" s="94">
        <f>'raw2'!D23</f>
        <v>787.35134000000005</v>
      </c>
      <c r="D23" s="95">
        <f>'raw2'!G23</f>
        <v>8.9499999999999996E-3</v>
      </c>
      <c r="E23" s="96">
        <f>'raw2'!J23</f>
        <v>1.8337408312959131E-3</v>
      </c>
      <c r="F23" s="134">
        <f>'raw2'!M23</f>
        <v>1.307557999999972</v>
      </c>
      <c r="G23" s="134">
        <f>'raw2'!Q23</f>
        <v>36.657872339999926</v>
      </c>
      <c r="H23" s="135">
        <f>'raw2'!T23</f>
        <v>13.662262660000021</v>
      </c>
      <c r="I23" s="148">
        <f>'raw2'!U23</f>
        <v>4.0000000000000001E-3</v>
      </c>
      <c r="J23" s="149">
        <f>'raw2'!Z23</f>
        <v>0.17196996782266716</v>
      </c>
      <c r="K23" s="149">
        <f>'raw2'!AA23</f>
        <v>-2.3241954707985735E-2</v>
      </c>
      <c r="L23" s="112">
        <f>'raw2'!AC23</f>
        <v>13410</v>
      </c>
      <c r="M23" s="113">
        <f>'raw2'!AD23</f>
        <v>67</v>
      </c>
    </row>
    <row r="24" spans="1:13">
      <c r="A24" s="92" t="s">
        <v>104</v>
      </c>
      <c r="B24" s="102" t="s">
        <v>106</v>
      </c>
      <c r="C24" s="94">
        <f>'raw2'!D24</f>
        <v>773.14138000000003</v>
      </c>
      <c r="D24" s="95">
        <f>'raw2'!G24</f>
        <v>3.73E-2</v>
      </c>
      <c r="E24" s="96">
        <f>'raw2'!J24</f>
        <v>8.6103542234331164E-3</v>
      </c>
      <c r="F24" s="134">
        <f>'raw2'!M24</f>
        <v>0</v>
      </c>
      <c r="G24" s="134">
        <f>'raw2'!Q24</f>
        <v>161.68508947999985</v>
      </c>
      <c r="H24" s="135">
        <f>'raw2'!T24</f>
        <v>245.87580136339992</v>
      </c>
      <c r="I24" s="148">
        <f>'raw2'!U24</f>
        <v>4.8999999999999998E-3</v>
      </c>
      <c r="J24" s="149">
        <f>'raw2'!Z24</f>
        <v>0.28769220065400414</v>
      </c>
      <c r="K24" s="149">
        <f>'raw2'!AA24</f>
        <v>6.7974610502019583E-2</v>
      </c>
      <c r="L24" s="112">
        <f>'raw2'!AC24</f>
        <v>63180</v>
      </c>
      <c r="M24" s="113">
        <f>'raw2'!AD24</f>
        <v>61</v>
      </c>
    </row>
    <row r="25" spans="1:13">
      <c r="A25" s="103" t="s">
        <v>185</v>
      </c>
      <c r="B25" s="104" t="s">
        <v>115</v>
      </c>
      <c r="C25" s="94">
        <f>'raw2'!D25</f>
        <v>301.81130000000002</v>
      </c>
      <c r="D25" s="95">
        <f>'raw2'!G25</f>
        <v>5.2789999999999997E-2</v>
      </c>
      <c r="E25" s="96">
        <f>'raw2'!J25</f>
        <v>-1.3745704467354879E-3</v>
      </c>
      <c r="F25" s="134">
        <f>'raw2'!M25</f>
        <v>0</v>
      </c>
      <c r="G25" s="134">
        <f>'raw2'!Q25</f>
        <v>13.580817519999988</v>
      </c>
      <c r="H25" s="135">
        <f>'raw2'!T25</f>
        <v>36.713548884600002</v>
      </c>
      <c r="I25" s="148">
        <f>'raw2'!U25</f>
        <v>5.7000000000000002E-3</v>
      </c>
      <c r="J25" s="149">
        <f>'raw2'!Z25</f>
        <v>0.14861660079051364</v>
      </c>
      <c r="K25" s="149">
        <f>'raw2'!AA25</f>
        <v>-2.7443105756358777E-2</v>
      </c>
      <c r="L25" s="112">
        <f>'raw2'!AC25</f>
        <v>52180</v>
      </c>
      <c r="M25" s="113">
        <f>'raw2'!AD25</f>
        <v>42</v>
      </c>
    </row>
    <row r="26" spans="1:13" ht="14.5" thickBot="1">
      <c r="A26" s="201" t="s">
        <v>122</v>
      </c>
      <c r="B26" s="200" t="s">
        <v>124</v>
      </c>
      <c r="C26" s="94">
        <f>'raw2'!D26</f>
        <v>77.358260000000001</v>
      </c>
      <c r="D26" s="95">
        <f>'raw2'!G26</f>
        <v>0</v>
      </c>
      <c r="E26" s="96">
        <f>'raw2'!J26</f>
        <v>7.537635540583211E-2</v>
      </c>
      <c r="F26" s="134">
        <f>'raw2'!M26</f>
        <v>0</v>
      </c>
      <c r="G26" s="134">
        <f>'raw2'!Q26</f>
        <v>20.291134799999998</v>
      </c>
      <c r="H26" s="135">
        <f>'raw2'!T26</f>
        <v>0</v>
      </c>
      <c r="I26" s="148">
        <f>'raw2'!U26</f>
        <v>5.0000000000000001E-3</v>
      </c>
      <c r="J26" s="149">
        <f>'raw2'!Z26</f>
        <v>0.1112808460634549</v>
      </c>
      <c r="K26" s="149">
        <f>'raw2'!AA26</f>
        <v>-7.4204601076847676E-2</v>
      </c>
      <c r="L26" s="112">
        <f>'raw2'!AC26</f>
        <v>0</v>
      </c>
      <c r="M26" s="113">
        <f>'raw2'!AD26</f>
        <v>42</v>
      </c>
    </row>
    <row r="27" spans="1:13">
      <c r="A27" s="145">
        <v>45870</v>
      </c>
      <c r="F27" s="143"/>
      <c r="G27" s="143"/>
      <c r="H27" s="144"/>
      <c r="J27" s="153"/>
      <c r="K27" s="153"/>
      <c r="L27" s="88"/>
    </row>
    <row r="28" spans="1:13">
      <c r="A28" s="145">
        <v>45869</v>
      </c>
      <c r="F28" s="143"/>
      <c r="G28" s="143"/>
      <c r="H28" s="144"/>
      <c r="J28" s="153"/>
      <c r="K28" s="153"/>
      <c r="L28" s="88"/>
    </row>
    <row r="29" spans="1:13">
      <c r="A29" s="145">
        <v>45657</v>
      </c>
    </row>
    <row r="30" spans="1:13">
      <c r="A30" s="145">
        <v>45289</v>
      </c>
    </row>
    <row r="31" spans="1:13">
      <c r="A31" s="145"/>
    </row>
  </sheetData>
  <phoneticPr fontId="24" type="noConversion"/>
  <conditionalFormatting sqref="E2:E26">
    <cfRule type="dataBar" priority="1">
      <dataBar>
        <cfvo type="min"/>
        <cfvo type="max"/>
        <color rgb="FF63C384"/>
      </dataBar>
      <extLst>
        <ext xmlns:x14="http://schemas.microsoft.com/office/spreadsheetml/2009/9/main" uri="{B025F937-C7B1-47D3-B67F-A62EFF666E3E}">
          <x14:id>{8238C597-F5DE-4E26-AA41-A076CB99CF75}</x14:id>
        </ext>
      </extLst>
    </cfRule>
  </conditionalFormatting>
  <conditionalFormatting sqref="F2:F26">
    <cfRule type="dataBar" priority="2">
      <dataBar>
        <cfvo type="min"/>
        <cfvo type="max"/>
        <color rgb="FF63C384"/>
      </dataBar>
      <extLst>
        <ext xmlns:x14="http://schemas.microsoft.com/office/spreadsheetml/2009/9/main" uri="{B025F937-C7B1-47D3-B67F-A62EFF666E3E}">
          <x14:id>{97BD2B8D-240D-4F2A-899B-39B35FE3FE14}</x14:id>
        </ext>
      </extLst>
    </cfRule>
  </conditionalFormatting>
  <conditionalFormatting sqref="G2:G26">
    <cfRule type="dataBar" priority="3">
      <dataBar>
        <cfvo type="min"/>
        <cfvo type="max"/>
        <color rgb="FF63C384"/>
      </dataBar>
      <extLst>
        <ext xmlns:x14="http://schemas.microsoft.com/office/spreadsheetml/2009/9/main" uri="{B025F937-C7B1-47D3-B67F-A62EFF666E3E}">
          <x14:id>{E0459518-BFF6-4793-A614-7F1549EA5BB6}</x14:id>
        </ext>
      </extLst>
    </cfRule>
  </conditionalFormatting>
  <conditionalFormatting sqref="H2:H26">
    <cfRule type="dataBar" priority="4">
      <dataBar>
        <cfvo type="min"/>
        <cfvo type="max"/>
        <color rgb="FF63C384"/>
      </dataBar>
      <extLst>
        <ext xmlns:x14="http://schemas.microsoft.com/office/spreadsheetml/2009/9/main" uri="{B025F937-C7B1-47D3-B67F-A62EFF666E3E}">
          <x14:id>{B6BD67A0-C9BB-41E7-8CA0-DED78B65CE55}</x14:id>
        </ext>
      </extLst>
    </cfRule>
  </conditionalFormatting>
  <conditionalFormatting sqref="I2:I26">
    <cfRule type="dataBar" priority="5">
      <dataBar>
        <cfvo type="min"/>
        <cfvo type="max"/>
        <color rgb="FF63C384"/>
      </dataBar>
      <extLst>
        <ext xmlns:x14="http://schemas.microsoft.com/office/spreadsheetml/2009/9/main" uri="{B025F937-C7B1-47D3-B67F-A62EFF666E3E}">
          <x14:id>{D3EB94C9-F3DE-4F48-B969-3951B5AE8769}</x14:id>
        </ext>
      </extLst>
    </cfRule>
  </conditionalFormatting>
  <conditionalFormatting sqref="J2:J26">
    <cfRule type="dataBar" priority="6">
      <dataBar>
        <cfvo type="min"/>
        <cfvo type="max"/>
        <color rgb="FF63C384"/>
      </dataBar>
      <extLst>
        <ext xmlns:x14="http://schemas.microsoft.com/office/spreadsheetml/2009/9/main" uri="{B025F937-C7B1-47D3-B67F-A62EFF666E3E}">
          <x14:id>{C7E09E45-1E58-4A6E-97F5-C591FFBADDC3}</x14:id>
        </ext>
      </extLst>
    </cfRule>
  </conditionalFormatting>
  <conditionalFormatting sqref="K2:K26">
    <cfRule type="dataBar" priority="7">
      <dataBar>
        <cfvo type="min"/>
        <cfvo type="max"/>
        <color rgb="FF63C384"/>
      </dataBar>
      <extLst>
        <ext xmlns:x14="http://schemas.microsoft.com/office/spreadsheetml/2009/9/main" uri="{B025F937-C7B1-47D3-B67F-A62EFF666E3E}">
          <x14:id>{556EF821-6605-49E0-B58B-1CF7144A524E}</x14:id>
        </ext>
      </extLst>
    </cfRule>
  </conditionalFormatting>
  <pageMargins left="0.7" right="0.7" top="0.75" bottom="0.75" header="0.3" footer="0.3"/>
  <pageSetup paperSize="9" orientation="portrait"/>
  <extLst>
    <ext xmlns:x14="http://schemas.microsoft.com/office/spreadsheetml/2009/9/main" uri="{78C0D931-6437-407d-A8EE-F0AAD7539E65}">
      <x14:conditionalFormattings>
        <x14:conditionalFormatting xmlns:xm="http://schemas.microsoft.com/office/excel/2006/main">
          <x14:cfRule type="dataBar" id="{8238C597-F5DE-4E26-AA41-A076CB99CF75}">
            <x14:dataBar minLength="0" maxLength="100" gradient="0">
              <x14:cfvo type="autoMin"/>
              <x14:cfvo type="autoMax"/>
              <x14:negativeFillColor rgb="FFFF0000"/>
              <x14:axisColor rgb="FF000000"/>
            </x14:dataBar>
          </x14:cfRule>
          <xm:sqref>E2:E26</xm:sqref>
        </x14:conditionalFormatting>
        <x14:conditionalFormatting xmlns:xm="http://schemas.microsoft.com/office/excel/2006/main">
          <x14:cfRule type="dataBar" id="{97BD2B8D-240D-4F2A-899B-39B35FE3FE14}">
            <x14:dataBar minLength="0" maxLength="100" gradient="0">
              <x14:cfvo type="autoMin"/>
              <x14:cfvo type="autoMax"/>
              <x14:negativeFillColor rgb="FFFF0000"/>
              <x14:axisColor rgb="FF000000"/>
            </x14:dataBar>
          </x14:cfRule>
          <xm:sqref>F2:F26</xm:sqref>
        </x14:conditionalFormatting>
        <x14:conditionalFormatting xmlns:xm="http://schemas.microsoft.com/office/excel/2006/main">
          <x14:cfRule type="dataBar" id="{E0459518-BFF6-4793-A614-7F1549EA5BB6}">
            <x14:dataBar minLength="0" maxLength="100" gradient="0">
              <x14:cfvo type="autoMin"/>
              <x14:cfvo type="autoMax"/>
              <x14:negativeFillColor rgb="FFFF0000"/>
              <x14:axisColor rgb="FF000000"/>
            </x14:dataBar>
          </x14:cfRule>
          <xm:sqref>G2:G26</xm:sqref>
        </x14:conditionalFormatting>
        <x14:conditionalFormatting xmlns:xm="http://schemas.microsoft.com/office/excel/2006/main">
          <x14:cfRule type="dataBar" id="{B6BD67A0-C9BB-41E7-8CA0-DED78B65CE55}">
            <x14:dataBar minLength="0" maxLength="100" gradient="0">
              <x14:cfvo type="autoMin"/>
              <x14:cfvo type="autoMax"/>
              <x14:negativeFillColor rgb="FFFF0000"/>
              <x14:axisColor rgb="FF000000"/>
            </x14:dataBar>
          </x14:cfRule>
          <xm:sqref>H2:H26</xm:sqref>
        </x14:conditionalFormatting>
        <x14:conditionalFormatting xmlns:xm="http://schemas.microsoft.com/office/excel/2006/main">
          <x14:cfRule type="dataBar" id="{D3EB94C9-F3DE-4F48-B969-3951B5AE8769}">
            <x14:dataBar minLength="0" maxLength="100" gradient="0">
              <x14:cfvo type="autoMin"/>
              <x14:cfvo type="autoMax"/>
              <x14:negativeFillColor rgb="FFFF0000"/>
              <x14:axisColor rgb="FF000000"/>
            </x14:dataBar>
          </x14:cfRule>
          <xm:sqref>I2:I26</xm:sqref>
        </x14:conditionalFormatting>
        <x14:conditionalFormatting xmlns:xm="http://schemas.microsoft.com/office/excel/2006/main">
          <x14:cfRule type="dataBar" id="{C7E09E45-1E58-4A6E-97F5-C591FFBADDC3}">
            <x14:dataBar minLength="0" maxLength="100" gradient="0">
              <x14:cfvo type="autoMin"/>
              <x14:cfvo type="autoMax"/>
              <x14:negativeFillColor rgb="FFFF0000"/>
              <x14:axisColor rgb="FF000000"/>
            </x14:dataBar>
          </x14:cfRule>
          <xm:sqref>J2:J26</xm:sqref>
        </x14:conditionalFormatting>
        <x14:conditionalFormatting xmlns:xm="http://schemas.microsoft.com/office/excel/2006/main">
          <x14:cfRule type="dataBar" id="{556EF821-6605-49E0-B58B-1CF7144A524E}">
            <x14:dataBar minLength="0" maxLength="100" gradient="0">
              <x14:cfvo type="autoMin"/>
              <x14:cfvo type="autoMax"/>
              <x14:negativeFillColor rgb="FFFF0000"/>
              <x14:axisColor rgb="FF000000"/>
            </x14:dataBar>
          </x14:cfRule>
          <xm:sqref>K2:K26</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M20"/>
  <sheetViews>
    <sheetView zoomScale="85" zoomScaleNormal="130" workbookViewId="0">
      <selection activeCell="F46" sqref="F46"/>
    </sheetView>
  </sheetViews>
  <sheetFormatPr defaultColWidth="9" defaultRowHeight="14"/>
  <cols>
    <col min="3" max="11" width="9.08203125" bestFit="1" customWidth="1"/>
    <col min="12" max="12" width="10.5" bestFit="1" customWidth="1"/>
    <col min="13" max="13" width="9.08203125" bestFit="1" customWidth="1"/>
  </cols>
  <sheetData>
    <row r="1" spans="1:13">
      <c r="K1" s="19" t="s">
        <v>186</v>
      </c>
    </row>
    <row r="2" spans="1:13" s="91" customFormat="1">
      <c r="A2" s="92" t="s">
        <v>93</v>
      </c>
      <c r="B2" s="99" t="s">
        <v>95</v>
      </c>
      <c r="C2" s="94">
        <v>331.78750000000002</v>
      </c>
      <c r="D2" s="95">
        <v>0.18883</v>
      </c>
      <c r="E2" s="96">
        <v>-6.5870728694936249E-3</v>
      </c>
      <c r="F2" s="97">
        <v>0</v>
      </c>
      <c r="G2" s="97">
        <v>51.857106557377023</v>
      </c>
      <c r="H2" s="98">
        <v>179.1239358288768</v>
      </c>
      <c r="I2" s="110">
        <v>7.4999999999999997E-3</v>
      </c>
      <c r="J2" s="114">
        <v>0.86275947784065021</v>
      </c>
      <c r="K2" s="114">
        <v>0.19278299555116152</v>
      </c>
      <c r="L2" s="112">
        <v>102161.363636364</v>
      </c>
      <c r="M2" s="113">
        <v>47</v>
      </c>
    </row>
    <row r="3" spans="1:13" s="91" customFormat="1">
      <c r="A3" s="92" t="s">
        <v>102</v>
      </c>
      <c r="B3" s="93" t="s">
        <v>103</v>
      </c>
      <c r="C3" s="94">
        <v>19.549880000000002</v>
      </c>
      <c r="D3" s="95">
        <v>1.2482999999999999E-2</v>
      </c>
      <c r="E3" s="96">
        <v>-2.7779563096742817E-3</v>
      </c>
      <c r="F3" s="97">
        <v>0</v>
      </c>
      <c r="G3" s="97">
        <v>16.08713114754098</v>
      </c>
      <c r="H3" s="98">
        <v>16.773489361702147</v>
      </c>
      <c r="I3" s="110">
        <v>7.4999999999999997E-3</v>
      </c>
      <c r="J3" s="111" t="e">
        <v>#DIV/0!</v>
      </c>
      <c r="K3" s="111">
        <v>0.17086954516679453</v>
      </c>
      <c r="L3" s="112">
        <v>18412.4545454545</v>
      </c>
      <c r="M3" s="113">
        <v>83</v>
      </c>
    </row>
    <row r="4" spans="1:13" s="91" customFormat="1">
      <c r="A4" s="92" t="s">
        <v>178</v>
      </c>
      <c r="B4" s="99" t="s">
        <v>98</v>
      </c>
      <c r="C4" s="94">
        <v>98.142301000000003</v>
      </c>
      <c r="D4" s="95">
        <v>7.0990000000000003E-3</v>
      </c>
      <c r="E4" s="96">
        <v>-5.6704064115469252E-3</v>
      </c>
      <c r="F4" s="97">
        <v>0</v>
      </c>
      <c r="G4" s="97">
        <v>18.573180327868851</v>
      </c>
      <c r="H4" s="98">
        <v>27.092205882352932</v>
      </c>
      <c r="I4" s="110">
        <v>7.0000000000000001E-3</v>
      </c>
      <c r="J4" s="111">
        <v>0.40053063116339294</v>
      </c>
      <c r="K4" s="111">
        <v>0.14990026770248299</v>
      </c>
      <c r="L4" s="112">
        <v>6215.3636363636406</v>
      </c>
      <c r="M4" s="113">
        <v>31</v>
      </c>
    </row>
    <row r="5" spans="1:13" s="91" customFormat="1">
      <c r="A5" s="100" t="s">
        <v>177</v>
      </c>
      <c r="B5" s="99" t="s">
        <v>101</v>
      </c>
      <c r="C5" s="94">
        <v>34.743929999999999</v>
      </c>
      <c r="D5" s="95">
        <v>2.9269999999999999E-3</v>
      </c>
      <c r="E5" s="96">
        <v>6.6327683615819578E-3</v>
      </c>
      <c r="F5" s="97">
        <v>0</v>
      </c>
      <c r="G5" s="97">
        <v>-3.5351778688524615</v>
      </c>
      <c r="H5" s="98">
        <v>-6.9771417112299394</v>
      </c>
      <c r="I5" s="110">
        <v>6.7999999999999996E-3</v>
      </c>
      <c r="J5" s="111">
        <v>0.16573673273908285</v>
      </c>
      <c r="K5" s="111">
        <v>0.14277394659606357</v>
      </c>
      <c r="L5" s="112">
        <v>5802.5</v>
      </c>
      <c r="M5" s="113">
        <v>24</v>
      </c>
    </row>
    <row r="6" spans="1:13">
      <c r="A6" s="92" t="s">
        <v>26</v>
      </c>
      <c r="B6" s="93" t="s">
        <v>28</v>
      </c>
      <c r="C6" s="94">
        <v>3628.7679870000002</v>
      </c>
      <c r="D6" s="95">
        <v>1.0030049999999999</v>
      </c>
      <c r="E6" s="96">
        <v>-2.5298988040478253E-3</v>
      </c>
      <c r="F6" s="97">
        <v>13.916799999999704</v>
      </c>
      <c r="G6" s="97">
        <v>628.584909836066</v>
      </c>
      <c r="H6" s="98">
        <v>1989.5209315508023</v>
      </c>
      <c r="I6" s="110">
        <v>6.7999999999999996E-3</v>
      </c>
      <c r="J6" s="111">
        <v>0.39095574085952522</v>
      </c>
      <c r="K6" s="111">
        <v>0.12241200828157339</v>
      </c>
      <c r="L6" s="112">
        <v>637502.318181818</v>
      </c>
      <c r="M6" s="113">
        <v>86</v>
      </c>
    </row>
    <row r="7" spans="1:13" s="91" customFormat="1">
      <c r="A7" s="92" t="s">
        <v>87</v>
      </c>
      <c r="B7" s="99" t="s">
        <v>89</v>
      </c>
      <c r="C7" s="94">
        <v>196.488</v>
      </c>
      <c r="D7" s="95">
        <v>1.8738999999999999E-2</v>
      </c>
      <c r="E7" s="96">
        <v>0</v>
      </c>
      <c r="F7" s="97">
        <v>0</v>
      </c>
      <c r="G7" s="97">
        <v>27.030786885245892</v>
      </c>
      <c r="H7" s="98">
        <v>23.061363636363652</v>
      </c>
      <c r="I7" s="110">
        <v>6.7999999999999996E-3</v>
      </c>
      <c r="J7" s="111">
        <v>0.32345631115044671</v>
      </c>
      <c r="K7" s="111">
        <v>0.1138775510204082</v>
      </c>
      <c r="L7" s="112">
        <v>18024.090909090901</v>
      </c>
      <c r="M7" s="113">
        <v>62</v>
      </c>
    </row>
    <row r="8" spans="1:13" s="91" customFormat="1" ht="13" customHeight="1">
      <c r="A8" s="92" t="s">
        <v>179</v>
      </c>
      <c r="B8" s="99" t="s">
        <v>86</v>
      </c>
      <c r="C8" s="94">
        <v>209.066</v>
      </c>
      <c r="D8" s="95">
        <v>6.3648999999999997E-2</v>
      </c>
      <c r="E8" s="96">
        <v>-4.5045045045046268E-3</v>
      </c>
      <c r="F8" s="97">
        <v>0</v>
      </c>
      <c r="G8" s="97">
        <v>-12.892475409836033</v>
      </c>
      <c r="H8" s="98">
        <v>-19.755072192513392</v>
      </c>
      <c r="I8" s="110">
        <v>4.4999999999999997E-3</v>
      </c>
      <c r="J8" s="111">
        <v>0.17496375060415637</v>
      </c>
      <c r="K8" s="111">
        <v>0.10499999999999998</v>
      </c>
      <c r="L8" s="112">
        <v>45535.863636363596</v>
      </c>
      <c r="M8" s="113">
        <v>81</v>
      </c>
    </row>
    <row r="9" spans="1:13" s="91" customFormat="1">
      <c r="A9" s="92" t="s">
        <v>90</v>
      </c>
      <c r="B9" s="102" t="s">
        <v>92</v>
      </c>
      <c r="C9" s="94">
        <v>182.38144399999999</v>
      </c>
      <c r="D9" s="95">
        <v>2.5656999999999999E-2</v>
      </c>
      <c r="E9" s="96">
        <v>7.2501294665976478E-3</v>
      </c>
      <c r="F9" s="97">
        <v>0</v>
      </c>
      <c r="G9" s="97">
        <v>3.4717049180328083</v>
      </c>
      <c r="H9" s="98">
        <v>29.828286096256722</v>
      </c>
      <c r="I9" s="110">
        <v>5.0000000000000001E-3</v>
      </c>
      <c r="J9" s="111">
        <v>0.52446790583569447</v>
      </c>
      <c r="K9" s="111">
        <v>0.10042432814710045</v>
      </c>
      <c r="L9" s="112">
        <v>18963.5</v>
      </c>
      <c r="M9" s="113">
        <v>47</v>
      </c>
    </row>
    <row r="10" spans="1:13" s="91" customFormat="1">
      <c r="A10" s="100" t="s">
        <v>182</v>
      </c>
      <c r="B10" s="102" t="s">
        <v>78</v>
      </c>
      <c r="C10" s="94">
        <v>1083.056</v>
      </c>
      <c r="D10" s="95">
        <v>0.21040800000000001</v>
      </c>
      <c r="E10" s="96">
        <v>-1.7194792434291398E-3</v>
      </c>
      <c r="F10" s="97">
        <v>0</v>
      </c>
      <c r="G10" s="97">
        <v>260.61313524590167</v>
      </c>
      <c r="H10" s="98">
        <v>321.13279411764694</v>
      </c>
      <c r="I10" s="110">
        <v>4.7000000000000002E-3</v>
      </c>
      <c r="J10" s="114">
        <v>0.17797101449275354</v>
      </c>
      <c r="K10" s="114">
        <v>9.6304289182627567E-2</v>
      </c>
      <c r="L10" s="112">
        <v>258828.727272727</v>
      </c>
      <c r="M10" s="113">
        <v>112</v>
      </c>
    </row>
    <row r="11" spans="1:13" s="91" customFormat="1">
      <c r="A11" s="92" t="s">
        <v>107</v>
      </c>
      <c r="B11" s="99" t="s">
        <v>109</v>
      </c>
      <c r="C11" s="94">
        <v>3369.5079150000001</v>
      </c>
      <c r="D11" s="95">
        <v>4.8835999999999997E-2</v>
      </c>
      <c r="E11" s="96">
        <v>1.0720268006700177E-2</v>
      </c>
      <c r="F11" s="97">
        <v>0</v>
      </c>
      <c r="G11" s="97">
        <v>-500.04117285408569</v>
      </c>
      <c r="H11" s="98">
        <v>-347.79114401684149</v>
      </c>
      <c r="I11" s="110">
        <v>4.0000000000000001E-3</v>
      </c>
      <c r="J11" s="114">
        <v>0.14714828897338417</v>
      </c>
      <c r="K11" s="114">
        <v>8.7207207207207205E-2</v>
      </c>
      <c r="L11" s="112">
        <v>62005.826086956498</v>
      </c>
      <c r="M11" s="113">
        <v>154</v>
      </c>
    </row>
    <row r="12" spans="1:13" s="91" customFormat="1">
      <c r="A12" s="92" t="s">
        <v>180</v>
      </c>
      <c r="B12" s="93" t="s">
        <v>84</v>
      </c>
      <c r="C12" s="94">
        <v>480.19549999999998</v>
      </c>
      <c r="D12" s="95">
        <v>6.6269999999999996E-2</v>
      </c>
      <c r="E12" s="96">
        <v>5.3508952459353359E-3</v>
      </c>
      <c r="F12" s="97">
        <v>0</v>
      </c>
      <c r="G12" s="97">
        <v>36.765469241229518</v>
      </c>
      <c r="H12" s="98">
        <v>225.7021089036096</v>
      </c>
      <c r="I12" s="110">
        <v>6.0000000000000001E-3</v>
      </c>
      <c r="J12" s="111">
        <v>0.26521626521626529</v>
      </c>
      <c r="K12" s="111">
        <v>8.0035374751271426E-2</v>
      </c>
      <c r="L12" s="112">
        <v>63433.863636363596</v>
      </c>
      <c r="M12" s="113">
        <v>102</v>
      </c>
    </row>
    <row r="13" spans="1:13" s="91" customFormat="1">
      <c r="A13" s="92" t="s">
        <v>181</v>
      </c>
      <c r="B13" s="99" t="s">
        <v>81</v>
      </c>
      <c r="C13" s="94">
        <v>495.22409599999997</v>
      </c>
      <c r="D13" s="95">
        <v>4.7142000000000003E-2</v>
      </c>
      <c r="E13" s="96">
        <v>1.24947938359007E-3</v>
      </c>
      <c r="F13" s="97">
        <v>0</v>
      </c>
      <c r="G13" s="97">
        <v>19.853889344262285</v>
      </c>
      <c r="H13" s="98">
        <v>-21.9337165775401</v>
      </c>
      <c r="I13" s="110">
        <v>6.4999999999999997E-3</v>
      </c>
      <c r="J13" s="111">
        <v>5.6007028332967224E-2</v>
      </c>
      <c r="K13" s="111">
        <v>6.7495559502664282E-2</v>
      </c>
      <c r="L13" s="112">
        <v>46914.409090909096</v>
      </c>
      <c r="M13" s="113">
        <v>110</v>
      </c>
    </row>
    <row r="14" spans="1:13" s="91" customFormat="1">
      <c r="A14" s="92" t="s">
        <v>33</v>
      </c>
      <c r="B14" s="99" t="s">
        <v>35</v>
      </c>
      <c r="C14" s="94">
        <v>2700.1356000000001</v>
      </c>
      <c r="D14" s="95">
        <v>0.93211699999999997</v>
      </c>
      <c r="E14" s="96">
        <v>7.4349442379182768E-3</v>
      </c>
      <c r="F14" s="97">
        <v>0</v>
      </c>
      <c r="G14" s="97">
        <v>67.697028688524441</v>
      </c>
      <c r="H14" s="98">
        <v>-124.89659625668443</v>
      </c>
      <c r="I14" s="110">
        <v>6.8999999999999999E-3</v>
      </c>
      <c r="J14" s="111">
        <v>0.14105263157894754</v>
      </c>
      <c r="K14" s="111">
        <v>1.7840375586854584E-2</v>
      </c>
      <c r="L14" s="112">
        <v>618093.40909090906</v>
      </c>
      <c r="M14" s="113">
        <v>43</v>
      </c>
    </row>
    <row r="15" spans="1:13" s="91" customFormat="1">
      <c r="A15" s="92" t="s">
        <v>183</v>
      </c>
      <c r="B15" s="102" t="s">
        <v>118</v>
      </c>
      <c r="C15" s="94">
        <v>705.02478699999995</v>
      </c>
      <c r="D15" s="95">
        <v>6.0241000000000003E-2</v>
      </c>
      <c r="E15" s="96">
        <v>8.9541958443346802E-3</v>
      </c>
      <c r="F15" s="97">
        <v>1.7581986000000251</v>
      </c>
      <c r="G15" s="97">
        <v>121.65464152816983</v>
      </c>
      <c r="H15" s="98">
        <v>208.35232256413801</v>
      </c>
      <c r="I15" s="110">
        <v>4.8999999999999998E-3</v>
      </c>
      <c r="J15" s="111">
        <v>0.22298754609336946</v>
      </c>
      <c r="K15" s="111">
        <v>1.4310444316214754E-2</v>
      </c>
      <c r="L15" s="112">
        <v>59998.173913043494</v>
      </c>
      <c r="M15" s="113">
        <v>61</v>
      </c>
    </row>
    <row r="16" spans="1:13" s="91" customFormat="1">
      <c r="A16" s="100" t="s">
        <v>110</v>
      </c>
      <c r="B16" s="99" t="s">
        <v>112</v>
      </c>
      <c r="C16" s="94">
        <v>4541.4034940000001</v>
      </c>
      <c r="D16" s="95">
        <v>5.3331000000000003E-2</v>
      </c>
      <c r="E16" s="96">
        <v>5.2941176470588155E-3</v>
      </c>
      <c r="F16" s="97">
        <v>0</v>
      </c>
      <c r="G16" s="101">
        <v>261.66300812861687</v>
      </c>
      <c r="H16" s="98">
        <v>0</v>
      </c>
      <c r="I16" s="110">
        <v>3.5000000000000001E-3</v>
      </c>
      <c r="J16" s="111">
        <v>0.36365449830440855</v>
      </c>
      <c r="K16" s="111">
        <v>1.2890798636835177E-2</v>
      </c>
      <c r="L16" s="112">
        <v>37601.9130434783</v>
      </c>
      <c r="M16" s="113">
        <v>98</v>
      </c>
    </row>
    <row r="17" spans="1:13" s="91" customFormat="1">
      <c r="A17" s="103" t="s">
        <v>184</v>
      </c>
      <c r="B17" s="104" t="s">
        <v>121</v>
      </c>
      <c r="C17" s="94">
        <v>286.76619399999998</v>
      </c>
      <c r="D17" s="95">
        <v>3.2723000000000002E-2</v>
      </c>
      <c r="E17" s="96">
        <v>1.9354838709677517E-2</v>
      </c>
      <c r="F17" s="97">
        <v>0</v>
      </c>
      <c r="G17" s="97">
        <v>8.0369586800653998</v>
      </c>
      <c r="H17" s="98">
        <v>31.121240727275609</v>
      </c>
      <c r="I17" s="110">
        <v>5.7000000000000002E-3</v>
      </c>
      <c r="J17" s="111">
        <v>0.12411067193675884</v>
      </c>
      <c r="K17" s="111">
        <v>-4.8192771084337283E-2</v>
      </c>
      <c r="L17" s="112">
        <v>43557.863636363603</v>
      </c>
      <c r="M17" s="113">
        <v>42</v>
      </c>
    </row>
    <row r="18" spans="1:13" s="91" customFormat="1">
      <c r="A18" s="92" t="s">
        <v>104</v>
      </c>
      <c r="B18" s="99" t="s">
        <v>106</v>
      </c>
      <c r="C18" s="94">
        <v>29.4831</v>
      </c>
      <c r="D18" s="95">
        <v>5.0325000000000002E-2</v>
      </c>
      <c r="E18" s="96">
        <v>2.6491912994980162E-3</v>
      </c>
      <c r="F18" s="97">
        <v>0</v>
      </c>
      <c r="G18" s="97">
        <v>9.48247540983607</v>
      </c>
      <c r="H18" s="98">
        <v>23.563251336898389</v>
      </c>
      <c r="I18" s="110">
        <v>3.5000000000000001E-3</v>
      </c>
      <c r="J18" s="111">
        <v>0.41538958150447391</v>
      </c>
      <c r="K18" s="111">
        <v>-6.2939796716184548E-2</v>
      </c>
      <c r="L18" s="112">
        <v>10194.8181818182</v>
      </c>
      <c r="M18" s="113">
        <v>41</v>
      </c>
    </row>
    <row r="19" spans="1:13" s="91" customFormat="1">
      <c r="A19" s="100" t="s">
        <v>185</v>
      </c>
      <c r="B19" s="99" t="s">
        <v>115</v>
      </c>
      <c r="C19" s="94">
        <v>740.16178400000001</v>
      </c>
      <c r="D19" s="95">
        <v>1.3558000000000001E-2</v>
      </c>
      <c r="E19" s="96">
        <v>3.8816108685104642E-3</v>
      </c>
      <c r="F19" s="97">
        <v>1.2429480000000839</v>
      </c>
      <c r="G19" s="101">
        <v>30.064218304068365</v>
      </c>
      <c r="H19" s="98">
        <v>8.0545399875001049</v>
      </c>
      <c r="I19" s="110">
        <v>4.0000000000000001E-3</v>
      </c>
      <c r="J19" s="111">
        <v>0.10958169467286383</v>
      </c>
      <c r="K19" s="111">
        <v>-7.5238379022646074E-2</v>
      </c>
      <c r="L19" s="112">
        <v>12157.347826087</v>
      </c>
      <c r="M19" s="113">
        <v>67</v>
      </c>
    </row>
    <row r="20" spans="1:13" s="91" customFormat="1">
      <c r="A20" s="201" t="s">
        <v>122</v>
      </c>
      <c r="B20" s="200" t="s">
        <v>124</v>
      </c>
      <c r="C20" s="105">
        <v>63.268099999999997</v>
      </c>
      <c r="D20" s="106">
        <v>0</v>
      </c>
      <c r="E20" s="107">
        <v>0.14633598922679839</v>
      </c>
      <c r="F20" s="108">
        <v>0</v>
      </c>
      <c r="G20" s="108">
        <v>10.238646290380197</v>
      </c>
      <c r="H20" s="109">
        <v>0</v>
      </c>
      <c r="I20" s="115">
        <v>5.0000000000000001E-3</v>
      </c>
      <c r="J20" s="202">
        <v>4.7121034077555857E-2</v>
      </c>
      <c r="K20" s="202">
        <v>-0.12765540871267744</v>
      </c>
      <c r="L20" s="116">
        <v>0</v>
      </c>
      <c r="M20" s="117">
        <v>42</v>
      </c>
    </row>
  </sheetData>
  <sortState xmlns:xlrd2="http://schemas.microsoft.com/office/spreadsheetml/2017/richdata2" ref="A1:M20">
    <sortCondition descending="1" ref="K1:K20"/>
  </sortState>
  <phoneticPr fontId="24" type="noConversion"/>
  <conditionalFormatting sqref="F2:F19">
    <cfRule type="dataBar" priority="2">
      <dataBar>
        <cfvo type="min"/>
        <cfvo type="max"/>
        <color theme="9" tint="0.39704580828272346"/>
      </dataBar>
      <extLst>
        <ext xmlns:x14="http://schemas.microsoft.com/office/spreadsheetml/2009/9/main" uri="{B025F937-C7B1-47D3-B67F-A62EFF666E3E}">
          <x14:id>{4AB30015-D815-48FC-A88A-F6BAF2654964}</x14:id>
        </ext>
      </extLst>
    </cfRule>
  </conditionalFormatting>
  <conditionalFormatting sqref="G2:G19">
    <cfRule type="dataBar" priority="3">
      <dataBar>
        <cfvo type="min"/>
        <cfvo type="max"/>
        <color theme="9" tint="0.39704580828272346"/>
      </dataBar>
      <extLst>
        <ext xmlns:x14="http://schemas.microsoft.com/office/spreadsheetml/2009/9/main" uri="{B025F937-C7B1-47D3-B67F-A62EFF666E3E}">
          <x14:id>{F8095973-7BB4-4015-B139-4AFD0C442F52}</x14:id>
        </ext>
      </extLst>
    </cfRule>
  </conditionalFormatting>
  <conditionalFormatting sqref="H2:H19">
    <cfRule type="dataBar" priority="4">
      <dataBar>
        <cfvo type="min"/>
        <cfvo type="max"/>
        <color theme="9" tint="0.39704580828272346"/>
      </dataBar>
      <extLst>
        <ext xmlns:x14="http://schemas.microsoft.com/office/spreadsheetml/2009/9/main" uri="{B025F937-C7B1-47D3-B67F-A62EFF666E3E}">
          <x14:id>{865BC888-CEF8-4168-AF42-DC0BA4A38515}</x14:id>
        </ext>
      </extLst>
    </cfRule>
  </conditionalFormatting>
  <conditionalFormatting sqref="J2:J19">
    <cfRule type="dataBar" priority="5">
      <dataBar>
        <cfvo type="min"/>
        <cfvo type="max"/>
        <color theme="9" tint="0.39704580828272346"/>
      </dataBar>
      <extLst>
        <ext xmlns:x14="http://schemas.microsoft.com/office/spreadsheetml/2009/9/main" uri="{B025F937-C7B1-47D3-B67F-A62EFF666E3E}">
          <x14:id>{21D90216-D881-4278-9B53-69980CA15825}</x14:id>
        </ext>
      </extLst>
    </cfRule>
  </conditionalFormatting>
  <conditionalFormatting sqref="J20">
    <cfRule type="dataBar" priority="1">
      <dataBar>
        <cfvo type="min"/>
        <cfvo type="max"/>
        <color theme="9" tint="0.39704580828272346"/>
      </dataBar>
      <extLst>
        <ext xmlns:x14="http://schemas.microsoft.com/office/spreadsheetml/2009/9/main" uri="{B025F937-C7B1-47D3-B67F-A62EFF666E3E}">
          <x14:id>{BC119AFB-61AC-4F88-A376-09A1E48F065A}</x14:id>
        </ext>
      </extLst>
    </cfRule>
  </conditionalFormatting>
  <conditionalFormatting sqref="K2:K20">
    <cfRule type="dataBar" priority="6">
      <dataBar>
        <cfvo type="min"/>
        <cfvo type="max"/>
        <color theme="9" tint="0.39704580828272346"/>
      </dataBar>
      <extLst>
        <ext xmlns:x14="http://schemas.microsoft.com/office/spreadsheetml/2009/9/main" uri="{B025F937-C7B1-47D3-B67F-A62EFF666E3E}">
          <x14:id>{2691DD60-23FC-425E-9000-FF9F23A06A43}</x14:id>
        </ext>
      </extLst>
    </cfRule>
  </conditionalFormatting>
  <pageMargins left="0.75" right="0.75" top="1" bottom="1" header="0.5" footer="0.5"/>
  <extLst>
    <ext xmlns:x14="http://schemas.microsoft.com/office/spreadsheetml/2009/9/main" uri="{78C0D931-6437-407d-A8EE-F0AAD7539E65}">
      <x14:conditionalFormattings>
        <x14:conditionalFormatting xmlns:xm="http://schemas.microsoft.com/office/excel/2006/main">
          <x14:cfRule type="dataBar" id="{4AB30015-D815-48FC-A88A-F6BAF2654964}">
            <x14:dataBar minLength="0" maxLength="100" gradient="0">
              <x14:cfvo type="autoMin"/>
              <x14:cfvo type="autoMax"/>
              <x14:negativeFillColor rgb="FFFF0000"/>
              <x14:axisColor rgb="FF000000"/>
            </x14:dataBar>
          </x14:cfRule>
          <xm:sqref>F2:F19</xm:sqref>
        </x14:conditionalFormatting>
        <x14:conditionalFormatting xmlns:xm="http://schemas.microsoft.com/office/excel/2006/main">
          <x14:cfRule type="dataBar" id="{F8095973-7BB4-4015-B139-4AFD0C442F52}">
            <x14:dataBar minLength="0" maxLength="100" gradient="0">
              <x14:cfvo type="autoMin"/>
              <x14:cfvo type="autoMax"/>
              <x14:negativeFillColor rgb="FFFF0000"/>
              <x14:axisColor rgb="FF000000"/>
            </x14:dataBar>
          </x14:cfRule>
          <xm:sqref>G2:G19</xm:sqref>
        </x14:conditionalFormatting>
        <x14:conditionalFormatting xmlns:xm="http://schemas.microsoft.com/office/excel/2006/main">
          <x14:cfRule type="dataBar" id="{865BC888-CEF8-4168-AF42-DC0BA4A38515}">
            <x14:dataBar minLength="0" maxLength="100" gradient="0">
              <x14:cfvo type="autoMin"/>
              <x14:cfvo type="autoMax"/>
              <x14:negativeFillColor rgb="FFFF0000"/>
              <x14:axisColor rgb="FF000000"/>
            </x14:dataBar>
          </x14:cfRule>
          <xm:sqref>H2:H19</xm:sqref>
        </x14:conditionalFormatting>
        <x14:conditionalFormatting xmlns:xm="http://schemas.microsoft.com/office/excel/2006/main">
          <x14:cfRule type="dataBar" id="{21D90216-D881-4278-9B53-69980CA15825}">
            <x14:dataBar minLength="0" maxLength="100" gradient="0">
              <x14:cfvo type="autoMin"/>
              <x14:cfvo type="autoMax"/>
              <x14:negativeFillColor rgb="FFFF0000"/>
              <x14:axisColor rgb="FF000000"/>
            </x14:dataBar>
          </x14:cfRule>
          <xm:sqref>J2:J19</xm:sqref>
        </x14:conditionalFormatting>
        <x14:conditionalFormatting xmlns:xm="http://schemas.microsoft.com/office/excel/2006/main">
          <x14:cfRule type="dataBar" id="{BC119AFB-61AC-4F88-A376-09A1E48F065A}">
            <x14:dataBar minLength="0" maxLength="100" gradient="0">
              <x14:cfvo type="autoMin"/>
              <x14:cfvo type="autoMax"/>
              <x14:negativeFillColor rgb="FFFF0000"/>
              <x14:axisColor rgb="FF000000"/>
            </x14:dataBar>
          </x14:cfRule>
          <xm:sqref>J20</xm:sqref>
        </x14:conditionalFormatting>
        <x14:conditionalFormatting xmlns:xm="http://schemas.microsoft.com/office/excel/2006/main">
          <x14:cfRule type="dataBar" id="{2691DD60-23FC-425E-9000-FF9F23A06A43}">
            <x14:dataBar minLength="0" maxLength="100" gradient="0">
              <x14:cfvo type="autoMin"/>
              <x14:cfvo type="autoMax"/>
              <x14:negativeFillColor rgb="FFFF0000"/>
              <x14:axisColor rgb="FF000000"/>
            </x14:dataBar>
          </x14:cfRule>
          <xm:sqref>K2:K20</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Y48"/>
  <sheetViews>
    <sheetView zoomScale="74" zoomScaleNormal="64" workbookViewId="0">
      <selection activeCell="G8" sqref="G8"/>
    </sheetView>
  </sheetViews>
  <sheetFormatPr defaultColWidth="9" defaultRowHeight="14"/>
  <cols>
    <col min="1" max="3" width="7.33203125" style="28"/>
    <col min="4" max="5" width="16.6640625" style="34" customWidth="1"/>
    <col min="6" max="6" width="16.6640625" style="35" hidden="1" customWidth="1"/>
    <col min="7" max="7" width="6.6640625" style="34" customWidth="1"/>
    <col min="8" max="10" width="14.5" customWidth="1"/>
    <col min="11" max="11" width="11.6640625" customWidth="1"/>
    <col min="12" max="14" width="11.6640625" style="2" customWidth="1"/>
    <col min="15" max="15" width="10.33203125" style="1" customWidth="1"/>
    <col min="16" max="16" width="9" style="36"/>
    <col min="17" max="17" width="9" style="2"/>
    <col min="18" max="18" width="16" style="37" customWidth="1"/>
    <col min="19" max="19" width="10.83203125" style="38" customWidth="1"/>
    <col min="20" max="20" width="18.6640625" style="39" customWidth="1"/>
    <col min="21" max="21" width="18.6640625" style="40" customWidth="1"/>
    <col min="22" max="22" width="8.33203125" style="41" customWidth="1"/>
    <col min="23" max="23" width="7.5" style="41" customWidth="1"/>
    <col min="24" max="24" width="8.83203125" style="41" customWidth="1"/>
    <col min="25" max="25" width="14.1640625" style="42" customWidth="1"/>
  </cols>
  <sheetData>
    <row r="1" spans="1:25" s="32" customFormat="1">
      <c r="A1" s="30" t="s">
        <v>1</v>
      </c>
      <c r="B1" s="30"/>
      <c r="C1" s="30" t="s">
        <v>128</v>
      </c>
      <c r="D1" s="34" t="s">
        <v>187</v>
      </c>
      <c r="E1" s="34" t="s">
        <v>188</v>
      </c>
      <c r="F1" s="35" t="s">
        <v>189</v>
      </c>
      <c r="G1" s="34" t="s">
        <v>190</v>
      </c>
      <c r="H1" s="32">
        <f>'raw1'!A13</f>
        <v>45880</v>
      </c>
      <c r="I1" s="32">
        <f>'raw1'!A14</f>
        <v>45877</v>
      </c>
      <c r="J1" s="32">
        <f>'raw1'!A15</f>
        <v>45880</v>
      </c>
      <c r="K1" s="32">
        <f>'raw1'!A18</f>
        <v>45657</v>
      </c>
      <c r="L1" s="2" t="s">
        <v>3</v>
      </c>
      <c r="M1" s="2" t="s">
        <v>4</v>
      </c>
      <c r="N1" s="2" t="s">
        <v>6</v>
      </c>
      <c r="O1" s="1" t="s">
        <v>191</v>
      </c>
      <c r="P1" s="36"/>
      <c r="Q1" s="2"/>
      <c r="R1" s="57" t="s">
        <v>1</v>
      </c>
      <c r="S1" s="58" t="s">
        <v>128</v>
      </c>
      <c r="T1" s="39"/>
      <c r="U1" s="40"/>
      <c r="V1" s="41"/>
      <c r="W1" s="41"/>
      <c r="X1" s="41"/>
      <c r="Y1" s="86"/>
    </row>
    <row r="2" spans="1:25" s="32" customFormat="1">
      <c r="A2" s="30"/>
      <c r="B2" s="30"/>
      <c r="C2" s="30"/>
      <c r="D2" s="34"/>
      <c r="E2" s="34"/>
      <c r="F2" s="35"/>
      <c r="G2" s="34"/>
      <c r="H2" s="32">
        <f>H1-1</f>
        <v>45879</v>
      </c>
      <c r="I2" s="32">
        <f t="shared" ref="I2:K2" si="0">I1-1</f>
        <v>45876</v>
      </c>
      <c r="J2" s="32">
        <f t="shared" si="0"/>
        <v>45879</v>
      </c>
      <c r="K2" s="32">
        <f t="shared" si="0"/>
        <v>45656</v>
      </c>
      <c r="L2" s="2"/>
      <c r="M2" s="2"/>
      <c r="N2" s="2"/>
      <c r="O2" s="48">
        <f>SUM(O4:O47)</f>
        <v>-0.16915696031025626</v>
      </c>
      <c r="P2" s="36"/>
      <c r="Q2" s="2"/>
      <c r="R2" s="57"/>
      <c r="S2" s="58"/>
      <c r="T2" s="39"/>
      <c r="U2" s="40"/>
      <c r="V2" s="41"/>
      <c r="W2" s="41"/>
      <c r="X2" s="41"/>
      <c r="Y2" s="86"/>
    </row>
    <row r="3" spans="1:25" s="32" customFormat="1" ht="15.5" thickBot="1">
      <c r="A3" s="30"/>
      <c r="B3" s="30"/>
      <c r="C3" s="30"/>
      <c r="D3" s="34"/>
      <c r="E3" s="34"/>
      <c r="F3" s="35"/>
      <c r="G3" s="34"/>
      <c r="L3" s="2"/>
      <c r="M3" s="2"/>
      <c r="N3" s="2"/>
      <c r="O3" s="48"/>
      <c r="P3" s="36"/>
      <c r="Q3" s="2"/>
      <c r="R3" s="12" t="s">
        <v>1</v>
      </c>
      <c r="S3" s="59" t="s">
        <v>128</v>
      </c>
      <c r="T3" s="60" t="s">
        <v>192</v>
      </c>
      <c r="U3" s="61" t="s">
        <v>193</v>
      </c>
      <c r="V3" s="59" t="s">
        <v>3</v>
      </c>
      <c r="W3" s="59" t="s">
        <v>4</v>
      </c>
      <c r="X3" s="59" t="s">
        <v>6</v>
      </c>
      <c r="Y3" s="87" t="s">
        <v>194</v>
      </c>
    </row>
    <row r="4" spans="1:25">
      <c r="A4" s="28" t="s">
        <v>153</v>
      </c>
      <c r="B4" s="28" t="s">
        <v>195</v>
      </c>
      <c r="C4" s="28" t="s">
        <v>132</v>
      </c>
      <c r="D4" s="43">
        <f>_xll.ciqfunctions.udf.CIQ($A4,"IQ_MARKETCAP",H$1,"USD")</f>
        <v>1923973.79146</v>
      </c>
      <c r="E4" s="43">
        <f t="shared" ref="E4:E47" si="1">G4*H4</f>
        <v>2.4523361979589757</v>
      </c>
      <c r="F4" s="44">
        <f>VLOOKUP(B:B,weight!G:H,2,FALSE)</f>
        <v>7.35</v>
      </c>
      <c r="G4" s="257">
        <f>VLOOKUP(A4,CHOOSE({1,2},shares!$F$2:$F$45,shares!$K$2:$K$45),2,FALSE)</f>
        <v>3.2020267120516218E-3</v>
      </c>
      <c r="H4" s="45">
        <f>IF(_xll.ciqfunctions.udf.CIQ($A4,"IQ_CLOSEPRICE",H$1,"USD")=0,_xll.ciqfunctions.udf.CIQ($A4,"IQ_CLOSEPRICE",H$2,"USD"),_xll.ciqfunctions.udf.CIQ($A4,"IQ_CLOSEPRICE",H$1,"USD"))</f>
        <v>765.87</v>
      </c>
      <c r="I4" s="45">
        <f>IF(_xll.ciqfunctions.udf.CIQ($A4,"IQ_CLOSEPRICE",I$1,"USD")=0,_xll.ciqfunctions.udf.CIQ($A4,"IQ_CLOSEPRICE",I$2,"USD"),_xll.ciqfunctions.udf.CIQ($A4,"IQ_CLOSEPRICE",I$1,"USD"))</f>
        <v>769.3</v>
      </c>
      <c r="J4" s="45">
        <f>IF(_xll.ciqfunctions.udf.CIQ($A4,"IQ_CLOSEPRICE",J$1,"USD")=0,_xll.ciqfunctions.udf.CIQ($A4,"IQ_CLOSEPRICE",J$2,"USD"),_xll.ciqfunctions.udf.CIQ($A4,"IQ_CLOSEPRICE",J$1,"USD"))</f>
        <v>765.87</v>
      </c>
      <c r="K4" s="45">
        <f>IF(_xll.ciqfunctions.udf.CIQ($A4,"IQ_CLOSEPRICE",K$1,"USD")=0,_xll.ciqfunctions.udf.CIQ($A4,"IQ_CLOSEPRICE",K$2,"USD"),_xll.ciqfunctions.udf.CIQ($A4,"IQ_CLOSEPRICE",K$1,"USD"))</f>
        <v>585.51</v>
      </c>
      <c r="L4" s="49">
        <f t="shared" ref="L4:L47" si="2">$H4/I4-1</f>
        <v>-4.4585987261145377E-3</v>
      </c>
      <c r="M4" s="49">
        <f t="shared" ref="M4:M47" si="3">$H4/J4-1</f>
        <v>0</v>
      </c>
      <c r="N4" s="49">
        <f t="shared" ref="N4:N47" si="4">$H4/K4-1</f>
        <v>0.30803914536045496</v>
      </c>
      <c r="O4" s="50">
        <f t="shared" ref="O4:O47" si="5">G4*(H4-I4)</f>
        <v>-1.0982951622336902E-2</v>
      </c>
      <c r="P4" s="51">
        <f>O4/O$2</f>
        <v>6.4927577335231815E-2</v>
      </c>
      <c r="Q4" s="49"/>
      <c r="R4" s="62" t="str">
        <f>A4</f>
        <v>META</v>
      </c>
      <c r="S4" s="63" t="str">
        <f>C4</f>
        <v>Application</v>
      </c>
      <c r="T4" s="64">
        <f>D4/1000</f>
        <v>1923.97379146</v>
      </c>
      <c r="U4" s="65">
        <f>D4/$D$48*100</f>
        <v>7.3141511795707563</v>
      </c>
      <c r="V4" s="66">
        <f>L4</f>
        <v>-4.4585987261145377E-3</v>
      </c>
      <c r="W4" s="66">
        <f t="shared" ref="W4:X4" si="6">M4</f>
        <v>0</v>
      </c>
      <c r="X4" s="66">
        <f t="shared" si="6"/>
        <v>0.30803914536045496</v>
      </c>
      <c r="Y4" s="258">
        <f>O48*SUM(P4:P16)</f>
        <v>-4.9912893899635956E-3</v>
      </c>
    </row>
    <row r="5" spans="1:25">
      <c r="A5" s="28" t="s">
        <v>144</v>
      </c>
      <c r="B5" s="28" t="s">
        <v>196</v>
      </c>
      <c r="C5" s="28" t="s">
        <v>132</v>
      </c>
      <c r="D5" s="43">
        <f>_xll.ciqfunctions.udf.CIQ($A5,"IQ_MARKETCAP",H$1,"USD")</f>
        <v>222442.08</v>
      </c>
      <c r="E5" s="43">
        <f t="shared" si="1"/>
        <v>0.70230028646832598</v>
      </c>
      <c r="F5" s="44">
        <f>VLOOKUP(B:B,weight!G:H,2,FALSE)</f>
        <v>3.26</v>
      </c>
      <c r="G5" s="257">
        <f>VLOOKUP(A5,CHOOSE({1,2},shares!$F$2:$F$45,shares!$K$2:$K$45),2,FALSE)</f>
        <v>3.0183096375637182E-3</v>
      </c>
      <c r="H5" s="45">
        <f>IF(_xll.ciqfunctions.udf.CIQ($A5,"IQ_CLOSEPRICE",H$1,"USD")=0,_xll.ciqfunctions.udf.CIQ($A5,"IQ_CLOSEPRICE",H$2,"USD"),_xll.ciqfunctions.udf.CIQ($A5,"IQ_CLOSEPRICE",H$1,"USD"))</f>
        <v>232.68</v>
      </c>
      <c r="I5" s="45">
        <f>IF(_xll.ciqfunctions.udf.CIQ($A5,"IQ_CLOSEPRICE",I$1,"USD")=0,_xll.ciqfunctions.udf.CIQ($A5,"IQ_CLOSEPRICE",I$2,"USD"),_xll.ciqfunctions.udf.CIQ($A5,"IQ_CLOSEPRICE",I$1,"USD"))</f>
        <v>240.51</v>
      </c>
      <c r="J5" s="45">
        <f>IF(_xll.ciqfunctions.udf.CIQ($A5,"IQ_CLOSEPRICE",J$1,"USD")=0,_xll.ciqfunctions.udf.CIQ($A5,"IQ_CLOSEPRICE",J$2,"USD"),_xll.ciqfunctions.udf.CIQ($A5,"IQ_CLOSEPRICE",J$1,"USD"))</f>
        <v>232.68</v>
      </c>
      <c r="K5" s="45">
        <f>IF(_xll.ciqfunctions.udf.CIQ($A5,"IQ_CLOSEPRICE",K$1,"USD")=0,_xll.ciqfunctions.udf.CIQ($A5,"IQ_CLOSEPRICE",K$2,"USD"),_xll.ciqfunctions.udf.CIQ($A5,"IQ_CLOSEPRICE",K$1,"USD"))</f>
        <v>334.33</v>
      </c>
      <c r="L5" s="49">
        <f t="shared" si="2"/>
        <v>-3.2555818884869581E-2</v>
      </c>
      <c r="M5" s="49">
        <f t="shared" si="3"/>
        <v>0</v>
      </c>
      <c r="N5" s="49">
        <f t="shared" si="4"/>
        <v>-0.30404091765620789</v>
      </c>
      <c r="O5" s="50">
        <f t="shared" si="5"/>
        <v>-2.3633364462123867E-2</v>
      </c>
      <c r="P5" s="51">
        <f t="shared" ref="P5:P47" si="7">O5/O$2</f>
        <v>0.13971263386843288</v>
      </c>
      <c r="Q5" s="49"/>
      <c r="R5" s="67" t="str">
        <f t="shared" ref="R5:R47" si="8">A5</f>
        <v>CRM</v>
      </c>
      <c r="S5" s="68" t="str">
        <f t="shared" ref="S5:S47" si="9">C5</f>
        <v>Application</v>
      </c>
      <c r="T5" s="69">
        <f t="shared" ref="T5:T47" si="10">D5/1000</f>
        <v>222.44207999999998</v>
      </c>
      <c r="U5" s="70">
        <f t="shared" ref="U5:U47" si="11">D5/$D$48*100</f>
        <v>0.8456326219410446</v>
      </c>
      <c r="V5" s="71">
        <f t="shared" ref="V5:V47" si="12">L5</f>
        <v>-3.2555818884869581E-2</v>
      </c>
      <c r="W5" s="71">
        <f t="shared" ref="W5:W47" si="13">M5</f>
        <v>0</v>
      </c>
      <c r="X5" s="71">
        <f t="shared" ref="X5:X47" si="14">N5</f>
        <v>-0.30404091765620789</v>
      </c>
      <c r="Y5" s="259"/>
    </row>
    <row r="6" spans="1:25">
      <c r="A6" s="28" t="s">
        <v>159</v>
      </c>
      <c r="B6" s="28" t="s">
        <v>197</v>
      </c>
      <c r="C6" s="28" t="s">
        <v>132</v>
      </c>
      <c r="D6" s="43">
        <f>_xll.ciqfunctions.udf.CIQ($A6,"IQ_MARKETCAP",H$1,"USD")</f>
        <v>177713.04603</v>
      </c>
      <c r="E6" s="43">
        <f t="shared" si="1"/>
        <v>0.68899598162272968</v>
      </c>
      <c r="F6" s="44">
        <f>VLOOKUP(B:B,weight!G:H,2,FALSE)</f>
        <v>3.05</v>
      </c>
      <c r="G6" s="257">
        <f>VLOOKUP(A6,CHOOSE({1,2},shares!$F$2:$F$45,shares!$K$2:$K$45),2,FALSE)</f>
        <v>8.0455408482633635E-4</v>
      </c>
      <c r="H6" s="45">
        <f>IF(_xll.ciqfunctions.udf.CIQ($A6,"IQ_CLOSEPRICE",H$1,"USD")=0,_xll.ciqfunctions.udf.CIQ($A6,"IQ_CLOSEPRICE",H$2,"USD"),_xll.ciqfunctions.udf.CIQ($A6,"IQ_CLOSEPRICE",H$1,"USD"))</f>
        <v>856.37</v>
      </c>
      <c r="I6" s="45">
        <f>IF(_xll.ciqfunctions.udf.CIQ($A6,"IQ_CLOSEPRICE",I$1,"USD")=0,_xll.ciqfunctions.udf.CIQ($A6,"IQ_CLOSEPRICE",I$2,"USD"),_xll.ciqfunctions.udf.CIQ($A6,"IQ_CLOSEPRICE",I$1,"USD"))</f>
        <v>872.51</v>
      </c>
      <c r="J6" s="45">
        <f>IF(_xll.ciqfunctions.udf.CIQ($A6,"IQ_CLOSEPRICE",J$1,"USD")=0,_xll.ciqfunctions.udf.CIQ($A6,"IQ_CLOSEPRICE",J$2,"USD"),_xll.ciqfunctions.udf.CIQ($A6,"IQ_CLOSEPRICE",J$1,"USD"))</f>
        <v>856.37</v>
      </c>
      <c r="K6" s="45">
        <f>IF(_xll.ciqfunctions.udf.CIQ($A6,"IQ_CLOSEPRICE",K$1,"USD")=0,_xll.ciqfunctions.udf.CIQ($A6,"IQ_CLOSEPRICE",K$2,"USD"),_xll.ciqfunctions.udf.CIQ($A6,"IQ_CLOSEPRICE",K$1,"USD"))</f>
        <v>1060.1199999999999</v>
      </c>
      <c r="L6" s="49">
        <f t="shared" si="2"/>
        <v>-1.8498355319709781E-2</v>
      </c>
      <c r="M6" s="49">
        <f t="shared" si="3"/>
        <v>0</v>
      </c>
      <c r="N6" s="49">
        <f t="shared" si="4"/>
        <v>-0.19219522318228122</v>
      </c>
      <c r="O6" s="50">
        <f t="shared" si="5"/>
        <v>-1.2985502929097057E-2</v>
      </c>
      <c r="P6" s="51">
        <f t="shared" si="7"/>
        <v>7.6765998308789218E-2</v>
      </c>
      <c r="Q6" s="49"/>
      <c r="R6" s="67" t="str">
        <f t="shared" si="8"/>
        <v>NOW</v>
      </c>
      <c r="S6" s="68" t="str">
        <f t="shared" si="9"/>
        <v>Application</v>
      </c>
      <c r="T6" s="69">
        <f t="shared" si="10"/>
        <v>177.71304602999999</v>
      </c>
      <c r="U6" s="70">
        <f t="shared" si="11"/>
        <v>0.6755913677280776</v>
      </c>
      <c r="V6" s="71">
        <f t="shared" si="12"/>
        <v>-1.8498355319709781E-2</v>
      </c>
      <c r="W6" s="71">
        <f t="shared" si="13"/>
        <v>0</v>
      </c>
      <c r="X6" s="71">
        <f t="shared" si="14"/>
        <v>-0.19219522318228122</v>
      </c>
      <c r="Y6" s="259"/>
    </row>
    <row r="7" spans="1:25">
      <c r="A7" s="28" t="s">
        <v>147</v>
      </c>
      <c r="B7" s="28" t="s">
        <v>198</v>
      </c>
      <c r="C7" s="28" t="s">
        <v>132</v>
      </c>
      <c r="D7" s="43">
        <f>_xll.ciqfunctions.udf.CIQ($A7,"IQ_MARKETCAP",H$1,"USD")</f>
        <v>15606.48331</v>
      </c>
      <c r="E7" s="43">
        <f t="shared" si="1"/>
        <v>0.47372668213821495</v>
      </c>
      <c r="F7" s="44">
        <f>VLOOKUP(B:B,weight!G:H,2,FALSE)</f>
        <v>2.59</v>
      </c>
      <c r="G7" s="257">
        <f>VLOOKUP(A7,CHOOSE({1,2},shares!$F$2:$F$45,shares!$K$2:$K$45),2,FALSE)</f>
        <v>1.3909001501459673E-3</v>
      </c>
      <c r="H7" s="45">
        <f>IF(_xll.ciqfunctions.udf.CIQ($A7,"IQ_CLOSEPRICE",H$1,"USD")=0,_xll.ciqfunctions.udf.CIQ($A7,"IQ_CLOSEPRICE",H$2,"USD"),_xll.ciqfunctions.udf.CIQ($A7,"IQ_CLOSEPRICE",H$1,"USD"))</f>
        <v>340.59</v>
      </c>
      <c r="I7" s="45">
        <f>IF(_xll.ciqfunctions.udf.CIQ($A7,"IQ_CLOSEPRICE",I$1,"USD")=0,_xll.ciqfunctions.udf.CIQ($A7,"IQ_CLOSEPRICE",I$2,"USD"),_xll.ciqfunctions.udf.CIQ($A7,"IQ_CLOSEPRICE",I$1,"USD"))</f>
        <v>370.34</v>
      </c>
      <c r="J7" s="45">
        <f>IF(_xll.ciqfunctions.udf.CIQ($A7,"IQ_CLOSEPRICE",J$1,"USD")=0,_xll.ciqfunctions.udf.CIQ($A7,"IQ_CLOSEPRICE",J$2,"USD"),_xll.ciqfunctions.udf.CIQ($A7,"IQ_CLOSEPRICE",J$1,"USD"))</f>
        <v>340.59</v>
      </c>
      <c r="K7" s="45">
        <f>IF(_xll.ciqfunctions.udf.CIQ($A7,"IQ_CLOSEPRICE",K$1,"USD")=0,_xll.ciqfunctions.udf.CIQ($A7,"IQ_CLOSEPRICE",K$2,"USD"),_xll.ciqfunctions.udf.CIQ($A7,"IQ_CLOSEPRICE",K$1,"USD"))</f>
        <v>324.23</v>
      </c>
      <c r="L7" s="49">
        <f t="shared" si="2"/>
        <v>-8.0331587190149545E-2</v>
      </c>
      <c r="M7" s="49">
        <f t="shared" si="3"/>
        <v>0</v>
      </c>
      <c r="N7" s="49">
        <f t="shared" si="4"/>
        <v>5.045800820405244E-2</v>
      </c>
      <c r="O7" s="50">
        <f t="shared" si="5"/>
        <v>-4.1379279466842528E-2</v>
      </c>
      <c r="P7" s="51">
        <f t="shared" si="7"/>
        <v>0.24462061384259595</v>
      </c>
      <c r="Q7" s="49"/>
      <c r="R7" s="67" t="str">
        <f t="shared" si="8"/>
        <v>DUOL</v>
      </c>
      <c r="S7" s="68" t="str">
        <f t="shared" si="9"/>
        <v>Application</v>
      </c>
      <c r="T7" s="69">
        <f t="shared" si="10"/>
        <v>15.60648331</v>
      </c>
      <c r="U7" s="70">
        <f t="shared" si="11"/>
        <v>5.9329383184667461E-2</v>
      </c>
      <c r="V7" s="71">
        <f t="shared" si="12"/>
        <v>-8.0331587190149545E-2</v>
      </c>
      <c r="W7" s="71">
        <f t="shared" si="13"/>
        <v>0</v>
      </c>
      <c r="X7" s="71">
        <f t="shared" si="14"/>
        <v>5.045800820405244E-2</v>
      </c>
      <c r="Y7" s="259"/>
    </row>
    <row r="8" spans="1:25">
      <c r="A8" s="28" t="s">
        <v>167</v>
      </c>
      <c r="B8" s="28" t="s">
        <v>199</v>
      </c>
      <c r="C8" s="28" t="s">
        <v>132</v>
      </c>
      <c r="D8" s="43">
        <f>_xll.ciqfunctions.udf.CIQ($A8,"IQ_MARKETCAP",H$1,"USD")</f>
        <v>336726.58859</v>
      </c>
      <c r="E8" s="43">
        <f t="shared" si="1"/>
        <v>0.65716992536225571</v>
      </c>
      <c r="F8" s="44">
        <f>VLOOKUP(B:B,weight!G:H,2,FALSE)</f>
        <v>2.57</v>
      </c>
      <c r="G8" s="257">
        <f>VLOOKUP(A8,CHOOSE({1,2},shares!$F$2:$F$45,shares!$K$2:$K$45),2,FALSE)</f>
        <v>2.272882887055328E-3</v>
      </c>
      <c r="H8" s="45">
        <f>IF(_xll.ciqfunctions.udf.CIQ($A8,"IQ_CLOSEPRICE",H$1,"USD")=0,_xll.ciqfunctions.udf.CIQ($A8,"IQ_CLOSEPRICE",H$2,"USD"),_xll.ciqfunctions.udf.CIQ($A8,"IQ_CLOSEPRICE",H$1,"USD"))</f>
        <v>289.13497000000001</v>
      </c>
      <c r="I8" s="45">
        <f>IF(_xll.ciqfunctions.udf.CIQ($A8,"IQ_CLOSEPRICE",I$1,"USD")=0,_xll.ciqfunctions.udf.CIQ($A8,"IQ_CLOSEPRICE",I$2,"USD"),_xll.ciqfunctions.udf.CIQ($A8,"IQ_CLOSEPRICE",I$1,"USD"))</f>
        <v>291.76387999999997</v>
      </c>
      <c r="J8" s="45">
        <f>IF(_xll.ciqfunctions.udf.CIQ($A8,"IQ_CLOSEPRICE",J$1,"USD")=0,_xll.ciqfunctions.udf.CIQ($A8,"IQ_CLOSEPRICE",J$2,"USD"),_xll.ciqfunctions.udf.CIQ($A8,"IQ_CLOSEPRICE",J$1,"USD"))</f>
        <v>289.13497000000001</v>
      </c>
      <c r="K8" s="45">
        <f>IF(_xll.ciqfunctions.udf.CIQ($A8,"IQ_CLOSEPRICE",K$1,"USD")=0,_xll.ciqfunctions.udf.CIQ($A8,"IQ_CLOSEPRICE",K$2,"USD"),_xll.ciqfunctions.udf.CIQ($A8,"IQ_CLOSEPRICE",K$1,"USD"))</f>
        <v>245.17535000000001</v>
      </c>
      <c r="L8" s="49">
        <f t="shared" si="2"/>
        <v>-9.0104025213811889E-3</v>
      </c>
      <c r="M8" s="49">
        <f t="shared" si="3"/>
        <v>0</v>
      </c>
      <c r="N8" s="49">
        <f t="shared" si="4"/>
        <v>0.179298693771621</v>
      </c>
      <c r="O8" s="50">
        <f t="shared" si="5"/>
        <v>-5.9752045506085366E-3</v>
      </c>
      <c r="P8" s="51">
        <f t="shared" si="7"/>
        <v>3.5323432979933081E-2</v>
      </c>
      <c r="Q8" s="49"/>
      <c r="R8" s="67" t="str">
        <f t="shared" si="8"/>
        <v>SAP</v>
      </c>
      <c r="S8" s="68" t="str">
        <f t="shared" si="9"/>
        <v>Application</v>
      </c>
      <c r="T8" s="69">
        <f t="shared" si="10"/>
        <v>336.72658859000001</v>
      </c>
      <c r="U8" s="70">
        <f t="shared" si="11"/>
        <v>1.2800949711791274</v>
      </c>
      <c r="V8" s="71">
        <f t="shared" si="12"/>
        <v>-9.0104025213811889E-3</v>
      </c>
      <c r="W8" s="71">
        <f t="shared" si="13"/>
        <v>0</v>
      </c>
      <c r="X8" s="71">
        <f t="shared" si="14"/>
        <v>0.179298693771621</v>
      </c>
      <c r="Y8" s="259"/>
    </row>
    <row r="9" spans="1:25">
      <c r="A9" s="28" t="s">
        <v>172</v>
      </c>
      <c r="B9" s="28" t="s">
        <v>200</v>
      </c>
      <c r="C9" s="28" t="s">
        <v>132</v>
      </c>
      <c r="D9" s="43">
        <f>_xll.ciqfunctions.udf.CIQ($A9,"IQ_MARKETCAP",H$1,"USD")</f>
        <v>10566.11008</v>
      </c>
      <c r="E9" s="43">
        <f t="shared" si="1"/>
        <v>0.50354304826171348</v>
      </c>
      <c r="F9" s="44">
        <f>VLOOKUP(B:B,weight!G:H,2,FALSE)</f>
        <v>2.39</v>
      </c>
      <c r="G9" s="257">
        <f>VLOOKUP(A9,CHOOSE({1,2},shares!$F$2:$F$45,shares!$K$2:$K$45),2,FALSE)</f>
        <v>8.2792345981866737E-3</v>
      </c>
      <c r="H9" s="45">
        <f>IF(_xll.ciqfunctions.udf.CIQ($A9,"IQ_CLOSEPRICE",H$1,"USD")=0,_xll.ciqfunctions.udf.CIQ($A9,"IQ_CLOSEPRICE",H$2,"USD"),_xll.ciqfunctions.udf.CIQ($A9,"IQ_CLOSEPRICE",H$1,"USD"))</f>
        <v>60.82</v>
      </c>
      <c r="I9" s="45">
        <f>IF(_xll.ciqfunctions.udf.CIQ($A9,"IQ_CLOSEPRICE",I$1,"USD")=0,_xll.ciqfunctions.udf.CIQ($A9,"IQ_CLOSEPRICE",I$2,"USD"),_xll.ciqfunctions.udf.CIQ($A9,"IQ_CLOSEPRICE",I$1,"USD"))</f>
        <v>60.87</v>
      </c>
      <c r="J9" s="45">
        <f>IF(_xll.ciqfunctions.udf.CIQ($A9,"IQ_CLOSEPRICE",J$1,"USD")=0,_xll.ciqfunctions.udf.CIQ($A9,"IQ_CLOSEPRICE",J$2,"USD"),_xll.ciqfunctions.udf.CIQ($A9,"IQ_CLOSEPRICE",J$1,"USD"))</f>
        <v>60.82</v>
      </c>
      <c r="K9" s="45">
        <f>IF(_xll.ciqfunctions.udf.CIQ($A9,"IQ_CLOSEPRICE",K$1,"USD")=0,_xll.ciqfunctions.udf.CIQ($A9,"IQ_CLOSEPRICE",K$2,"USD"),_xll.ciqfunctions.udf.CIQ($A9,"IQ_CLOSEPRICE",K$1,"USD"))</f>
        <v>33.76</v>
      </c>
      <c r="L9" s="49">
        <f t="shared" si="2"/>
        <v>-8.2142270412344232E-4</v>
      </c>
      <c r="M9" s="49">
        <f t="shared" si="3"/>
        <v>0</v>
      </c>
      <c r="N9" s="49">
        <f t="shared" si="4"/>
        <v>0.80154028436018976</v>
      </c>
      <c r="O9" s="50">
        <f t="shared" si="5"/>
        <v>-4.1396172990931015E-4</v>
      </c>
      <c r="P9" s="51">
        <f t="shared" si="7"/>
        <v>2.4472048276940515E-3</v>
      </c>
      <c r="Q9" s="49"/>
      <c r="R9" s="67" t="str">
        <f t="shared" si="8"/>
        <v>TEM</v>
      </c>
      <c r="S9" s="68" t="str">
        <f t="shared" si="9"/>
        <v>Application</v>
      </c>
      <c r="T9" s="69">
        <f t="shared" si="10"/>
        <v>10.56611008</v>
      </c>
      <c r="U9" s="70">
        <f t="shared" si="11"/>
        <v>4.0167972582652083E-2</v>
      </c>
      <c r="V9" s="71">
        <f t="shared" si="12"/>
        <v>-8.2142270412344232E-4</v>
      </c>
      <c r="W9" s="71">
        <f t="shared" si="13"/>
        <v>0</v>
      </c>
      <c r="X9" s="71">
        <f t="shared" si="14"/>
        <v>0.80154028436018976</v>
      </c>
      <c r="Y9" s="259"/>
    </row>
    <row r="10" spans="1:25">
      <c r="A10" s="28" t="s">
        <v>137</v>
      </c>
      <c r="B10" s="28" t="s">
        <v>201</v>
      </c>
      <c r="C10" s="28" t="s">
        <v>132</v>
      </c>
      <c r="D10" s="43">
        <f>_xll.ciqfunctions.udf.CIQ($A10,"IQ_MARKETCAP",H$1,"USD")</f>
        <v>141534.32999999999</v>
      </c>
      <c r="E10" s="43">
        <f t="shared" si="1"/>
        <v>0.50987059513859034</v>
      </c>
      <c r="F10" s="44">
        <f>VLOOKUP(B:B,weight!G:H,2,FALSE)</f>
        <v>2.23</v>
      </c>
      <c r="G10" s="257">
        <f>VLOOKUP(A10,CHOOSE({1,2},shares!$F$2:$F$45,shares!$K$2:$K$45),2,FALSE)</f>
        <v>1.5281600333840561E-3</v>
      </c>
      <c r="H10" s="45">
        <f>IF(_xll.ciqfunctions.udf.CIQ($A10,"IQ_CLOSEPRICE",H$1,"USD")=0,_xll.ciqfunctions.udf.CIQ($A10,"IQ_CLOSEPRICE",H$2,"USD"),_xll.ciqfunctions.udf.CIQ($A10,"IQ_CLOSEPRICE",H$1,"USD"))</f>
        <v>333.65</v>
      </c>
      <c r="I10" s="45">
        <f>IF(_xll.ciqfunctions.udf.CIQ($A10,"IQ_CLOSEPRICE",I$1,"USD")=0,_xll.ciqfunctions.udf.CIQ($A10,"IQ_CLOSEPRICE",I$2,"USD"),_xll.ciqfunctions.udf.CIQ($A10,"IQ_CLOSEPRICE",I$1,"USD"))</f>
        <v>341.05</v>
      </c>
      <c r="J10" s="45">
        <f>IF(_xll.ciqfunctions.udf.CIQ($A10,"IQ_CLOSEPRICE",J$1,"USD")=0,_xll.ciqfunctions.udf.CIQ($A10,"IQ_CLOSEPRICE",J$2,"USD"),_xll.ciqfunctions.udf.CIQ($A10,"IQ_CLOSEPRICE",J$1,"USD"))</f>
        <v>333.65</v>
      </c>
      <c r="K10" s="45">
        <f>IF(_xll.ciqfunctions.udf.CIQ($A10,"IQ_CLOSEPRICE",K$1,"USD")=0,_xll.ciqfunctions.udf.CIQ($A10,"IQ_CLOSEPRICE",K$2,"USD"),_xll.ciqfunctions.udf.CIQ($A10,"IQ_CLOSEPRICE",K$1,"USD"))</f>
        <v>444.68</v>
      </c>
      <c r="L10" s="49">
        <f t="shared" si="2"/>
        <v>-2.1697698284709133E-2</v>
      </c>
      <c r="M10" s="49">
        <f t="shared" si="3"/>
        <v>0</v>
      </c>
      <c r="N10" s="49">
        <f t="shared" si="4"/>
        <v>-0.24968516686156339</v>
      </c>
      <c r="O10" s="50">
        <f t="shared" si="5"/>
        <v>-1.1308384247042067E-2</v>
      </c>
      <c r="P10" s="51">
        <f t="shared" si="7"/>
        <v>6.6851427374321412E-2</v>
      </c>
      <c r="Q10" s="49"/>
      <c r="R10" s="67" t="str">
        <f t="shared" si="8"/>
        <v>ADBE</v>
      </c>
      <c r="S10" s="68" t="str">
        <f t="shared" si="9"/>
        <v>Application</v>
      </c>
      <c r="T10" s="69">
        <f t="shared" si="10"/>
        <v>141.53432999999998</v>
      </c>
      <c r="U10" s="70">
        <f t="shared" si="11"/>
        <v>0.53805487960087883</v>
      </c>
      <c r="V10" s="71">
        <f t="shared" si="12"/>
        <v>-2.1697698284709133E-2</v>
      </c>
      <c r="W10" s="71">
        <f t="shared" si="13"/>
        <v>0</v>
      </c>
      <c r="X10" s="71">
        <f t="shared" si="14"/>
        <v>-0.24968516686156339</v>
      </c>
      <c r="Y10" s="259"/>
    </row>
    <row r="11" spans="1:25">
      <c r="A11" s="28" t="s">
        <v>151</v>
      </c>
      <c r="B11" s="28" t="s">
        <v>202</v>
      </c>
      <c r="C11" s="28" t="s">
        <v>132</v>
      </c>
      <c r="D11" s="43">
        <f>_xll.ciqfunctions.udf.CIQ($A11,"IQ_MARKETCAP",H$1,"USD")</f>
        <v>18503.418379999999</v>
      </c>
      <c r="E11" s="43">
        <f t="shared" si="1"/>
        <v>0.39679544579410853</v>
      </c>
      <c r="F11" s="44">
        <f>VLOOKUP(B:B,weight!G:H,2,FALSE)</f>
        <v>2.0299999999999998</v>
      </c>
      <c r="G11" s="257">
        <f>VLOOKUP(A11,CHOOSE({1,2},shares!$F$2:$F$45,shares!$K$2:$K$45),2,FALSE)</f>
        <v>1.2209090639818725E-2</v>
      </c>
      <c r="H11" s="45">
        <f>IF(_xll.ciqfunctions.udf.CIQ($A11,"IQ_CLOSEPRICE",H$1,"USD")=0,_xll.ciqfunctions.udf.CIQ($A11,"IQ_CLOSEPRICE",H$2,"USD"),_xll.ciqfunctions.udf.CIQ($A11,"IQ_CLOSEPRICE",H$1,"USD"))</f>
        <v>32.5</v>
      </c>
      <c r="I11" s="45">
        <f>IF(_xll.ciqfunctions.udf.CIQ($A11,"IQ_CLOSEPRICE",I$1,"USD")=0,_xll.ciqfunctions.udf.CIQ($A11,"IQ_CLOSEPRICE",I$2,"USD"),_xll.ciqfunctions.udf.CIQ($A11,"IQ_CLOSEPRICE",I$1,"USD"))</f>
        <v>33.74</v>
      </c>
      <c r="J11" s="45">
        <f>IF(_xll.ciqfunctions.udf.CIQ($A11,"IQ_CLOSEPRICE",J$1,"USD")=0,_xll.ciqfunctions.udf.CIQ($A11,"IQ_CLOSEPRICE",J$2,"USD"),_xll.ciqfunctions.udf.CIQ($A11,"IQ_CLOSEPRICE",J$1,"USD"))</f>
        <v>32.5</v>
      </c>
      <c r="K11" s="45">
        <f>IF(_xll.ciqfunctions.udf.CIQ($A11,"IQ_CLOSEPRICE",K$1,"USD")=0,_xll.ciqfunctions.udf.CIQ($A11,"IQ_CLOSEPRICE",K$2,"USD"),_xll.ciqfunctions.udf.CIQ($A11,"IQ_CLOSEPRICE",K$1,"USD"))</f>
        <v>43.69</v>
      </c>
      <c r="L11" s="49">
        <f t="shared" si="2"/>
        <v>-3.6751630112626055E-2</v>
      </c>
      <c r="M11" s="49">
        <f t="shared" si="3"/>
        <v>0</v>
      </c>
      <c r="N11" s="49">
        <f t="shared" si="4"/>
        <v>-0.25612268253604942</v>
      </c>
      <c r="O11" s="50">
        <f t="shared" si="5"/>
        <v>-1.5139272393375243E-2</v>
      </c>
      <c r="P11" s="51">
        <f t="shared" si="7"/>
        <v>8.9498371013571137E-2</v>
      </c>
      <c r="Q11" s="49"/>
      <c r="R11" s="67" t="str">
        <f t="shared" si="8"/>
        <v>IOT</v>
      </c>
      <c r="S11" s="68" t="str">
        <f t="shared" si="9"/>
        <v>Application</v>
      </c>
      <c r="T11" s="69">
        <f t="shared" si="10"/>
        <v>18.503418379999999</v>
      </c>
      <c r="U11" s="70">
        <f t="shared" si="11"/>
        <v>7.0342330010362775E-2</v>
      </c>
      <c r="V11" s="71">
        <f t="shared" si="12"/>
        <v>-3.6751630112626055E-2</v>
      </c>
      <c r="W11" s="71">
        <f t="shared" si="13"/>
        <v>0</v>
      </c>
      <c r="X11" s="71">
        <f t="shared" si="14"/>
        <v>-0.25612268253604942</v>
      </c>
      <c r="Y11" s="259"/>
    </row>
    <row r="12" spans="1:25">
      <c r="A12" s="28" t="s">
        <v>175</v>
      </c>
      <c r="B12" s="28" t="s">
        <v>203</v>
      </c>
      <c r="C12" s="28" t="s">
        <v>132</v>
      </c>
      <c r="D12" s="43">
        <f>_xll.ciqfunctions.udf.CIQ($A12,"IQ_MARKETCAP",H$1,"USD")</f>
        <v>57022.520470000003</v>
      </c>
      <c r="E12" s="43">
        <f t="shared" si="1"/>
        <v>0.37152681635586471</v>
      </c>
      <c r="F12" s="44">
        <f>VLOOKUP(B:B,weight!G:H,2,FALSE)</f>
        <v>1.72</v>
      </c>
      <c r="G12" s="257">
        <f>VLOOKUP(A12,CHOOSE({1,2},shares!$F$2:$F$45,shares!$K$2:$K$45),2,FALSE)</f>
        <v>1.7386251876824591E-3</v>
      </c>
      <c r="H12" s="45">
        <f>IF(_xll.ciqfunctions.udf.CIQ($A12,"IQ_CLOSEPRICE",H$1,"USD")=0,_xll.ciqfunctions.udf.CIQ($A12,"IQ_CLOSEPRICE",H$2,"USD"),_xll.ciqfunctions.udf.CIQ($A12,"IQ_CLOSEPRICE",H$1,"USD"))</f>
        <v>213.69</v>
      </c>
      <c r="I12" s="45">
        <f>IF(_xll.ciqfunctions.udf.CIQ($A12,"IQ_CLOSEPRICE",I$1,"USD")=0,_xll.ciqfunctions.udf.CIQ($A12,"IQ_CLOSEPRICE",I$2,"USD"),_xll.ciqfunctions.udf.CIQ($A12,"IQ_CLOSEPRICE",I$1,"USD"))</f>
        <v>222.07</v>
      </c>
      <c r="J12" s="45">
        <f>IF(_xll.ciqfunctions.udf.CIQ($A12,"IQ_CLOSEPRICE",J$1,"USD")=0,_xll.ciqfunctions.udf.CIQ($A12,"IQ_CLOSEPRICE",J$2,"USD"),_xll.ciqfunctions.udf.CIQ($A12,"IQ_CLOSEPRICE",J$1,"USD"))</f>
        <v>213.69</v>
      </c>
      <c r="K12" s="45">
        <f>IF(_xll.ciqfunctions.udf.CIQ($A12,"IQ_CLOSEPRICE",K$1,"USD")=0,_xll.ciqfunctions.udf.CIQ($A12,"IQ_CLOSEPRICE",K$2,"USD"),_xll.ciqfunctions.udf.CIQ($A12,"IQ_CLOSEPRICE",K$1,"USD"))</f>
        <v>258.02999999999997</v>
      </c>
      <c r="L12" s="49">
        <f t="shared" si="2"/>
        <v>-3.7735849056603765E-2</v>
      </c>
      <c r="M12" s="49">
        <f t="shared" si="3"/>
        <v>0</v>
      </c>
      <c r="N12" s="49">
        <f t="shared" si="4"/>
        <v>-0.17184048366469007</v>
      </c>
      <c r="O12" s="50">
        <f t="shared" si="5"/>
        <v>-1.4569679072779E-2</v>
      </c>
      <c r="P12" s="51">
        <f t="shared" si="7"/>
        <v>8.6131123697519033E-2</v>
      </c>
      <c r="Q12" s="49"/>
      <c r="R12" s="67" t="str">
        <f t="shared" si="8"/>
        <v>WDAY</v>
      </c>
      <c r="S12" s="68" t="str">
        <f t="shared" si="9"/>
        <v>Application</v>
      </c>
      <c r="T12" s="69">
        <f t="shared" si="10"/>
        <v>57.022520470000003</v>
      </c>
      <c r="U12" s="70">
        <f t="shared" si="11"/>
        <v>0.21677599622667168</v>
      </c>
      <c r="V12" s="71">
        <f t="shared" si="12"/>
        <v>-3.7735849056603765E-2</v>
      </c>
      <c r="W12" s="71">
        <f t="shared" si="13"/>
        <v>0</v>
      </c>
      <c r="X12" s="71">
        <f t="shared" si="14"/>
        <v>-0.17184048366469007</v>
      </c>
      <c r="Y12" s="259"/>
    </row>
    <row r="13" spans="1:25">
      <c r="A13" s="28" t="s">
        <v>166</v>
      </c>
      <c r="B13" s="28" t="s">
        <v>204</v>
      </c>
      <c r="C13" s="28" t="s">
        <v>132</v>
      </c>
      <c r="D13" s="43">
        <f>_xll.ciqfunctions.udf.CIQ($A13,"IQ_MARKETCAP",H$1,"USD")</f>
        <v>90635.066890000002</v>
      </c>
      <c r="E13" s="43">
        <f t="shared" si="1"/>
        <v>0.81269460951380046</v>
      </c>
      <c r="F13" s="44">
        <f>VLOOKUP(B:B,weight!G:H,2,FALSE)</f>
        <v>1.71</v>
      </c>
      <c r="G13" s="257">
        <f>VLOOKUP(A13,CHOOSE({1,2},shares!$F$2:$F$45,shares!$K$2:$K$45),2,FALSE)</f>
        <v>6.2161129685926299E-3</v>
      </c>
      <c r="H13" s="45">
        <f>IF(_xll.ciqfunctions.udf.CIQ($A13,"IQ_CLOSEPRICE",H$1,"USD")=0,_xll.ciqfunctions.udf.CIQ($A13,"IQ_CLOSEPRICE",H$2,"USD"),_xll.ciqfunctions.udf.CIQ($A13,"IQ_CLOSEPRICE",H$1,"USD"))</f>
        <v>130.74</v>
      </c>
      <c r="I13" s="45">
        <f>IF(_xll.ciqfunctions.udf.CIQ($A13,"IQ_CLOSEPRICE",I$1,"USD")=0,_xll.ciqfunctions.udf.CIQ($A13,"IQ_CLOSEPRICE",I$2,"USD"),_xll.ciqfunctions.udf.CIQ($A13,"IQ_CLOSEPRICE",I$1,"USD"))</f>
        <v>128.71</v>
      </c>
      <c r="J13" s="45">
        <f>IF(_xll.ciqfunctions.udf.CIQ($A13,"IQ_CLOSEPRICE",J$1,"USD")=0,_xll.ciqfunctions.udf.CIQ($A13,"IQ_CLOSEPRICE",J$2,"USD"),_xll.ciqfunctions.udf.CIQ($A13,"IQ_CLOSEPRICE",J$1,"USD"))</f>
        <v>130.74</v>
      </c>
      <c r="K13" s="45">
        <f>IF(_xll.ciqfunctions.udf.CIQ($A13,"IQ_CLOSEPRICE",K$1,"USD")=0,_xll.ciqfunctions.udf.CIQ($A13,"IQ_CLOSEPRICE",K$2,"USD"),_xll.ciqfunctions.udf.CIQ($A13,"IQ_CLOSEPRICE",K$1,"USD"))</f>
        <v>57.86</v>
      </c>
      <c r="L13" s="49">
        <f t="shared" si="2"/>
        <v>1.5771890296014224E-2</v>
      </c>
      <c r="M13" s="49">
        <f t="shared" si="3"/>
        <v>0</v>
      </c>
      <c r="N13" s="49">
        <f t="shared" si="4"/>
        <v>1.2595921189077086</v>
      </c>
      <c r="O13" s="50">
        <f t="shared" si="5"/>
        <v>1.2618709326243045E-2</v>
      </c>
      <c r="P13" s="51">
        <f t="shared" si="7"/>
        <v>-7.4597635847195781E-2</v>
      </c>
      <c r="Q13" s="49"/>
      <c r="R13" s="67" t="str">
        <f t="shared" si="8"/>
        <v>RBLX</v>
      </c>
      <c r="S13" s="68" t="str">
        <f t="shared" si="9"/>
        <v>Application</v>
      </c>
      <c r="T13" s="69">
        <f t="shared" si="10"/>
        <v>90.635066890000004</v>
      </c>
      <c r="U13" s="70">
        <f t="shared" si="11"/>
        <v>0.34455697075837755</v>
      </c>
      <c r="V13" s="71">
        <f t="shared" si="12"/>
        <v>1.5771890296014224E-2</v>
      </c>
      <c r="W13" s="71">
        <f t="shared" si="13"/>
        <v>0</v>
      </c>
      <c r="X13" s="71">
        <f t="shared" si="14"/>
        <v>1.2595921189077086</v>
      </c>
      <c r="Y13" s="259"/>
    </row>
    <row r="14" spans="1:25">
      <c r="A14" s="28" t="s">
        <v>146</v>
      </c>
      <c r="B14" s="29" t="s">
        <v>205</v>
      </c>
      <c r="C14" s="28" t="s">
        <v>132</v>
      </c>
      <c r="D14" s="43">
        <f>_xll.ciqfunctions.udf.CIQ($A14,"IQ_MARKETCAP",H$1,"USD")</f>
        <v>157482.39496000001</v>
      </c>
      <c r="E14" s="43">
        <f t="shared" si="1"/>
        <v>0.58825791951892814</v>
      </c>
      <c r="F14" s="44">
        <f>VLOOKUP(B:B,weight!G:H,2,FALSE)</f>
        <v>1.63</v>
      </c>
      <c r="G14" s="257">
        <f>VLOOKUP(A14,CHOOSE({1,2},shares!$F$2:$F$45,shares!$K$2:$K$45),2,FALSE)</f>
        <v>1.263494822627536E-3</v>
      </c>
      <c r="H14" s="45">
        <f>IF(_xll.ciqfunctions.udf.CIQ($A14,"IQ_CLOSEPRICE",H$1,"USD")=0,_xll.ciqfunctions.udf.CIQ($A14,"IQ_CLOSEPRICE",H$2,"USD"),_xll.ciqfunctions.udf.CIQ($A14,"IQ_CLOSEPRICE",H$1,"USD"))</f>
        <v>465.58</v>
      </c>
      <c r="I14" s="45">
        <f>IF(_xll.ciqfunctions.udf.CIQ($A14,"IQ_CLOSEPRICE",I$1,"USD")=0,_xll.ciqfunctions.udf.CIQ($A14,"IQ_CLOSEPRICE",I$2,"USD"),_xll.ciqfunctions.udf.CIQ($A14,"IQ_CLOSEPRICE",I$1,"USD"))</f>
        <v>455.98</v>
      </c>
      <c r="J14" s="45">
        <f>IF(_xll.ciqfunctions.udf.CIQ($A14,"IQ_CLOSEPRICE",J$1,"USD")=0,_xll.ciqfunctions.udf.CIQ($A14,"IQ_CLOSEPRICE",J$2,"USD"),_xll.ciqfunctions.udf.CIQ($A14,"IQ_CLOSEPRICE",J$1,"USD"))</f>
        <v>465.58</v>
      </c>
      <c r="K14" s="45">
        <f>IF(_xll.ciqfunctions.udf.CIQ($A14,"IQ_CLOSEPRICE",K$1,"USD")=0,_xll.ciqfunctions.udf.CIQ($A14,"IQ_CLOSEPRICE",K$2,"USD"),_xll.ciqfunctions.udf.CIQ($A14,"IQ_CLOSEPRICE",K$1,"USD"))</f>
        <v>323.83</v>
      </c>
      <c r="L14" s="49">
        <f t="shared" si="2"/>
        <v>2.1053554980481559E-2</v>
      </c>
      <c r="M14" s="49">
        <f t="shared" si="3"/>
        <v>0</v>
      </c>
      <c r="N14" s="49">
        <f t="shared" si="4"/>
        <v>0.43772967297656185</v>
      </c>
      <c r="O14" s="50">
        <f t="shared" si="5"/>
        <v>1.2129550297224302E-2</v>
      </c>
      <c r="P14" s="51">
        <f t="shared" si="7"/>
        <v>-7.1705889458980002E-2</v>
      </c>
      <c r="Q14" s="49"/>
      <c r="R14" s="67" t="str">
        <f t="shared" si="8"/>
        <v>APP</v>
      </c>
      <c r="S14" s="68" t="str">
        <f t="shared" si="9"/>
        <v>Application</v>
      </c>
      <c r="T14" s="69">
        <f t="shared" si="10"/>
        <v>157.48239495999999</v>
      </c>
      <c r="U14" s="70">
        <f t="shared" si="11"/>
        <v>0.59868281468856954</v>
      </c>
      <c r="V14" s="71">
        <f t="shared" si="12"/>
        <v>2.1053554980481559E-2</v>
      </c>
      <c r="W14" s="71">
        <f t="shared" si="13"/>
        <v>0</v>
      </c>
      <c r="X14" s="71">
        <f t="shared" si="14"/>
        <v>0.43772967297656185</v>
      </c>
      <c r="Y14" s="259"/>
    </row>
    <row r="15" spans="1:25">
      <c r="A15" s="28" t="s">
        <v>168</v>
      </c>
      <c r="B15" s="28" t="s">
        <v>206</v>
      </c>
      <c r="C15" s="28" t="s">
        <v>132</v>
      </c>
      <c r="D15" s="43">
        <f>_xll.ciqfunctions.udf.CIQ($A15,"IQ_MARKETCAP",H$1,"USD")</f>
        <v>191699.96062999999</v>
      </c>
      <c r="E15" s="43">
        <f t="shared" si="1"/>
        <v>0.63873006793798259</v>
      </c>
      <c r="F15" s="44">
        <f>VLOOKUP(B:B,weight!G:H,2,FALSE)</f>
        <v>1.6</v>
      </c>
      <c r="G15" s="257">
        <f>VLOOKUP(A15,CHOOSE({1,2},shares!$F$2:$F$45,shares!$K$2:$K$45),2,FALSE)</f>
        <v>4.3303733419524241E-3</v>
      </c>
      <c r="H15" s="45">
        <f>IF(_xll.ciqfunctions.udf.CIQ($A15,"IQ_CLOSEPRICE",H$1,"USD")=0,_xll.ciqfunctions.udf.CIQ($A15,"IQ_CLOSEPRICE",H$2,"USD"),_xll.ciqfunctions.udf.CIQ($A15,"IQ_CLOSEPRICE",H$1,"USD"))</f>
        <v>147.5</v>
      </c>
      <c r="I15" s="45">
        <f>IF(_xll.ciqfunctions.udf.CIQ($A15,"IQ_CLOSEPRICE",I$1,"USD")=0,_xll.ciqfunctions.udf.CIQ($A15,"IQ_CLOSEPRICE",I$2,"USD"),_xll.ciqfunctions.udf.CIQ($A15,"IQ_CLOSEPRICE",I$1,"USD"))</f>
        <v>149.61000000000001</v>
      </c>
      <c r="J15" s="45">
        <f>IF(_xll.ciqfunctions.udf.CIQ($A15,"IQ_CLOSEPRICE",J$1,"USD")=0,_xll.ciqfunctions.udf.CIQ($A15,"IQ_CLOSEPRICE",J$2,"USD"),_xll.ciqfunctions.udf.CIQ($A15,"IQ_CLOSEPRICE",J$1,"USD"))</f>
        <v>147.5</v>
      </c>
      <c r="K15" s="45">
        <f>IF(_xll.ciqfunctions.udf.CIQ($A15,"IQ_CLOSEPRICE",K$1,"USD")=0,_xll.ciqfunctions.udf.CIQ($A15,"IQ_CLOSEPRICE",K$2,"USD"),_xll.ciqfunctions.udf.CIQ($A15,"IQ_CLOSEPRICE",K$1,"USD"))</f>
        <v>106.33</v>
      </c>
      <c r="L15" s="49">
        <f t="shared" si="2"/>
        <v>-1.4103335338547018E-2</v>
      </c>
      <c r="M15" s="49">
        <f t="shared" si="3"/>
        <v>0</v>
      </c>
      <c r="N15" s="49">
        <f t="shared" si="4"/>
        <v>0.38719082102887237</v>
      </c>
      <c r="O15" s="50">
        <f t="shared" si="5"/>
        <v>-9.1370877515196732E-3</v>
      </c>
      <c r="P15" s="51">
        <f t="shared" si="7"/>
        <v>5.4015440657960774E-2</v>
      </c>
      <c r="Q15" s="49"/>
      <c r="R15" s="67" t="str">
        <f t="shared" si="8"/>
        <v>SHOP</v>
      </c>
      <c r="S15" s="68" t="str">
        <f t="shared" si="9"/>
        <v>Application</v>
      </c>
      <c r="T15" s="69">
        <f t="shared" si="10"/>
        <v>191.69996062999999</v>
      </c>
      <c r="U15" s="70">
        <f t="shared" si="11"/>
        <v>0.72876382172627563</v>
      </c>
      <c r="V15" s="71">
        <f t="shared" si="12"/>
        <v>-1.4103335338547018E-2</v>
      </c>
      <c r="W15" s="71">
        <f t="shared" si="13"/>
        <v>0</v>
      </c>
      <c r="X15" s="71">
        <f t="shared" si="14"/>
        <v>0.38719082102887237</v>
      </c>
      <c r="Y15" s="259"/>
    </row>
    <row r="16" spans="1:25" s="33" customFormat="1">
      <c r="A16" s="28" t="s">
        <v>171</v>
      </c>
      <c r="B16" s="28" t="s">
        <v>207</v>
      </c>
      <c r="C16" s="28" t="s">
        <v>132</v>
      </c>
      <c r="D16" s="43">
        <f>_xll.ciqfunctions.udf.CIQ($A16,"IQ_MARKETCAP",H$1,"USD")</f>
        <v>41811.92972</v>
      </c>
      <c r="E16" s="43">
        <f t="shared" si="1"/>
        <v>0.32289606206271204</v>
      </c>
      <c r="F16" s="44">
        <f>VLOOKUP(B:B,weight!G:H,2,FALSE)</f>
        <v>1.6</v>
      </c>
      <c r="G16" s="257">
        <f>VLOOKUP(A16,CHOOSE({1,2},shares!$F$2:$F$45,shares!$K$2:$K$45),2,FALSE)</f>
        <v>2.0272228909010048E-3</v>
      </c>
      <c r="H16" s="45">
        <f>IF(_xll.ciqfunctions.udf.CIQ($A16,"IQ_CLOSEPRICE",H$1,"USD")=0,_xll.ciqfunctions.udf.CIQ($A16,"IQ_CLOSEPRICE",H$2,"USD"),_xll.ciqfunctions.udf.CIQ($A16,"IQ_CLOSEPRICE",H$1,"USD"))</f>
        <v>159.28</v>
      </c>
      <c r="I16" s="45">
        <f>IF(_xll.ciqfunctions.udf.CIQ($A16,"IQ_CLOSEPRICE",I$1,"USD")=0,_xll.ciqfunctions.udf.CIQ($A16,"IQ_CLOSEPRICE",I$2,"USD"),_xll.ciqfunctions.udf.CIQ($A16,"IQ_CLOSEPRICE",I$1,"USD"))</f>
        <v>168.06</v>
      </c>
      <c r="J16" s="45">
        <f>IF(_xll.ciqfunctions.udf.CIQ($A16,"IQ_CLOSEPRICE",J$1,"USD")=0,_xll.ciqfunctions.udf.CIQ($A16,"IQ_CLOSEPRICE",J$2,"USD"),_xll.ciqfunctions.udf.CIQ($A16,"IQ_CLOSEPRICE",J$1,"USD"))</f>
        <v>159.28</v>
      </c>
      <c r="K16" s="45">
        <f>IF(_xll.ciqfunctions.udf.CIQ($A16,"IQ_CLOSEPRICE",K$1,"USD")=0,_xll.ciqfunctions.udf.CIQ($A16,"IQ_CLOSEPRICE",K$2,"USD"),_xll.ciqfunctions.udf.CIQ($A16,"IQ_CLOSEPRICE",K$1,"USD"))</f>
        <v>243.38</v>
      </c>
      <c r="L16" s="49">
        <f t="shared" si="2"/>
        <v>-5.224324645959777E-2</v>
      </c>
      <c r="M16" s="49">
        <f t="shared" si="3"/>
        <v>0</v>
      </c>
      <c r="N16" s="49">
        <f t="shared" si="4"/>
        <v>-0.34555016846084308</v>
      </c>
      <c r="O16" s="50">
        <f t="shared" si="5"/>
        <v>-1.7799016982110824E-2</v>
      </c>
      <c r="P16" s="51">
        <f t="shared" si="7"/>
        <v>0.10522190130081004</v>
      </c>
      <c r="Q16" s="52"/>
      <c r="R16" s="72" t="str">
        <f t="shared" si="8"/>
        <v>TEAM</v>
      </c>
      <c r="S16" s="73" t="str">
        <f t="shared" si="9"/>
        <v>Application</v>
      </c>
      <c r="T16" s="74">
        <f t="shared" si="10"/>
        <v>41.811929720000002</v>
      </c>
      <c r="U16" s="256">
        <f t="shared" si="11"/>
        <v>0.15895163252177055</v>
      </c>
      <c r="V16" s="75">
        <f t="shared" si="12"/>
        <v>-5.224324645959777E-2</v>
      </c>
      <c r="W16" s="75">
        <f t="shared" si="13"/>
        <v>0</v>
      </c>
      <c r="X16" s="75">
        <f t="shared" si="14"/>
        <v>-0.34555016846084308</v>
      </c>
      <c r="Y16" s="260"/>
    </row>
    <row r="17" spans="1:25">
      <c r="A17" s="31" t="s">
        <v>155</v>
      </c>
      <c r="B17" s="31" t="s">
        <v>208</v>
      </c>
      <c r="C17" s="31" t="s">
        <v>134</v>
      </c>
      <c r="D17" s="46">
        <f>_xll.ciqfunctions.udf.CIQ($A17,"IQ_MARKETCAP",H$1,"USD")</f>
        <v>3878403.2215700001</v>
      </c>
      <c r="E17" s="46">
        <f t="shared" si="1"/>
        <v>1.6890850901823384</v>
      </c>
      <c r="F17" s="44">
        <f>VLOOKUP(B:B,weight!G:H,2,FALSE)</f>
        <v>5.4</v>
      </c>
      <c r="G17" s="257">
        <f>VLOOKUP(A17,CHOOSE({1,2},shares!$F$2:$F$45,shares!$K$2:$K$45),2,FALSE)</f>
        <v>3.2372215539075424E-3</v>
      </c>
      <c r="H17" s="47">
        <f>IF(_xll.ciqfunctions.udf.CIQ($A17,"IQ_CLOSEPRICE",H$1,"USD")=0,_xll.ciqfunctions.udf.CIQ($A17,"IQ_CLOSEPRICE",H$2,"USD"),_xll.ciqfunctions.udf.CIQ($A17,"IQ_CLOSEPRICE",H$1,"USD"))</f>
        <v>521.77</v>
      </c>
      <c r="I17" s="47">
        <f>IF(_xll.ciqfunctions.udf.CIQ($A17,"IQ_CLOSEPRICE",I$1,"USD")=0,_xll.ciqfunctions.udf.CIQ($A17,"IQ_CLOSEPRICE",I$2,"USD"),_xll.ciqfunctions.udf.CIQ($A17,"IQ_CLOSEPRICE",I$1,"USD"))</f>
        <v>522.04</v>
      </c>
      <c r="J17" s="47">
        <f>IF(_xll.ciqfunctions.udf.CIQ($A17,"IQ_CLOSEPRICE",J$1,"USD")=0,_xll.ciqfunctions.udf.CIQ($A17,"IQ_CLOSEPRICE",J$2,"USD"),_xll.ciqfunctions.udf.CIQ($A17,"IQ_CLOSEPRICE",J$1,"USD"))</f>
        <v>521.77</v>
      </c>
      <c r="K17" s="47">
        <f>IF(_xll.ciqfunctions.udf.CIQ($A17,"IQ_CLOSEPRICE",K$1,"USD")=0,_xll.ciqfunctions.udf.CIQ($A17,"IQ_CLOSEPRICE",K$2,"USD"),_xll.ciqfunctions.udf.CIQ($A17,"IQ_CLOSEPRICE",K$1,"USD"))</f>
        <v>421.5</v>
      </c>
      <c r="L17" s="52">
        <f t="shared" si="2"/>
        <v>-5.1720174699254606E-4</v>
      </c>
      <c r="M17" s="52">
        <f t="shared" si="3"/>
        <v>0</v>
      </c>
      <c r="N17" s="52">
        <f t="shared" si="4"/>
        <v>0.23788849347568197</v>
      </c>
      <c r="O17" s="53">
        <f t="shared" si="5"/>
        <v>-8.740498195549776E-4</v>
      </c>
      <c r="P17" s="54">
        <f t="shared" si="7"/>
        <v>5.1670934376679177E-3</v>
      </c>
      <c r="Q17" s="49"/>
      <c r="R17" s="76" t="str">
        <f t="shared" si="8"/>
        <v>MSFT</v>
      </c>
      <c r="S17" s="77" t="str">
        <f t="shared" si="9"/>
        <v>Infrastructure</v>
      </c>
      <c r="T17" s="78">
        <f t="shared" si="10"/>
        <v>3878.4032215699999</v>
      </c>
      <c r="U17" s="79">
        <f t="shared" si="11"/>
        <v>14.744082078358705</v>
      </c>
      <c r="V17" s="80">
        <f t="shared" si="12"/>
        <v>-5.1720174699254606E-4</v>
      </c>
      <c r="W17" s="80">
        <f t="shared" si="13"/>
        <v>0</v>
      </c>
      <c r="X17" s="80">
        <f t="shared" si="14"/>
        <v>0.23788849347568197</v>
      </c>
      <c r="Y17" s="261">
        <f>O48*SUM(P17:P33)</f>
        <v>-1.7455550863048322E-3</v>
      </c>
    </row>
    <row r="18" spans="1:25">
      <c r="A18" s="28" t="s">
        <v>138</v>
      </c>
      <c r="B18" s="28" t="s">
        <v>209</v>
      </c>
      <c r="C18" s="28" t="s">
        <v>134</v>
      </c>
      <c r="D18" s="34">
        <f>_xll.ciqfunctions.udf.CIQ($A18,"IQ_MARKETCAP",H$1,"USD")</f>
        <v>2360145.0470699999</v>
      </c>
      <c r="E18" s="34">
        <f t="shared" si="1"/>
        <v>1.5362271134755354</v>
      </c>
      <c r="F18" s="44">
        <f>VLOOKUP(B:B,weight!G:H,2,FALSE)</f>
        <v>5.13</v>
      </c>
      <c r="G18" s="257">
        <f>VLOOKUP(A18,CHOOSE({1,2},shares!$F$2:$F$45,shares!$K$2:$K$45),2,FALSE)</f>
        <v>6.9418306076617052E-3</v>
      </c>
      <c r="H18" s="45">
        <f>IF(_xll.ciqfunctions.udf.CIQ($A18,"IQ_CLOSEPRICE",H$1,"USD")=0,_xll.ciqfunctions.udf.CIQ($A18,"IQ_CLOSEPRICE",H$2,"USD"),_xll.ciqfunctions.udf.CIQ($A18,"IQ_CLOSEPRICE",H$1,"USD"))</f>
        <v>221.3</v>
      </c>
      <c r="I18" s="45">
        <f>IF(_xll.ciqfunctions.udf.CIQ($A18,"IQ_CLOSEPRICE",I$1,"USD")=0,_xll.ciqfunctions.udf.CIQ($A18,"IQ_CLOSEPRICE",I$2,"USD"),_xll.ciqfunctions.udf.CIQ($A18,"IQ_CLOSEPRICE",I$1,"USD"))</f>
        <v>222.69</v>
      </c>
      <c r="J18" s="45">
        <f>IF(_xll.ciqfunctions.udf.CIQ($A18,"IQ_CLOSEPRICE",J$1,"USD")=0,_xll.ciqfunctions.udf.CIQ($A18,"IQ_CLOSEPRICE",J$2,"USD"),_xll.ciqfunctions.udf.CIQ($A18,"IQ_CLOSEPRICE",J$1,"USD"))</f>
        <v>221.3</v>
      </c>
      <c r="K18" s="45">
        <f>IF(_xll.ciqfunctions.udf.CIQ($A18,"IQ_CLOSEPRICE",K$1,"USD")=0,_xll.ciqfunctions.udf.CIQ($A18,"IQ_CLOSEPRICE",K$2,"USD"),_xll.ciqfunctions.udf.CIQ($A18,"IQ_CLOSEPRICE",K$1,"USD"))</f>
        <v>219.39</v>
      </c>
      <c r="L18" s="55">
        <f t="shared" si="2"/>
        <v>-6.2418608828415101E-3</v>
      </c>
      <c r="M18" s="55">
        <f t="shared" si="3"/>
        <v>0</v>
      </c>
      <c r="N18" s="55">
        <f t="shared" si="4"/>
        <v>8.7059574274124252E-3</v>
      </c>
      <c r="O18" s="20">
        <f t="shared" si="5"/>
        <v>-9.6491445446496762E-3</v>
      </c>
      <c r="P18" s="36">
        <f t="shared" si="7"/>
        <v>5.7042551054073493E-2</v>
      </c>
      <c r="Q18" s="55"/>
      <c r="R18" s="67" t="str">
        <f t="shared" si="8"/>
        <v>AMZN</v>
      </c>
      <c r="S18" s="68" t="str">
        <f t="shared" si="9"/>
        <v>Infrastructure</v>
      </c>
      <c r="T18" s="69">
        <f t="shared" si="10"/>
        <v>2360.1450470699997</v>
      </c>
      <c r="U18" s="70">
        <f t="shared" si="11"/>
        <v>8.9722935710499296</v>
      </c>
      <c r="V18" s="71">
        <f t="shared" si="12"/>
        <v>-6.2418608828415101E-3</v>
      </c>
      <c r="W18" s="71">
        <f t="shared" si="13"/>
        <v>0</v>
      </c>
      <c r="X18" s="71">
        <f t="shared" si="14"/>
        <v>8.7059574274124252E-3</v>
      </c>
      <c r="Y18" s="259"/>
    </row>
    <row r="19" spans="1:25">
      <c r="A19" s="28" t="s">
        <v>149</v>
      </c>
      <c r="B19" s="28" t="s">
        <v>210</v>
      </c>
      <c r="C19" s="28" t="s">
        <v>134</v>
      </c>
      <c r="D19" s="34">
        <f>_xll.ciqfunctions.udf.CIQ($A19,"IQ_MARKETCAP",H$1,"USD")</f>
        <v>2434314.9</v>
      </c>
      <c r="E19" s="34">
        <f t="shared" si="1"/>
        <v>1.149834488647516</v>
      </c>
      <c r="F19" s="44">
        <f>VLOOKUP(B:B,weight!G:H,2,FALSE)</f>
        <v>3.13</v>
      </c>
      <c r="G19" s="257">
        <f>VLOOKUP(A19,CHOOSE({1,2},shares!$F$2:$F$45,shares!$K$2:$K$45),2,FALSE)</f>
        <v>5.7205695952612734E-3</v>
      </c>
      <c r="H19" s="45">
        <f>IF(_xll.ciqfunctions.udf.CIQ($A19,"IQ_CLOSEPRICE",H$1,"USD")=0,_xll.ciqfunctions.udf.CIQ($A19,"IQ_CLOSEPRICE",H$2,"USD"),_xll.ciqfunctions.udf.CIQ($A19,"IQ_CLOSEPRICE",H$1,"USD"))</f>
        <v>201</v>
      </c>
      <c r="I19" s="45">
        <f>IF(_xll.ciqfunctions.udf.CIQ($A19,"IQ_CLOSEPRICE",I$1,"USD")=0,_xll.ciqfunctions.udf.CIQ($A19,"IQ_CLOSEPRICE",I$2,"USD"),_xll.ciqfunctions.udf.CIQ($A19,"IQ_CLOSEPRICE",I$1,"USD"))</f>
        <v>201.42</v>
      </c>
      <c r="J19" s="45">
        <f>IF(_xll.ciqfunctions.udf.CIQ($A19,"IQ_CLOSEPRICE",J$1,"USD")=0,_xll.ciqfunctions.udf.CIQ($A19,"IQ_CLOSEPRICE",J$2,"USD"),_xll.ciqfunctions.udf.CIQ($A19,"IQ_CLOSEPRICE",J$1,"USD"))</f>
        <v>201</v>
      </c>
      <c r="K19" s="45">
        <f>IF(_xll.ciqfunctions.udf.CIQ($A19,"IQ_CLOSEPRICE",K$1,"USD")=0,_xll.ciqfunctions.udf.CIQ($A19,"IQ_CLOSEPRICE",K$2,"USD"),_xll.ciqfunctions.udf.CIQ($A19,"IQ_CLOSEPRICE",K$1,"USD"))</f>
        <v>189.3</v>
      </c>
      <c r="L19" s="55">
        <f t="shared" si="2"/>
        <v>-2.085195114685634E-3</v>
      </c>
      <c r="M19" s="55">
        <f t="shared" si="3"/>
        <v>0</v>
      </c>
      <c r="N19" s="55">
        <f t="shared" si="4"/>
        <v>6.1806656101426327E-2</v>
      </c>
      <c r="O19" s="20">
        <f t="shared" si="5"/>
        <v>-2.4026392300096635E-3</v>
      </c>
      <c r="P19" s="36">
        <f t="shared" si="7"/>
        <v>1.420360844509682E-2</v>
      </c>
      <c r="Q19" s="55"/>
      <c r="R19" s="67" t="str">
        <f t="shared" si="8"/>
        <v>NasdaqGS:GOOGL</v>
      </c>
      <c r="S19" s="68" t="str">
        <f t="shared" si="9"/>
        <v>Infrastructure</v>
      </c>
      <c r="T19" s="69">
        <f t="shared" si="10"/>
        <v>2434.3148999999999</v>
      </c>
      <c r="U19" s="70">
        <f t="shared" si="11"/>
        <v>9.254256620497129</v>
      </c>
      <c r="V19" s="71">
        <f t="shared" si="12"/>
        <v>-2.085195114685634E-3</v>
      </c>
      <c r="W19" s="71">
        <f t="shared" si="13"/>
        <v>0</v>
      </c>
      <c r="X19" s="71">
        <f t="shared" si="14"/>
        <v>6.1806656101426327E-2</v>
      </c>
      <c r="Y19" s="259"/>
    </row>
    <row r="20" spans="1:25">
      <c r="A20" s="28" t="s">
        <v>173</v>
      </c>
      <c r="B20" s="28" t="s">
        <v>211</v>
      </c>
      <c r="C20" s="28" t="s">
        <v>134</v>
      </c>
      <c r="D20" s="34">
        <f>_xll.ciqfunctions.udf.CIQ($A20,"IQ_MARKETCAP",H$1,"USD")</f>
        <v>1093523.9368400001</v>
      </c>
      <c r="E20" s="34">
        <f t="shared" si="1"/>
        <v>0.85958900516708614</v>
      </c>
      <c r="F20" s="44">
        <f>VLOOKUP(B:B,weight!G:H,2,FALSE)</f>
        <v>2.8</v>
      </c>
      <c r="G20" s="257">
        <f>VLOOKUP(A20,CHOOSE({1,2},shares!$F$2:$F$45,shares!$K$2:$K$45),2,FALSE)</f>
        <v>2.5354364073004931E-3</v>
      </c>
      <c r="H20" s="45">
        <f>IF(_xll.ciqfunctions.udf.CIQ($A20,"IQ_CLOSEPRICE",H$1,"USD")=0,_xll.ciqfunctions.udf.CIQ($A20,"IQ_CLOSEPRICE",H$2,"USD"),_xll.ciqfunctions.udf.CIQ($A20,"IQ_CLOSEPRICE",H$1,"USD"))</f>
        <v>339.03</v>
      </c>
      <c r="I20" s="45">
        <f>IF(_xll.ciqfunctions.udf.CIQ($A20,"IQ_CLOSEPRICE",I$1,"USD")=0,_xll.ciqfunctions.udf.CIQ($A20,"IQ_CLOSEPRICE",I$2,"USD"),_xll.ciqfunctions.udf.CIQ($A20,"IQ_CLOSEPRICE",I$1,"USD"))</f>
        <v>329.65</v>
      </c>
      <c r="J20" s="45">
        <f>IF(_xll.ciqfunctions.udf.CIQ($A20,"IQ_CLOSEPRICE",J$1,"USD")=0,_xll.ciqfunctions.udf.CIQ($A20,"IQ_CLOSEPRICE",J$2,"USD"),_xll.ciqfunctions.udf.CIQ($A20,"IQ_CLOSEPRICE",J$1,"USD"))</f>
        <v>339.03</v>
      </c>
      <c r="K20" s="45">
        <f>IF(_xll.ciqfunctions.udf.CIQ($A20,"IQ_CLOSEPRICE",K$1,"USD")=0,_xll.ciqfunctions.udf.CIQ($A20,"IQ_CLOSEPRICE",K$2,"USD"),_xll.ciqfunctions.udf.CIQ($A20,"IQ_CLOSEPRICE",K$1,"USD"))</f>
        <v>403.84</v>
      </c>
      <c r="L20" s="55">
        <f t="shared" si="2"/>
        <v>2.8454421355983639E-2</v>
      </c>
      <c r="M20" s="55">
        <f t="shared" si="3"/>
        <v>0</v>
      </c>
      <c r="N20" s="55">
        <f t="shared" si="4"/>
        <v>-0.1604843502377179</v>
      </c>
      <c r="O20" s="20">
        <f t="shared" si="5"/>
        <v>2.3782393500478612E-2</v>
      </c>
      <c r="P20" s="36">
        <f t="shared" si="7"/>
        <v>-0.14059364425122414</v>
      </c>
      <c r="Q20" s="55"/>
      <c r="R20" s="67" t="str">
        <f t="shared" si="8"/>
        <v>TSLA</v>
      </c>
      <c r="S20" s="68" t="str">
        <f t="shared" si="9"/>
        <v>Infrastructure</v>
      </c>
      <c r="T20" s="69">
        <f t="shared" si="10"/>
        <v>1093.52393684</v>
      </c>
      <c r="U20" s="70">
        <f t="shared" si="11"/>
        <v>4.1571249192837199</v>
      </c>
      <c r="V20" s="71">
        <f t="shared" si="12"/>
        <v>2.8454421355983639E-2</v>
      </c>
      <c r="W20" s="71">
        <f t="shared" si="13"/>
        <v>0</v>
      </c>
      <c r="X20" s="71">
        <f t="shared" si="14"/>
        <v>-0.1604843502377179</v>
      </c>
      <c r="Y20" s="259"/>
    </row>
    <row r="21" spans="1:25">
      <c r="A21" s="28" t="s">
        <v>163</v>
      </c>
      <c r="B21" s="28" t="s">
        <v>212</v>
      </c>
      <c r="C21" s="28" t="s">
        <v>134</v>
      </c>
      <c r="D21" s="34">
        <f>_xll.ciqfunctions.udf.CIQ($A21,"IQ_MARKETCAP",H$1,"USD")</f>
        <v>433379.51347000001</v>
      </c>
      <c r="E21" s="34">
        <f t="shared" si="1"/>
        <v>1.0323034541160552</v>
      </c>
      <c r="F21" s="44">
        <f>VLOOKUP(B:B,weight!G:H,2,FALSE)</f>
        <v>2.61</v>
      </c>
      <c r="G21" s="257">
        <f>VLOOKUP(A21,CHOOSE({1,2},shares!$F$2:$F$45,shares!$K$2:$K$45),2,FALSE)</f>
        <v>5.650883808386551E-3</v>
      </c>
      <c r="H21" s="45">
        <f>IF(_xll.ciqfunctions.udf.CIQ($A21,"IQ_CLOSEPRICE",H$1,"USD")=0,_xll.ciqfunctions.udf.CIQ($A21,"IQ_CLOSEPRICE",H$2,"USD"),_xll.ciqfunctions.udf.CIQ($A21,"IQ_CLOSEPRICE",H$1,"USD"))</f>
        <v>182.68</v>
      </c>
      <c r="I21" s="45">
        <f>IF(_xll.ciqfunctions.udf.CIQ($A21,"IQ_CLOSEPRICE",I$1,"USD")=0,_xll.ciqfunctions.udf.CIQ($A21,"IQ_CLOSEPRICE",I$2,"USD"),_xll.ciqfunctions.udf.CIQ($A21,"IQ_CLOSEPRICE",I$1,"USD"))</f>
        <v>186.96</v>
      </c>
      <c r="J21" s="45">
        <f>IF(_xll.ciqfunctions.udf.CIQ($A21,"IQ_CLOSEPRICE",J$1,"USD")=0,_xll.ciqfunctions.udf.CIQ($A21,"IQ_CLOSEPRICE",J$2,"USD"),_xll.ciqfunctions.udf.CIQ($A21,"IQ_CLOSEPRICE",J$1,"USD"))</f>
        <v>182.68</v>
      </c>
      <c r="K21" s="45">
        <f>IF(_xll.ciqfunctions.udf.CIQ($A21,"IQ_CLOSEPRICE",K$1,"USD")=0,_xll.ciqfunctions.udf.CIQ($A21,"IQ_CLOSEPRICE",K$2,"USD"),_xll.ciqfunctions.udf.CIQ($A21,"IQ_CLOSEPRICE",K$1,"USD"))</f>
        <v>75.63</v>
      </c>
      <c r="L21" s="55">
        <f t="shared" si="2"/>
        <v>-2.2892597347026089E-2</v>
      </c>
      <c r="M21" s="55">
        <f t="shared" si="3"/>
        <v>0</v>
      </c>
      <c r="N21" s="55">
        <f t="shared" si="4"/>
        <v>1.4154436070342458</v>
      </c>
      <c r="O21" s="20">
        <f t="shared" si="5"/>
        <v>-2.4185782699894444E-2</v>
      </c>
      <c r="P21" s="36">
        <f t="shared" si="7"/>
        <v>0.14297834777554833</v>
      </c>
      <c r="Q21" s="55"/>
      <c r="R21" s="67" t="str">
        <f t="shared" si="8"/>
        <v>PLTR</v>
      </c>
      <c r="S21" s="68" t="str">
        <f t="shared" si="9"/>
        <v>Infrastructure</v>
      </c>
      <c r="T21" s="69">
        <f t="shared" si="10"/>
        <v>433.37951347000001</v>
      </c>
      <c r="U21" s="70">
        <f t="shared" si="11"/>
        <v>1.6475293445879053</v>
      </c>
      <c r="V21" s="71">
        <f t="shared" si="12"/>
        <v>-2.2892597347026089E-2</v>
      </c>
      <c r="W21" s="71">
        <f t="shared" si="13"/>
        <v>0</v>
      </c>
      <c r="X21" s="71">
        <f t="shared" si="14"/>
        <v>1.4154436070342458</v>
      </c>
      <c r="Y21" s="259"/>
    </row>
    <row r="22" spans="1:25">
      <c r="A22" s="28" t="s">
        <v>161</v>
      </c>
      <c r="B22" s="28" t="s">
        <v>213</v>
      </c>
      <c r="C22" s="28" t="s">
        <v>134</v>
      </c>
      <c r="D22" s="34">
        <f>_xll.ciqfunctions.udf.CIQ($A22,"IQ_MARKETCAP",H$1,"USD")</f>
        <v>709735.92243999999</v>
      </c>
      <c r="E22" s="34">
        <f t="shared" si="1"/>
        <v>0.92327464870078013</v>
      </c>
      <c r="F22" s="44">
        <f>VLOOKUP(B:B,weight!G:H,2,FALSE)</f>
        <v>2.13</v>
      </c>
      <c r="G22" s="257">
        <f>VLOOKUP(A22,CHOOSE({1,2},shares!$F$2:$F$45,shares!$K$2:$K$45),2,FALSE)</f>
        <v>3.6539284814816374E-3</v>
      </c>
      <c r="H22" s="45">
        <f>IF(_xll.ciqfunctions.udf.CIQ($A22,"IQ_CLOSEPRICE",H$1,"USD")=0,_xll.ciqfunctions.udf.CIQ($A22,"IQ_CLOSEPRICE",H$2,"USD"),_xll.ciqfunctions.udf.CIQ($A22,"IQ_CLOSEPRICE",H$1,"USD"))</f>
        <v>252.68</v>
      </c>
      <c r="I22" s="45">
        <f>IF(_xll.ciqfunctions.udf.CIQ($A22,"IQ_CLOSEPRICE",I$1,"USD")=0,_xll.ciqfunctions.udf.CIQ($A22,"IQ_CLOSEPRICE",I$2,"USD"),_xll.ciqfunctions.udf.CIQ($A22,"IQ_CLOSEPRICE",I$1,"USD"))</f>
        <v>250.05</v>
      </c>
      <c r="J22" s="45">
        <f>IF(_xll.ciqfunctions.udf.CIQ($A22,"IQ_CLOSEPRICE",J$1,"USD")=0,_xll.ciqfunctions.udf.CIQ($A22,"IQ_CLOSEPRICE",J$2,"USD"),_xll.ciqfunctions.udf.CIQ($A22,"IQ_CLOSEPRICE",J$1,"USD"))</f>
        <v>252.68</v>
      </c>
      <c r="K22" s="45">
        <f>IF(_xll.ciqfunctions.udf.CIQ($A22,"IQ_CLOSEPRICE",K$1,"USD")=0,_xll.ciqfunctions.udf.CIQ($A22,"IQ_CLOSEPRICE",K$2,"USD"),_xll.ciqfunctions.udf.CIQ($A22,"IQ_CLOSEPRICE",K$1,"USD"))</f>
        <v>166.64</v>
      </c>
      <c r="L22" s="55">
        <f t="shared" si="2"/>
        <v>1.0517896420715767E-2</v>
      </c>
      <c r="M22" s="55">
        <f t="shared" si="3"/>
        <v>0</v>
      </c>
      <c r="N22" s="55">
        <f t="shared" si="4"/>
        <v>0.51632261161785897</v>
      </c>
      <c r="O22" s="20">
        <f t="shared" si="5"/>
        <v>9.6098319062966897E-3</v>
      </c>
      <c r="P22" s="36">
        <f t="shared" si="7"/>
        <v>-5.6810147738946042E-2</v>
      </c>
      <c r="Q22" s="55"/>
      <c r="R22" s="67" t="str">
        <f t="shared" si="8"/>
        <v>ORCL</v>
      </c>
      <c r="S22" s="68" t="str">
        <f t="shared" si="9"/>
        <v>Infrastructure</v>
      </c>
      <c r="T22" s="69">
        <f t="shared" si="10"/>
        <v>709.73592243999997</v>
      </c>
      <c r="U22" s="70">
        <f t="shared" si="11"/>
        <v>2.6981219065146447</v>
      </c>
      <c r="V22" s="71">
        <f t="shared" si="12"/>
        <v>1.0517896420715767E-2</v>
      </c>
      <c r="W22" s="71">
        <f t="shared" si="13"/>
        <v>0</v>
      </c>
      <c r="X22" s="71">
        <f t="shared" si="14"/>
        <v>0.51632261161785897</v>
      </c>
      <c r="Y22" s="259"/>
    </row>
    <row r="23" spans="1:25">
      <c r="A23" s="28" t="s">
        <v>157</v>
      </c>
      <c r="B23" s="28" t="s">
        <v>214</v>
      </c>
      <c r="C23" s="28" t="s">
        <v>134</v>
      </c>
      <c r="D23" s="43">
        <f>_xll.ciqfunctions.udf.CIQ($A23,"IQ_MARKETCAP",H$1,"USD")</f>
        <v>16766.887920000001</v>
      </c>
      <c r="E23" s="43">
        <f t="shared" si="1"/>
        <v>1.2663506165633456</v>
      </c>
      <c r="F23" s="44">
        <f>VLOOKUP(B:B,weight!G:H,2,FALSE)</f>
        <v>2.09</v>
      </c>
      <c r="G23" s="257">
        <f>VLOOKUP(A23,CHOOSE({1,2},shares!$F$2:$F$45,shares!$K$2:$K$45),2,FALSE)</f>
        <v>1.8028909689113692E-2</v>
      </c>
      <c r="H23" s="45">
        <f>IF(_xll.ciqfunctions.udf.CIQ($A23,"IQ_CLOSEPRICE",H$1,"USD")=0,_xll.ciqfunctions.udf.CIQ($A23,"IQ_CLOSEPRICE",H$2,"USD"),_xll.ciqfunctions.udf.CIQ($A23,"IQ_CLOSEPRICE",H$1,"USD"))</f>
        <v>70.239999999999995</v>
      </c>
      <c r="I23" s="45">
        <f>IF(_xll.ciqfunctions.udf.CIQ($A23,"IQ_CLOSEPRICE",I$1,"USD")=0,_xll.ciqfunctions.udf.CIQ($A23,"IQ_CLOSEPRICE",I$2,"USD"),_xll.ciqfunctions.udf.CIQ($A23,"IQ_CLOSEPRICE",I$1,"USD"))</f>
        <v>68.78</v>
      </c>
      <c r="J23" s="45">
        <f>IF(_xll.ciqfunctions.udf.CIQ($A23,"IQ_CLOSEPRICE",J$1,"USD")=0,_xll.ciqfunctions.udf.CIQ($A23,"IQ_CLOSEPRICE",J$2,"USD"),_xll.ciqfunctions.udf.CIQ($A23,"IQ_CLOSEPRICE",J$1,"USD"))</f>
        <v>70.239999999999995</v>
      </c>
      <c r="K23" s="45">
        <f>IF(_xll.ciqfunctions.udf.CIQ($A23,"IQ_CLOSEPRICE",K$1,"USD")=0,_xll.ciqfunctions.udf.CIQ($A23,"IQ_CLOSEPRICE",K$2,"USD"),_xll.ciqfunctions.udf.CIQ($A23,"IQ_CLOSEPRICE",K$1,"USD"))</f>
        <v>27.7</v>
      </c>
      <c r="L23" s="49">
        <f t="shared" si="2"/>
        <v>2.1227100901424656E-2</v>
      </c>
      <c r="M23" s="49">
        <f t="shared" si="3"/>
        <v>0</v>
      </c>
      <c r="N23" s="49">
        <f t="shared" si="4"/>
        <v>1.5357400722021661</v>
      </c>
      <c r="O23" s="50">
        <f t="shared" si="5"/>
        <v>2.6322208146105877E-2</v>
      </c>
      <c r="P23" s="51">
        <f t="shared" si="7"/>
        <v>-0.15560818838212429</v>
      </c>
      <c r="Q23" s="55"/>
      <c r="R23" s="67" t="str">
        <f t="shared" si="8"/>
        <v>NBIS</v>
      </c>
      <c r="S23" s="68" t="str">
        <f t="shared" si="9"/>
        <v>Infrastructure</v>
      </c>
      <c r="T23" s="69">
        <f t="shared" si="10"/>
        <v>16.766887920000002</v>
      </c>
      <c r="U23" s="70">
        <f t="shared" si="11"/>
        <v>6.3740760712097416E-2</v>
      </c>
      <c r="V23" s="71">
        <f t="shared" si="12"/>
        <v>2.1227100901424656E-2</v>
      </c>
      <c r="W23" s="71">
        <f t="shared" si="13"/>
        <v>0</v>
      </c>
      <c r="X23" s="71">
        <f t="shared" si="14"/>
        <v>1.5357400722021661</v>
      </c>
      <c r="Y23" s="259"/>
    </row>
    <row r="24" spans="1:25">
      <c r="A24" s="28" t="s">
        <v>148</v>
      </c>
      <c r="B24" s="28" t="s">
        <v>215</v>
      </c>
      <c r="C24" s="28" t="s">
        <v>134</v>
      </c>
      <c r="D24" s="34">
        <f>_xll.ciqfunctions.udf.CIQ($A24,"IQ_MARKETCAP",H$1,"USD")</f>
        <v>7659.7350100000003</v>
      </c>
      <c r="E24" s="34">
        <f t="shared" si="1"/>
        <v>0.44468743220083201</v>
      </c>
      <c r="F24" s="44">
        <f>VLOOKUP(B:B,weight!G:H,2,FALSE)</f>
        <v>2.06</v>
      </c>
      <c r="G24" s="257">
        <f>VLOOKUP(A24,CHOOSE({1,2},shares!$F$2:$F$45,shares!$K$2:$K$45),2,FALSE)</f>
        <v>6.1302375544641848E-3</v>
      </c>
      <c r="H24" s="45">
        <f>IF(_xll.ciqfunctions.udf.CIQ($A24,"IQ_CLOSEPRICE",H$1,"USD")=0,_xll.ciqfunctions.udf.CIQ($A24,"IQ_CLOSEPRICE",H$2,"USD"),_xll.ciqfunctions.udf.CIQ($A24,"IQ_CLOSEPRICE",H$1,"USD"))</f>
        <v>72.540000000000006</v>
      </c>
      <c r="I24" s="45">
        <f>IF(_xll.ciqfunctions.udf.CIQ($A24,"IQ_CLOSEPRICE",I$1,"USD")=0,_xll.ciqfunctions.udf.CIQ($A24,"IQ_CLOSEPRICE",I$2,"USD"),_xll.ciqfunctions.udf.CIQ($A24,"IQ_CLOSEPRICE",I$1,"USD"))</f>
        <v>74.510000000000005</v>
      </c>
      <c r="J24" s="45">
        <f>IF(_xll.ciqfunctions.udf.CIQ($A24,"IQ_CLOSEPRICE",J$1,"USD")=0,_xll.ciqfunctions.udf.CIQ($A24,"IQ_CLOSEPRICE",J$2,"USD"),_xll.ciqfunctions.udf.CIQ($A24,"IQ_CLOSEPRICE",J$1,"USD"))</f>
        <v>72.540000000000006</v>
      </c>
      <c r="K24" s="45">
        <f>IF(_xll.ciqfunctions.udf.CIQ($A24,"IQ_CLOSEPRICE",K$1,"USD")=0,_xll.ciqfunctions.udf.CIQ($A24,"IQ_CLOSEPRICE",K$2,"USD"),_xll.ciqfunctions.udf.CIQ($A24,"IQ_CLOSEPRICE",K$1,"USD"))</f>
        <v>99.08</v>
      </c>
      <c r="L24" s="55">
        <f t="shared" si="2"/>
        <v>-2.6439404106831321E-2</v>
      </c>
      <c r="M24" s="55">
        <f t="shared" si="3"/>
        <v>0</v>
      </c>
      <c r="N24" s="55">
        <f t="shared" si="4"/>
        <v>-0.26786435203875647</v>
      </c>
      <c r="O24" s="20">
        <f t="shared" si="5"/>
        <v>-1.2076567982294437E-2</v>
      </c>
      <c r="P24" s="36">
        <f t="shared" si="7"/>
        <v>7.139267553723129E-2</v>
      </c>
      <c r="Q24" s="55"/>
      <c r="R24" s="67" t="str">
        <f t="shared" si="8"/>
        <v>ESTC</v>
      </c>
      <c r="S24" s="68" t="str">
        <f t="shared" si="9"/>
        <v>Infrastructure</v>
      </c>
      <c r="T24" s="69">
        <f t="shared" si="10"/>
        <v>7.6597350100000003</v>
      </c>
      <c r="U24" s="70">
        <f t="shared" si="11"/>
        <v>2.9119138788308015E-2</v>
      </c>
      <c r="V24" s="71">
        <f t="shared" si="12"/>
        <v>-2.6439404106831321E-2</v>
      </c>
      <c r="W24" s="71">
        <f t="shared" si="13"/>
        <v>0</v>
      </c>
      <c r="X24" s="71">
        <f t="shared" si="14"/>
        <v>-0.26786435203875647</v>
      </c>
      <c r="Y24" s="259"/>
    </row>
    <row r="25" spans="1:25">
      <c r="A25" s="28" t="s">
        <v>169</v>
      </c>
      <c r="B25" s="28" t="s">
        <v>216</v>
      </c>
      <c r="C25" s="28" t="s">
        <v>134</v>
      </c>
      <c r="D25" s="34">
        <f>_xll.ciqfunctions.udf.CIQ($A25,"IQ_MARKETCAP",H$1,"USD")</f>
        <v>63995.603060000001</v>
      </c>
      <c r="E25" s="34">
        <f t="shared" si="1"/>
        <v>0.53759951999677236</v>
      </c>
      <c r="F25" s="44">
        <f>VLOOKUP(B:B,weight!G:H,2,FALSE)</f>
        <v>1.87</v>
      </c>
      <c r="G25" s="257">
        <f>VLOOKUP(A25,CHOOSE({1,2},shares!$F$2:$F$45,shares!$K$2:$K$45),2,FALSE)</f>
        <v>2.8029172054054867E-3</v>
      </c>
      <c r="H25" s="45">
        <f>IF(_xll.ciqfunctions.udf.CIQ($A25,"IQ_CLOSEPRICE",H$1,"USD")=0,_xll.ciqfunctions.udf.CIQ($A25,"IQ_CLOSEPRICE",H$2,"USD"),_xll.ciqfunctions.udf.CIQ($A25,"IQ_CLOSEPRICE",H$1,"USD"))</f>
        <v>191.8</v>
      </c>
      <c r="I25" s="45">
        <f>IF(_xll.ciqfunctions.udf.CIQ($A25,"IQ_CLOSEPRICE",I$1,"USD")=0,_xll.ciqfunctions.udf.CIQ($A25,"IQ_CLOSEPRICE",I$2,"USD"),_xll.ciqfunctions.udf.CIQ($A25,"IQ_CLOSEPRICE",I$1,"USD"))</f>
        <v>191.73</v>
      </c>
      <c r="J25" s="45">
        <f>IF(_xll.ciqfunctions.udf.CIQ($A25,"IQ_CLOSEPRICE",J$1,"USD")=0,_xll.ciqfunctions.udf.CIQ($A25,"IQ_CLOSEPRICE",J$2,"USD"),_xll.ciqfunctions.udf.CIQ($A25,"IQ_CLOSEPRICE",J$1,"USD"))</f>
        <v>191.8</v>
      </c>
      <c r="K25" s="45">
        <f>IF(_xll.ciqfunctions.udf.CIQ($A25,"IQ_CLOSEPRICE",K$1,"USD")=0,_xll.ciqfunctions.udf.CIQ($A25,"IQ_CLOSEPRICE",K$2,"USD"),_xll.ciqfunctions.udf.CIQ($A25,"IQ_CLOSEPRICE",K$1,"USD"))</f>
        <v>154.41</v>
      </c>
      <c r="L25" s="55">
        <f t="shared" si="2"/>
        <v>3.650967506390046E-4</v>
      </c>
      <c r="M25" s="55">
        <f t="shared" si="3"/>
        <v>0</v>
      </c>
      <c r="N25" s="55">
        <f t="shared" si="4"/>
        <v>0.24214752930509698</v>
      </c>
      <c r="O25" s="20">
        <f t="shared" si="5"/>
        <v>1.9620420437844462E-4</v>
      </c>
      <c r="P25" s="36">
        <f t="shared" si="7"/>
        <v>-1.1598943609448889E-3</v>
      </c>
      <c r="Q25" s="55"/>
      <c r="R25" s="67" t="str">
        <f t="shared" si="8"/>
        <v>SNOW</v>
      </c>
      <c r="S25" s="68" t="str">
        <f t="shared" si="9"/>
        <v>Infrastructure</v>
      </c>
      <c r="T25" s="69">
        <f t="shared" si="10"/>
        <v>63.995603060000001</v>
      </c>
      <c r="U25" s="70">
        <f t="shared" si="11"/>
        <v>0.24328476702036839</v>
      </c>
      <c r="V25" s="71">
        <f t="shared" si="12"/>
        <v>3.650967506390046E-4</v>
      </c>
      <c r="W25" s="71">
        <f t="shared" si="13"/>
        <v>0</v>
      </c>
      <c r="X25" s="71">
        <f t="shared" si="14"/>
        <v>0.24214752930509698</v>
      </c>
      <c r="Y25" s="259"/>
    </row>
    <row r="26" spans="1:25">
      <c r="A26" s="28" t="s">
        <v>145</v>
      </c>
      <c r="B26" s="28" t="s">
        <v>217</v>
      </c>
      <c r="C26" s="28" t="s">
        <v>134</v>
      </c>
      <c r="D26" s="34">
        <f>_xll.ciqfunctions.udf.CIQ($A26,"IQ_MARKETCAP",H$1,"USD")</f>
        <v>44928.834580000002</v>
      </c>
      <c r="E26" s="34">
        <f t="shared" si="1"/>
        <v>0.53666216873465533</v>
      </c>
      <c r="F26" s="44">
        <f>VLOOKUP(B:B,weight!G:H,2,FALSE)</f>
        <v>1.71</v>
      </c>
      <c r="G26" s="257">
        <f>VLOOKUP(A26,CHOOSE({1,2},shares!$F$2:$F$45,shares!$K$2:$K$45),2,FALSE)</f>
        <v>4.1656614820667183E-3</v>
      </c>
      <c r="H26" s="45">
        <f>IF(_xll.ciqfunctions.udf.CIQ($A26,"IQ_CLOSEPRICE",H$1,"USD")=0,_xll.ciqfunctions.udf.CIQ($A26,"IQ_CLOSEPRICE",H$2,"USD"),_xll.ciqfunctions.udf.CIQ($A26,"IQ_CLOSEPRICE",H$1,"USD"))</f>
        <v>128.83000000000001</v>
      </c>
      <c r="I26" s="45">
        <f>IF(_xll.ciqfunctions.udf.CIQ($A26,"IQ_CLOSEPRICE",I$1,"USD")=0,_xll.ciqfunctions.udf.CIQ($A26,"IQ_CLOSEPRICE",I$2,"USD"),_xll.ciqfunctions.udf.CIQ($A26,"IQ_CLOSEPRICE",I$1,"USD"))</f>
        <v>130.91</v>
      </c>
      <c r="J26" s="45">
        <f>IF(_xll.ciqfunctions.udf.CIQ($A26,"IQ_CLOSEPRICE",J$1,"USD")=0,_xll.ciqfunctions.udf.CIQ($A26,"IQ_CLOSEPRICE",J$2,"USD"),_xll.ciqfunctions.udf.CIQ($A26,"IQ_CLOSEPRICE",J$1,"USD"))</f>
        <v>128.83000000000001</v>
      </c>
      <c r="K26" s="45">
        <f>IF(_xll.ciqfunctions.udf.CIQ($A26,"IQ_CLOSEPRICE",K$1,"USD")=0,_xll.ciqfunctions.udf.CIQ($A26,"IQ_CLOSEPRICE",K$2,"USD"),_xll.ciqfunctions.udf.CIQ($A26,"IQ_CLOSEPRICE",K$1,"USD"))</f>
        <v>142.88999999999999</v>
      </c>
      <c r="L26" s="55">
        <f t="shared" si="2"/>
        <v>-1.5888778550148808E-2</v>
      </c>
      <c r="M26" s="55">
        <f t="shared" si="3"/>
        <v>0</v>
      </c>
      <c r="N26" s="55">
        <f t="shared" si="4"/>
        <v>-9.8397368605220636E-2</v>
      </c>
      <c r="O26" s="20">
        <f t="shared" si="5"/>
        <v>-8.6645758826987083E-3</v>
      </c>
      <c r="P26" s="36">
        <f t="shared" si="7"/>
        <v>5.1222106774718161E-2</v>
      </c>
      <c r="Q26" s="55"/>
      <c r="R26" s="67" t="str">
        <f t="shared" si="8"/>
        <v>DDOG</v>
      </c>
      <c r="S26" s="68" t="str">
        <f t="shared" si="9"/>
        <v>Infrastructure</v>
      </c>
      <c r="T26" s="69">
        <f t="shared" si="10"/>
        <v>44.92883458</v>
      </c>
      <c r="U26" s="70">
        <f t="shared" si="11"/>
        <v>0.17080081334719077</v>
      </c>
      <c r="V26" s="71">
        <f t="shared" si="12"/>
        <v>-1.5888778550148808E-2</v>
      </c>
      <c r="W26" s="71">
        <f t="shared" si="13"/>
        <v>0</v>
      </c>
      <c r="X26" s="71">
        <f t="shared" si="14"/>
        <v>-9.8397368605220636E-2</v>
      </c>
      <c r="Y26" s="259"/>
    </row>
    <row r="27" spans="1:25">
      <c r="A27" s="28" t="s">
        <v>158</v>
      </c>
      <c r="B27" s="28" t="s">
        <v>218</v>
      </c>
      <c r="C27" s="28" t="s">
        <v>134</v>
      </c>
      <c r="D27" s="34">
        <f>_xll.ciqfunctions.udf.CIQ($A27,"IQ_MARKETCAP",H$1,"USD")</f>
        <v>70104.040859999994</v>
      </c>
      <c r="E27" s="34">
        <f t="shared" si="1"/>
        <v>0.72444057311542776</v>
      </c>
      <c r="F27" s="44">
        <f>VLOOKUP(B:B,weight!G:H,2,FALSE)</f>
        <v>1.7</v>
      </c>
      <c r="G27" s="257">
        <f>VLOOKUP(A27,CHOOSE({1,2},shares!$F$2:$F$45,shares!$K$2:$K$45),2,FALSE)</f>
        <v>3.6011362186977574E-3</v>
      </c>
      <c r="H27" s="45">
        <f>IF(_xll.ciqfunctions.udf.CIQ($A27,"IQ_CLOSEPRICE",H$1,"USD")=0,_xll.ciqfunctions.udf.CIQ($A27,"IQ_CLOSEPRICE",H$2,"USD"),_xll.ciqfunctions.udf.CIQ($A27,"IQ_CLOSEPRICE",H$1,"USD"))</f>
        <v>201.17</v>
      </c>
      <c r="I27" s="45">
        <f>IF(_xll.ciqfunctions.udf.CIQ($A27,"IQ_CLOSEPRICE",I$1,"USD")=0,_xll.ciqfunctions.udf.CIQ($A27,"IQ_CLOSEPRICE",I$2,"USD"),_xll.ciqfunctions.udf.CIQ($A27,"IQ_CLOSEPRICE",I$1,"USD"))</f>
        <v>204.6</v>
      </c>
      <c r="J27" s="45">
        <f>IF(_xll.ciqfunctions.udf.CIQ($A27,"IQ_CLOSEPRICE",J$1,"USD")=0,_xll.ciqfunctions.udf.CIQ($A27,"IQ_CLOSEPRICE",J$2,"USD"),_xll.ciqfunctions.udf.CIQ($A27,"IQ_CLOSEPRICE",J$1,"USD"))</f>
        <v>201.17</v>
      </c>
      <c r="K27" s="45">
        <f>IF(_xll.ciqfunctions.udf.CIQ($A27,"IQ_CLOSEPRICE",K$1,"USD")=0,_xll.ciqfunctions.udf.CIQ($A27,"IQ_CLOSEPRICE",K$2,"USD"),_xll.ciqfunctions.udf.CIQ($A27,"IQ_CLOSEPRICE",K$1,"USD"))</f>
        <v>107.68</v>
      </c>
      <c r="L27" s="55">
        <f t="shared" si="2"/>
        <v>-1.6764418377321677E-2</v>
      </c>
      <c r="M27" s="55">
        <f t="shared" si="3"/>
        <v>0</v>
      </c>
      <c r="N27" s="55">
        <f t="shared" si="4"/>
        <v>0.86822065378900426</v>
      </c>
      <c r="O27" s="20">
        <f t="shared" si="5"/>
        <v>-1.2351897230133333E-2</v>
      </c>
      <c r="P27" s="36">
        <f t="shared" si="7"/>
        <v>7.3020330984183673E-2</v>
      </c>
      <c r="Q27" s="55"/>
      <c r="R27" s="67" t="str">
        <f t="shared" si="8"/>
        <v>NET</v>
      </c>
      <c r="S27" s="68" t="str">
        <f t="shared" si="9"/>
        <v>Infrastructure</v>
      </c>
      <c r="T27" s="69">
        <f t="shared" si="10"/>
        <v>70.104040859999998</v>
      </c>
      <c r="U27" s="70">
        <f t="shared" si="11"/>
        <v>0.26650651657772634</v>
      </c>
      <c r="V27" s="71">
        <f t="shared" si="12"/>
        <v>-1.6764418377321677E-2</v>
      </c>
      <c r="W27" s="71">
        <f t="shared" si="13"/>
        <v>0</v>
      </c>
      <c r="X27" s="71">
        <f t="shared" si="14"/>
        <v>0.86822065378900426</v>
      </c>
      <c r="Y27" s="259"/>
    </row>
    <row r="28" spans="1:25">
      <c r="A28" s="28" t="s">
        <v>150</v>
      </c>
      <c r="B28" s="28" t="s">
        <v>219</v>
      </c>
      <c r="C28" s="28" t="s">
        <v>134</v>
      </c>
      <c r="D28" s="43">
        <f>_xll.ciqfunctions.udf.CIQ($A28,"IQ_MARKETCAP",H$1,"USD")</f>
        <v>6413.0640000000003</v>
      </c>
      <c r="E28" s="43">
        <f t="shared" si="1"/>
        <v>0.30590645605360367</v>
      </c>
      <c r="F28" s="44">
        <f>VLOOKUP(B:B,weight!G:H,2,FALSE)</f>
        <v>1.49</v>
      </c>
      <c r="G28" s="257">
        <f>VLOOKUP(A28,CHOOSE({1,2},shares!$F$2:$F$45,shares!$K$2:$K$45),2,FALSE)</f>
        <v>7.8801250915405373E-3</v>
      </c>
      <c r="H28" s="45">
        <f>IF(_xll.ciqfunctions.udf.CIQ($A28,"IQ_CLOSEPRICE",H$1,"USD")=0,_xll.ciqfunctions.udf.CIQ($A28,"IQ_CLOSEPRICE",H$2,"USD"),_xll.ciqfunctions.udf.CIQ($A28,"IQ_CLOSEPRICE",H$1,"USD"))</f>
        <v>38.82</v>
      </c>
      <c r="I28" s="45">
        <f>IF(_xll.ciqfunctions.udf.CIQ($A28,"IQ_CLOSEPRICE",I$1,"USD")=0,_xll.ciqfunctions.udf.CIQ($A28,"IQ_CLOSEPRICE",I$2,"USD"),_xll.ciqfunctions.udf.CIQ($A28,"IQ_CLOSEPRICE",I$1,"USD"))</f>
        <v>40.42</v>
      </c>
      <c r="J28" s="45">
        <f>IF(_xll.ciqfunctions.udf.CIQ($A28,"IQ_CLOSEPRICE",J$1,"USD")=0,_xll.ciqfunctions.udf.CIQ($A28,"IQ_CLOSEPRICE",J$2,"USD"),_xll.ciqfunctions.udf.CIQ($A28,"IQ_CLOSEPRICE",J$1,"USD"))</f>
        <v>38.82</v>
      </c>
      <c r="K28" s="45">
        <f>IF(_xll.ciqfunctions.udf.CIQ($A28,"IQ_CLOSEPRICE",K$1,"USD")=0,_xll.ciqfunctions.udf.CIQ($A28,"IQ_CLOSEPRICE",K$2,"USD"),_xll.ciqfunctions.udf.CIQ($A28,"IQ_CLOSEPRICE",K$1,"USD"))</f>
        <v>56.35</v>
      </c>
      <c r="L28" s="49">
        <f t="shared" si="2"/>
        <v>-3.9584364176150411E-2</v>
      </c>
      <c r="M28" s="49">
        <f t="shared" si="3"/>
        <v>0</v>
      </c>
      <c r="N28" s="49">
        <f t="shared" si="4"/>
        <v>-0.31109139307897071</v>
      </c>
      <c r="O28" s="50">
        <f t="shared" si="5"/>
        <v>-1.2608200146464871E-2</v>
      </c>
      <c r="P28" s="51">
        <f t="shared" si="7"/>
        <v>7.453550905230126E-2</v>
      </c>
      <c r="Q28" s="55"/>
      <c r="R28" s="67" t="str">
        <f t="shared" si="8"/>
        <v>GTLB</v>
      </c>
      <c r="S28" s="68" t="str">
        <f t="shared" si="9"/>
        <v>Infrastructure</v>
      </c>
      <c r="T28" s="69">
        <f t="shared" si="10"/>
        <v>6.4130640000000003</v>
      </c>
      <c r="U28" s="70">
        <f t="shared" si="11"/>
        <v>2.4379812151530521E-2</v>
      </c>
      <c r="V28" s="71">
        <f t="shared" si="12"/>
        <v>-3.9584364176150411E-2</v>
      </c>
      <c r="W28" s="71">
        <f t="shared" si="13"/>
        <v>0</v>
      </c>
      <c r="X28" s="71">
        <f t="shared" si="14"/>
        <v>-0.31109139307897071</v>
      </c>
      <c r="Y28" s="259"/>
    </row>
    <row r="29" spans="1:25">
      <c r="A29" s="28" t="s">
        <v>162</v>
      </c>
      <c r="B29" s="28" t="s">
        <v>220</v>
      </c>
      <c r="C29" s="28" t="s">
        <v>134</v>
      </c>
      <c r="D29" s="34">
        <f>_xll.ciqfunctions.udf.CIQ($A29,"IQ_MARKETCAP",H$1,"USD")</f>
        <v>112326.75373</v>
      </c>
      <c r="E29" s="34">
        <f t="shared" si="1"/>
        <v>0.33997107891403633</v>
      </c>
      <c r="F29" s="44">
        <f>VLOOKUP(B:B,weight!G:H,2,FALSE)</f>
        <v>1.45</v>
      </c>
      <c r="G29" s="257">
        <f>VLOOKUP(A29,CHOOSE({1,2},shares!$F$2:$F$45,shares!$K$2:$K$45),2,FALSE)</f>
        <v>2.0215917162040575E-3</v>
      </c>
      <c r="H29" s="45">
        <f>IF(_xll.ciqfunctions.udf.CIQ($A29,"IQ_CLOSEPRICE",H$1,"USD")=0,_xll.ciqfunctions.udf.CIQ($A29,"IQ_CLOSEPRICE",H$2,"USD"),_xll.ciqfunctions.udf.CIQ($A29,"IQ_CLOSEPRICE",H$1,"USD"))</f>
        <v>168.17</v>
      </c>
      <c r="I29" s="45">
        <f>IF(_xll.ciqfunctions.udf.CIQ($A29,"IQ_CLOSEPRICE",I$1,"USD")=0,_xll.ciqfunctions.udf.CIQ($A29,"IQ_CLOSEPRICE",I$2,"USD"),_xll.ciqfunctions.udf.CIQ($A29,"IQ_CLOSEPRICE",I$1,"USD"))</f>
        <v>167.06</v>
      </c>
      <c r="J29" s="45">
        <f>IF(_xll.ciqfunctions.udf.CIQ($A29,"IQ_CLOSEPRICE",J$1,"USD")=0,_xll.ciqfunctions.udf.CIQ($A29,"IQ_CLOSEPRICE",J$2,"USD"),_xll.ciqfunctions.udf.CIQ($A29,"IQ_CLOSEPRICE",J$1,"USD"))</f>
        <v>168.17</v>
      </c>
      <c r="K29" s="45">
        <f>IF(_xll.ciqfunctions.udf.CIQ($A29,"IQ_CLOSEPRICE",K$1,"USD")=0,_xll.ciqfunctions.udf.CIQ($A29,"IQ_CLOSEPRICE",K$2,"USD"),_xll.ciqfunctions.udf.CIQ($A29,"IQ_CLOSEPRICE",K$1,"USD"))</f>
        <v>181.96</v>
      </c>
      <c r="L29" s="55">
        <f t="shared" si="2"/>
        <v>6.64431940620136E-3</v>
      </c>
      <c r="M29" s="55">
        <f t="shared" si="3"/>
        <v>0</v>
      </c>
      <c r="N29" s="55">
        <f t="shared" si="4"/>
        <v>-7.5785887008133712E-2</v>
      </c>
      <c r="O29" s="20">
        <f t="shared" si="5"/>
        <v>2.2439668049864742E-3</v>
      </c>
      <c r="P29" s="36">
        <f t="shared" si="7"/>
        <v>-1.3265589549911172E-2</v>
      </c>
      <c r="Q29" s="55"/>
      <c r="R29" s="67" t="str">
        <f t="shared" si="8"/>
        <v>PANW</v>
      </c>
      <c r="S29" s="68" t="str">
        <f t="shared" si="9"/>
        <v>Infrastructure</v>
      </c>
      <c r="T29" s="69">
        <f t="shared" si="10"/>
        <v>112.32675372999999</v>
      </c>
      <c r="U29" s="70">
        <f t="shared" si="11"/>
        <v>0.42701977643270522</v>
      </c>
      <c r="V29" s="71">
        <f t="shared" si="12"/>
        <v>6.64431940620136E-3</v>
      </c>
      <c r="W29" s="71">
        <f t="shared" si="13"/>
        <v>0</v>
      </c>
      <c r="X29" s="71">
        <f t="shared" si="14"/>
        <v>-7.5785887008133712E-2</v>
      </c>
      <c r="Y29" s="259"/>
    </row>
    <row r="30" spans="1:25">
      <c r="A30" s="28" t="s">
        <v>152</v>
      </c>
      <c r="B30" s="28" t="s">
        <v>221</v>
      </c>
      <c r="C30" s="28" t="s">
        <v>134</v>
      </c>
      <c r="D30" s="34">
        <f>_xll.ciqfunctions.udf.CIQ($A30,"IQ_MARKETCAP",H$1,"USD")</f>
        <v>16424.57691</v>
      </c>
      <c r="E30" s="34">
        <f t="shared" si="1"/>
        <v>0.39473830728763004</v>
      </c>
      <c r="F30" s="44">
        <f>VLOOKUP(B:B,weight!G:H,2,FALSE)</f>
        <v>1.34</v>
      </c>
      <c r="G30" s="257">
        <f>VLOOKUP(A30,CHOOSE({1,2},shares!$F$2:$F$45,shares!$K$2:$K$45),2,FALSE)</f>
        <v>1.9638721755603486E-3</v>
      </c>
      <c r="H30" s="45">
        <f>IF(_xll.ciqfunctions.udf.CIQ($A30,"IQ_CLOSEPRICE",H$1,"USD")=0,_xll.ciqfunctions.udf.CIQ($A30,"IQ_CLOSEPRICE",H$2,"USD"),_xll.ciqfunctions.udf.CIQ($A30,"IQ_CLOSEPRICE",H$1,"USD"))</f>
        <v>201</v>
      </c>
      <c r="I30" s="45">
        <f>IF(_xll.ciqfunctions.udf.CIQ($A30,"IQ_CLOSEPRICE",I$1,"USD")=0,_xll.ciqfunctions.udf.CIQ($A30,"IQ_CLOSEPRICE",I$2,"USD"),_xll.ciqfunctions.udf.CIQ($A30,"IQ_CLOSEPRICE",I$1,"USD"))</f>
        <v>209.18</v>
      </c>
      <c r="J30" s="45">
        <f>IF(_xll.ciqfunctions.udf.CIQ($A30,"IQ_CLOSEPRICE",J$1,"USD")=0,_xll.ciqfunctions.udf.CIQ($A30,"IQ_CLOSEPRICE",J$2,"USD"),_xll.ciqfunctions.udf.CIQ($A30,"IQ_CLOSEPRICE",J$1,"USD"))</f>
        <v>201</v>
      </c>
      <c r="K30" s="45">
        <f>IF(_xll.ciqfunctions.udf.CIQ($A30,"IQ_CLOSEPRICE",K$1,"USD")=0,_xll.ciqfunctions.udf.CIQ($A30,"IQ_CLOSEPRICE",K$2,"USD"),_xll.ciqfunctions.udf.CIQ($A30,"IQ_CLOSEPRICE",K$1,"USD"))</f>
        <v>232.81</v>
      </c>
      <c r="L30" s="55">
        <f t="shared" si="2"/>
        <v>-3.9105076967205332E-2</v>
      </c>
      <c r="M30" s="55">
        <f t="shared" si="3"/>
        <v>0</v>
      </c>
      <c r="N30" s="55">
        <f t="shared" si="4"/>
        <v>-0.13663502426871699</v>
      </c>
      <c r="O30" s="20">
        <f t="shared" si="5"/>
        <v>-1.6064474396083665E-2</v>
      </c>
      <c r="P30" s="36">
        <f t="shared" si="7"/>
        <v>9.4967859239249108E-2</v>
      </c>
      <c r="Q30" s="55"/>
      <c r="R30" s="67" t="str">
        <f t="shared" si="8"/>
        <v>MDB</v>
      </c>
      <c r="S30" s="68" t="str">
        <f t="shared" si="9"/>
        <v>Infrastructure</v>
      </c>
      <c r="T30" s="69">
        <f t="shared" si="10"/>
        <v>16.424576909999999</v>
      </c>
      <c r="U30" s="70">
        <f t="shared" si="11"/>
        <v>6.243943608455578E-2</v>
      </c>
      <c r="V30" s="71">
        <f t="shared" si="12"/>
        <v>-3.9105076967205332E-2</v>
      </c>
      <c r="W30" s="71">
        <f t="shared" si="13"/>
        <v>0</v>
      </c>
      <c r="X30" s="71">
        <f t="shared" si="14"/>
        <v>-0.13663502426871699</v>
      </c>
      <c r="Y30" s="259"/>
    </row>
    <row r="31" spans="1:25">
      <c r="A31" s="28" t="s">
        <v>164</v>
      </c>
      <c r="B31" s="28" t="s">
        <v>222</v>
      </c>
      <c r="C31" s="28" t="s">
        <v>134</v>
      </c>
      <c r="D31" s="34">
        <f>_xll.ciqfunctions.udf.CIQ($A31,"IQ_MARKETCAP",H$1,"USD")</f>
        <v>18740.528419999999</v>
      </c>
      <c r="E31" s="34">
        <f t="shared" si="1"/>
        <v>0.37701625438568975</v>
      </c>
      <c r="F31" s="44">
        <f>VLOOKUP(B:B,weight!G:H,2,FALSE)</f>
        <v>1.21</v>
      </c>
      <c r="G31" s="257">
        <f>VLOOKUP(A31,CHOOSE({1,2},shares!$F$2:$F$45,shares!$K$2:$K$45),2,FALSE)</f>
        <v>6.5751003555230159E-3</v>
      </c>
      <c r="H31" s="45">
        <f>IF(_xll.ciqfunctions.udf.CIQ($A31,"IQ_CLOSEPRICE",H$1,"USD")=0,_xll.ciqfunctions.udf.CIQ($A31,"IQ_CLOSEPRICE",H$2,"USD"),_xll.ciqfunctions.udf.CIQ($A31,"IQ_CLOSEPRICE",H$1,"USD"))</f>
        <v>57.34</v>
      </c>
      <c r="I31" s="45">
        <f>IF(_xll.ciqfunctions.udf.CIQ($A31,"IQ_CLOSEPRICE",I$1,"USD")=0,_xll.ciqfunctions.udf.CIQ($A31,"IQ_CLOSEPRICE",I$2,"USD"),_xll.ciqfunctions.udf.CIQ($A31,"IQ_CLOSEPRICE",I$1,"USD"))</f>
        <v>58.58</v>
      </c>
      <c r="J31" s="45">
        <f>IF(_xll.ciqfunctions.udf.CIQ($A31,"IQ_CLOSEPRICE",J$1,"USD")=0,_xll.ciqfunctions.udf.CIQ($A31,"IQ_CLOSEPRICE",J$2,"USD"),_xll.ciqfunctions.udf.CIQ($A31,"IQ_CLOSEPRICE",J$1,"USD"))</f>
        <v>57.34</v>
      </c>
      <c r="K31" s="45">
        <f>IF(_xll.ciqfunctions.udf.CIQ($A31,"IQ_CLOSEPRICE",K$1,"USD")=0,_xll.ciqfunctions.udf.CIQ($A31,"IQ_CLOSEPRICE",K$2,"USD"),_xll.ciqfunctions.udf.CIQ($A31,"IQ_CLOSEPRICE",K$1,"USD"))</f>
        <v>61.43</v>
      </c>
      <c r="L31" s="55">
        <f t="shared" si="2"/>
        <v>-2.1167634004779723E-2</v>
      </c>
      <c r="M31" s="55">
        <f t="shared" si="3"/>
        <v>0</v>
      </c>
      <c r="N31" s="55">
        <f t="shared" si="4"/>
        <v>-6.6579846980302726E-2</v>
      </c>
      <c r="O31" s="20">
        <f t="shared" si="5"/>
        <v>-8.1531244408485064E-3</v>
      </c>
      <c r="P31" s="36">
        <f t="shared" si="7"/>
        <v>4.8198575015149223E-2</v>
      </c>
      <c r="Q31" s="55"/>
      <c r="R31" s="67" t="str">
        <f t="shared" si="8"/>
        <v>PSTG</v>
      </c>
      <c r="S31" s="68" t="str">
        <f t="shared" si="9"/>
        <v>Infrastructure</v>
      </c>
      <c r="T31" s="69">
        <f t="shared" si="10"/>
        <v>18.74052842</v>
      </c>
      <c r="U31" s="70">
        <f t="shared" si="11"/>
        <v>7.1243724138729786E-2</v>
      </c>
      <c r="V31" s="71">
        <f t="shared" si="12"/>
        <v>-2.1167634004779723E-2</v>
      </c>
      <c r="W31" s="71">
        <f t="shared" si="13"/>
        <v>0</v>
      </c>
      <c r="X31" s="71">
        <f t="shared" si="14"/>
        <v>-6.6579846980302726E-2</v>
      </c>
      <c r="Y31" s="259"/>
    </row>
    <row r="32" spans="1:25">
      <c r="A32" s="28" t="s">
        <v>176</v>
      </c>
      <c r="B32" s="28" t="s">
        <v>223</v>
      </c>
      <c r="C32" s="28" t="s">
        <v>134</v>
      </c>
      <c r="D32" s="34">
        <f>_xll.ciqfunctions.udf.CIQ($A32,"IQ_MARKETCAP",H$1,"USD")</f>
        <v>42221.552329999999</v>
      </c>
      <c r="E32" s="34">
        <f t="shared" si="1"/>
        <v>0.37718430271658343</v>
      </c>
      <c r="F32" s="44">
        <f>VLOOKUP(B:B,weight!G:H,2,FALSE)</f>
        <v>1.19</v>
      </c>
      <c r="G32" s="257">
        <f>VLOOKUP(A32,CHOOSE({1,2},shares!$F$2:$F$45,shares!$K$2:$K$45),2,FALSE)</f>
        <v>1.3909001501459673E-3</v>
      </c>
      <c r="H32" s="45">
        <f>IF(_xll.ciqfunctions.udf.CIQ($A32,"IQ_CLOSEPRICE",H$1,"USD")=0,_xll.ciqfunctions.udf.CIQ($A32,"IQ_CLOSEPRICE",H$2,"USD"),_xll.ciqfunctions.udf.CIQ($A32,"IQ_CLOSEPRICE",H$1,"USD"))</f>
        <v>271.18</v>
      </c>
      <c r="I32" s="45">
        <f>IF(_xll.ciqfunctions.udf.CIQ($A32,"IQ_CLOSEPRICE",I$1,"USD")=0,_xll.ciqfunctions.udf.CIQ($A32,"IQ_CLOSEPRICE",I$2,"USD"),_xll.ciqfunctions.udf.CIQ($A32,"IQ_CLOSEPRICE",I$1,"USD"))</f>
        <v>269.69499999999999</v>
      </c>
      <c r="J32" s="45">
        <f>IF(_xll.ciqfunctions.udf.CIQ($A32,"IQ_CLOSEPRICE",J$1,"USD")=0,_xll.ciqfunctions.udf.CIQ($A32,"IQ_CLOSEPRICE",J$2,"USD"),_xll.ciqfunctions.udf.CIQ($A32,"IQ_CLOSEPRICE",J$1,"USD"))</f>
        <v>271.18</v>
      </c>
      <c r="K32" s="45">
        <f>IF(_xll.ciqfunctions.udf.CIQ($A32,"IQ_CLOSEPRICE",K$1,"USD")=0,_xll.ciqfunctions.udf.CIQ($A32,"IQ_CLOSEPRICE",K$2,"USD"),_xll.ciqfunctions.udf.CIQ($A32,"IQ_CLOSEPRICE",K$1,"USD"))</f>
        <v>180.41</v>
      </c>
      <c r="L32" s="55">
        <f t="shared" si="2"/>
        <v>5.5062199892472741E-3</v>
      </c>
      <c r="M32" s="55">
        <f t="shared" si="3"/>
        <v>0</v>
      </c>
      <c r="N32" s="55">
        <f t="shared" si="4"/>
        <v>0.5031317554459287</v>
      </c>
      <c r="O32" s="20">
        <f t="shared" si="5"/>
        <v>2.0654867229667803E-3</v>
      </c>
      <c r="P32" s="36">
        <f t="shared" si="7"/>
        <v>-1.2210474338025488E-2</v>
      </c>
      <c r="Q32" s="55"/>
      <c r="R32" s="67" t="str">
        <f t="shared" si="8"/>
        <v>ZS</v>
      </c>
      <c r="S32" s="68" t="str">
        <f t="shared" si="9"/>
        <v>Infrastructure</v>
      </c>
      <c r="T32" s="69">
        <f t="shared" si="10"/>
        <v>42.221552330000002</v>
      </c>
      <c r="U32" s="70">
        <f t="shared" si="11"/>
        <v>0.16050884796275472</v>
      </c>
      <c r="V32" s="71">
        <f t="shared" si="12"/>
        <v>5.5062199892472741E-3</v>
      </c>
      <c r="W32" s="71">
        <f t="shared" si="13"/>
        <v>0</v>
      </c>
      <c r="X32" s="71">
        <f t="shared" si="14"/>
        <v>0.5031317554459287</v>
      </c>
      <c r="Y32" s="259"/>
    </row>
    <row r="33" spans="1:25" s="33" customFormat="1">
      <c r="A33" s="28" t="s">
        <v>143</v>
      </c>
      <c r="B33" s="28" t="s">
        <v>224</v>
      </c>
      <c r="C33" s="28" t="s">
        <v>134</v>
      </c>
      <c r="D33" s="34">
        <f>_xll.ciqfunctions.udf.CIQ($A33,"IQ_MARKETCAP",H$1,"USD")</f>
        <v>5484.8789800000004</v>
      </c>
      <c r="E33" s="34">
        <f t="shared" si="1"/>
        <v>0.21411365573527039</v>
      </c>
      <c r="F33" s="44">
        <f>VLOOKUP(B:B,weight!G:H,2,FALSE)</f>
        <v>1.1200000000000001</v>
      </c>
      <c r="G33" s="257">
        <f>VLOOKUP(A33,CHOOSE({1,2},shares!$F$2:$F$45,shares!$K$2:$K$45),2,FALSE)</f>
        <v>1.3457803628866775E-2</v>
      </c>
      <c r="H33" s="45">
        <f>IF(_xll.ciqfunctions.udf.CIQ($A33,"IQ_CLOSEPRICE",H$1,"USD")=0,_xll.ciqfunctions.udf.CIQ($A33,"IQ_CLOSEPRICE",H$2,"USD"),_xll.ciqfunctions.udf.CIQ($A33,"IQ_CLOSEPRICE",H$1,"USD"))</f>
        <v>15.91</v>
      </c>
      <c r="I33" s="45">
        <f>IF(_xll.ciqfunctions.udf.CIQ($A33,"IQ_CLOSEPRICE",I$1,"USD")=0,_xll.ciqfunctions.udf.CIQ($A33,"IQ_CLOSEPRICE",I$2,"USD"),_xll.ciqfunctions.udf.CIQ($A33,"IQ_CLOSEPRICE",I$1,"USD"))</f>
        <v>16.329999999999998</v>
      </c>
      <c r="J33" s="45">
        <f>IF(_xll.ciqfunctions.udf.CIQ($A33,"IQ_CLOSEPRICE",J$1,"USD")=0,_xll.ciqfunctions.udf.CIQ($A33,"IQ_CLOSEPRICE",J$2,"USD"),_xll.ciqfunctions.udf.CIQ($A33,"IQ_CLOSEPRICE",J$1,"USD"))</f>
        <v>15.91</v>
      </c>
      <c r="K33" s="45">
        <f>IF(_xll.ciqfunctions.udf.CIQ($A33,"IQ_CLOSEPRICE",K$1,"USD")=0,_xll.ciqfunctions.udf.CIQ($A33,"IQ_CLOSEPRICE",K$2,"USD"),_xll.ciqfunctions.udf.CIQ($A33,"IQ_CLOSEPRICE",K$1,"USD"))</f>
        <v>27.96</v>
      </c>
      <c r="L33" s="55">
        <f t="shared" si="2"/>
        <v>-2.5719534598897642E-2</v>
      </c>
      <c r="M33" s="55">
        <f t="shared" si="3"/>
        <v>0</v>
      </c>
      <c r="N33" s="55">
        <f t="shared" si="4"/>
        <v>-0.43097281831187417</v>
      </c>
      <c r="O33" s="20">
        <f t="shared" si="5"/>
        <v>-5.6522775241240209E-3</v>
      </c>
      <c r="P33" s="36">
        <f t="shared" si="7"/>
        <v>3.3414395208787126E-2</v>
      </c>
      <c r="Q33" s="52"/>
      <c r="R33" s="72" t="str">
        <f t="shared" si="8"/>
        <v>CFLT</v>
      </c>
      <c r="S33" s="73" t="str">
        <f t="shared" si="9"/>
        <v>Infrastructure</v>
      </c>
      <c r="T33" s="74">
        <f t="shared" si="10"/>
        <v>5.4848789800000004</v>
      </c>
      <c r="U33" s="256">
        <f t="shared" si="11"/>
        <v>2.0851237287867131E-2</v>
      </c>
      <c r="V33" s="75">
        <f t="shared" si="12"/>
        <v>-2.5719534598897642E-2</v>
      </c>
      <c r="W33" s="75">
        <f t="shared" si="13"/>
        <v>0</v>
      </c>
      <c r="X33" s="75">
        <f t="shared" si="14"/>
        <v>-0.43097281831187417</v>
      </c>
      <c r="Y33" s="260"/>
    </row>
    <row r="34" spans="1:25">
      <c r="A34" s="31" t="s">
        <v>160</v>
      </c>
      <c r="B34" s="28" t="s">
        <v>225</v>
      </c>
      <c r="C34" s="31" t="s">
        <v>131</v>
      </c>
      <c r="D34" s="46">
        <f>_xll.ciqfunctions.udf.CIQ($A34,"IQ_MARKETCAP",H$1,"USD")</f>
        <v>4442264</v>
      </c>
      <c r="E34" s="46">
        <f t="shared" si="1"/>
        <v>1.5556305506743637</v>
      </c>
      <c r="F34" s="44">
        <f>VLOOKUP(B:B,weight!G:H,2,FALSE)</f>
        <v>3.9</v>
      </c>
      <c r="G34" s="257">
        <f>VLOOKUP(A34,CHOOSE({1,2},shares!$F$2:$F$45,shares!$K$2:$K$45),2,FALSE)</f>
        <v>8.5446037057803122E-3</v>
      </c>
      <c r="H34" s="47">
        <f>IF(_xll.ciqfunctions.udf.CIQ($A34,"IQ_CLOSEPRICE",H$1,"USD")=0,_xll.ciqfunctions.udf.CIQ($A34,"IQ_CLOSEPRICE",H$2,"USD"),_xll.ciqfunctions.udf.CIQ($A34,"IQ_CLOSEPRICE",H$1,"USD"))</f>
        <v>182.06</v>
      </c>
      <c r="I34" s="47">
        <f>IF(_xll.ciqfunctions.udf.CIQ($A34,"IQ_CLOSEPRICE",I$1,"USD")=0,_xll.ciqfunctions.udf.CIQ($A34,"IQ_CLOSEPRICE",I$2,"USD"),_xll.ciqfunctions.udf.CIQ($A34,"IQ_CLOSEPRICE",I$1,"USD"))</f>
        <v>182.7</v>
      </c>
      <c r="J34" s="47">
        <f>IF(_xll.ciqfunctions.udf.CIQ($A34,"IQ_CLOSEPRICE",J$1,"USD")=0,_xll.ciqfunctions.udf.CIQ($A34,"IQ_CLOSEPRICE",J$2,"USD"),_xll.ciqfunctions.udf.CIQ($A34,"IQ_CLOSEPRICE",J$1,"USD"))</f>
        <v>182.06</v>
      </c>
      <c r="K34" s="47">
        <f>IF(_xll.ciqfunctions.udf.CIQ($A34,"IQ_CLOSEPRICE",K$1,"USD")=0,_xll.ciqfunctions.udf.CIQ($A34,"IQ_CLOSEPRICE",K$2,"USD"),_xll.ciqfunctions.udf.CIQ($A34,"IQ_CLOSEPRICE",K$1,"USD"))</f>
        <v>134.29</v>
      </c>
      <c r="L34" s="52">
        <f t="shared" si="2"/>
        <v>-3.5030103995620232E-3</v>
      </c>
      <c r="M34" s="52">
        <f t="shared" si="3"/>
        <v>0</v>
      </c>
      <c r="N34" s="52">
        <f t="shared" si="4"/>
        <v>0.35572268970139254</v>
      </c>
      <c r="O34" s="53">
        <f t="shared" si="5"/>
        <v>-5.4685463716992837E-3</v>
      </c>
      <c r="P34" s="54">
        <f t="shared" si="7"/>
        <v>3.2328237405479771E-2</v>
      </c>
      <c r="Q34" s="49"/>
      <c r="R34" s="67" t="str">
        <f t="shared" si="8"/>
        <v>NVDA</v>
      </c>
      <c r="S34" s="68" t="str">
        <f t="shared" si="9"/>
        <v>Semi</v>
      </c>
      <c r="T34" s="69">
        <f t="shared" si="10"/>
        <v>4442.2640000000001</v>
      </c>
      <c r="U34" s="79">
        <f t="shared" si="11"/>
        <v>16.88764712897089</v>
      </c>
      <c r="V34" s="71">
        <f t="shared" si="12"/>
        <v>-3.5030103995620232E-3</v>
      </c>
      <c r="W34" s="71">
        <f t="shared" si="13"/>
        <v>0</v>
      </c>
      <c r="X34" s="71">
        <f t="shared" si="14"/>
        <v>0.35572268970139254</v>
      </c>
      <c r="Y34" s="259">
        <f>O48*SUM(P34:P47)</f>
        <v>6.4405265680002896E-4</v>
      </c>
    </row>
    <row r="35" spans="1:25">
      <c r="A35" s="28" t="s">
        <v>136</v>
      </c>
      <c r="B35" s="28" t="s">
        <v>226</v>
      </c>
      <c r="C35" s="28" t="s">
        <v>131</v>
      </c>
      <c r="D35" s="43">
        <f>_xll.ciqfunctions.udf.CIQ($A35,"IQ_MARKETCAP",H$1,"USD")</f>
        <v>3371439.8001999999</v>
      </c>
      <c r="E35" s="34">
        <f t="shared" si="1"/>
        <v>1.0638897688364879</v>
      </c>
      <c r="F35" s="44">
        <f>VLOOKUP(B:B,weight!G:H,2,FALSE)</f>
        <v>3.48</v>
      </c>
      <c r="G35" s="257">
        <f>VLOOKUP(A35,CHOOSE({1,2},shares!$F$2:$F$45,shares!$K$2:$K$45),2,FALSE)</f>
        <v>4.6830256573487444E-3</v>
      </c>
      <c r="H35" s="45">
        <f>IF(_xll.ciqfunctions.udf.CIQ($A35,"IQ_CLOSEPRICE",H$1,"USD")=0,_xll.ciqfunctions.udf.CIQ($A35,"IQ_CLOSEPRICE",H$2,"USD"),_xll.ciqfunctions.udf.CIQ($A35,"IQ_CLOSEPRICE",H$1,"USD"))</f>
        <v>227.18</v>
      </c>
      <c r="I35" s="45">
        <f>IF(_xll.ciqfunctions.udf.CIQ($A35,"IQ_CLOSEPRICE",I$1,"USD")=0,_xll.ciqfunctions.udf.CIQ($A35,"IQ_CLOSEPRICE",I$2,"USD"),_xll.ciqfunctions.udf.CIQ($A35,"IQ_CLOSEPRICE",I$1,"USD"))</f>
        <v>229.35</v>
      </c>
      <c r="J35" s="45">
        <f>IF(_xll.ciqfunctions.udf.CIQ($A35,"IQ_CLOSEPRICE",J$1,"USD")=0,_xll.ciqfunctions.udf.CIQ($A35,"IQ_CLOSEPRICE",J$2,"USD"),_xll.ciqfunctions.udf.CIQ($A35,"IQ_CLOSEPRICE",J$1,"USD"))</f>
        <v>227.18</v>
      </c>
      <c r="K35" s="45">
        <f>IF(_xll.ciqfunctions.udf.CIQ($A35,"IQ_CLOSEPRICE",K$1,"USD")=0,_xll.ciqfunctions.udf.CIQ($A35,"IQ_CLOSEPRICE",K$2,"USD"),_xll.ciqfunctions.udf.CIQ($A35,"IQ_CLOSEPRICE",K$1,"USD"))</f>
        <v>250.42</v>
      </c>
      <c r="L35" s="49">
        <f t="shared" si="2"/>
        <v>-9.4615216917374179E-3</v>
      </c>
      <c r="M35" s="49">
        <f t="shared" si="3"/>
        <v>0</v>
      </c>
      <c r="N35" s="49">
        <f t="shared" si="4"/>
        <v>-9.2804089130261058E-2</v>
      </c>
      <c r="O35" s="50">
        <f t="shared" si="5"/>
        <v>-1.0162165676446717E-2</v>
      </c>
      <c r="P35" s="51">
        <f t="shared" si="7"/>
        <v>6.0075362301426793E-2</v>
      </c>
      <c r="Q35" s="55"/>
      <c r="R35" s="67" t="str">
        <f t="shared" si="8"/>
        <v>AAPL</v>
      </c>
      <c r="S35" s="68" t="str">
        <f t="shared" si="9"/>
        <v>Semi</v>
      </c>
      <c r="T35" s="69">
        <f t="shared" si="10"/>
        <v>3371.4398001999998</v>
      </c>
      <c r="U35" s="70">
        <f t="shared" si="11"/>
        <v>12.81681720454834</v>
      </c>
      <c r="V35" s="71">
        <f t="shared" si="12"/>
        <v>-9.4615216917374179E-3</v>
      </c>
      <c r="W35" s="71">
        <f t="shared" si="13"/>
        <v>0</v>
      </c>
      <c r="X35" s="71">
        <f t="shared" si="14"/>
        <v>-9.2804089130261058E-2</v>
      </c>
      <c r="Y35" s="259"/>
    </row>
    <row r="36" spans="1:25">
      <c r="A36" s="28" t="s">
        <v>142</v>
      </c>
      <c r="B36" s="28" t="s">
        <v>227</v>
      </c>
      <c r="C36" s="28" t="s">
        <v>131</v>
      </c>
      <c r="D36" s="43">
        <f>_xll.ciqfunctions.udf.CIQ($A36,"IQ_MARKETCAP",H$1,"USD")</f>
        <v>1429384.8305200001</v>
      </c>
      <c r="E36" s="43">
        <f t="shared" si="1"/>
        <v>0.91020512864520453</v>
      </c>
      <c r="F36" s="44">
        <f>VLOOKUP(B:B,weight!G:H,2,FALSE)</f>
        <v>2.4</v>
      </c>
      <c r="G36" s="257">
        <f>VLOOKUP(A36,CHOOSE({1,2},shares!$F$2:$F$45,shares!$K$2:$K$45),2,FALSE)</f>
        <v>2.9950810419388106E-3</v>
      </c>
      <c r="H36" s="45">
        <f>IF(_xll.ciqfunctions.udf.CIQ($A36,"IQ_CLOSEPRICE",H$1,"USD")=0,_xll.ciqfunctions.udf.CIQ($A36,"IQ_CLOSEPRICE",H$2,"USD"),_xll.ciqfunctions.udf.CIQ($A36,"IQ_CLOSEPRICE",H$1,"USD"))</f>
        <v>303.89999999999998</v>
      </c>
      <c r="I36" s="45">
        <f>IF(_xll.ciqfunctions.udf.CIQ($A36,"IQ_CLOSEPRICE",I$1,"USD")=0,_xll.ciqfunctions.udf.CIQ($A36,"IQ_CLOSEPRICE",I$2,"USD"),_xll.ciqfunctions.udf.CIQ($A36,"IQ_CLOSEPRICE",I$1,"USD"))</f>
        <v>304.97000000000003</v>
      </c>
      <c r="J36" s="45">
        <f>IF(_xll.ciqfunctions.udf.CIQ($A36,"IQ_CLOSEPRICE",J$1,"USD")=0,_xll.ciqfunctions.udf.CIQ($A36,"IQ_CLOSEPRICE",J$2,"USD"),_xll.ciqfunctions.udf.CIQ($A36,"IQ_CLOSEPRICE",J$1,"USD"))</f>
        <v>303.89999999999998</v>
      </c>
      <c r="K36" s="45">
        <f>IF(_xll.ciqfunctions.udf.CIQ($A36,"IQ_CLOSEPRICE",K$1,"USD")=0,_xll.ciqfunctions.udf.CIQ($A36,"IQ_CLOSEPRICE",K$2,"USD"),_xll.ciqfunctions.udf.CIQ($A36,"IQ_CLOSEPRICE",K$1,"USD"))</f>
        <v>231.84</v>
      </c>
      <c r="L36" s="49">
        <f t="shared" si="2"/>
        <v>-3.5085418237861266E-3</v>
      </c>
      <c r="M36" s="49">
        <f t="shared" si="3"/>
        <v>0</v>
      </c>
      <c r="N36" s="49">
        <f t="shared" si="4"/>
        <v>0.31081780538302262</v>
      </c>
      <c r="O36" s="50">
        <f t="shared" si="5"/>
        <v>-3.2047367148746774E-3</v>
      </c>
      <c r="P36" s="51">
        <f t="shared" si="7"/>
        <v>1.8945343478605704E-2</v>
      </c>
      <c r="Q36" s="55"/>
      <c r="R36" s="67" t="str">
        <f t="shared" si="8"/>
        <v>AVGO</v>
      </c>
      <c r="S36" s="68" t="str">
        <f t="shared" si="9"/>
        <v>Semi</v>
      </c>
      <c r="T36" s="69">
        <f t="shared" si="10"/>
        <v>1429.3848305200002</v>
      </c>
      <c r="U36" s="70">
        <f t="shared" si="11"/>
        <v>5.4339288771053731</v>
      </c>
      <c r="V36" s="71">
        <f t="shared" si="12"/>
        <v>-3.5085418237861266E-3</v>
      </c>
      <c r="W36" s="71">
        <f t="shared" si="13"/>
        <v>0</v>
      </c>
      <c r="X36" s="71">
        <f t="shared" si="14"/>
        <v>0.31081780538302262</v>
      </c>
      <c r="Y36" s="259"/>
    </row>
    <row r="37" spans="1:25">
      <c r="A37" s="28" t="s">
        <v>133</v>
      </c>
      <c r="B37" s="28" t="s">
        <v>228</v>
      </c>
      <c r="C37" s="28" t="s">
        <v>131</v>
      </c>
      <c r="D37" s="34">
        <f>_xll.ciqfunctions.udf.CIQ($A37,"IQ_MARKETCAP",H$1,"USD")</f>
        <v>1020866.92441</v>
      </c>
      <c r="E37" s="34">
        <f t="shared" si="1"/>
        <v>0.74816193876012826</v>
      </c>
      <c r="F37" s="44">
        <f>VLOOKUP(B:B,weight!G:H,2,FALSE)</f>
        <v>2.2400000000000002</v>
      </c>
      <c r="G37" s="257">
        <f>VLOOKUP(A37,CHOOSE({1,2},shares!$F$2:$F$45,shares!$K$2:$K$45),2,FALSE)</f>
        <v>1.900521460219692E-2</v>
      </c>
      <c r="H37" s="45">
        <f>IF(_xll.ciqfunctions.udf.CIQ($A37,"IQ_CLOSEPRICE",H$1,"USD")=0,_xll.ciqfunctions.udf.CIQ($A37,"IQ_CLOSEPRICE",H$2,"USD"),_xll.ciqfunctions.udf.CIQ($A37,"IQ_CLOSEPRICE",H$1,"USD"))</f>
        <v>39.366140000000001</v>
      </c>
      <c r="I37" s="45">
        <f>IF(_xll.ciqfunctions.udf.CIQ($A37,"IQ_CLOSEPRICE",I$1,"USD")=0,_xll.ciqfunctions.udf.CIQ($A37,"IQ_CLOSEPRICE",I$2,"USD"),_xll.ciqfunctions.udf.CIQ($A37,"IQ_CLOSEPRICE",I$1,"USD"))</f>
        <v>39.304229999999997</v>
      </c>
      <c r="J37" s="45">
        <f>IF(_xll.ciqfunctions.udf.CIQ($A37,"IQ_CLOSEPRICE",J$1,"USD")=0,_xll.ciqfunctions.udf.CIQ($A37,"IQ_CLOSEPRICE",J$2,"USD"),_xll.ciqfunctions.udf.CIQ($A37,"IQ_CLOSEPRICE",J$1,"USD"))</f>
        <v>39.366140000000001</v>
      </c>
      <c r="K37" s="45">
        <f>IF(_xll.ciqfunctions.udf.CIQ($A37,"IQ_CLOSEPRICE",K$1,"USD")=0,_xll.ciqfunctions.udf.CIQ($A37,"IQ_CLOSEPRICE",K$2,"USD"),_xll.ciqfunctions.udf.CIQ($A37,"IQ_CLOSEPRICE",K$1,"USD"))</f>
        <v>32.79439</v>
      </c>
      <c r="L37" s="55">
        <f t="shared" si="2"/>
        <v>1.5751485272705867E-3</v>
      </c>
      <c r="M37" s="55">
        <f t="shared" si="3"/>
        <v>0</v>
      </c>
      <c r="N37" s="55">
        <f t="shared" si="4"/>
        <v>0.20039250615730309</v>
      </c>
      <c r="O37" s="20">
        <f t="shared" si="5"/>
        <v>1.1766128360220982E-3</v>
      </c>
      <c r="P37" s="36">
        <f t="shared" si="7"/>
        <v>-6.9557459170703616E-3</v>
      </c>
      <c r="Q37" s="55"/>
      <c r="R37" s="67" t="str">
        <f t="shared" si="8"/>
        <v>TWSE:2330</v>
      </c>
      <c r="S37" s="68" t="str">
        <f t="shared" si="9"/>
        <v>Semi</v>
      </c>
      <c r="T37" s="69">
        <f t="shared" si="10"/>
        <v>1020.86692441</v>
      </c>
      <c r="U37" s="70">
        <f t="shared" si="11"/>
        <v>3.8809130625901291</v>
      </c>
      <c r="V37" s="71">
        <f t="shared" si="12"/>
        <v>1.5751485272705867E-3</v>
      </c>
      <c r="W37" s="71">
        <f t="shared" si="13"/>
        <v>0</v>
      </c>
      <c r="X37" s="71">
        <f t="shared" si="14"/>
        <v>0.20039250615730309</v>
      </c>
      <c r="Y37" s="259"/>
    </row>
    <row r="38" spans="1:25">
      <c r="A38" s="28" t="s">
        <v>130</v>
      </c>
      <c r="B38" s="28" t="s">
        <v>229</v>
      </c>
      <c r="C38" s="28" t="s">
        <v>131</v>
      </c>
      <c r="D38" s="34">
        <f>_xll.ciqfunctions.udf.CIQ($A38,"IQ_MARKETCAP",H$1,"USD")</f>
        <v>132378.20965</v>
      </c>
      <c r="E38" s="34">
        <f t="shared" si="1"/>
        <v>0.60429183086216243</v>
      </c>
      <c r="F38" s="44">
        <f>VLOOKUP(B:B,weight!G:H,2,FALSE)</f>
        <v>1.62</v>
      </c>
      <c r="G38" s="257">
        <f>VLOOKUP(A38,CHOOSE({1,2},shares!$F$2:$F$45,shares!$K$2:$K$45),2,FALSE)</f>
        <v>3.1513461397790965E-3</v>
      </c>
      <c r="H38" s="45">
        <f>IF(_xll.ciqfunctions.udf.CIQ($A38,"IQ_CLOSEPRICE",H$1,"USD")=0,_xll.ciqfunctions.udf.CIQ($A38,"IQ_CLOSEPRICE",H$2,"USD"),_xll.ciqfunctions.udf.CIQ($A38,"IQ_CLOSEPRICE",H$1,"USD"))</f>
        <v>191.75673</v>
      </c>
      <c r="I38" s="45">
        <f>IF(_xll.ciqfunctions.udf.CIQ($A38,"IQ_CLOSEPRICE",I$1,"USD")=0,_xll.ciqfunctions.udf.CIQ($A38,"IQ_CLOSEPRICE",I$2,"USD"),_xll.ciqfunctions.udf.CIQ($A38,"IQ_CLOSEPRICE",I$1,"USD"))</f>
        <v>184.63202999999999</v>
      </c>
      <c r="J38" s="45">
        <f>IF(_xll.ciqfunctions.udf.CIQ($A38,"IQ_CLOSEPRICE",J$1,"USD")=0,_xll.ciqfunctions.udf.CIQ($A38,"IQ_CLOSEPRICE",J$2,"USD"),_xll.ciqfunctions.udf.CIQ($A38,"IQ_CLOSEPRICE",J$1,"USD"))</f>
        <v>191.75673</v>
      </c>
      <c r="K38" s="45">
        <f>IF(_xll.ciqfunctions.udf.CIQ($A38,"IQ_CLOSEPRICE",K$1,"USD")=0,_xll.ciqfunctions.udf.CIQ($A38,"IQ_CLOSEPRICE",K$2,"USD"),_xll.ciqfunctions.udf.CIQ($A38,"IQ_CLOSEPRICE",K$1,"USD"))</f>
        <v>117.97427999999999</v>
      </c>
      <c r="L38" s="55">
        <f t="shared" si="2"/>
        <v>3.8588645751227668E-2</v>
      </c>
      <c r="M38" s="55">
        <f t="shared" si="3"/>
        <v>0</v>
      </c>
      <c r="N38" s="55">
        <f t="shared" si="4"/>
        <v>0.62541131846704223</v>
      </c>
      <c r="O38" s="20">
        <f t="shared" si="5"/>
        <v>2.2452395842084187E-2</v>
      </c>
      <c r="P38" s="36">
        <f t="shared" si="7"/>
        <v>-0.13273113799694392</v>
      </c>
      <c r="Q38" s="55"/>
      <c r="R38" s="67" t="str">
        <f t="shared" si="8"/>
        <v>KOSE:A000660</v>
      </c>
      <c r="S38" s="68" t="str">
        <f t="shared" si="9"/>
        <v>Semi</v>
      </c>
      <c r="T38" s="69">
        <f t="shared" si="10"/>
        <v>132.37820965</v>
      </c>
      <c r="U38" s="70">
        <f t="shared" si="11"/>
        <v>0.50324710375928339</v>
      </c>
      <c r="V38" s="71">
        <f t="shared" si="12"/>
        <v>3.8588645751227668E-2</v>
      </c>
      <c r="W38" s="71">
        <f t="shared" si="13"/>
        <v>0</v>
      </c>
      <c r="X38" s="71">
        <f t="shared" si="14"/>
        <v>0.62541131846704223</v>
      </c>
      <c r="Y38" s="259"/>
    </row>
    <row r="39" spans="1:25">
      <c r="A39" s="28" t="s">
        <v>141</v>
      </c>
      <c r="B39" s="28" t="s">
        <v>230</v>
      </c>
      <c r="C39" s="28" t="s">
        <v>131</v>
      </c>
      <c r="D39" s="34">
        <f>_xll.ciqfunctions.udf.CIQ($A39,"IQ_MARKETCAP",H$1,"USD")</f>
        <v>281588.89171</v>
      </c>
      <c r="E39" s="34">
        <f t="shared" si="1"/>
        <v>0.393996794203536</v>
      </c>
      <c r="F39" s="44">
        <f>VLOOKUP(B:B,weight!G:H,2,FALSE)</f>
        <v>1.36</v>
      </c>
      <c r="G39" s="257">
        <f>VLOOKUP(A39,CHOOSE({1,2},shares!$F$2:$F$45,shares!$K$2:$K$45),2,FALSE)</f>
        <v>5.4622394560388185E-4</v>
      </c>
      <c r="H39" s="45">
        <f>IF(_xll.ciqfunctions.udf.CIQ($A39,"IQ_CLOSEPRICE",H$1,"USD")=0,_xll.ciqfunctions.udf.CIQ($A39,"IQ_CLOSEPRICE",H$2,"USD"),_xll.ciqfunctions.udf.CIQ($A39,"IQ_CLOSEPRICE",H$1,"USD"))</f>
        <v>721.31</v>
      </c>
      <c r="I39" s="45">
        <f>IF(_xll.ciqfunctions.udf.CIQ($A39,"IQ_CLOSEPRICE",I$1,"USD")=0,_xll.ciqfunctions.udf.CIQ($A39,"IQ_CLOSEPRICE",I$2,"USD"),_xll.ciqfunctions.udf.CIQ($A39,"IQ_CLOSEPRICE",I$1,"USD"))</f>
        <v>722.32</v>
      </c>
      <c r="J39" s="45">
        <f>IF(_xll.ciqfunctions.udf.CIQ($A39,"IQ_CLOSEPRICE",J$1,"USD")=0,_xll.ciqfunctions.udf.CIQ($A39,"IQ_CLOSEPRICE",J$2,"USD"),_xll.ciqfunctions.udf.CIQ($A39,"IQ_CLOSEPRICE",J$1,"USD"))</f>
        <v>721.31</v>
      </c>
      <c r="K39" s="45">
        <f>IF(_xll.ciqfunctions.udf.CIQ($A39,"IQ_CLOSEPRICE",K$1,"USD")=0,_xll.ciqfunctions.udf.CIQ($A39,"IQ_CLOSEPRICE",K$2,"USD"),_xll.ciqfunctions.udf.CIQ($A39,"IQ_CLOSEPRICE",K$1,"USD"))</f>
        <v>693.08</v>
      </c>
      <c r="L39" s="55">
        <f t="shared" si="2"/>
        <v>-1.3982722339130893E-3</v>
      </c>
      <c r="M39" s="55">
        <f t="shared" si="3"/>
        <v>0</v>
      </c>
      <c r="N39" s="55">
        <f t="shared" si="4"/>
        <v>4.0731228718185353E-2</v>
      </c>
      <c r="O39" s="20">
        <f t="shared" si="5"/>
        <v>-5.5168618505997778E-4</v>
      </c>
      <c r="P39" s="36">
        <f t="shared" si="7"/>
        <v>3.2613862536197877E-3</v>
      </c>
      <c r="Q39" s="55"/>
      <c r="R39" s="67" t="str">
        <f t="shared" si="8"/>
        <v>NasdaqGS:ASML</v>
      </c>
      <c r="S39" s="68" t="str">
        <f t="shared" si="9"/>
        <v>Semi</v>
      </c>
      <c r="T39" s="69">
        <f t="shared" si="10"/>
        <v>281.58889170999998</v>
      </c>
      <c r="U39" s="70">
        <f t="shared" si="11"/>
        <v>1.0704842932874941</v>
      </c>
      <c r="V39" s="71">
        <f t="shared" si="12"/>
        <v>-1.3982722339130893E-3</v>
      </c>
      <c r="W39" s="71">
        <f t="shared" si="13"/>
        <v>0</v>
      </c>
      <c r="X39" s="71">
        <f t="shared" si="14"/>
        <v>4.0731228718185353E-2</v>
      </c>
      <c r="Y39" s="259"/>
    </row>
    <row r="40" spans="1:25">
      <c r="A40" s="28" t="s">
        <v>154</v>
      </c>
      <c r="B40" s="28" t="s">
        <v>231</v>
      </c>
      <c r="C40" s="28" t="s">
        <v>131</v>
      </c>
      <c r="D40" s="34">
        <f>_xll.ciqfunctions.udf.CIQ($A40,"IQ_MARKETCAP",H$1,"USD")</f>
        <v>66630.816000000006</v>
      </c>
      <c r="E40" s="34">
        <f t="shared" si="1"/>
        <v>0.49408929140111102</v>
      </c>
      <c r="F40" s="44">
        <f>VLOOKUP(B:B,weight!G:H,2,FALSE)</f>
        <v>1.24</v>
      </c>
      <c r="G40" s="257">
        <f>VLOOKUP(A40,CHOOSE({1,2},shares!$F$2:$F$45,shares!$K$2:$K$45),2,FALSE)</f>
        <v>6.3934949715464678E-3</v>
      </c>
      <c r="H40" s="45">
        <f>IF(_xll.ciqfunctions.udf.CIQ($A40,"IQ_CLOSEPRICE",H$1,"USD")=0,_xll.ciqfunctions.udf.CIQ($A40,"IQ_CLOSEPRICE",H$2,"USD"),_xll.ciqfunctions.udf.CIQ($A40,"IQ_CLOSEPRICE",H$1,"USD"))</f>
        <v>77.28</v>
      </c>
      <c r="I40" s="45">
        <f>IF(_xll.ciqfunctions.udf.CIQ($A40,"IQ_CLOSEPRICE",I$1,"USD")=0,_xll.ciqfunctions.udf.CIQ($A40,"IQ_CLOSEPRICE",I$2,"USD"),_xll.ciqfunctions.udf.CIQ($A40,"IQ_CLOSEPRICE",I$1,"USD"))</f>
        <v>77.34</v>
      </c>
      <c r="J40" s="45">
        <f>IF(_xll.ciqfunctions.udf.CIQ($A40,"IQ_CLOSEPRICE",J$1,"USD")=0,_xll.ciqfunctions.udf.CIQ($A40,"IQ_CLOSEPRICE",J$2,"USD"),_xll.ciqfunctions.udf.CIQ($A40,"IQ_CLOSEPRICE",J$1,"USD"))</f>
        <v>77.28</v>
      </c>
      <c r="K40" s="45">
        <f>IF(_xll.ciqfunctions.udf.CIQ($A40,"IQ_CLOSEPRICE",K$1,"USD")=0,_xll.ciqfunctions.udf.CIQ($A40,"IQ_CLOSEPRICE",K$2,"USD"),_xll.ciqfunctions.udf.CIQ($A40,"IQ_CLOSEPRICE",K$1,"USD"))</f>
        <v>110.45</v>
      </c>
      <c r="L40" s="55">
        <f t="shared" si="2"/>
        <v>-7.757951900698723E-4</v>
      </c>
      <c r="M40" s="55">
        <f t="shared" si="3"/>
        <v>0</v>
      </c>
      <c r="N40" s="55">
        <f t="shared" si="4"/>
        <v>-0.30031688546853785</v>
      </c>
      <c r="O40" s="20">
        <f t="shared" si="5"/>
        <v>-3.8360969829280263E-4</v>
      </c>
      <c r="P40" s="36">
        <f t="shared" si="7"/>
        <v>2.2677736558354539E-3</v>
      </c>
      <c r="Q40" s="55"/>
      <c r="R40" s="67" t="str">
        <f t="shared" si="8"/>
        <v>MRVL</v>
      </c>
      <c r="S40" s="68" t="str">
        <f t="shared" si="9"/>
        <v>Semi</v>
      </c>
      <c r="T40" s="69">
        <f t="shared" si="10"/>
        <v>66.63081600000001</v>
      </c>
      <c r="U40" s="70">
        <f t="shared" si="11"/>
        <v>0.25330275474924224</v>
      </c>
      <c r="V40" s="71">
        <f t="shared" si="12"/>
        <v>-7.757951900698723E-4</v>
      </c>
      <c r="W40" s="71">
        <f t="shared" si="13"/>
        <v>0</v>
      </c>
      <c r="X40" s="71">
        <f t="shared" si="14"/>
        <v>-0.30031688546853785</v>
      </c>
      <c r="Y40" s="259"/>
    </row>
    <row r="41" spans="1:25">
      <c r="A41" s="28" t="s">
        <v>174</v>
      </c>
      <c r="B41" s="28" t="s">
        <v>232</v>
      </c>
      <c r="C41" s="28" t="s">
        <v>131</v>
      </c>
      <c r="D41" s="34">
        <f>_xll.ciqfunctions.udf.CIQ($A41,"IQ_MARKETCAP",H$1,"USD")</f>
        <v>53396.415630000003</v>
      </c>
      <c r="E41" s="34">
        <f t="shared" si="1"/>
        <v>0.47362540546129039</v>
      </c>
      <c r="F41" s="44">
        <f>VLOOKUP(B:B,weight!G:H,2,FALSE)</f>
        <v>1.24</v>
      </c>
      <c r="G41" s="257">
        <f>VLOOKUP(A41,CHOOSE({1,2},shares!$F$2:$F$45,shares!$K$2:$K$45),2,FALSE)</f>
        <v>3.3871515802137622E-3</v>
      </c>
      <c r="H41" s="45">
        <f>IF(_xll.ciqfunctions.udf.CIQ($A41,"IQ_CLOSEPRICE",H$1,"USD")=0,_xll.ciqfunctions.udf.CIQ($A41,"IQ_CLOSEPRICE",H$2,"USD"),_xll.ciqfunctions.udf.CIQ($A41,"IQ_CLOSEPRICE",H$1,"USD"))</f>
        <v>139.83000000000001</v>
      </c>
      <c r="I41" s="45">
        <f>IF(_xll.ciqfunctions.udf.CIQ($A41,"IQ_CLOSEPRICE",I$1,"USD")=0,_xll.ciqfunctions.udf.CIQ($A41,"IQ_CLOSEPRICE",I$2,"USD"),_xll.ciqfunctions.udf.CIQ($A41,"IQ_CLOSEPRICE",I$1,"USD"))</f>
        <v>139.93</v>
      </c>
      <c r="J41" s="45">
        <f>IF(_xll.ciqfunctions.udf.CIQ($A41,"IQ_CLOSEPRICE",J$1,"USD")=0,_xll.ciqfunctions.udf.CIQ($A41,"IQ_CLOSEPRICE",J$2,"USD"),_xll.ciqfunctions.udf.CIQ($A41,"IQ_CLOSEPRICE",J$1,"USD"))</f>
        <v>139.83000000000001</v>
      </c>
      <c r="K41" s="45">
        <f>IF(_xll.ciqfunctions.udf.CIQ($A41,"IQ_CLOSEPRICE",K$1,"USD")=0,_xll.ciqfunctions.udf.CIQ($A41,"IQ_CLOSEPRICE",K$2,"USD"),_xll.ciqfunctions.udf.CIQ($A41,"IQ_CLOSEPRICE",K$1,"USD"))</f>
        <v>113.61</v>
      </c>
      <c r="L41" s="55">
        <f t="shared" si="2"/>
        <v>-7.1464303580359712E-4</v>
      </c>
      <c r="M41" s="55">
        <f t="shared" si="3"/>
        <v>0</v>
      </c>
      <c r="N41" s="55">
        <f t="shared" si="4"/>
        <v>0.23078954317401656</v>
      </c>
      <c r="O41" s="20">
        <f t="shared" si="5"/>
        <v>-3.3871515802135697E-4</v>
      </c>
      <c r="P41" s="36">
        <f t="shared" si="7"/>
        <v>2.0023719828028861E-3</v>
      </c>
      <c r="Q41" s="55"/>
      <c r="R41" s="67" t="str">
        <f t="shared" si="8"/>
        <v>VRT</v>
      </c>
      <c r="S41" s="68" t="str">
        <f t="shared" si="9"/>
        <v>Semi</v>
      </c>
      <c r="T41" s="69">
        <f t="shared" si="10"/>
        <v>53.39641563</v>
      </c>
      <c r="U41" s="70">
        <f t="shared" si="11"/>
        <v>0.20299104805822119</v>
      </c>
      <c r="V41" s="71">
        <f t="shared" si="12"/>
        <v>-7.1464303580359712E-4</v>
      </c>
      <c r="W41" s="71">
        <f t="shared" si="13"/>
        <v>0</v>
      </c>
      <c r="X41" s="71">
        <f t="shared" si="14"/>
        <v>0.23078954317401656</v>
      </c>
      <c r="Y41" s="259"/>
    </row>
    <row r="42" spans="1:25">
      <c r="A42" s="28" t="s">
        <v>139</v>
      </c>
      <c r="B42" s="28" t="s">
        <v>233</v>
      </c>
      <c r="C42" s="28" t="s">
        <v>131</v>
      </c>
      <c r="D42" s="34">
        <f>_xll.ciqfunctions.udf.CIQ($A42,"IQ_MARKETCAP",H$1,"USD")</f>
        <v>173007.5197</v>
      </c>
      <c r="E42" s="34">
        <f t="shared" si="1"/>
        <v>0.4925958757156072</v>
      </c>
      <c r="F42" s="44">
        <f>VLOOKUP(B:B,weight!G:H,2,FALSE)</f>
        <v>1.1200000000000001</v>
      </c>
      <c r="G42" s="257">
        <f>VLOOKUP(A42,CHOOSE({1,2},shares!$F$2:$F$45,shares!$K$2:$K$45),2,FALSE)</f>
        <v>3.5786115199099686E-3</v>
      </c>
      <c r="H42" s="45">
        <f>IF(_xll.ciqfunctions.udf.CIQ($A42,"IQ_CLOSEPRICE",H$1,"USD")=0,_xll.ciqfunctions.udf.CIQ($A42,"IQ_CLOSEPRICE",H$2,"USD"),_xll.ciqfunctions.udf.CIQ($A42,"IQ_CLOSEPRICE",H$1,"USD"))</f>
        <v>137.65</v>
      </c>
      <c r="I42" s="45">
        <f>IF(_xll.ciqfunctions.udf.CIQ($A42,"IQ_CLOSEPRICE",I$1,"USD")=0,_xll.ciqfunctions.udf.CIQ($A42,"IQ_CLOSEPRICE",I$2,"USD"),_xll.ciqfunctions.udf.CIQ($A42,"IQ_CLOSEPRICE",I$1,"USD"))</f>
        <v>139.18</v>
      </c>
      <c r="J42" s="45">
        <f>IF(_xll.ciqfunctions.udf.CIQ($A42,"IQ_CLOSEPRICE",J$1,"USD")=0,_xll.ciqfunctions.udf.CIQ($A42,"IQ_CLOSEPRICE",J$2,"USD"),_xll.ciqfunctions.udf.CIQ($A42,"IQ_CLOSEPRICE",J$1,"USD"))</f>
        <v>137.65</v>
      </c>
      <c r="K42" s="45">
        <f>IF(_xll.ciqfunctions.udf.CIQ($A42,"IQ_CLOSEPRICE",K$1,"USD")=0,_xll.ciqfunctions.udf.CIQ($A42,"IQ_CLOSEPRICE",K$2,"USD"),_xll.ciqfunctions.udf.CIQ($A42,"IQ_CLOSEPRICE",K$1,"USD"))</f>
        <v>110.53</v>
      </c>
      <c r="L42" s="55">
        <f t="shared" si="2"/>
        <v>-1.0992958758442306E-2</v>
      </c>
      <c r="M42" s="55">
        <f t="shared" si="3"/>
        <v>0</v>
      </c>
      <c r="N42" s="55">
        <f t="shared" si="4"/>
        <v>0.24536324979643531</v>
      </c>
      <c r="O42" s="20">
        <f t="shared" si="5"/>
        <v>-5.4752756254622557E-3</v>
      </c>
      <c r="P42" s="36">
        <f t="shared" si="7"/>
        <v>3.2368018527998345E-2</v>
      </c>
      <c r="Q42" s="55"/>
      <c r="R42" s="67" t="str">
        <f t="shared" si="8"/>
        <v>ANET</v>
      </c>
      <c r="S42" s="68" t="str">
        <f t="shared" si="9"/>
        <v>Semi</v>
      </c>
      <c r="T42" s="69">
        <f t="shared" si="10"/>
        <v>173.00751970000002</v>
      </c>
      <c r="U42" s="70">
        <f t="shared" si="11"/>
        <v>0.6577029063000488</v>
      </c>
      <c r="V42" s="71">
        <f t="shared" si="12"/>
        <v>-1.0992958758442306E-2</v>
      </c>
      <c r="W42" s="71">
        <f t="shared" si="13"/>
        <v>0</v>
      </c>
      <c r="X42" s="71">
        <f t="shared" si="14"/>
        <v>0.24536324979643531</v>
      </c>
      <c r="Y42" s="259"/>
    </row>
    <row r="43" spans="1:25">
      <c r="A43" s="28" t="s">
        <v>135</v>
      </c>
      <c r="B43" s="28" t="s">
        <v>234</v>
      </c>
      <c r="C43" s="28" t="s">
        <v>131</v>
      </c>
      <c r="D43" s="34">
        <f>_xll.ciqfunctions.udf.CIQ($A43,"IQ_MARKETCAP",H$1,"USD")</f>
        <v>72049.560949999999</v>
      </c>
      <c r="E43" s="34">
        <f t="shared" si="1"/>
        <v>0.19091515170014986</v>
      </c>
      <c r="F43" s="44">
        <f>VLOOKUP(B:B,weight!G:H,2,FALSE)</f>
        <v>1.1100000000000001</v>
      </c>
      <c r="G43" s="257">
        <f>VLOOKUP(A43,CHOOSE({1,2},shares!$F$2:$F$45,shares!$K$2:$K$45),2,FALSE)</f>
        <v>4.2233810227104264E-3</v>
      </c>
      <c r="H43" s="45">
        <f>IF(_xll.ciqfunctions.udf.CIQ($A43,"IQ_CLOSEPRICE",H$1,"USD")=0,_xll.ciqfunctions.udf.CIQ($A43,"IQ_CLOSEPRICE",H$2,"USD"),_xll.ciqfunctions.udf.CIQ($A43,"IQ_CLOSEPRICE",H$1,"USD"))</f>
        <v>45.204340000000002</v>
      </c>
      <c r="I43" s="45">
        <f>IF(_xll.ciqfunctions.udf.CIQ($A43,"IQ_CLOSEPRICE",I$1,"USD")=0,_xll.ciqfunctions.udf.CIQ($A43,"IQ_CLOSEPRICE",I$2,"USD"),_xll.ciqfunctions.udf.CIQ($A43,"IQ_CLOSEPRICE",I$1,"USD"))</f>
        <v>45.158050000000003</v>
      </c>
      <c r="J43" s="45">
        <f>IF(_xll.ciqfunctions.udf.CIQ($A43,"IQ_CLOSEPRICE",J$1,"USD")=0,_xll.ciqfunctions.udf.CIQ($A43,"IQ_CLOSEPRICE",J$2,"USD"),_xll.ciqfunctions.udf.CIQ($A43,"IQ_CLOSEPRICE",J$1,"USD"))</f>
        <v>45.204340000000002</v>
      </c>
      <c r="K43" s="45">
        <f>IF(_xll.ciqfunctions.udf.CIQ($A43,"IQ_CLOSEPRICE",K$1,"USD")=0,_xll.ciqfunctions.udf.CIQ($A43,"IQ_CLOSEPRICE",K$2,"USD"),_xll.ciqfunctions.udf.CIQ($A43,"IQ_CLOSEPRICE",K$1,"USD"))</f>
        <v>43.166559999999997</v>
      </c>
      <c r="L43" s="55">
        <f t="shared" si="2"/>
        <v>1.025066405657471E-3</v>
      </c>
      <c r="M43" s="55">
        <f t="shared" si="3"/>
        <v>0</v>
      </c>
      <c r="N43" s="55">
        <f t="shared" si="4"/>
        <v>4.7207375338688129E-2</v>
      </c>
      <c r="O43" s="20">
        <f t="shared" si="5"/>
        <v>1.9550030754126164E-4</v>
      </c>
      <c r="P43" s="36">
        <f t="shared" si="7"/>
        <v>-1.1557331556602117E-3</v>
      </c>
      <c r="Q43" s="55"/>
      <c r="R43" s="67" t="str">
        <f t="shared" si="8"/>
        <v>TWSE:2454</v>
      </c>
      <c r="S43" s="68" t="str">
        <f t="shared" si="9"/>
        <v>Semi</v>
      </c>
      <c r="T43" s="69">
        <f t="shared" si="10"/>
        <v>72.04956095</v>
      </c>
      <c r="U43" s="70">
        <f t="shared" si="11"/>
        <v>0.27390257785689476</v>
      </c>
      <c r="V43" s="71">
        <f t="shared" si="12"/>
        <v>1.025066405657471E-3</v>
      </c>
      <c r="W43" s="71">
        <f t="shared" si="13"/>
        <v>0</v>
      </c>
      <c r="X43" s="71">
        <f t="shared" si="14"/>
        <v>4.7207375338688129E-2</v>
      </c>
      <c r="Y43" s="259"/>
    </row>
    <row r="44" spans="1:25">
      <c r="A44" s="28" t="s">
        <v>156</v>
      </c>
      <c r="B44" s="28" t="s">
        <v>235</v>
      </c>
      <c r="C44" s="28" t="s">
        <v>131</v>
      </c>
      <c r="D44" s="34">
        <f>_xll.ciqfunctions.udf.CIQ($A44,"IQ_MARKETCAP",H$1,"USD")</f>
        <v>138458.1575</v>
      </c>
      <c r="E44" s="34">
        <f t="shared" si="1"/>
        <v>0.40460209813379067</v>
      </c>
      <c r="F44" s="44">
        <f>VLOOKUP(B:B,weight!G:H,2,FALSE)</f>
        <v>1.02</v>
      </c>
      <c r="G44" s="257">
        <f>VLOOKUP(A44,CHOOSE({1,2},shares!$F$2:$F$45,shares!$K$2:$K$45),2,FALSE)</f>
        <v>3.2703047052521071E-3</v>
      </c>
      <c r="H44" s="45">
        <f>IF(_xll.ciqfunctions.udf.CIQ($A44,"IQ_CLOSEPRICE",H$1,"USD")=0,_xll.ciqfunctions.udf.CIQ($A44,"IQ_CLOSEPRICE",H$2,"USD"),_xll.ciqfunctions.udf.CIQ($A44,"IQ_CLOSEPRICE",H$1,"USD"))</f>
        <v>123.72</v>
      </c>
      <c r="I44" s="45">
        <f>IF(_xll.ciqfunctions.udf.CIQ($A44,"IQ_CLOSEPRICE",I$1,"USD")=0,_xll.ciqfunctions.udf.CIQ($A44,"IQ_CLOSEPRICE",I$2,"USD"),_xll.ciqfunctions.udf.CIQ($A44,"IQ_CLOSEPRICE",I$1,"USD"))</f>
        <v>118.89</v>
      </c>
      <c r="J44" s="45">
        <f>IF(_xll.ciqfunctions.udf.CIQ($A44,"IQ_CLOSEPRICE",J$1,"USD")=0,_xll.ciqfunctions.udf.CIQ($A44,"IQ_CLOSEPRICE",J$2,"USD"),_xll.ciqfunctions.udf.CIQ($A44,"IQ_CLOSEPRICE",J$1,"USD"))</f>
        <v>123.72</v>
      </c>
      <c r="K44" s="45">
        <f>IF(_xll.ciqfunctions.udf.CIQ($A44,"IQ_CLOSEPRICE",K$1,"USD")=0,_xll.ciqfunctions.udf.CIQ($A44,"IQ_CLOSEPRICE",K$2,"USD"),_xll.ciqfunctions.udf.CIQ($A44,"IQ_CLOSEPRICE",K$1,"USD"))</f>
        <v>84.16</v>
      </c>
      <c r="L44" s="55">
        <f t="shared" si="2"/>
        <v>4.0625788544032204E-2</v>
      </c>
      <c r="M44" s="55">
        <f t="shared" si="3"/>
        <v>0</v>
      </c>
      <c r="N44" s="55">
        <f t="shared" si="4"/>
        <v>0.47005703422053235</v>
      </c>
      <c r="O44" s="20">
        <f t="shared" si="5"/>
        <v>1.5795571726367672E-2</v>
      </c>
      <c r="P44" s="36">
        <f t="shared" si="7"/>
        <v>-9.3378195596542424E-2</v>
      </c>
      <c r="R44" s="67" t="str">
        <f t="shared" si="8"/>
        <v>MU</v>
      </c>
      <c r="S44" s="68" t="str">
        <f t="shared" si="9"/>
        <v>Semi</v>
      </c>
      <c r="T44" s="69">
        <f t="shared" si="10"/>
        <v>138.4581575</v>
      </c>
      <c r="U44" s="70">
        <f t="shared" si="11"/>
        <v>0.52636054633121176</v>
      </c>
      <c r="V44" s="71">
        <f t="shared" si="12"/>
        <v>4.0625788544032204E-2</v>
      </c>
      <c r="W44" s="71">
        <f t="shared" si="13"/>
        <v>0</v>
      </c>
      <c r="X44" s="71">
        <f t="shared" si="14"/>
        <v>0.47005703422053235</v>
      </c>
      <c r="Y44" s="259"/>
    </row>
    <row r="45" spans="1:25">
      <c r="A45" s="28" t="s">
        <v>165</v>
      </c>
      <c r="B45" s="28" t="s">
        <v>236</v>
      </c>
      <c r="C45" s="28" t="s">
        <v>131</v>
      </c>
      <c r="D45" s="34">
        <f>_xll.ciqfunctions.udf.CIQ($A45,"IQ_MARKETCAP",H$1,"USD")</f>
        <v>159680.13716000001</v>
      </c>
      <c r="E45" s="34">
        <f t="shared" si="1"/>
        <v>0.26257630538578236</v>
      </c>
      <c r="F45" s="44">
        <f>VLOOKUP(B:B,weight!G:H,2,FALSE)</f>
        <v>1</v>
      </c>
      <c r="G45" s="257">
        <f>VLOOKUP(A45,CHOOSE({1,2},shares!$F$2:$F$45,shares!$K$2:$K$45),2,FALSE)</f>
        <v>1.7745239263754974E-3</v>
      </c>
      <c r="H45" s="45">
        <f>IF(_xll.ciqfunctions.udf.CIQ($A45,"IQ_CLOSEPRICE",H$1,"USD")=0,_xll.ciqfunctions.udf.CIQ($A45,"IQ_CLOSEPRICE",H$2,"USD"),_xll.ciqfunctions.udf.CIQ($A45,"IQ_CLOSEPRICE",H$1,"USD"))</f>
        <v>147.97</v>
      </c>
      <c r="I45" s="45">
        <f>IF(_xll.ciqfunctions.udf.CIQ($A45,"IQ_CLOSEPRICE",I$1,"USD")=0,_xll.ciqfunctions.udf.CIQ($A45,"IQ_CLOSEPRICE",I$2,"USD"),_xll.ciqfunctions.udf.CIQ($A45,"IQ_CLOSEPRICE",I$1,"USD"))</f>
        <v>147.56</v>
      </c>
      <c r="J45" s="45">
        <f>IF(_xll.ciqfunctions.udf.CIQ($A45,"IQ_CLOSEPRICE",J$1,"USD")=0,_xll.ciqfunctions.udf.CIQ($A45,"IQ_CLOSEPRICE",J$2,"USD"),_xll.ciqfunctions.udf.CIQ($A45,"IQ_CLOSEPRICE",J$1,"USD"))</f>
        <v>147.97</v>
      </c>
      <c r="K45" s="45">
        <f>IF(_xll.ciqfunctions.udf.CIQ($A45,"IQ_CLOSEPRICE",K$1,"USD")=0,_xll.ciqfunctions.udf.CIQ($A45,"IQ_CLOSEPRICE",K$2,"USD"),_xll.ciqfunctions.udf.CIQ($A45,"IQ_CLOSEPRICE",K$1,"USD"))</f>
        <v>153.62</v>
      </c>
      <c r="L45" s="55">
        <f t="shared" si="2"/>
        <v>2.7785307671455151E-3</v>
      </c>
      <c r="M45" s="55">
        <f t="shared" si="3"/>
        <v>0</v>
      </c>
      <c r="N45" s="55">
        <f t="shared" si="4"/>
        <v>-3.6779065225882035E-2</v>
      </c>
      <c r="O45" s="20">
        <f t="shared" si="5"/>
        <v>7.2755480981394794E-4</v>
      </c>
      <c r="P45" s="36">
        <f t="shared" si="7"/>
        <v>-4.3010633939006473E-3</v>
      </c>
      <c r="R45" s="67" t="str">
        <f t="shared" si="8"/>
        <v>QCOM</v>
      </c>
      <c r="S45" s="68" t="str">
        <f t="shared" si="9"/>
        <v>Semi</v>
      </c>
      <c r="T45" s="69">
        <f t="shared" si="10"/>
        <v>159.68013716000002</v>
      </c>
      <c r="U45" s="70">
        <f t="shared" si="11"/>
        <v>0.60703771992473932</v>
      </c>
      <c r="V45" s="71">
        <f t="shared" si="12"/>
        <v>2.7785307671455151E-3</v>
      </c>
      <c r="W45" s="71">
        <f t="shared" si="13"/>
        <v>0</v>
      </c>
      <c r="X45" s="71">
        <f t="shared" si="14"/>
        <v>-3.6779065225882035E-2</v>
      </c>
      <c r="Y45" s="259"/>
    </row>
    <row r="46" spans="1:25">
      <c r="A46" s="28" t="s">
        <v>170</v>
      </c>
      <c r="B46" s="28" t="s">
        <v>237</v>
      </c>
      <c r="C46" s="28" t="s">
        <v>131</v>
      </c>
      <c r="D46" s="34">
        <f>_xll.ciqfunctions.udf.CIQ($A46,"IQ_MARKETCAP",H$1,"USD")</f>
        <v>114009.08440000001</v>
      </c>
      <c r="E46" s="34">
        <f t="shared" si="1"/>
        <v>0.33437107276903671</v>
      </c>
      <c r="F46" s="44">
        <f>VLOOKUP(B:B,weight!G:H,2,FALSE)</f>
        <v>0.97</v>
      </c>
      <c r="G46" s="257">
        <f>VLOOKUP(A46,CHOOSE({1,2},shares!$F$2:$F$45,shares!$K$2:$K$45),2,FALSE)</f>
        <v>5.4270446141828983E-4</v>
      </c>
      <c r="H46" s="45">
        <f>IF(_xll.ciqfunctions.udf.CIQ($A46,"IQ_CLOSEPRICE",H$1,"USD")=0,_xll.ciqfunctions.udf.CIQ($A46,"IQ_CLOSEPRICE",H$2,"USD"),_xll.ciqfunctions.udf.CIQ($A46,"IQ_CLOSEPRICE",H$1,"USD"))</f>
        <v>616.12</v>
      </c>
      <c r="I46" s="45">
        <f>IF(_xll.ciqfunctions.udf.CIQ($A46,"IQ_CLOSEPRICE",I$1,"USD")=0,_xll.ciqfunctions.udf.CIQ($A46,"IQ_CLOSEPRICE",I$2,"USD"),_xll.ciqfunctions.udf.CIQ($A46,"IQ_CLOSEPRICE",I$1,"USD"))</f>
        <v>619.41999999999996</v>
      </c>
      <c r="J46" s="45">
        <f>IF(_xll.ciqfunctions.udf.CIQ($A46,"IQ_CLOSEPRICE",J$1,"USD")=0,_xll.ciqfunctions.udf.CIQ($A46,"IQ_CLOSEPRICE",J$2,"USD"),_xll.ciqfunctions.udf.CIQ($A46,"IQ_CLOSEPRICE",J$1,"USD"))</f>
        <v>616.12</v>
      </c>
      <c r="K46" s="45">
        <f>IF(_xll.ciqfunctions.udf.CIQ($A46,"IQ_CLOSEPRICE",K$1,"USD")=0,_xll.ciqfunctions.udf.CIQ($A46,"IQ_CLOSEPRICE",K$2,"USD"),_xll.ciqfunctions.udf.CIQ($A46,"IQ_CLOSEPRICE",K$1,"USD"))</f>
        <v>485.36</v>
      </c>
      <c r="L46" s="55">
        <f t="shared" si="2"/>
        <v>-5.3275644958186152E-3</v>
      </c>
      <c r="M46" s="55">
        <f t="shared" si="3"/>
        <v>0</v>
      </c>
      <c r="N46" s="55">
        <f t="shared" si="4"/>
        <v>0.26940827427064451</v>
      </c>
      <c r="O46" s="20">
        <f t="shared" si="5"/>
        <v>-1.7909247226803318E-3</v>
      </c>
      <c r="P46" s="36">
        <f t="shared" si="7"/>
        <v>1.0587354604832924E-2</v>
      </c>
      <c r="R46" s="67" t="str">
        <f t="shared" si="8"/>
        <v>SNPS</v>
      </c>
      <c r="S46" s="68" t="str">
        <f t="shared" si="9"/>
        <v>Semi</v>
      </c>
      <c r="T46" s="69">
        <f t="shared" si="10"/>
        <v>114.00908440000001</v>
      </c>
      <c r="U46" s="70">
        <f t="shared" si="11"/>
        <v>0.43341530058642624</v>
      </c>
      <c r="V46" s="71">
        <f t="shared" si="12"/>
        <v>-5.3275644958186152E-3</v>
      </c>
      <c r="W46" s="71">
        <f t="shared" si="13"/>
        <v>0</v>
      </c>
      <c r="X46" s="71">
        <f t="shared" si="14"/>
        <v>0.26940827427064451</v>
      </c>
      <c r="Y46" s="259"/>
    </row>
    <row r="47" spans="1:25" ht="14.5" thickBot="1">
      <c r="A47" s="28" t="s">
        <v>140</v>
      </c>
      <c r="B47" s="28" t="s">
        <v>238</v>
      </c>
      <c r="C47" s="28" t="s">
        <v>131</v>
      </c>
      <c r="D47" s="34">
        <f>_xll.ciqfunctions.udf.CIQ($A47,"IQ_MARKETCAP",H$1,"USD")</f>
        <v>149371.95000000001</v>
      </c>
      <c r="E47" s="34">
        <f t="shared" si="1"/>
        <v>0.27154351467463184</v>
      </c>
      <c r="F47" s="44">
        <f>VLOOKUP(B:B,weight!G:H,2,FALSE)</f>
        <v>0.83</v>
      </c>
      <c r="G47" s="257">
        <f>VLOOKUP(A47,CHOOSE({1,2},shares!$F$2:$F$45,shares!$K$2:$K$45),2,FALSE)</f>
        <v>1.925157849518836E-3</v>
      </c>
      <c r="H47" s="45">
        <f>IF(_xll.ciqfunctions.udf.CIQ($A47,"IQ_CLOSEPRICE",H$1,"USD")=0,_xll.ciqfunctions.udf.CIQ($A47,"IQ_CLOSEPRICE",H$2,"USD"),_xll.ciqfunctions.udf.CIQ($A47,"IQ_CLOSEPRICE",H$1,"USD"))</f>
        <v>141.05000000000001</v>
      </c>
      <c r="I47" s="45">
        <f>IF(_xll.ciqfunctions.udf.CIQ($A47,"IQ_CLOSEPRICE",I$1,"USD")=0,_xll.ciqfunctions.udf.CIQ($A47,"IQ_CLOSEPRICE",I$2,"USD"),_xll.ciqfunctions.udf.CIQ($A47,"IQ_CLOSEPRICE",I$1,"USD"))</f>
        <v>138.5</v>
      </c>
      <c r="J47" s="45">
        <f>IF(_xll.ciqfunctions.udf.CIQ($A47,"IQ_CLOSEPRICE",J$1,"USD")=0,_xll.ciqfunctions.udf.CIQ($A47,"IQ_CLOSEPRICE",J$2,"USD"),_xll.ciqfunctions.udf.CIQ($A47,"IQ_CLOSEPRICE",J$1,"USD"))</f>
        <v>141.05000000000001</v>
      </c>
      <c r="K47" s="45">
        <f>IF(_xll.ciqfunctions.udf.CIQ($A47,"IQ_CLOSEPRICE",K$1,"USD")=0,_xll.ciqfunctions.udf.CIQ($A47,"IQ_CLOSEPRICE",K$2,"USD"),_xll.ciqfunctions.udf.CIQ($A47,"IQ_CLOSEPRICE",K$1,"USD"))</f>
        <v>123.36</v>
      </c>
      <c r="L47" s="55">
        <f t="shared" si="2"/>
        <v>1.8411552346570437E-2</v>
      </c>
      <c r="M47" s="55">
        <f t="shared" si="3"/>
        <v>0</v>
      </c>
      <c r="N47" s="55">
        <f t="shared" si="4"/>
        <v>0.1434014267185475</v>
      </c>
      <c r="O47" s="20">
        <f t="shared" si="5"/>
        <v>4.9091525162730538E-3</v>
      </c>
      <c r="P47" s="36">
        <f t="shared" si="7"/>
        <v>-2.9021285953998097E-2</v>
      </c>
      <c r="R47" s="81" t="str">
        <f t="shared" si="8"/>
        <v>ARM</v>
      </c>
      <c r="S47" s="82" t="str">
        <f t="shared" si="9"/>
        <v>Semi</v>
      </c>
      <c r="T47" s="83">
        <f t="shared" si="10"/>
        <v>149.37195</v>
      </c>
      <c r="U47" s="84">
        <f t="shared" si="11"/>
        <v>0.56785026341664602</v>
      </c>
      <c r="V47" s="85">
        <f t="shared" si="12"/>
        <v>1.8411552346570437E-2</v>
      </c>
      <c r="W47" s="85">
        <f t="shared" si="13"/>
        <v>0</v>
      </c>
      <c r="X47" s="85">
        <f t="shared" si="14"/>
        <v>0.1434014267185475</v>
      </c>
      <c r="Y47" s="262"/>
    </row>
    <row r="48" spans="1:25">
      <c r="A48" s="30"/>
      <c r="B48" s="30"/>
      <c r="C48" s="30"/>
      <c r="D48" s="34">
        <f>SUM(D4:D47)</f>
        <v>26304813.015539989</v>
      </c>
      <c r="E48" s="34">
        <f>SUM(E49:E92)</f>
        <v>0</v>
      </c>
      <c r="F48" s="235">
        <f>SUM(F4:F47)</f>
        <v>95.690000000000012</v>
      </c>
      <c r="H48" s="32"/>
      <c r="I48" s="32"/>
      <c r="J48" s="32"/>
      <c r="K48" s="32"/>
      <c r="L48" s="2" t="s">
        <v>3</v>
      </c>
      <c r="M48" s="2" t="s">
        <v>4</v>
      </c>
      <c r="N48" s="2" t="s">
        <v>6</v>
      </c>
      <c r="O48" s="56">
        <f>'raw1'!E2</f>
        <v>-6.0927918194683987E-3</v>
      </c>
    </row>
  </sheetData>
  <autoFilter ref="A4:P48" xr:uid="{00000000-0009-0000-0000-000008000000}">
    <sortState xmlns:xlrd2="http://schemas.microsoft.com/office/spreadsheetml/2017/richdata2" ref="A4:P48">
      <sortCondition descending="1" ref="F1:F48"/>
    </sortState>
  </autoFilter>
  <sortState xmlns:xlrd2="http://schemas.microsoft.com/office/spreadsheetml/2017/richdata2" ref="A4:P49">
    <sortCondition ref="C1:C49"/>
  </sortState>
  <mergeCells count="3">
    <mergeCell ref="Y4:Y16"/>
    <mergeCell ref="Y17:Y33"/>
    <mergeCell ref="Y34:Y47"/>
  </mergeCells>
  <phoneticPr fontId="24" type="noConversion"/>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412D45-2CD7-45AF-8B75-DB284367542A}">
  <dimension ref="A1:H52"/>
  <sheetViews>
    <sheetView workbookViewId="0">
      <selection activeCell="H17" sqref="H17"/>
    </sheetView>
  </sheetViews>
  <sheetFormatPr defaultRowHeight="14"/>
  <cols>
    <col min="1" max="2" width="8.6640625" style="214"/>
    <col min="3" max="6" width="8.6640625" style="207"/>
    <col min="7" max="7" width="15.4140625" style="214" customWidth="1"/>
    <col min="8" max="8" width="20.1640625" style="214" customWidth="1"/>
    <col min="9" max="16384" width="8.6640625" style="207"/>
  </cols>
  <sheetData>
    <row r="1" spans="1:8">
      <c r="A1" s="213" t="s">
        <v>1</v>
      </c>
      <c r="B1" s="213"/>
      <c r="G1" s="214" t="s">
        <v>251</v>
      </c>
      <c r="H1" s="214" t="s">
        <v>252</v>
      </c>
    </row>
    <row r="2" spans="1:8">
      <c r="A2" s="213"/>
      <c r="B2" s="213"/>
      <c r="G2" s="214" t="s">
        <v>253</v>
      </c>
      <c r="H2" s="214" t="s">
        <v>254</v>
      </c>
    </row>
    <row r="3" spans="1:8">
      <c r="A3" s="213"/>
      <c r="B3" s="213"/>
      <c r="G3" s="214" t="s">
        <v>195</v>
      </c>
      <c r="H3" s="214">
        <v>7.35</v>
      </c>
    </row>
    <row r="4" spans="1:8">
      <c r="A4" s="214" t="s">
        <v>153</v>
      </c>
      <c r="B4" s="232" t="s">
        <v>195</v>
      </c>
      <c r="G4" s="214" t="s">
        <v>208</v>
      </c>
      <c r="H4" s="214">
        <v>5.4</v>
      </c>
    </row>
    <row r="5" spans="1:8">
      <c r="A5" s="214" t="s">
        <v>167</v>
      </c>
      <c r="B5" s="232" t="s">
        <v>199</v>
      </c>
      <c r="G5" s="214" t="s">
        <v>209</v>
      </c>
      <c r="H5" s="214">
        <v>5.13</v>
      </c>
    </row>
    <row r="6" spans="1:8">
      <c r="A6" s="214" t="s">
        <v>144</v>
      </c>
      <c r="B6" s="232" t="s">
        <v>196</v>
      </c>
      <c r="G6" s="214" t="s">
        <v>323</v>
      </c>
      <c r="H6" s="214">
        <v>4.3499999999999996</v>
      </c>
    </row>
    <row r="7" spans="1:8">
      <c r="A7" s="214" t="s">
        <v>159</v>
      </c>
      <c r="B7" s="232" t="s">
        <v>197</v>
      </c>
      <c r="G7" s="214" t="s">
        <v>225</v>
      </c>
      <c r="H7" s="214">
        <v>3.9</v>
      </c>
    </row>
    <row r="8" spans="1:8">
      <c r="A8" s="214" t="s">
        <v>137</v>
      </c>
      <c r="B8" s="232" t="s">
        <v>201</v>
      </c>
      <c r="G8" s="214" t="s">
        <v>226</v>
      </c>
      <c r="H8" s="214">
        <v>3.48</v>
      </c>
    </row>
    <row r="9" spans="1:8">
      <c r="A9" s="214" t="s">
        <v>168</v>
      </c>
      <c r="B9" s="232" t="s">
        <v>206</v>
      </c>
      <c r="G9" s="214" t="s">
        <v>196</v>
      </c>
      <c r="H9" s="214">
        <v>3.26</v>
      </c>
    </row>
    <row r="10" spans="1:8">
      <c r="A10" s="214" t="s">
        <v>171</v>
      </c>
      <c r="B10" s="232" t="s">
        <v>207</v>
      </c>
      <c r="G10" s="214" t="s">
        <v>210</v>
      </c>
      <c r="H10" s="214">
        <v>3.13</v>
      </c>
    </row>
    <row r="11" spans="1:8">
      <c r="A11" s="214" t="s">
        <v>175</v>
      </c>
      <c r="B11" s="232" t="s">
        <v>203</v>
      </c>
      <c r="G11" s="214" t="s">
        <v>197</v>
      </c>
      <c r="H11" s="214">
        <v>3.05</v>
      </c>
    </row>
    <row r="12" spans="1:8">
      <c r="A12" s="214" t="s">
        <v>166</v>
      </c>
      <c r="B12" s="232" t="s">
        <v>204</v>
      </c>
      <c r="G12" s="214" t="s">
        <v>211</v>
      </c>
      <c r="H12" s="214">
        <v>2.8</v>
      </c>
    </row>
    <row r="13" spans="1:8">
      <c r="A13" s="214" t="s">
        <v>151</v>
      </c>
      <c r="B13" s="232" t="s">
        <v>202</v>
      </c>
      <c r="G13" s="214" t="s">
        <v>212</v>
      </c>
      <c r="H13" s="214">
        <v>2.61</v>
      </c>
    </row>
    <row r="14" spans="1:8">
      <c r="A14" s="214" t="s">
        <v>147</v>
      </c>
      <c r="B14" s="232" t="s">
        <v>198</v>
      </c>
      <c r="G14" s="214" t="s">
        <v>198</v>
      </c>
      <c r="H14" s="214">
        <v>2.59</v>
      </c>
    </row>
    <row r="15" spans="1:8">
      <c r="A15" s="215" t="s">
        <v>172</v>
      </c>
      <c r="B15" s="232" t="s">
        <v>200</v>
      </c>
      <c r="G15" s="214" t="s">
        <v>199</v>
      </c>
      <c r="H15" s="214">
        <v>2.57</v>
      </c>
    </row>
    <row r="16" spans="1:8">
      <c r="A16" s="214" t="s">
        <v>155</v>
      </c>
      <c r="B16" s="232" t="s">
        <v>208</v>
      </c>
      <c r="G16" s="214" t="s">
        <v>227</v>
      </c>
      <c r="H16" s="214">
        <v>2.4</v>
      </c>
    </row>
    <row r="17" spans="1:8">
      <c r="A17" s="214" t="s">
        <v>138</v>
      </c>
      <c r="B17" s="232" t="s">
        <v>209</v>
      </c>
      <c r="G17" s="214" t="s">
        <v>200</v>
      </c>
      <c r="H17" s="214">
        <v>2.39</v>
      </c>
    </row>
    <row r="18" spans="1:8">
      <c r="A18" s="214" t="s">
        <v>149</v>
      </c>
      <c r="B18" s="232" t="s">
        <v>210</v>
      </c>
      <c r="G18" s="214" t="s">
        <v>228</v>
      </c>
      <c r="H18" s="214">
        <v>2.2400000000000002</v>
      </c>
    </row>
    <row r="19" spans="1:8">
      <c r="A19" s="214" t="s">
        <v>173</v>
      </c>
      <c r="B19" s="232" t="s">
        <v>211</v>
      </c>
      <c r="G19" s="214" t="s">
        <v>201</v>
      </c>
      <c r="H19" s="214">
        <v>2.23</v>
      </c>
    </row>
    <row r="20" spans="1:8">
      <c r="A20" s="214" t="s">
        <v>161</v>
      </c>
      <c r="B20" s="232" t="s">
        <v>213</v>
      </c>
      <c r="G20" s="214" t="s">
        <v>213</v>
      </c>
      <c r="H20" s="214">
        <v>2.13</v>
      </c>
    </row>
    <row r="21" spans="1:8">
      <c r="A21" s="214" t="s">
        <v>163</v>
      </c>
      <c r="B21" s="232" t="s">
        <v>212</v>
      </c>
      <c r="G21" s="214" t="s">
        <v>214</v>
      </c>
      <c r="H21" s="214">
        <v>2.09</v>
      </c>
    </row>
    <row r="22" spans="1:8">
      <c r="A22" s="214" t="s">
        <v>162</v>
      </c>
      <c r="B22" s="232" t="s">
        <v>220</v>
      </c>
      <c r="G22" s="214" t="s">
        <v>215</v>
      </c>
      <c r="H22" s="214">
        <v>2.06</v>
      </c>
    </row>
    <row r="23" spans="1:8">
      <c r="A23" s="214" t="s">
        <v>169</v>
      </c>
      <c r="B23" s="232" t="s">
        <v>216</v>
      </c>
      <c r="G23" s="214" t="s">
        <v>202</v>
      </c>
      <c r="H23" s="214">
        <v>2.0299999999999998</v>
      </c>
    </row>
    <row r="24" spans="1:8">
      <c r="A24" s="214" t="s">
        <v>158</v>
      </c>
      <c r="B24" s="232" t="s">
        <v>218</v>
      </c>
      <c r="G24" s="214" t="s">
        <v>216</v>
      </c>
      <c r="H24" s="214">
        <v>1.87</v>
      </c>
    </row>
    <row r="25" spans="1:8">
      <c r="A25" s="214" t="s">
        <v>145</v>
      </c>
      <c r="B25" s="232" t="s">
        <v>217</v>
      </c>
      <c r="G25" s="214" t="s">
        <v>203</v>
      </c>
      <c r="H25" s="214">
        <v>1.72</v>
      </c>
    </row>
    <row r="26" spans="1:8">
      <c r="A26" s="214" t="s">
        <v>176</v>
      </c>
      <c r="B26" s="232" t="s">
        <v>223</v>
      </c>
      <c r="G26" s="214" t="s">
        <v>217</v>
      </c>
      <c r="H26" s="214">
        <v>1.71</v>
      </c>
    </row>
    <row r="27" spans="1:8">
      <c r="A27" s="214" t="s">
        <v>164</v>
      </c>
      <c r="B27" s="232" t="s">
        <v>222</v>
      </c>
      <c r="G27" s="214" t="s">
        <v>204</v>
      </c>
      <c r="H27" s="214">
        <v>1.71</v>
      </c>
    </row>
    <row r="28" spans="1:8">
      <c r="A28" s="214" t="s">
        <v>152</v>
      </c>
      <c r="B28" s="232" t="s">
        <v>221</v>
      </c>
      <c r="G28" s="214" t="s">
        <v>218</v>
      </c>
      <c r="H28" s="214">
        <v>1.7</v>
      </c>
    </row>
    <row r="29" spans="1:8">
      <c r="A29" s="214" t="s">
        <v>148</v>
      </c>
      <c r="B29" s="232" t="s">
        <v>215</v>
      </c>
      <c r="G29" s="214" t="s">
        <v>205</v>
      </c>
      <c r="H29" s="214">
        <v>1.63</v>
      </c>
    </row>
    <row r="30" spans="1:8">
      <c r="A30" s="214" t="s">
        <v>150</v>
      </c>
      <c r="B30" s="232" t="s">
        <v>219</v>
      </c>
      <c r="G30" s="214" t="s">
        <v>229</v>
      </c>
      <c r="H30" s="214">
        <v>1.62</v>
      </c>
    </row>
    <row r="31" spans="1:8">
      <c r="A31" s="214" t="s">
        <v>143</v>
      </c>
      <c r="B31" s="232" t="s">
        <v>224</v>
      </c>
      <c r="G31" s="214" t="s">
        <v>206</v>
      </c>
      <c r="H31" s="214">
        <v>1.6</v>
      </c>
    </row>
    <row r="32" spans="1:8">
      <c r="A32" s="215" t="s">
        <v>157</v>
      </c>
      <c r="B32" s="232" t="s">
        <v>214</v>
      </c>
      <c r="G32" s="214" t="s">
        <v>207</v>
      </c>
      <c r="H32" s="214">
        <v>1.6</v>
      </c>
    </row>
    <row r="33" spans="1:8">
      <c r="A33" s="214" t="s">
        <v>136</v>
      </c>
      <c r="B33" s="232" t="s">
        <v>226</v>
      </c>
      <c r="G33" s="214" t="s">
        <v>219</v>
      </c>
      <c r="H33" s="214">
        <v>1.49</v>
      </c>
    </row>
    <row r="34" spans="1:8">
      <c r="A34" s="214" t="s">
        <v>160</v>
      </c>
      <c r="B34" s="232" t="s">
        <v>225</v>
      </c>
      <c r="G34" s="214" t="s">
        <v>220</v>
      </c>
      <c r="H34" s="214">
        <v>1.45</v>
      </c>
    </row>
    <row r="35" spans="1:8">
      <c r="A35" s="214" t="s">
        <v>142</v>
      </c>
      <c r="B35" s="232" t="s">
        <v>227</v>
      </c>
      <c r="G35" s="214" t="s">
        <v>230</v>
      </c>
      <c r="H35" s="214">
        <v>1.36</v>
      </c>
    </row>
    <row r="36" spans="1:8">
      <c r="A36" s="214" t="s">
        <v>133</v>
      </c>
      <c r="B36" s="232" t="s">
        <v>228</v>
      </c>
      <c r="G36" s="214" t="s">
        <v>221</v>
      </c>
      <c r="H36" s="214">
        <v>1.34</v>
      </c>
    </row>
    <row r="37" spans="1:8">
      <c r="A37" s="214" t="s">
        <v>141</v>
      </c>
      <c r="B37" s="232" t="s">
        <v>230</v>
      </c>
      <c r="G37" s="214" t="s">
        <v>231</v>
      </c>
      <c r="H37" s="214">
        <v>1.24</v>
      </c>
    </row>
    <row r="38" spans="1:8">
      <c r="A38" s="214" t="s">
        <v>165</v>
      </c>
      <c r="B38" s="232" t="s">
        <v>236</v>
      </c>
      <c r="G38" s="214" t="s">
        <v>232</v>
      </c>
      <c r="H38" s="214">
        <v>1.24</v>
      </c>
    </row>
    <row r="39" spans="1:8">
      <c r="A39" s="214" t="s">
        <v>140</v>
      </c>
      <c r="B39" s="232" t="s">
        <v>238</v>
      </c>
      <c r="G39" s="214" t="s">
        <v>222</v>
      </c>
      <c r="H39" s="214">
        <v>1.21</v>
      </c>
    </row>
    <row r="40" spans="1:8">
      <c r="A40" s="214" t="s">
        <v>139</v>
      </c>
      <c r="B40" s="232" t="s">
        <v>233</v>
      </c>
      <c r="G40" s="214" t="s">
        <v>223</v>
      </c>
      <c r="H40" s="214">
        <v>1.19</v>
      </c>
    </row>
    <row r="41" spans="1:8">
      <c r="A41" s="214" t="s">
        <v>156</v>
      </c>
      <c r="B41" s="232" t="s">
        <v>235</v>
      </c>
      <c r="G41" s="214" t="s">
        <v>233</v>
      </c>
      <c r="H41" s="214">
        <v>1.1200000000000001</v>
      </c>
    </row>
    <row r="42" spans="1:8">
      <c r="A42" s="214" t="s">
        <v>154</v>
      </c>
      <c r="B42" s="232" t="s">
        <v>231</v>
      </c>
      <c r="G42" s="214" t="s">
        <v>224</v>
      </c>
      <c r="H42" s="214">
        <v>1.1200000000000001</v>
      </c>
    </row>
    <row r="43" spans="1:8">
      <c r="A43" s="214" t="s">
        <v>130</v>
      </c>
      <c r="B43" s="232" t="s">
        <v>229</v>
      </c>
      <c r="G43" s="214" t="s">
        <v>234</v>
      </c>
      <c r="H43" s="214">
        <v>1.1100000000000001</v>
      </c>
    </row>
    <row r="44" spans="1:8">
      <c r="A44" s="214" t="s">
        <v>170</v>
      </c>
      <c r="B44" s="232" t="s">
        <v>237</v>
      </c>
      <c r="G44" s="214" t="s">
        <v>235</v>
      </c>
      <c r="H44" s="214">
        <v>1.02</v>
      </c>
    </row>
    <row r="45" spans="1:8">
      <c r="A45" s="214" t="s">
        <v>146</v>
      </c>
      <c r="B45" s="232" t="s">
        <v>205</v>
      </c>
      <c r="G45" s="214" t="s">
        <v>236</v>
      </c>
      <c r="H45" s="214">
        <v>1</v>
      </c>
    </row>
    <row r="46" spans="1:8">
      <c r="A46" s="214" t="s">
        <v>135</v>
      </c>
      <c r="B46" s="232" t="s">
        <v>234</v>
      </c>
      <c r="G46" s="214" t="s">
        <v>237</v>
      </c>
      <c r="H46" s="214">
        <v>0.97</v>
      </c>
    </row>
    <row r="47" spans="1:8">
      <c r="A47" s="214" t="s">
        <v>174</v>
      </c>
      <c r="B47" s="232" t="s">
        <v>232</v>
      </c>
      <c r="G47" s="214" t="s">
        <v>238</v>
      </c>
      <c r="H47" s="214">
        <v>0.83</v>
      </c>
    </row>
    <row r="48" spans="1:8">
      <c r="G48" s="214" t="s">
        <v>255</v>
      </c>
      <c r="H48" s="214">
        <v>0.76</v>
      </c>
    </row>
    <row r="49" spans="7:8">
      <c r="G49" s="214" t="s">
        <v>256</v>
      </c>
      <c r="H49" s="214">
        <v>0.21</v>
      </c>
    </row>
    <row r="50" spans="7:8">
      <c r="G50" s="214" t="s">
        <v>257</v>
      </c>
      <c r="H50" s="214">
        <v>0.05</v>
      </c>
    </row>
    <row r="51" spans="7:8">
      <c r="G51" s="214" t="s">
        <v>258</v>
      </c>
      <c r="H51" s="214">
        <v>-0.37</v>
      </c>
    </row>
    <row r="52" spans="7:8">
      <c r="G52" s="214" t="s">
        <v>259</v>
      </c>
      <c r="H52" s="214">
        <v>-0.67</v>
      </c>
    </row>
  </sheetData>
  <phoneticPr fontId="24"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R14"/>
  <sheetViews>
    <sheetView zoomScale="66" zoomScaleNormal="66" workbookViewId="0">
      <selection activeCell="K2" sqref="K2"/>
    </sheetView>
  </sheetViews>
  <sheetFormatPr defaultColWidth="8.6640625" defaultRowHeight="15.5"/>
  <cols>
    <col min="1" max="1" width="46" style="3" customWidth="1"/>
    <col min="2" max="2" width="12" style="3" hidden="1" customWidth="1"/>
    <col min="3" max="3" width="21.1640625" style="154" customWidth="1"/>
    <col min="4" max="4" width="14.6640625" style="154" customWidth="1"/>
    <col min="5" max="8" width="15.6640625" style="155" customWidth="1"/>
    <col min="9" max="10" width="22.33203125" style="156" customWidth="1"/>
    <col min="11" max="14" width="14.1640625" style="155" customWidth="1"/>
    <col min="15" max="16" width="15.5" style="155" customWidth="1"/>
    <col min="17" max="18" width="14.1640625" style="3" customWidth="1"/>
    <col min="19" max="16384" width="8.6640625" style="3"/>
  </cols>
  <sheetData>
    <row r="1" spans="1:18" ht="22.5" customHeight="1">
      <c r="A1" s="157" t="s">
        <v>0</v>
      </c>
      <c r="B1" s="157" t="s">
        <v>1</v>
      </c>
      <c r="C1" s="158" t="s">
        <v>2</v>
      </c>
      <c r="D1" s="159" t="s">
        <v>1</v>
      </c>
      <c r="E1" s="159" t="s">
        <v>4</v>
      </c>
      <c r="F1" s="159" t="s">
        <v>6</v>
      </c>
      <c r="G1" s="159" t="s">
        <v>125</v>
      </c>
      <c r="H1" s="159" t="s">
        <v>45</v>
      </c>
      <c r="I1" s="159" t="s">
        <v>5</v>
      </c>
      <c r="J1" s="163" t="s">
        <v>8</v>
      </c>
      <c r="K1" s="163" t="s">
        <v>9</v>
      </c>
      <c r="L1" s="163" t="s">
        <v>10</v>
      </c>
      <c r="M1" s="163" t="s">
        <v>11</v>
      </c>
      <c r="N1" s="164">
        <v>45625</v>
      </c>
      <c r="O1" s="163"/>
      <c r="P1" s="157" t="s">
        <v>12</v>
      </c>
      <c r="Q1" s="157" t="s">
        <v>13</v>
      </c>
    </row>
    <row r="2" spans="1:18" ht="22.5" customHeight="1">
      <c r="A2" s="21" t="s">
        <v>14</v>
      </c>
      <c r="B2" s="9"/>
      <c r="C2" s="160" t="s">
        <v>15</v>
      </c>
      <c r="D2" s="158" t="s">
        <v>15</v>
      </c>
      <c r="E2" s="161">
        <f>($M2-K2)/K2</f>
        <v>2.8787878787878982E-3</v>
      </c>
      <c r="F2" s="10">
        <f>'raw1'!H2</f>
        <v>0.14872669715089692</v>
      </c>
      <c r="G2" s="10">
        <f>L2/N2-1</f>
        <v>0.11194119730782859</v>
      </c>
      <c r="H2" s="10">
        <f>O2/P2-1</f>
        <v>0.55024971011130908</v>
      </c>
      <c r="I2" s="161">
        <f>($M2-L2)/L2</f>
        <v>1.214077049770469E-2</v>
      </c>
      <c r="J2" s="4">
        <f>_xll.ciqfunctions.udf.CIQ($C2,"IQ_CLOSEPRICE",$A$7,"USD")</f>
        <v>31.79</v>
      </c>
      <c r="K2" s="4">
        <f>_xll.ciqfunctions.udf.CIQ($C2,"IQ_CLOSEPRICE",$A$8,"USD")</f>
        <v>31.68</v>
      </c>
      <c r="L2" s="4">
        <f>_xll.ciqfunctions.udf.CIQ($C2,"IQ_CLOSEPRICE",$A$9,"USD")</f>
        <v>31.3901</v>
      </c>
      <c r="M2" s="4">
        <f>_xll.ciqfunctions.udf.CIQ($C2,"IQ_CLOSEPRICE",$A$6,"USD")</f>
        <v>31.7712</v>
      </c>
      <c r="N2" s="4">
        <f>_xll.ciqfunctions.udf.CIQ($C2,"IQ_CLOSEPRICE",$N$1,"USD")</f>
        <v>28.23</v>
      </c>
      <c r="O2" s="4">
        <f>'raw1'!$N$2</f>
        <v>6013.15</v>
      </c>
      <c r="P2" s="6">
        <v>3878.8267211275602</v>
      </c>
      <c r="Q2" s="6">
        <v>5445.64</v>
      </c>
      <c r="R2" s="166">
        <f>N5/N2-1</f>
        <v>7.0846617074034057E-3</v>
      </c>
    </row>
    <row r="3" spans="1:18" ht="21" customHeight="1">
      <c r="A3" s="9" t="s">
        <v>38</v>
      </c>
      <c r="B3" s="9"/>
      <c r="C3" s="21" t="s">
        <v>39</v>
      </c>
      <c r="D3" s="21" t="s">
        <v>40</v>
      </c>
      <c r="E3" s="7">
        <f>($M3-K3)/K3</f>
        <v>1.8832397067391662E-3</v>
      </c>
      <c r="F3" s="11">
        <f>M3/Q3-1</f>
        <v>9.0223554548285678E-2</v>
      </c>
      <c r="G3" s="10">
        <f>L3/N3-1</f>
        <v>8.757358005518312E-2</v>
      </c>
      <c r="H3" s="11">
        <f t="shared" ref="H3:H4" si="0">M3/P3-1</f>
        <v>0.36146802863035687</v>
      </c>
      <c r="I3" s="7">
        <f>($M3-L3)/L3</f>
        <v>6.3546724544708182E-3</v>
      </c>
      <c r="J3" s="4">
        <f>_xll.ciqfunctions.udf.CIQ($C3,"IQ_CLOSEPRICE",$A$7,"USD")</f>
        <v>22884.588400000001</v>
      </c>
      <c r="K3" s="4">
        <f>_xll.ciqfunctions.udf.CIQ($C3,"IQ_CLOSEPRICE",$A$8,"USD")</f>
        <v>22864.906599999998</v>
      </c>
      <c r="L3" s="4">
        <f>_xll.ciqfunctions.udf.CIQ($C3,"IQ_CLOSEPRICE",$A$9,"USD")</f>
        <v>22763.313300000002</v>
      </c>
      <c r="M3" s="4">
        <f>_xll.ciqfunctions.udf.CIQ($C3,"IQ_CLOSEPRICE",$A$6,"USD")</f>
        <v>22907.966700000001</v>
      </c>
      <c r="N3" s="4">
        <f>_xll.ciqfunctions.udf.CIQ($C3,"IQ_CLOSEPRICE",$N$1,"USD")</f>
        <v>20930.3662</v>
      </c>
      <c r="O3" s="6"/>
      <c r="P3" s="6">
        <f>_xll.ciqfunctions.udf.CIQ($C3,"IQ_CLOSEPRICE",$A$10,"USD")</f>
        <v>16825.930700000001</v>
      </c>
      <c r="Q3" s="6">
        <f>_xll.ciqfunctions.udf.CIQ($C3,"IQ_CLOSEPRICE",$A$11,"USD")</f>
        <v>21012.173699999999</v>
      </c>
      <c r="R3" s="166">
        <f>Q3/N3-1</f>
        <v>3.9085555989937237E-3</v>
      </c>
    </row>
    <row r="4" spans="1:18" ht="22.5" customHeight="1">
      <c r="A4" s="9" t="s">
        <v>16</v>
      </c>
      <c r="B4" s="9"/>
      <c r="C4" s="21" t="s">
        <v>17</v>
      </c>
      <c r="D4" s="4" t="s">
        <v>18</v>
      </c>
      <c r="E4" s="7">
        <f>($M4-K4)/K4</f>
        <v>6.8791603524868847E-5</v>
      </c>
      <c r="F4" s="11">
        <f>M4/Q4-1</f>
        <v>6.49594997738423E-2</v>
      </c>
      <c r="G4" s="10">
        <f t="shared" ref="G4" si="1">L4/N4-1</f>
        <v>3.4086382104419055E-2</v>
      </c>
      <c r="H4" s="11">
        <f t="shared" si="0"/>
        <v>0.31319061995552566</v>
      </c>
      <c r="I4" s="7">
        <f>($M4-L4)/L4</f>
        <v>4.1180896031022393E-3</v>
      </c>
      <c r="J4" s="4">
        <f>_xll.ciqfunctions.udf.CIQ($C4,"IQ_CLOSEPRICE",$A$7,"USD")</f>
        <v>6243.7557100000004</v>
      </c>
      <c r="K4" s="4">
        <f>_xll.ciqfunctions.udf.CIQ($C4,"IQ_CLOSEPRICE",$A$8,"USD")</f>
        <v>6263.2643799999996</v>
      </c>
      <c r="L4" s="4">
        <f>_xll.ciqfunctions.udf.CIQ($C4,"IQ_CLOSEPRICE",$A$9,"USD")</f>
        <v>6238.0065699999996</v>
      </c>
      <c r="M4" s="4">
        <f>_xll.ciqfunctions.udf.CIQ($C4,"IQ_CLOSEPRICE",$A$6,"USD")</f>
        <v>6263.69524</v>
      </c>
      <c r="N4" s="4">
        <f>_xll.ciqfunctions.udf.CIQ($C4,"IQ_CLOSEPRICE",$N$1,"USD")</f>
        <v>6032.3844099999997</v>
      </c>
      <c r="O4" s="4"/>
      <c r="P4" s="6">
        <f>_xll.ciqfunctions.udf.CIQ($C4,"IQ_CLOSEPRICE",$A$10,"USD")</f>
        <v>4769.8294100000003</v>
      </c>
      <c r="Q4" s="6">
        <f>_xll.ciqfunctions.udf.CIQ($C4,"IQ_CLOSEPRICE",$A$11,"USD")</f>
        <v>5881.6276500000004</v>
      </c>
      <c r="R4" s="166">
        <f>Q4/N4-1</f>
        <v>-2.4991238912110303E-2</v>
      </c>
    </row>
    <row r="5" spans="1:18" ht="22.5" customHeight="1">
      <c r="A5" s="9"/>
      <c r="B5" s="9"/>
      <c r="C5" s="21"/>
      <c r="D5" s="21" t="s">
        <v>126</v>
      </c>
      <c r="E5" s="7">
        <f>M2/25-1</f>
        <v>0.27084799999999998</v>
      </c>
      <c r="F5" s="4"/>
      <c r="G5" s="4"/>
      <c r="H5" s="4"/>
      <c r="I5" s="8"/>
      <c r="J5" s="8"/>
      <c r="K5" s="4"/>
      <c r="L5" s="4"/>
      <c r="M5" s="4"/>
      <c r="N5" s="4">
        <f>_xll.ciqfunctions.udf.CIQ($C2,"IQ_CLOSEPRICE","2024/12/31","USD")</f>
        <v>28.43</v>
      </c>
      <c r="O5" s="4">
        <v>4812.72</v>
      </c>
      <c r="P5" s="7">
        <f>Q2/P2-1</f>
        <v>0.403940003387667</v>
      </c>
      <c r="Q5" s="9"/>
      <c r="R5" s="9"/>
    </row>
    <row r="6" spans="1:18" ht="22.5" customHeight="1">
      <c r="A6" s="5">
        <v>45854</v>
      </c>
      <c r="B6" s="9"/>
      <c r="C6" s="21"/>
      <c r="D6" s="4"/>
      <c r="E6" s="4"/>
      <c r="F6" s="4"/>
      <c r="G6" s="4"/>
      <c r="H6" s="4"/>
      <c r="I6" s="9"/>
      <c r="J6" s="9"/>
      <c r="K6" s="9"/>
      <c r="L6" s="9"/>
      <c r="M6" s="9"/>
      <c r="N6" s="9"/>
      <c r="O6" s="165">
        <f>O2/O5-1</f>
        <v>0.24942859754982605</v>
      </c>
      <c r="P6" s="7">
        <f t="shared" ref="P6" si="2">Q4/P4-1</f>
        <v>0.23308972804543138</v>
      </c>
      <c r="Q6" s="9"/>
      <c r="R6" s="9"/>
    </row>
    <row r="7" spans="1:18" ht="22.5" customHeight="1">
      <c r="A7" s="5">
        <v>45853</v>
      </c>
      <c r="B7" s="9"/>
      <c r="C7" s="21" t="s">
        <v>43</v>
      </c>
      <c r="D7" s="9"/>
      <c r="E7" s="9"/>
      <c r="F7" s="9"/>
      <c r="G7" s="9"/>
      <c r="H7" s="9"/>
      <c r="I7" s="7">
        <f>Q3/P3-1</f>
        <v>0.24879711408772165</v>
      </c>
      <c r="J7" s="9"/>
      <c r="K7" s="9"/>
      <c r="L7" s="3"/>
      <c r="M7" s="3"/>
      <c r="N7" s="3"/>
      <c r="O7" s="3"/>
      <c r="P7" s="3"/>
    </row>
    <row r="8" spans="1:18" ht="22.5" customHeight="1">
      <c r="A8" s="5">
        <v>45847</v>
      </c>
      <c r="B8" s="9"/>
      <c r="C8" s="21" t="s">
        <v>44</v>
      </c>
      <c r="D8" s="9"/>
      <c r="E8" s="9"/>
      <c r="F8" s="9"/>
      <c r="G8" s="9"/>
      <c r="H8" s="9"/>
      <c r="I8" s="9"/>
      <c r="J8" s="9"/>
      <c r="K8" s="9"/>
      <c r="L8" s="3"/>
      <c r="M8" s="3"/>
      <c r="N8" s="3"/>
      <c r="O8" s="3"/>
      <c r="P8" s="3"/>
    </row>
    <row r="9" spans="1:18" ht="22.5" customHeight="1">
      <c r="A9" s="5">
        <f>'raw1'!A16</f>
        <v>45870</v>
      </c>
      <c r="B9" s="9"/>
      <c r="C9" s="21" t="s">
        <v>127</v>
      </c>
      <c r="D9" s="9"/>
      <c r="E9" s="9"/>
      <c r="F9" s="9"/>
      <c r="G9" s="9"/>
      <c r="H9" s="9"/>
      <c r="I9" s="9"/>
      <c r="J9" s="9"/>
      <c r="K9" s="9"/>
      <c r="L9" s="3"/>
      <c r="M9" s="3"/>
      <c r="N9" s="3"/>
      <c r="O9" s="3"/>
      <c r="P9" s="3"/>
    </row>
    <row r="10" spans="1:18" ht="22.5" customHeight="1">
      <c r="A10" s="5">
        <f>'raw1'!A17</f>
        <v>45289</v>
      </c>
      <c r="B10" s="9"/>
      <c r="C10" s="21"/>
      <c r="D10" s="9"/>
      <c r="E10" s="9"/>
      <c r="F10" s="9"/>
      <c r="G10" s="9"/>
      <c r="H10" s="9"/>
      <c r="I10" s="9"/>
      <c r="J10" s="9"/>
      <c r="K10" s="9"/>
      <c r="L10" s="3"/>
      <c r="M10" s="3"/>
      <c r="N10" s="3"/>
      <c r="O10" s="3"/>
      <c r="P10" s="3"/>
    </row>
    <row r="11" spans="1:18" ht="22.5" customHeight="1">
      <c r="A11" s="5">
        <f>'raw1'!A18</f>
        <v>45657</v>
      </c>
      <c r="B11" s="9"/>
      <c r="C11" s="21"/>
      <c r="D11" s="9"/>
      <c r="E11" s="9"/>
      <c r="F11" s="9"/>
      <c r="G11" s="9"/>
      <c r="H11" s="9"/>
      <c r="I11" s="9"/>
      <c r="J11" s="9"/>
      <c r="K11" s="9"/>
      <c r="L11" s="3"/>
      <c r="M11" s="3"/>
      <c r="N11" s="3"/>
      <c r="O11" s="3"/>
      <c r="P11" s="3"/>
    </row>
    <row r="12" spans="1:18" ht="22.5" customHeight="1">
      <c r="A12" s="9"/>
      <c r="B12" s="9"/>
      <c r="C12" s="21"/>
      <c r="D12" s="9"/>
      <c r="E12" s="9"/>
      <c r="F12" s="9"/>
      <c r="G12" s="9"/>
      <c r="H12" s="9"/>
      <c r="I12" s="9"/>
      <c r="J12" s="9"/>
      <c r="K12" s="9"/>
      <c r="L12" s="3"/>
      <c r="M12" s="3"/>
      <c r="N12" s="3"/>
      <c r="O12" s="3"/>
      <c r="P12" s="3"/>
    </row>
    <row r="13" spans="1:18" ht="22.5" customHeight="1">
      <c r="A13" s="9"/>
      <c r="B13" s="9"/>
      <c r="C13" s="21"/>
      <c r="D13" s="162"/>
      <c r="E13" s="8"/>
      <c r="F13" s="8"/>
      <c r="G13" s="8"/>
      <c r="H13" s="8"/>
      <c r="I13" s="11"/>
      <c r="J13" s="11"/>
      <c r="K13" s="9"/>
      <c r="L13" s="9"/>
      <c r="M13" s="9"/>
      <c r="N13" s="9"/>
      <c r="O13" s="9"/>
      <c r="P13" s="9"/>
      <c r="Q13" s="9"/>
      <c r="R13" s="9"/>
    </row>
    <row r="14" spans="1:18" ht="22.5" customHeight="1">
      <c r="A14" s="9"/>
      <c r="C14" s="3"/>
      <c r="D14" s="162"/>
      <c r="E14" s="3"/>
      <c r="F14" s="3"/>
      <c r="G14" s="3"/>
      <c r="H14" s="3"/>
      <c r="I14" s="9"/>
      <c r="J14" s="9"/>
      <c r="K14" s="9"/>
      <c r="L14" s="9"/>
      <c r="M14" s="9"/>
      <c r="N14" s="9"/>
      <c r="O14" s="9"/>
      <c r="P14" s="9"/>
      <c r="Q14" s="9"/>
      <c r="R14" s="9"/>
    </row>
  </sheetData>
  <phoneticPr fontId="24" type="noConversion"/>
  <conditionalFormatting sqref="F2:H4">
    <cfRule type="dataBar" priority="114">
      <dataBar>
        <cfvo type="min"/>
        <cfvo type="max"/>
        <color theme="9" tint="0.39716788232062744"/>
      </dataBar>
      <extLst>
        <ext xmlns:x14="http://schemas.microsoft.com/office/spreadsheetml/2009/9/main" uri="{B025F937-C7B1-47D3-B67F-A62EFF666E3E}">
          <x14:id>{A8667DBF-5619-43B3-918D-F78FB699117D}</x14:id>
        </ext>
      </extLst>
    </cfRule>
  </conditionalFormatting>
  <conditionalFormatting sqref="I13:J13">
    <cfRule type="dataBar" priority="126">
      <dataBar>
        <cfvo type="min"/>
        <cfvo type="max"/>
        <color theme="9" tint="0.39716788232062744"/>
      </dataBar>
      <extLst>
        <ext xmlns:x14="http://schemas.microsoft.com/office/spreadsheetml/2009/9/main" uri="{B025F937-C7B1-47D3-B67F-A62EFF666E3E}">
          <x14:id>{9FA23CB5-9528-4B10-AA0B-5C14BDD5F721}</x14:id>
        </ext>
      </extLst>
    </cfRule>
  </conditionalFormatting>
  <conditionalFormatting sqref="P1:Q1">
    <cfRule type="dataBar" priority="1">
      <dataBar>
        <cfvo type="min"/>
        <cfvo type="max"/>
        <color theme="9" tint="0.39704580828272346"/>
      </dataBar>
      <extLst>
        <ext xmlns:x14="http://schemas.microsoft.com/office/spreadsheetml/2009/9/main" uri="{B025F937-C7B1-47D3-B67F-A62EFF666E3E}">
          <x14:id>{15BDEE01-036B-49CF-9F2B-83F4AC257721}</x14:id>
        </ext>
      </extLst>
    </cfRule>
  </conditionalFormatting>
  <conditionalFormatting sqref="Q5:R5 I6:J6 I14:J14">
    <cfRule type="dataBar" priority="125">
      <dataBar>
        <cfvo type="min"/>
        <cfvo type="max"/>
        <color theme="9" tint="0.39704580828272346"/>
      </dataBar>
      <extLst>
        <ext xmlns:x14="http://schemas.microsoft.com/office/spreadsheetml/2009/9/main" uri="{B025F937-C7B1-47D3-B67F-A62EFF666E3E}">
          <x14:id>{8A02228A-F79E-410C-B80E-714A59EB7BEC}</x14:id>
        </ext>
      </extLst>
    </cfRule>
  </conditionalFormatting>
  <pageMargins left="0.7" right="0.7" top="0.75" bottom="0.75" header="0.3" footer="0.3"/>
  <pageSetup orientation="portrait"/>
  <extLst>
    <ext xmlns:x14="http://schemas.microsoft.com/office/spreadsheetml/2009/9/main" uri="{78C0D931-6437-407d-A8EE-F0AAD7539E65}">
      <x14:conditionalFormattings>
        <x14:conditionalFormatting xmlns:xm="http://schemas.microsoft.com/office/excel/2006/main">
          <x14:cfRule type="dataBar" id="{A8667DBF-5619-43B3-918D-F78FB699117D}">
            <x14:dataBar minLength="0" maxLength="100" gradient="0">
              <x14:cfvo type="autoMin"/>
              <x14:cfvo type="autoMax"/>
              <x14:negativeFillColor rgb="FFFF0000"/>
              <x14:axisColor rgb="FF000000"/>
            </x14:dataBar>
          </x14:cfRule>
          <xm:sqref>F2:H4</xm:sqref>
        </x14:conditionalFormatting>
        <x14:conditionalFormatting xmlns:xm="http://schemas.microsoft.com/office/excel/2006/main">
          <x14:cfRule type="dataBar" id="{9FA23CB5-9528-4B10-AA0B-5C14BDD5F721}">
            <x14:dataBar minLength="0" maxLength="100" gradient="0">
              <x14:cfvo type="autoMin"/>
              <x14:cfvo type="autoMax"/>
              <x14:negativeFillColor rgb="FFFF0000"/>
              <x14:axisColor rgb="FF000000"/>
            </x14:dataBar>
          </x14:cfRule>
          <xm:sqref>I13:J13</xm:sqref>
        </x14:conditionalFormatting>
        <x14:conditionalFormatting xmlns:xm="http://schemas.microsoft.com/office/excel/2006/main">
          <x14:cfRule type="dataBar" id="{15BDEE01-036B-49CF-9F2B-83F4AC257721}">
            <x14:dataBar minLength="0" maxLength="100" gradient="0">
              <x14:cfvo type="autoMin"/>
              <x14:cfvo type="autoMax"/>
              <x14:negativeFillColor rgb="FFFF0000"/>
              <x14:axisColor rgb="FF000000"/>
            </x14:dataBar>
          </x14:cfRule>
          <xm:sqref>P1:Q1</xm:sqref>
        </x14:conditionalFormatting>
        <x14:conditionalFormatting xmlns:xm="http://schemas.microsoft.com/office/excel/2006/main">
          <x14:cfRule type="dataBar" id="{8A02228A-F79E-410C-B80E-714A59EB7BEC}">
            <x14:dataBar minLength="0" maxLength="100" gradient="0">
              <x14:cfvo type="autoMin"/>
              <x14:cfvo type="autoMax"/>
              <x14:negativeFillColor rgb="FFFF0000"/>
              <x14:axisColor rgb="FF000000"/>
            </x14:dataBar>
          </x14:cfRule>
          <xm:sqref>Q5:R5 I6:J6 I14:J14</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M45"/>
  <sheetViews>
    <sheetView zoomScale="110" zoomScaleNormal="110" workbookViewId="0">
      <selection activeCell="A13" sqref="A13"/>
    </sheetView>
  </sheetViews>
  <sheetFormatPr defaultColWidth="8.6640625" defaultRowHeight="14"/>
  <cols>
    <col min="1" max="1" width="17" style="203" customWidth="1"/>
    <col min="2" max="2" width="11.6640625" style="203" customWidth="1"/>
    <col min="3" max="3" width="8" style="203" customWidth="1"/>
    <col min="4" max="4" width="12.5" style="205" customWidth="1"/>
    <col min="5" max="5" width="12.5" style="206" customWidth="1"/>
    <col min="6" max="6" width="8.6640625" style="172"/>
    <col min="7" max="7" width="17.5" style="216" bestFit="1" customWidth="1"/>
    <col min="8" max="8" width="12" style="216" bestFit="1" customWidth="1"/>
    <col min="9" max="9" width="8.6640625" style="172"/>
    <col min="10" max="10" width="11" style="172" bestFit="1" customWidth="1"/>
    <col min="11" max="11" width="11.5" style="172" bestFit="1" customWidth="1"/>
    <col min="12" max="12" width="12.5" style="172" customWidth="1"/>
    <col min="13" max="13" width="11.5" style="172" bestFit="1" customWidth="1"/>
    <col min="14" max="14" width="12.5" style="172" customWidth="1"/>
    <col min="15" max="16384" width="8.6640625" style="172"/>
  </cols>
  <sheetData>
    <row r="1" spans="1:13" ht="15" thickBot="1">
      <c r="A1" s="203" t="s">
        <v>1</v>
      </c>
      <c r="B1" s="203" t="s">
        <v>128</v>
      </c>
      <c r="C1" s="204">
        <v>45694</v>
      </c>
      <c r="D1" s="205" t="s">
        <v>129</v>
      </c>
      <c r="H1" s="217">
        <v>0</v>
      </c>
      <c r="J1" s="218" t="s">
        <v>246</v>
      </c>
      <c r="K1" s="172" t="s">
        <v>247</v>
      </c>
      <c r="M1" s="208"/>
    </row>
    <row r="2" spans="1:13" ht="14.5" thickTop="1">
      <c r="A2" s="203" t="s">
        <v>130</v>
      </c>
      <c r="B2" s="203" t="s">
        <v>131</v>
      </c>
      <c r="C2" s="209">
        <v>0.67332881130574196</v>
      </c>
      <c r="D2" s="205">
        <f>VLOOKUP(A:A,G:H,2,FALSE)</f>
        <v>8.8297581529080098</v>
      </c>
      <c r="G2" s="217" t="s">
        <v>130</v>
      </c>
      <c r="H2" s="216">
        <v>8.8297581529080098</v>
      </c>
      <c r="J2" s="172" t="s">
        <v>132</v>
      </c>
      <c r="K2" s="172">
        <v>-62.946028062027565</v>
      </c>
      <c r="M2" s="208"/>
    </row>
    <row r="3" spans="1:13">
      <c r="A3" s="203" t="s">
        <v>133</v>
      </c>
      <c r="B3" s="203" t="s">
        <v>131</v>
      </c>
      <c r="C3" s="209">
        <v>3.7820639720741198</v>
      </c>
      <c r="D3" s="205">
        <f t="shared" ref="D3:D45" si="0">VLOOKUP(A:A,G:H,2,FALSE)</f>
        <v>1.05578978029835</v>
      </c>
      <c r="G3" s="217" t="s">
        <v>133</v>
      </c>
      <c r="H3" s="216">
        <v>1.05578978029835</v>
      </c>
      <c r="J3" s="172" t="s">
        <v>134</v>
      </c>
      <c r="K3" s="172">
        <v>-22.328756170000023</v>
      </c>
      <c r="M3" s="208"/>
    </row>
    <row r="4" spans="1:13">
      <c r="A4" s="203" t="s">
        <v>135</v>
      </c>
      <c r="B4" s="203" t="s">
        <v>131</v>
      </c>
      <c r="C4" s="209">
        <v>1.4389888535551401</v>
      </c>
      <c r="D4" s="205">
        <f t="shared" si="0"/>
        <v>-1.8539785321390501</v>
      </c>
      <c r="G4" s="217" t="s">
        <v>135</v>
      </c>
      <c r="H4" s="216">
        <v>-1.8539785321390501</v>
      </c>
      <c r="J4" s="172" t="s">
        <v>131</v>
      </c>
      <c r="K4" s="172">
        <v>3.7734778210672975</v>
      </c>
      <c r="M4" s="208"/>
    </row>
    <row r="5" spans="1:13">
      <c r="A5" s="203" t="s">
        <v>136</v>
      </c>
      <c r="B5" s="203" t="s">
        <v>131</v>
      </c>
      <c r="C5" s="209">
        <v>0.85056054416066396</v>
      </c>
      <c r="D5" s="205">
        <f t="shared" si="0"/>
        <v>1.7486874000000101</v>
      </c>
      <c r="G5" s="217" t="s">
        <v>136</v>
      </c>
      <c r="H5" s="216">
        <v>1.7486874000000101</v>
      </c>
      <c r="J5" s="172" t="s">
        <v>248</v>
      </c>
      <c r="K5" s="172">
        <v>-81.501306410960282</v>
      </c>
      <c r="M5" s="208"/>
    </row>
    <row r="6" spans="1:13">
      <c r="A6" s="203" t="s">
        <v>137</v>
      </c>
      <c r="B6" s="203" t="s">
        <v>132</v>
      </c>
      <c r="C6" s="209">
        <v>0.30781106360550697</v>
      </c>
      <c r="D6" s="205">
        <f>VLOOKUP(A:A,G:H,2,FALSE)</f>
        <v>-11.60380864</v>
      </c>
      <c r="G6" s="217" t="s">
        <v>137</v>
      </c>
      <c r="H6" s="216">
        <v>-11.60380864</v>
      </c>
      <c r="J6" s="208"/>
      <c r="K6" s="208"/>
      <c r="L6" s="208"/>
      <c r="M6" s="208"/>
    </row>
    <row r="7" spans="1:13">
      <c r="A7" s="203" t="s">
        <v>138</v>
      </c>
      <c r="B7" s="203" t="s">
        <v>134</v>
      </c>
      <c r="C7" s="209">
        <v>1.36972601027272</v>
      </c>
      <c r="D7" s="205">
        <f t="shared" si="0"/>
        <v>-5.0628573500000202</v>
      </c>
      <c r="G7" s="217" t="s">
        <v>138</v>
      </c>
      <c r="H7" s="216">
        <v>-5.0628573500000202</v>
      </c>
      <c r="M7" s="208"/>
    </row>
    <row r="8" spans="1:13">
      <c r="A8" s="203" t="s">
        <v>139</v>
      </c>
      <c r="B8" s="203" t="s">
        <v>131</v>
      </c>
      <c r="C8" s="209">
        <v>0.62072973945851995</v>
      </c>
      <c r="D8" s="205">
        <f t="shared" si="0"/>
        <v>-6.9833579200000004</v>
      </c>
      <c r="G8" s="217" t="s">
        <v>139</v>
      </c>
      <c r="H8" s="216">
        <v>-6.9833579200000004</v>
      </c>
      <c r="M8" s="208"/>
    </row>
    <row r="9" spans="1:13">
      <c r="A9" s="203" t="s">
        <v>140</v>
      </c>
      <c r="B9" s="203" t="s">
        <v>131</v>
      </c>
      <c r="C9" s="209">
        <v>0.35658491114871999</v>
      </c>
      <c r="D9" s="205">
        <f t="shared" si="0"/>
        <v>2.5937185199999901</v>
      </c>
      <c r="G9" s="217" t="s">
        <v>140</v>
      </c>
      <c r="H9" s="216">
        <v>2.5937185199999901</v>
      </c>
      <c r="J9" s="172" t="str">
        <f>J2</f>
        <v>Application</v>
      </c>
      <c r="K9" s="206">
        <f>L9*$K$13</f>
        <v>0</v>
      </c>
      <c r="L9" s="206">
        <f>M9/$M$12</f>
        <v>0.77233152244983638</v>
      </c>
      <c r="M9" s="172">
        <f>K2</f>
        <v>-62.946028062027565</v>
      </c>
    </row>
    <row r="10" spans="1:13">
      <c r="A10" s="203" t="s">
        <v>141</v>
      </c>
      <c r="B10" s="203" t="s">
        <v>131</v>
      </c>
      <c r="C10" s="209">
        <v>9.9051394376505397E-2</v>
      </c>
      <c r="D10" s="205">
        <f t="shared" si="0"/>
        <v>-3.0673389600000101</v>
      </c>
      <c r="G10" s="217" t="s">
        <v>141</v>
      </c>
      <c r="H10" s="216">
        <v>-3.0673389600000101</v>
      </c>
      <c r="J10" s="172" t="str">
        <f t="shared" ref="J10" si="1">J3</f>
        <v>Infrastructure</v>
      </c>
      <c r="K10" s="206">
        <f>L10*$K$13</f>
        <v>0</v>
      </c>
      <c r="L10" s="206">
        <f t="shared" ref="L10:L11" si="2">M10/$M$12</f>
        <v>0.27396807674971524</v>
      </c>
      <c r="M10" s="172">
        <f>K3</f>
        <v>-22.328756170000023</v>
      </c>
    </row>
    <row r="11" spans="1:13">
      <c r="A11" s="203" t="s">
        <v>142</v>
      </c>
      <c r="B11" s="203" t="s">
        <v>131</v>
      </c>
      <c r="C11" s="209">
        <v>0.57903350846426604</v>
      </c>
      <c r="D11" s="205">
        <f t="shared" si="0"/>
        <v>-3.7347311999999899</v>
      </c>
      <c r="G11" s="217" t="s">
        <v>142</v>
      </c>
      <c r="H11" s="216">
        <v>-3.7347311999999899</v>
      </c>
      <c r="J11" s="172" t="str">
        <f t="shared" ref="J11" si="3">J4</f>
        <v>Semi</v>
      </c>
      <c r="K11" s="206">
        <f>L11*$K$13</f>
        <v>0</v>
      </c>
      <c r="L11" s="206">
        <f t="shared" si="2"/>
        <v>-4.629959919955149E-2</v>
      </c>
      <c r="M11" s="172">
        <f>K4</f>
        <v>3.7734778210672975</v>
      </c>
    </row>
    <row r="12" spans="1:13">
      <c r="A12" s="203" t="s">
        <v>143</v>
      </c>
      <c r="B12" s="203" t="s">
        <v>134</v>
      </c>
      <c r="C12" s="209">
        <v>2.2779313972703301</v>
      </c>
      <c r="D12" s="205">
        <f t="shared" si="0"/>
        <v>-3.1332761599999999</v>
      </c>
      <c r="G12" s="217" t="s">
        <v>143</v>
      </c>
      <c r="H12" s="216">
        <v>-3.1332761599999999</v>
      </c>
      <c r="J12" s="172" t="str">
        <f t="shared" ref="J12" si="4">J5</f>
        <v>总计</v>
      </c>
      <c r="L12" s="206"/>
      <c r="M12" s="172">
        <f>K5</f>
        <v>-81.501306410960282</v>
      </c>
    </row>
    <row r="13" spans="1:13">
      <c r="A13" s="203" t="s">
        <v>144</v>
      </c>
      <c r="B13" s="203" t="s">
        <v>132</v>
      </c>
      <c r="C13" s="209">
        <v>0.65574534409783403</v>
      </c>
      <c r="D13" s="205">
        <f t="shared" si="0"/>
        <v>-3.91839972000002</v>
      </c>
      <c r="G13" s="217" t="s">
        <v>144</v>
      </c>
      <c r="H13" s="216">
        <v>-3.91839972000002</v>
      </c>
      <c r="K13" s="210">
        <f>'raw1'!F2</f>
        <v>0</v>
      </c>
      <c r="L13" s="206"/>
      <c r="M13" s="208"/>
    </row>
    <row r="14" spans="1:13">
      <c r="A14" s="203" t="s">
        <v>145</v>
      </c>
      <c r="B14" s="203" t="s">
        <v>134</v>
      </c>
      <c r="C14" s="209">
        <v>0.78556364748275298</v>
      </c>
      <c r="D14" s="205">
        <f t="shared" si="0"/>
        <v>4.1241221399999999</v>
      </c>
      <c r="G14" s="217" t="s">
        <v>145</v>
      </c>
      <c r="H14" s="216">
        <v>4.1241221399999999</v>
      </c>
      <c r="M14" s="208"/>
    </row>
    <row r="15" spans="1:13">
      <c r="A15" s="203" t="s">
        <v>146</v>
      </c>
      <c r="B15" s="203" t="s">
        <v>132</v>
      </c>
      <c r="C15" s="209">
        <v>0.61368923211475401</v>
      </c>
      <c r="D15" s="205">
        <f t="shared" si="0"/>
        <v>-14.533326280000001</v>
      </c>
      <c r="G15" s="217" t="s">
        <v>146</v>
      </c>
      <c r="H15" s="216">
        <v>-14.533326280000001</v>
      </c>
      <c r="K15" s="206">
        <v>-2.3181888221013799E-2</v>
      </c>
      <c r="M15" s="208"/>
    </row>
    <row r="16" spans="1:13">
      <c r="A16" s="203" t="s">
        <v>147</v>
      </c>
      <c r="B16" s="203" t="s">
        <v>132</v>
      </c>
      <c r="C16" s="209">
        <v>0.45280999122793503</v>
      </c>
      <c r="D16" s="205">
        <f t="shared" si="0"/>
        <v>-2.75280971000001</v>
      </c>
      <c r="G16" s="217" t="s">
        <v>147</v>
      </c>
      <c r="H16" s="216">
        <v>-2.75280971000001</v>
      </c>
      <c r="K16" s="206">
        <v>-9.3863874343126704E-3</v>
      </c>
      <c r="M16" s="208"/>
    </row>
    <row r="17" spans="1:13">
      <c r="A17" s="203" t="s">
        <v>148</v>
      </c>
      <c r="B17" s="203" t="s">
        <v>134</v>
      </c>
      <c r="C17" s="209">
        <v>1.2539168324019501</v>
      </c>
      <c r="D17" s="205">
        <f t="shared" si="0"/>
        <v>-1.591575</v>
      </c>
      <c r="G17" s="217" t="s">
        <v>148</v>
      </c>
      <c r="H17" s="216">
        <v>-1.591575</v>
      </c>
      <c r="K17" s="206">
        <v>6.5843231872489402E-2</v>
      </c>
      <c r="M17" s="208"/>
    </row>
    <row r="18" spans="1:13">
      <c r="A18" s="203" t="s">
        <v>149</v>
      </c>
      <c r="B18" s="203" t="s">
        <v>134</v>
      </c>
      <c r="C18" s="209">
        <v>1.0821357929004101</v>
      </c>
      <c r="D18" s="205">
        <f t="shared" si="0"/>
        <v>-10.79369442</v>
      </c>
      <c r="G18" s="217" t="s">
        <v>149</v>
      </c>
      <c r="H18" s="216">
        <v>-10.79369442</v>
      </c>
      <c r="M18" s="208"/>
    </row>
    <row r="19" spans="1:13">
      <c r="A19" s="203" t="s">
        <v>150</v>
      </c>
      <c r="B19" s="203" t="s">
        <v>134</v>
      </c>
      <c r="C19" s="209">
        <v>1.4098778890958401</v>
      </c>
      <c r="D19" s="205">
        <f t="shared" si="0"/>
        <v>-4.7649698000000003</v>
      </c>
      <c r="G19" s="217" t="s">
        <v>150</v>
      </c>
      <c r="H19" s="216">
        <v>-4.7649698000000003</v>
      </c>
    </row>
    <row r="20" spans="1:13">
      <c r="A20" s="203" t="s">
        <v>151</v>
      </c>
      <c r="B20" s="203" t="s">
        <v>132</v>
      </c>
      <c r="C20" s="209">
        <v>3.3076016373872998</v>
      </c>
      <c r="D20" s="205">
        <f t="shared" si="0"/>
        <v>-3.82302647999999</v>
      </c>
      <c r="G20" s="217" t="s">
        <v>151</v>
      </c>
      <c r="H20" s="216">
        <v>-3.82302647999999</v>
      </c>
    </row>
    <row r="21" spans="1:13">
      <c r="A21" s="203" t="s">
        <v>152</v>
      </c>
      <c r="B21" s="203" t="s">
        <v>134</v>
      </c>
      <c r="C21" s="209">
        <v>0.29515840616641598</v>
      </c>
      <c r="D21" s="205">
        <f t="shared" si="0"/>
        <v>-3.6989820400000002</v>
      </c>
      <c r="G21" s="217" t="s">
        <v>152</v>
      </c>
      <c r="H21" s="216">
        <v>-3.6989820400000002</v>
      </c>
    </row>
    <row r="22" spans="1:13">
      <c r="A22" s="203" t="s">
        <v>153</v>
      </c>
      <c r="B22" s="203" t="s">
        <v>132</v>
      </c>
      <c r="C22" s="209">
        <v>0.75721446960449601</v>
      </c>
      <c r="D22" s="205">
        <f t="shared" si="0"/>
        <v>-7.2568561499999902</v>
      </c>
      <c r="G22" s="217" t="s">
        <v>153</v>
      </c>
      <c r="H22" s="216">
        <v>-7.2568561499999902</v>
      </c>
    </row>
    <row r="23" spans="1:13">
      <c r="A23" s="203" t="s">
        <v>154</v>
      </c>
      <c r="B23" s="203" t="s">
        <v>131</v>
      </c>
      <c r="C23" s="209">
        <v>0.643256086926976</v>
      </c>
      <c r="D23" s="205">
        <f t="shared" si="0"/>
        <v>4.9538244600000096</v>
      </c>
      <c r="G23" s="217" t="s">
        <v>154</v>
      </c>
      <c r="H23" s="216">
        <v>4.9538244600000096</v>
      </c>
    </row>
    <row r="24" spans="1:13">
      <c r="A24" s="203" t="s">
        <v>155</v>
      </c>
      <c r="B24" s="203" t="s">
        <v>134</v>
      </c>
      <c r="C24" s="209">
        <v>0.73323182868549497</v>
      </c>
      <c r="D24" s="205">
        <f t="shared" si="0"/>
        <v>-0.98643909000001795</v>
      </c>
      <c r="G24" s="217" t="s">
        <v>155</v>
      </c>
      <c r="H24" s="216">
        <v>-0.98643909000001795</v>
      </c>
    </row>
    <row r="25" spans="1:13">
      <c r="A25" s="203" t="s">
        <v>156</v>
      </c>
      <c r="B25" s="203" t="s">
        <v>131</v>
      </c>
      <c r="C25" s="209">
        <v>0.56294021745495704</v>
      </c>
      <c r="D25" s="205">
        <f t="shared" si="0"/>
        <v>4.8385003799999904</v>
      </c>
      <c r="G25" s="217" t="s">
        <v>156</v>
      </c>
      <c r="H25" s="216">
        <v>4.8385003799999904</v>
      </c>
    </row>
    <row r="26" spans="1:13">
      <c r="A26" s="203" t="s">
        <v>157</v>
      </c>
      <c r="B26" s="203" t="s">
        <v>134</v>
      </c>
      <c r="C26" s="209">
        <v>3.7583196439155402</v>
      </c>
      <c r="D26" s="205">
        <f t="shared" si="0"/>
        <v>-8.5071247800000105</v>
      </c>
      <c r="G26" s="217" t="s">
        <v>157</v>
      </c>
      <c r="H26" s="216">
        <v>-8.5071247800000105</v>
      </c>
    </row>
    <row r="27" spans="1:13">
      <c r="A27" s="203" t="s">
        <v>158</v>
      </c>
      <c r="B27" s="203" t="s">
        <v>134</v>
      </c>
      <c r="C27" s="209">
        <v>0.77092108677805005</v>
      </c>
      <c r="D27" s="205">
        <f t="shared" si="0"/>
        <v>6.35189538000001</v>
      </c>
      <c r="G27" s="217" t="s">
        <v>158</v>
      </c>
      <c r="H27" s="216">
        <v>6.35189538000001</v>
      </c>
    </row>
    <row r="28" spans="1:13">
      <c r="A28" s="203" t="s">
        <v>159</v>
      </c>
      <c r="B28" s="203" t="s">
        <v>132</v>
      </c>
      <c r="C28" s="209">
        <v>0.19388933838519301</v>
      </c>
      <c r="D28" s="205">
        <f t="shared" si="0"/>
        <v>-6.0120445200000097</v>
      </c>
      <c r="G28" s="217" t="s">
        <v>159</v>
      </c>
      <c r="H28" s="216">
        <v>-6.0120445200000097</v>
      </c>
    </row>
    <row r="29" spans="1:13">
      <c r="A29" s="203" t="s">
        <v>160</v>
      </c>
      <c r="B29" s="203" t="s">
        <v>131</v>
      </c>
      <c r="C29" s="209">
        <v>1.6069345093432801</v>
      </c>
      <c r="D29" s="205">
        <f t="shared" si="0"/>
        <v>-2.0185421000000101</v>
      </c>
      <c r="G29" s="217" t="s">
        <v>160</v>
      </c>
      <c r="H29" s="216">
        <v>-2.0185421000000101</v>
      </c>
    </row>
    <row r="30" spans="1:13">
      <c r="A30" s="203" t="s">
        <v>161</v>
      </c>
      <c r="B30" s="203" t="s">
        <v>134</v>
      </c>
      <c r="C30" s="209">
        <v>0.79679929825097895</v>
      </c>
      <c r="D30" s="205">
        <f t="shared" si="0"/>
        <v>4.0555549799999797</v>
      </c>
      <c r="G30" s="217" t="s">
        <v>161</v>
      </c>
      <c r="H30" s="216">
        <v>4.0555549799999797</v>
      </c>
    </row>
    <row r="31" spans="1:13">
      <c r="A31" s="203" t="s">
        <v>162</v>
      </c>
      <c r="B31" s="203" t="s">
        <v>134</v>
      </c>
      <c r="C31" s="209">
        <v>0.51205541337040505</v>
      </c>
      <c r="D31" s="205">
        <f t="shared" si="0"/>
        <v>0.65928853000000898</v>
      </c>
      <c r="G31" s="217" t="s">
        <v>162</v>
      </c>
      <c r="H31" s="216">
        <v>0.65928853000000898</v>
      </c>
    </row>
    <row r="32" spans="1:13">
      <c r="A32" s="203" t="s">
        <v>163</v>
      </c>
      <c r="B32" s="203" t="s">
        <v>134</v>
      </c>
      <c r="C32" s="209">
        <v>1.8548420069699301</v>
      </c>
      <c r="D32" s="205">
        <f t="shared" si="0"/>
        <v>2.4795981500000202</v>
      </c>
      <c r="G32" s="217" t="s">
        <v>163</v>
      </c>
      <c r="H32" s="216">
        <v>2.4795981500000202</v>
      </c>
    </row>
    <row r="33" spans="1:8">
      <c r="A33" s="203" t="s">
        <v>164</v>
      </c>
      <c r="B33" s="203" t="s">
        <v>134</v>
      </c>
      <c r="C33" s="209">
        <v>1.1446609672434001</v>
      </c>
      <c r="D33" s="205">
        <f t="shared" si="0"/>
        <v>-3.9169705800000001</v>
      </c>
      <c r="G33" s="217" t="s">
        <v>164</v>
      </c>
      <c r="H33" s="216">
        <v>-3.9169705800000001</v>
      </c>
    </row>
    <row r="34" spans="1:8">
      <c r="A34" s="203" t="s">
        <v>165</v>
      </c>
      <c r="B34" s="203" t="s">
        <v>131</v>
      </c>
      <c r="C34" s="209">
        <v>0.33768417966945202</v>
      </c>
      <c r="D34" s="205">
        <f t="shared" si="0"/>
        <v>-2.6794935</v>
      </c>
      <c r="G34" s="217" t="s">
        <v>165</v>
      </c>
      <c r="H34" s="216">
        <v>-2.6794935</v>
      </c>
    </row>
    <row r="35" spans="1:8">
      <c r="A35" s="203" t="s">
        <v>166</v>
      </c>
      <c r="B35" s="203" t="s">
        <v>132</v>
      </c>
      <c r="C35" s="209">
        <v>1.66045856791409</v>
      </c>
      <c r="D35" s="205">
        <f t="shared" si="0"/>
        <v>9.3403218999999993</v>
      </c>
      <c r="G35" s="217" t="s">
        <v>166</v>
      </c>
      <c r="H35" s="216">
        <v>9.3403218999999993</v>
      </c>
    </row>
    <row r="36" spans="1:8">
      <c r="A36" s="203" t="s">
        <v>167</v>
      </c>
      <c r="B36" s="203" t="s">
        <v>132</v>
      </c>
      <c r="C36" s="209">
        <v>0.61840145275065705</v>
      </c>
      <c r="D36" s="205">
        <f t="shared" si="0"/>
        <v>-6.0207995220275503</v>
      </c>
      <c r="G36" s="217" t="s">
        <v>167</v>
      </c>
      <c r="H36" s="216">
        <v>-6.0207995220275503</v>
      </c>
    </row>
    <row r="37" spans="1:8">
      <c r="A37" s="203" t="s">
        <v>168</v>
      </c>
      <c r="B37" s="203" t="s">
        <v>132</v>
      </c>
      <c r="C37" s="209">
        <v>0.98349977028108704</v>
      </c>
      <c r="D37" s="205">
        <f t="shared" si="0"/>
        <v>-2.5637709399999902</v>
      </c>
      <c r="G37" s="217" t="s">
        <v>168</v>
      </c>
      <c r="H37" s="216">
        <v>-2.5637709399999902</v>
      </c>
    </row>
    <row r="38" spans="1:8">
      <c r="A38" s="203" t="s">
        <v>169</v>
      </c>
      <c r="B38" s="203" t="s">
        <v>134</v>
      </c>
      <c r="C38" s="209">
        <v>0.69586267819952596</v>
      </c>
      <c r="D38" s="205">
        <f t="shared" si="0"/>
        <v>0.41020179000000501</v>
      </c>
      <c r="G38" s="217" t="s">
        <v>169</v>
      </c>
      <c r="H38" s="216">
        <v>0.41020179000000501</v>
      </c>
    </row>
    <row r="39" spans="1:8">
      <c r="A39" s="203" t="s">
        <v>170</v>
      </c>
      <c r="B39" s="203" t="s">
        <v>131</v>
      </c>
      <c r="C39" s="209">
        <v>0.10860495360993799</v>
      </c>
      <c r="D39" s="205">
        <f t="shared" si="0"/>
        <v>-2.6910158200000001</v>
      </c>
      <c r="G39" s="217" t="s">
        <v>170</v>
      </c>
      <c r="H39" s="216">
        <v>-2.6910158200000001</v>
      </c>
    </row>
    <row r="40" spans="1:8">
      <c r="A40" s="203" t="s">
        <v>171</v>
      </c>
      <c r="B40" s="203" t="s">
        <v>132</v>
      </c>
      <c r="C40" s="209">
        <v>0.428877772407248</v>
      </c>
      <c r="D40" s="205">
        <f t="shared" si="0"/>
        <v>-4.1336904399999996</v>
      </c>
      <c r="G40" s="217" t="s">
        <v>171</v>
      </c>
      <c r="H40" s="216">
        <v>-4.1336904399999996</v>
      </c>
    </row>
    <row r="41" spans="1:8">
      <c r="A41" s="203" t="s">
        <v>172</v>
      </c>
      <c r="B41" s="203" t="s">
        <v>132</v>
      </c>
      <c r="C41" s="203">
        <v>3.0781822757942101</v>
      </c>
      <c r="D41" s="205">
        <f t="shared" si="0"/>
        <v>-5.1688175599999999</v>
      </c>
      <c r="G41" s="217" t="s">
        <v>172</v>
      </c>
      <c r="H41" s="216">
        <v>-5.1688175599999999</v>
      </c>
    </row>
    <row r="42" spans="1:8">
      <c r="A42" s="203" t="s">
        <v>173</v>
      </c>
      <c r="B42" s="203" t="s">
        <v>134</v>
      </c>
      <c r="C42" s="203">
        <v>0.47098302331101699</v>
      </c>
      <c r="D42" s="205">
        <f t="shared" si="0"/>
        <v>1.62889215000001</v>
      </c>
      <c r="G42" s="217" t="s">
        <v>173</v>
      </c>
      <c r="H42" s="216">
        <v>1.62889215000001</v>
      </c>
    </row>
    <row r="43" spans="1:8">
      <c r="A43" s="203" t="s">
        <v>174</v>
      </c>
      <c r="B43" s="203" t="s">
        <v>131</v>
      </c>
      <c r="C43" s="203">
        <v>0.52927743962907603</v>
      </c>
      <c r="D43" s="205">
        <f t="shared" si="0"/>
        <v>2.78165716</v>
      </c>
      <c r="G43" s="217" t="s">
        <v>174</v>
      </c>
      <c r="H43" s="216">
        <v>2.78165716</v>
      </c>
    </row>
    <row r="44" spans="1:8">
      <c r="A44" s="203" t="s">
        <v>175</v>
      </c>
      <c r="B44" s="203" t="s">
        <v>132</v>
      </c>
      <c r="C44" s="203">
        <v>0.42513738028541198</v>
      </c>
      <c r="D44" s="205">
        <f t="shared" si="0"/>
        <v>-4.4989999999999997</v>
      </c>
      <c r="G44" s="217" t="s">
        <v>175</v>
      </c>
      <c r="H44" s="216">
        <v>-4.4989999999999997</v>
      </c>
    </row>
    <row r="45" spans="1:8">
      <c r="A45" s="203" t="s">
        <v>176</v>
      </c>
      <c r="B45" s="203" t="s">
        <v>134</v>
      </c>
      <c r="C45" s="203">
        <v>0.39175162844580602</v>
      </c>
      <c r="D45" s="205">
        <f t="shared" si="0"/>
        <v>0.41757992999999699</v>
      </c>
      <c r="G45" s="217" t="s">
        <v>176</v>
      </c>
      <c r="H45" s="216">
        <v>0.41757992999999699</v>
      </c>
    </row>
  </sheetData>
  <phoneticPr fontId="24"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12"/>
  <sheetViews>
    <sheetView workbookViewId="0">
      <selection activeCell="A13" sqref="A13"/>
    </sheetView>
  </sheetViews>
  <sheetFormatPr defaultColWidth="4" defaultRowHeight="14"/>
  <cols>
    <col min="1" max="1" width="70.6640625" customWidth="1"/>
    <col min="2" max="16384" width="4" style="22"/>
  </cols>
  <sheetData>
    <row r="1" spans="1:2">
      <c r="A1" s="23" t="s">
        <v>239</v>
      </c>
    </row>
    <row r="2" spans="1:2" ht="14.5">
      <c r="A2" s="24" t="s">
        <v>240</v>
      </c>
    </row>
    <row r="3" spans="1:2" ht="14.5">
      <c r="A3" s="24" t="s">
        <v>241</v>
      </c>
    </row>
    <row r="4" spans="1:2" ht="43">
      <c r="A4" s="24" t="s">
        <v>242</v>
      </c>
    </row>
    <row r="5" spans="1:2" ht="29">
      <c r="A5" s="24" t="s">
        <v>243</v>
      </c>
    </row>
    <row r="6" spans="1:2" ht="14.5">
      <c r="A6" s="24" t="s">
        <v>244</v>
      </c>
    </row>
    <row r="7" spans="1:2" ht="29">
      <c r="A7" s="24" t="s">
        <v>245</v>
      </c>
    </row>
    <row r="8" spans="1:2">
      <c r="B8" s="25"/>
    </row>
    <row r="9" spans="1:2">
      <c r="B9" s="26"/>
    </row>
    <row r="10" spans="1:2">
      <c r="B10" s="25"/>
    </row>
    <row r="11" spans="1:2">
      <c r="A11" s="25"/>
    </row>
    <row r="12" spans="1:2">
      <c r="A12" s="27"/>
    </row>
  </sheetData>
  <phoneticPr fontId="24"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0095F7-26BA-4F91-8E4C-7EDDE6F5F368}">
  <dimension ref="A1:R47"/>
  <sheetViews>
    <sheetView workbookViewId="0">
      <selection activeCell="E8" sqref="E8"/>
    </sheetView>
  </sheetViews>
  <sheetFormatPr defaultColWidth="8" defaultRowHeight="14"/>
  <cols>
    <col min="1" max="1" width="19.08203125" style="240" customWidth="1"/>
    <col min="2" max="2" width="13.25" style="240" customWidth="1"/>
    <col min="3" max="3" width="9" style="240" customWidth="1"/>
    <col min="4" max="4" width="45.25" style="240" customWidth="1"/>
    <col min="5" max="5" width="49.08203125" style="240" customWidth="1"/>
    <col min="6" max="6" width="15.9140625" style="240" customWidth="1"/>
    <col min="7" max="7" width="9.83203125" style="240" customWidth="1"/>
    <col min="8" max="8" width="12.33203125" style="252" customWidth="1"/>
    <col min="9" max="9" width="21.33203125" style="240" customWidth="1"/>
    <col min="10" max="16" width="22.33203125" style="240" customWidth="1"/>
    <col min="17" max="17" width="20" style="240" customWidth="1"/>
    <col min="18" max="18" width="20.4140625" style="240" customWidth="1"/>
    <col min="19" max="19" width="20.58203125" style="240" customWidth="1"/>
    <col min="20" max="16384" width="8" style="240"/>
  </cols>
  <sheetData>
    <row r="1" spans="1:18" ht="14.5" thickBot="1">
      <c r="A1" s="236" t="s">
        <v>1</v>
      </c>
      <c r="B1" s="236" t="s">
        <v>128</v>
      </c>
      <c r="C1" s="237">
        <v>45868</v>
      </c>
      <c r="D1" s="238" t="s">
        <v>324</v>
      </c>
      <c r="E1" s="239" t="s">
        <v>325</v>
      </c>
      <c r="G1" s="239" t="s">
        <v>326</v>
      </c>
      <c r="H1" s="241" t="s">
        <v>327</v>
      </c>
      <c r="I1" s="242" t="s">
        <v>328</v>
      </c>
      <c r="J1" s="239" t="s">
        <v>329</v>
      </c>
      <c r="K1" s="239" t="s">
        <v>330</v>
      </c>
      <c r="L1" s="239" t="s">
        <v>331</v>
      </c>
      <c r="M1" s="239" t="s">
        <v>332</v>
      </c>
      <c r="N1" s="239" t="s">
        <v>333</v>
      </c>
      <c r="O1" s="239" t="s">
        <v>334</v>
      </c>
      <c r="P1" s="236"/>
      <c r="Q1" s="243" t="s">
        <v>335</v>
      </c>
    </row>
    <row r="2" spans="1:18" ht="15" thickTop="1" thickBot="1">
      <c r="A2" s="236" t="s">
        <v>130</v>
      </c>
      <c r="B2" s="236" t="s">
        <v>131</v>
      </c>
      <c r="C2" s="244">
        <f>VLOOKUP(A2,CHOOSE({1,2},F2:F45,K2:K45),2,FALSE)</f>
        <v>3.1513461397790965E-3</v>
      </c>
      <c r="D2" s="244" t="s">
        <v>229</v>
      </c>
      <c r="E2" s="245">
        <v>45870</v>
      </c>
      <c r="F2" s="236" t="s">
        <v>130</v>
      </c>
      <c r="G2" s="236" cm="1">
        <f t="array" ref="G2">_xll.ciqfunctions.udf.CIQ(F2,"IQ_CLOSEPRICE",$E$2,"USD")-_xll.ciqfunctions.udf.CIQ(F2,"IQ_CLOSEPRICE",$E$3,"USD")</f>
        <v>-10.283719999999988</v>
      </c>
      <c r="H2" s="246">
        <f>VLOOKUP(F2,'07_30_2025_agix_holdings'!$D$3:$E$48,2,FALSE)/$Q$2</f>
        <v>3.5815942694491687E-3</v>
      </c>
      <c r="I2" s="236">
        <f>G2*H2</f>
        <v>-3.6832112620619764E-2</v>
      </c>
      <c r="J2" s="236"/>
      <c r="K2" s="236">
        <f t="shared" ref="K2:K45" si="0">$Q$7*H2</f>
        <v>3.1513461397790965E-3</v>
      </c>
      <c r="L2" s="242" cm="1">
        <f t="array" ref="L2">_xll.ciqfunctions.udf.CIQ(F2,"IQ_CLOSEPRICE",$E$2,"USD")</f>
        <v>185.67821000000001</v>
      </c>
      <c r="M2" s="242">
        <f>L2*H2</f>
        <v>0.6650240128975794</v>
      </c>
      <c r="N2" s="236">
        <f>K2*L2</f>
        <v>0.58513631032459246</v>
      </c>
      <c r="O2" s="242" t="s">
        <v>336</v>
      </c>
      <c r="P2" s="242" cm="1">
        <f t="array" ref="P2">_xll.ciqfunctions.udf.CIQ(O7,"IQ_CLOSEPRICE",$E$2,"USD")</f>
        <v>31.3901</v>
      </c>
      <c r="Q2" s="236">
        <v>1250002</v>
      </c>
    </row>
    <row r="3" spans="1:18" ht="14.5" thickBot="1">
      <c r="A3" s="236" t="s">
        <v>133</v>
      </c>
      <c r="B3" s="236" t="s">
        <v>131</v>
      </c>
      <c r="C3" s="244">
        <f>VLOOKUP(A3,CHOOSE({1,2},F3:F47,K3:K47),2,FALSE)</f>
        <v>1.900521460219692E-2</v>
      </c>
      <c r="D3" s="247" t="s">
        <v>337</v>
      </c>
      <c r="E3" s="245">
        <v>45869</v>
      </c>
      <c r="F3" s="236" t="s">
        <v>133</v>
      </c>
      <c r="G3" s="236" cm="1">
        <f t="array" ref="G3">_xll.ciqfunctions.udf.CIQ(F3,"IQ_CLOSEPRICE",$E$2,"USD")-_xll.ciqfunctions.udf.CIQ(F3,"IQ_CLOSEPRICE",$E$3,"USD")</f>
        <v>-0.41454999999999842</v>
      </c>
      <c r="H3" s="246">
        <f>VLOOKUP(F3,'07_30_2025_agix_holdings'!$D$3:$E$48,2,FALSE)/$Q$2</f>
        <v>2.1599965440055297E-2</v>
      </c>
      <c r="I3" s="236">
        <f t="shared" ref="I3:I45" si="1">G3*H3</f>
        <v>-8.9542656731748885E-3</v>
      </c>
      <c r="J3" s="236"/>
      <c r="K3" s="236">
        <f t="shared" si="0"/>
        <v>1.900521460219692E-2</v>
      </c>
      <c r="L3" s="242" cm="1">
        <f t="array" ref="L3">_xll.ciqfunctions.udf.CIQ(F3,"IQ_CLOSEPRICE",$E$2,"USD")</f>
        <v>38.336080000000003</v>
      </c>
      <c r="M3" s="242">
        <f t="shared" ref="M3:M45" si="2">L3*H3</f>
        <v>0.82805800310719513</v>
      </c>
      <c r="N3" s="236">
        <f t="shared" ref="N3:N45" si="3">K3*L3</f>
        <v>0.72858542740698939</v>
      </c>
      <c r="O3" s="236" t="s">
        <v>338</v>
      </c>
      <c r="P3" s="248">
        <f>SUM(N2:N45)</f>
        <v>28.901716991311169</v>
      </c>
      <c r="Q3" s="236"/>
    </row>
    <row r="4" spans="1:18" ht="14.5" thickBot="1">
      <c r="A4" s="236" t="s">
        <v>135</v>
      </c>
      <c r="B4" s="236" t="s">
        <v>131</v>
      </c>
      <c r="C4" s="244">
        <f>VLOOKUP(A4,CHOOSE({1,2},F4:F48,K4:K48),2,FALSE)</f>
        <v>4.2233810227104264E-3</v>
      </c>
      <c r="D4" s="247" t="s">
        <v>339</v>
      </c>
      <c r="E4" s="249" t="s">
        <v>340</v>
      </c>
      <c r="F4" s="236" t="s">
        <v>135</v>
      </c>
      <c r="G4" s="236" cm="1">
        <f t="array" ref="G4">_xll.ciqfunctions.udf.CIQ(F4,"IQ_CLOSEPRICE",$E$2,"USD")-_xll.ciqfunctions.udf.CIQ(F4,"IQ_CLOSEPRICE",$E$3,"USD")</f>
        <v>-0.36784000000000106</v>
      </c>
      <c r="H4" s="246">
        <f>VLOOKUP(F4,'07_30_2025_agix_holdings'!$D$3:$E$48,2,FALSE)/$Q$2</f>
        <v>4.7999923200122878E-3</v>
      </c>
      <c r="I4" s="236">
        <f t="shared" si="1"/>
        <v>-1.7656291749933251E-3</v>
      </c>
      <c r="J4" s="236"/>
      <c r="K4" s="236">
        <f t="shared" si="0"/>
        <v>4.2233810227104264E-3</v>
      </c>
      <c r="L4" s="242" cm="1">
        <f t="array" ref="L4">_xll.ciqfunctions.udf.CIQ(F4,"IQ_CLOSEPRICE",$E$2,"USD")</f>
        <v>45.39799</v>
      </c>
      <c r="M4" s="242">
        <f t="shared" si="2"/>
        <v>0.21791000334399463</v>
      </c>
      <c r="N4" s="236">
        <f t="shared" si="3"/>
        <v>0.19173300943519772</v>
      </c>
      <c r="O4" s="236" t="s">
        <v>341</v>
      </c>
      <c r="P4" s="242">
        <f>SUM(M2:M45)</f>
        <v>32.847621099654241</v>
      </c>
      <c r="Q4" s="236"/>
    </row>
    <row r="5" spans="1:18" ht="14.5" thickBot="1">
      <c r="A5" s="236" t="s">
        <v>136</v>
      </c>
      <c r="B5" s="236" t="s">
        <v>131</v>
      </c>
      <c r="C5" s="244">
        <f>VLOOKUP(A5,CHOOSE({1,2},F5:F49,K5:K49),2,FALSE)</f>
        <v>4.6830256573487444E-3</v>
      </c>
      <c r="D5" s="247" t="s">
        <v>226</v>
      </c>
      <c r="E5" s="236"/>
      <c r="F5" s="236" t="s">
        <v>136</v>
      </c>
      <c r="G5" s="236" cm="1">
        <f t="array" ref="G5">_xll.ciqfunctions.udf.CIQ(F5,"IQ_CLOSEPRICE",$E$2,"USD")-_xll.ciqfunctions.udf.CIQ(F5,"IQ_CLOSEPRICE",$E$3,"USD")</f>
        <v>-5.1899999999999977</v>
      </c>
      <c r="H5" s="246">
        <f>VLOOKUP(F5,'07_30_2025_agix_holdings'!$D$3:$E$48,2,FALSE)/$Q$2</f>
        <v>5.3223914841736249E-3</v>
      </c>
      <c r="I5" s="236">
        <f t="shared" si="1"/>
        <v>-2.7623211802861102E-2</v>
      </c>
      <c r="J5" s="236"/>
      <c r="K5" s="236">
        <f t="shared" si="0"/>
        <v>4.6830256573487444E-3</v>
      </c>
      <c r="L5" s="242" cm="1">
        <f t="array" ref="L5">_xll.ciqfunctions.udf.CIQ(F5,"IQ_CLOSEPRICE",$E$2,"USD")</f>
        <v>202.38</v>
      </c>
      <c r="M5" s="242">
        <f t="shared" si="2"/>
        <v>1.0771455885670582</v>
      </c>
      <c r="N5" s="236">
        <f t="shared" si="3"/>
        <v>0.94775073253423892</v>
      </c>
      <c r="O5" s="236" t="s">
        <v>342</v>
      </c>
      <c r="P5" s="236"/>
      <c r="Q5" s="236"/>
    </row>
    <row r="6" spans="1:18" ht="14.5" thickBot="1">
      <c r="A6" s="236" t="s">
        <v>137</v>
      </c>
      <c r="B6" s="236" t="s">
        <v>132</v>
      </c>
      <c r="C6" s="244">
        <f>VLOOKUP(A6,CHOOSE({1,2},F6:F50,K6:K50),2,FALSE)</f>
        <v>1.5281600333840561E-3</v>
      </c>
      <c r="D6" s="247" t="s">
        <v>201</v>
      </c>
      <c r="E6" s="236"/>
      <c r="F6" s="236" t="s">
        <v>137</v>
      </c>
      <c r="G6" s="236" cm="1">
        <f t="array" ref="G6">_xll.ciqfunctions.udf.CIQ(F6,"IQ_CLOSEPRICE",$E$2,"USD")-_xll.ciqfunctions.udf.CIQ(F6,"IQ_CLOSEPRICE",$E$3,"USD")</f>
        <v>-9.8899999999999864</v>
      </c>
      <c r="H6" s="246">
        <f>VLOOKUP(F6,'07_30_2025_agix_holdings'!$D$3:$E$48,2,FALSE)/$Q$2</f>
        <v>1.7367972211244462E-3</v>
      </c>
      <c r="I6" s="236">
        <f t="shared" si="1"/>
        <v>-1.7176924516920749E-2</v>
      </c>
      <c r="J6" s="236"/>
      <c r="K6" s="236">
        <f t="shared" si="0"/>
        <v>1.5281600333840561E-3</v>
      </c>
      <c r="L6" s="242" cm="1">
        <f t="array" ref="L6">_xll.ciqfunctions.udf.CIQ(F6,"IQ_CLOSEPRICE",$E$2,"USD")</f>
        <v>347.8</v>
      </c>
      <c r="M6" s="242">
        <f t="shared" si="2"/>
        <v>0.6040580735070824</v>
      </c>
      <c r="N6" s="236">
        <f t="shared" si="3"/>
        <v>0.53149405961097473</v>
      </c>
      <c r="O6" s="236"/>
      <c r="P6" s="239" t="s">
        <v>326</v>
      </c>
      <c r="Q6" s="239" t="s">
        <v>329</v>
      </c>
      <c r="R6" s="239" t="s">
        <v>331</v>
      </c>
    </row>
    <row r="7" spans="1:18" ht="14.5" thickBot="1">
      <c r="A7" s="236" t="s">
        <v>138</v>
      </c>
      <c r="B7" s="236" t="s">
        <v>134</v>
      </c>
      <c r="C7" s="244">
        <f>VLOOKUP(A7,CHOOSE({1,2},F7:F51,K7:K51),2,FALSE)</f>
        <v>6.9418306076617052E-3</v>
      </c>
      <c r="D7" s="247" t="s">
        <v>209</v>
      </c>
      <c r="E7" s="236"/>
      <c r="F7" s="236" t="s">
        <v>138</v>
      </c>
      <c r="G7" s="236" cm="1">
        <f t="array" ref="G7">_xll.ciqfunctions.udf.CIQ(F7,"IQ_CLOSEPRICE",$E$2,"USD")-_xll.ciqfunctions.udf.CIQ(F7,"IQ_CLOSEPRICE",$E$3,"USD")</f>
        <v>-19.360000000000014</v>
      </c>
      <c r="H7" s="246">
        <f>VLOOKUP(F7,'07_30_2025_agix_holdings'!$D$3:$E$48,2,FALSE)/$Q$2</f>
        <v>7.8895873766601978E-3</v>
      </c>
      <c r="I7" s="236">
        <f t="shared" si="1"/>
        <v>-0.15274241161214153</v>
      </c>
      <c r="J7" s="236"/>
      <c r="K7" s="236">
        <f t="shared" si="0"/>
        <v>6.9418306076617052E-3</v>
      </c>
      <c r="L7" s="242" cm="1">
        <f t="array" ref="L7">_xll.ciqfunctions.udf.CIQ(F7,"IQ_CLOSEPRICE",$E$2,"USD")</f>
        <v>214.75</v>
      </c>
      <c r="M7" s="242">
        <f t="shared" si="2"/>
        <v>1.6942888891377774</v>
      </c>
      <c r="N7" s="236">
        <f t="shared" si="3"/>
        <v>1.4907581229953513</v>
      </c>
      <c r="O7" s="239" t="s">
        <v>343</v>
      </c>
      <c r="P7" s="236" cm="1">
        <f t="array" ref="P7">_xll.ciqfunctions.udf.CIQ(O7,"IQ_CLOSEPRICE",$E$2,"USD")-_xll.ciqfunctions.udf.CIQ(O7,"IQ_CLOSEPRICE",$E$3,"USD")</f>
        <v>-1.0693999999999981</v>
      </c>
      <c r="Q7" s="242">
        <f>P7/SUM(I2:I45)</f>
        <v>0.87987245419167981</v>
      </c>
      <c r="R7" s="242" cm="1">
        <f t="array" ref="R7">_xll.ciqfunctions.udf.CIQ(O7,"IQ_CLOSEPRICE",$E$2,"USD")</f>
        <v>31.3901</v>
      </c>
    </row>
    <row r="8" spans="1:18" ht="14.5" thickBot="1">
      <c r="A8" s="236" t="s">
        <v>139</v>
      </c>
      <c r="B8" s="236" t="s">
        <v>131</v>
      </c>
      <c r="C8" s="244">
        <f>VLOOKUP(A8,CHOOSE({1,2},F8:F52,K8:K52),2,FALSE)</f>
        <v>3.5786115199099686E-3</v>
      </c>
      <c r="D8" s="247" t="s">
        <v>233</v>
      </c>
      <c r="E8" s="236"/>
      <c r="F8" s="236" t="s">
        <v>139</v>
      </c>
      <c r="G8" s="236" cm="1">
        <f t="array" ref="G8">_xll.ciqfunctions.udf.CIQ(F8,"IQ_CLOSEPRICE",$E$2,"USD")-_xll.ciqfunctions.udf.CIQ(F8,"IQ_CLOSEPRICE",$E$3,"USD")</f>
        <v>-5.6500000000000057</v>
      </c>
      <c r="H8" s="246">
        <f>VLOOKUP(F8,'07_30_2025_agix_holdings'!$D$3:$E$48,2,FALSE)/$Q$2</f>
        <v>4.0671934924904124E-3</v>
      </c>
      <c r="I8" s="236">
        <f t="shared" si="1"/>
        <v>-2.2979643232570852E-2</v>
      </c>
      <c r="J8" s="236"/>
      <c r="K8" s="236">
        <f t="shared" si="0"/>
        <v>3.5786115199099686E-3</v>
      </c>
      <c r="L8" s="242" cm="1">
        <f t="array" ref="L8">_xll.ciqfunctions.udf.CIQ(F8,"IQ_CLOSEPRICE",$E$2,"USD")</f>
        <v>117.57</v>
      </c>
      <c r="M8" s="242">
        <f t="shared" si="2"/>
        <v>0.47817993891209776</v>
      </c>
      <c r="N8" s="236">
        <f t="shared" si="3"/>
        <v>0.420737356395815</v>
      </c>
      <c r="O8" s="236"/>
      <c r="P8" s="236"/>
      <c r="Q8" s="236"/>
    </row>
    <row r="9" spans="1:18" ht="14.5" thickBot="1">
      <c r="A9" s="236" t="s">
        <v>140</v>
      </c>
      <c r="B9" s="236" t="s">
        <v>131</v>
      </c>
      <c r="C9" s="244">
        <f>VLOOKUP(A9,CHOOSE({1,2},F9:F53,K9:K53),2,FALSE)</f>
        <v>1.925157849518836E-3</v>
      </c>
      <c r="D9" s="247" t="s">
        <v>344</v>
      </c>
      <c r="E9" s="236"/>
      <c r="F9" s="236" t="s">
        <v>140</v>
      </c>
      <c r="G9" s="236" cm="1">
        <f t="array" ref="G9">_xll.ciqfunctions.udf.CIQ(F9,"IQ_CLOSEPRICE",$E$2,"USD")-_xll.ciqfunctions.udf.CIQ(F9,"IQ_CLOSEPRICE",$E$3,"USD")</f>
        <v>-3.7949999999999875</v>
      </c>
      <c r="H9" s="246">
        <f>VLOOKUP(F9,'07_30_2025_agix_holdings'!$D$3:$E$48,2,FALSE)/$Q$2</f>
        <v>2.1879964992056011E-3</v>
      </c>
      <c r="I9" s="236">
        <f t="shared" si="1"/>
        <v>-8.3034467144852287E-3</v>
      </c>
      <c r="J9" s="236"/>
      <c r="K9" s="236">
        <f t="shared" si="0"/>
        <v>1.925157849518836E-3</v>
      </c>
      <c r="L9" s="242" cm="1">
        <f t="array" ref="L9">_xll.ciqfunctions.udf.CIQ(F9,"IQ_CLOSEPRICE",$E$2,"USD")</f>
        <v>137.58000000000001</v>
      </c>
      <c r="M9" s="242">
        <f t="shared" si="2"/>
        <v>0.30102455836070663</v>
      </c>
      <c r="N9" s="236">
        <f t="shared" si="3"/>
        <v>0.26486321693680148</v>
      </c>
      <c r="O9" s="236"/>
      <c r="P9" s="236"/>
      <c r="Q9" s="236"/>
    </row>
    <row r="10" spans="1:18" ht="14.5" thickBot="1">
      <c r="A10" s="236" t="s">
        <v>141</v>
      </c>
      <c r="B10" s="236" t="s">
        <v>131</v>
      </c>
      <c r="C10" s="244">
        <f>VLOOKUP(A10,CHOOSE({1,2},F10:F54,K10:K54),2,FALSE)</f>
        <v>5.4622394560388185E-4</v>
      </c>
      <c r="D10" s="247" t="s">
        <v>230</v>
      </c>
      <c r="E10" s="236"/>
      <c r="F10" s="236" t="s">
        <v>345</v>
      </c>
      <c r="G10" s="236" cm="1">
        <f t="array" ref="G10">_xll.ciqfunctions.udf.CIQ(F10,"IQ_CLOSEPRICE",$E$2,"USD")-_xll.ciqfunctions.udf.CIQ(F10,"IQ_CLOSEPRICE",$E$3,"USD")</f>
        <v>-4.8899999999999864</v>
      </c>
      <c r="H10" s="246">
        <f>VLOOKUP(F10,'07_30_2025_agix_holdings'!$D$3:$E$48,2,FALSE)/$Q$2</f>
        <v>6.2079900672158922E-4</v>
      </c>
      <c r="I10" s="236">
        <f t="shared" si="1"/>
        <v>-3.0357071428685628E-3</v>
      </c>
      <c r="J10" s="236"/>
      <c r="K10" s="236">
        <f t="shared" si="0"/>
        <v>5.4622394560388185E-4</v>
      </c>
      <c r="L10" s="242" cm="1">
        <f t="array" ref="L10">_xll.ciqfunctions.udf.CIQ(F10,"IQ_CLOSEPRICE",$E$2,"USD")</f>
        <v>689.82</v>
      </c>
      <c r="M10" s="242">
        <f t="shared" si="2"/>
        <v>0.42823957081668673</v>
      </c>
      <c r="N10" s="236">
        <f t="shared" si="3"/>
        <v>0.37679620215646981</v>
      </c>
      <c r="O10" s="236"/>
      <c r="P10" s="236"/>
      <c r="Q10" s="236"/>
    </row>
    <row r="11" spans="1:18" ht="14.5" thickBot="1">
      <c r="A11" s="236" t="s">
        <v>142</v>
      </c>
      <c r="B11" s="236" t="s">
        <v>131</v>
      </c>
      <c r="C11" s="244">
        <f>VLOOKUP(A11,CHOOSE({1,2},F11:F55,K11:K55),2,FALSE)</f>
        <v>2.9950810419388106E-3</v>
      </c>
      <c r="D11" s="247" t="s">
        <v>227</v>
      </c>
      <c r="E11" s="236"/>
      <c r="F11" s="236" t="s">
        <v>142</v>
      </c>
      <c r="G11" s="236" cm="1">
        <f t="array" ref="G11">_xll.ciqfunctions.udf.CIQ(F11,"IQ_CLOSEPRICE",$E$2,"USD")-_xll.ciqfunctions.udf.CIQ(F11,"IQ_CLOSEPRICE",$E$3,"USD")</f>
        <v>-5.0600000000000023</v>
      </c>
      <c r="H11" s="246">
        <f>VLOOKUP(F11,'07_30_2025_agix_holdings'!$D$3:$E$48,2,FALSE)/$Q$2</f>
        <v>3.403994553608714E-3</v>
      </c>
      <c r="I11" s="236">
        <f t="shared" si="1"/>
        <v>-1.7224212441260101E-2</v>
      </c>
      <c r="J11" s="236"/>
      <c r="K11" s="236">
        <f t="shared" si="0"/>
        <v>2.9950810419388106E-3</v>
      </c>
      <c r="L11" s="242" cm="1">
        <f t="array" ref="L11">_xll.ciqfunctions.udf.CIQ(F11,"IQ_CLOSEPRICE",$E$2,"USD")</f>
        <v>288.64</v>
      </c>
      <c r="M11" s="242">
        <f t="shared" si="2"/>
        <v>0.9825289879536192</v>
      </c>
      <c r="N11" s="236">
        <f t="shared" si="3"/>
        <v>0.86450019194521821</v>
      </c>
      <c r="O11" s="236"/>
      <c r="P11" s="236"/>
      <c r="Q11" s="236"/>
    </row>
    <row r="12" spans="1:18" ht="14.5" thickBot="1">
      <c r="A12" s="236" t="s">
        <v>143</v>
      </c>
      <c r="B12" s="236" t="s">
        <v>134</v>
      </c>
      <c r="C12" s="244">
        <f>VLOOKUP(A12,CHOOSE({1,2},F12:F56,K12:K56),2,FALSE)</f>
        <v>1.3457803628866775E-2</v>
      </c>
      <c r="D12" s="247" t="s">
        <v>224</v>
      </c>
      <c r="E12" s="236"/>
      <c r="F12" s="236" t="s">
        <v>143</v>
      </c>
      <c r="G12" s="236" cm="1">
        <f t="array" ref="G12">_xll.ciqfunctions.udf.CIQ(F12,"IQ_CLOSEPRICE",$E$2,"USD")-_xll.ciqfunctions.udf.CIQ(F12,"IQ_CLOSEPRICE",$E$3,"USD")</f>
        <v>-0.52500000000000213</v>
      </c>
      <c r="H12" s="246">
        <f>VLOOKUP(F12,'07_30_2025_agix_holdings'!$D$3:$E$48,2,FALSE)/$Q$2</f>
        <v>1.5295175527719156E-2</v>
      </c>
      <c r="I12" s="236">
        <f t="shared" si="1"/>
        <v>-8.02996715205259E-3</v>
      </c>
      <c r="J12" s="236"/>
      <c r="K12" s="236">
        <f t="shared" si="0"/>
        <v>1.3457803628866775E-2</v>
      </c>
      <c r="L12" s="242" cm="1">
        <f t="array" ref="L12">_xll.ciqfunctions.udf.CIQ(F12,"IQ_CLOSEPRICE",$E$2,"USD")</f>
        <v>17.2</v>
      </c>
      <c r="M12" s="242">
        <f t="shared" si="2"/>
        <v>0.26307701907676945</v>
      </c>
      <c r="N12" s="236">
        <f t="shared" si="3"/>
        <v>0.23147422241650853</v>
      </c>
      <c r="O12" s="236"/>
      <c r="P12" s="236"/>
      <c r="Q12" s="236"/>
    </row>
    <row r="13" spans="1:18" ht="14.5" thickBot="1">
      <c r="A13" s="236" t="s">
        <v>144</v>
      </c>
      <c r="B13" s="236" t="s">
        <v>132</v>
      </c>
      <c r="C13" s="244">
        <f>VLOOKUP(A13,CHOOSE({1,2},F13:F57,K13:K57),2,FALSE)</f>
        <v>3.0183096375637182E-3</v>
      </c>
      <c r="D13" s="247" t="s">
        <v>196</v>
      </c>
      <c r="E13" s="236"/>
      <c r="F13" s="236" t="s">
        <v>144</v>
      </c>
      <c r="G13" s="236" cm="1">
        <f t="array" ref="G13">_xll.ciqfunctions.udf.CIQ(F13,"IQ_CLOSEPRICE",$E$2,"USD")-_xll.ciqfunctions.udf.CIQ(F13,"IQ_CLOSEPRICE",$E$3,"USD")</f>
        <v>-7.589999999999975</v>
      </c>
      <c r="H13" s="246">
        <f>VLOOKUP(F13,'07_30_2025_agix_holdings'!$D$3:$E$48,2,FALSE)/$Q$2</f>
        <v>3.4303945113687818E-3</v>
      </c>
      <c r="I13" s="236">
        <f t="shared" si="1"/>
        <v>-2.6036694341288968E-2</v>
      </c>
      <c r="J13" s="236"/>
      <c r="K13" s="236">
        <f t="shared" si="0"/>
        <v>3.0183096375637182E-3</v>
      </c>
      <c r="L13" s="242" cm="1">
        <f t="array" ref="L13">_xll.ciqfunctions.udf.CIQ(F13,"IQ_CLOSEPRICE",$E$2,"USD")</f>
        <v>250.74</v>
      </c>
      <c r="M13" s="242">
        <f t="shared" si="2"/>
        <v>0.86013711978060836</v>
      </c>
      <c r="N13" s="236">
        <f t="shared" si="3"/>
        <v>0.75681095852272673</v>
      </c>
      <c r="O13" s="236"/>
      <c r="P13" s="236"/>
      <c r="Q13" s="236"/>
    </row>
    <row r="14" spans="1:18">
      <c r="A14" s="236" t="s">
        <v>145</v>
      </c>
      <c r="B14" s="236" t="s">
        <v>134</v>
      </c>
      <c r="C14" s="244">
        <f>VLOOKUP(A14,CHOOSE({1,2},F14:F58,K14:K58),2,FALSE)</f>
        <v>4.1656614820667183E-3</v>
      </c>
      <c r="D14" s="247" t="s">
        <v>346</v>
      </c>
      <c r="E14" s="236"/>
      <c r="F14" s="236" t="s">
        <v>145</v>
      </c>
      <c r="G14" s="236" cm="1">
        <f t="array" ref="G14">_xll.ciqfunctions.udf.CIQ(F14,"IQ_CLOSEPRICE",$E$2,"USD")-_xll.ciqfunctions.udf.CIQ(F14,"IQ_CLOSEPRICE",$E$3,"USD")</f>
        <v>-4.3799999999999955</v>
      </c>
      <c r="H14" s="246">
        <f>VLOOKUP(F14,'07_30_2025_agix_holdings'!$D$3:$E$48,2,FALSE)/$Q$2</f>
        <v>4.7343924249721205E-3</v>
      </c>
      <c r="I14" s="236">
        <f t="shared" si="1"/>
        <v>-2.0736638821377867E-2</v>
      </c>
      <c r="J14" s="236"/>
      <c r="K14" s="236">
        <f t="shared" si="0"/>
        <v>4.1656614820667183E-3</v>
      </c>
      <c r="L14" s="242" cm="1">
        <f t="array" ref="L14">_xll.ciqfunctions.udf.CIQ(F14,"IQ_CLOSEPRICE",$E$2,"USD")</f>
        <v>135.6</v>
      </c>
      <c r="M14" s="242">
        <f t="shared" si="2"/>
        <v>0.64198361282621952</v>
      </c>
      <c r="N14" s="236">
        <f t="shared" si="3"/>
        <v>0.56486369696824701</v>
      </c>
      <c r="O14" s="236"/>
      <c r="P14" s="236"/>
      <c r="Q14" s="236"/>
    </row>
    <row r="15" spans="1:18" ht="14.5" thickBot="1">
      <c r="A15" s="236" t="s">
        <v>146</v>
      </c>
      <c r="B15" s="236" t="s">
        <v>132</v>
      </c>
      <c r="C15" s="244">
        <f>VLOOKUP(A15,CHOOSE({1,2},F15:F59,K15:K59),2,FALSE)</f>
        <v>1.263494822627536E-3</v>
      </c>
      <c r="D15" s="250" t="s">
        <v>205</v>
      </c>
      <c r="E15" s="236"/>
      <c r="F15" s="236" t="s">
        <v>146</v>
      </c>
      <c r="G15" s="236" cm="1">
        <f t="array" ref="G15">_xll.ciqfunctions.udf.CIQ(F15,"IQ_CLOSEPRICE",$E$2,"USD")-_xll.ciqfunctions.udf.CIQ(F15,"IQ_CLOSEPRICE",$E$3,"USD")</f>
        <v>-11.529999999999973</v>
      </c>
      <c r="H15" s="246">
        <f>VLOOKUP(F15,'07_30_2025_agix_holdings'!$D$3:$E$48,2,FALSE)/$Q$2</f>
        <v>1.4359977024036761E-3</v>
      </c>
      <c r="I15" s="236">
        <f t="shared" si="1"/>
        <v>-1.6557053508714347E-2</v>
      </c>
      <c r="J15" s="236"/>
      <c r="K15" s="236">
        <f t="shared" si="0"/>
        <v>1.263494822627536E-3</v>
      </c>
      <c r="L15" s="242" cm="1">
        <f t="array" ref="L15">_xll.ciqfunctions.udf.CIQ(F15,"IQ_CLOSEPRICE",$E$2,"USD")</f>
        <v>379.17</v>
      </c>
      <c r="M15" s="242">
        <f t="shared" si="2"/>
        <v>0.54448724882040189</v>
      </c>
      <c r="N15" s="236">
        <f t="shared" si="3"/>
        <v>0.4790793318956828</v>
      </c>
      <c r="O15" s="236"/>
      <c r="P15" s="236"/>
      <c r="Q15" s="236"/>
    </row>
    <row r="16" spans="1:18" ht="14.5" thickBot="1">
      <c r="A16" s="236" t="s">
        <v>147</v>
      </c>
      <c r="B16" s="236" t="s">
        <v>132</v>
      </c>
      <c r="C16" s="244">
        <f>VLOOKUP(A16,CHOOSE({1,2},F16:F60,K16:K60),2,FALSE)</f>
        <v>1.3909001501459673E-3</v>
      </c>
      <c r="D16" s="247" t="s">
        <v>347</v>
      </c>
      <c r="E16" s="236"/>
      <c r="F16" s="236" t="s">
        <v>147</v>
      </c>
      <c r="G16" s="236" cm="1">
        <f t="array" ref="G16">_xll.ciqfunctions.udf.CIQ(F16,"IQ_CLOSEPRICE",$E$2,"USD")-_xll.ciqfunctions.udf.CIQ(F16,"IQ_CLOSEPRICE",$E$3,"USD")</f>
        <v>-7.5600000000000023</v>
      </c>
      <c r="H16" s="246">
        <f>VLOOKUP(F16,'07_30_2025_agix_holdings'!$D$3:$E$48,2,FALSE)/$Q$2</f>
        <v>1.5807974707240469E-3</v>
      </c>
      <c r="I16" s="236">
        <f t="shared" si="1"/>
        <v>-1.1950828878673797E-2</v>
      </c>
      <c r="J16" s="236"/>
      <c r="K16" s="236">
        <f t="shared" si="0"/>
        <v>1.3909001501459673E-3</v>
      </c>
      <c r="L16" s="242" cm="1">
        <f t="array" ref="L16">_xll.ciqfunctions.udf.CIQ(F16,"IQ_CLOSEPRICE",$E$2,"USD")</f>
        <v>338.99</v>
      </c>
      <c r="M16" s="242">
        <f t="shared" si="2"/>
        <v>0.53587453460074463</v>
      </c>
      <c r="N16" s="236">
        <f t="shared" si="3"/>
        <v>0.47150124189798148</v>
      </c>
      <c r="O16" s="236"/>
      <c r="P16" s="236"/>
      <c r="Q16" s="236"/>
    </row>
    <row r="17" spans="1:17" ht="14.5" thickBot="1">
      <c r="A17" s="236" t="s">
        <v>148</v>
      </c>
      <c r="B17" s="236" t="s">
        <v>134</v>
      </c>
      <c r="C17" s="244">
        <f>VLOOKUP(A17,CHOOSE({1,2},F17:F61,K17:K61),2,FALSE)</f>
        <v>6.1302375544641848E-3</v>
      </c>
      <c r="D17" s="247" t="s">
        <v>215</v>
      </c>
      <c r="E17" s="236"/>
      <c r="F17" s="236" t="s">
        <v>148</v>
      </c>
      <c r="G17" s="236" cm="1">
        <f t="array" ref="G17">_xll.ciqfunctions.udf.CIQ(F17,"IQ_CLOSEPRICE",$E$2,"USD")-_xll.ciqfunctions.udf.CIQ(F17,"IQ_CLOSEPRICE",$E$3,"USD")</f>
        <v>-4.1200000000000045</v>
      </c>
      <c r="H17" s="246">
        <f>VLOOKUP(F17,'07_30_2025_agix_holdings'!$D$3:$E$48,2,FALSE)/$Q$2</f>
        <v>6.9671888524978362E-3</v>
      </c>
      <c r="I17" s="236">
        <f t="shared" si="1"/>
        <v>-2.8704818072291118E-2</v>
      </c>
      <c r="J17" s="236"/>
      <c r="K17" s="236">
        <f t="shared" si="0"/>
        <v>6.1302375544641848E-3</v>
      </c>
      <c r="L17" s="242" cm="1">
        <f t="array" ref="L17">_xll.ciqfunctions.udf.CIQ(F17,"IQ_CLOSEPRICE",$E$2,"USD")</f>
        <v>79.58</v>
      </c>
      <c r="M17" s="242">
        <f t="shared" si="2"/>
        <v>0.55444888888177779</v>
      </c>
      <c r="N17" s="236">
        <f t="shared" si="3"/>
        <v>0.48784430458425981</v>
      </c>
      <c r="O17" s="236"/>
      <c r="P17" s="236"/>
      <c r="Q17" s="236"/>
    </row>
    <row r="18" spans="1:17" ht="14.5" thickBot="1">
      <c r="A18" s="236" t="s">
        <v>149</v>
      </c>
      <c r="B18" s="236" t="s">
        <v>134</v>
      </c>
      <c r="C18" s="244">
        <f>VLOOKUP(A18,CHOOSE({1,2},F18:F62,K18:K62),2,FALSE)</f>
        <v>5.7205695952612734E-3</v>
      </c>
      <c r="D18" s="247" t="s">
        <v>210</v>
      </c>
      <c r="E18" s="236"/>
      <c r="F18" s="236" t="s">
        <v>149</v>
      </c>
      <c r="G18" s="236" cm="1">
        <f t="array" ref="G18">_xll.ciqfunctions.udf.CIQ(F18,"IQ_CLOSEPRICE",$E$2,"USD")-_xll.ciqfunctions.udf.CIQ(F18,"IQ_CLOSEPRICE",$E$3,"USD")</f>
        <v>-2.7700000000000102</v>
      </c>
      <c r="H18" s="246">
        <f>VLOOKUP(F18,'07_30_2025_agix_holdings'!$D$3:$E$48,2,FALSE)/$Q$2</f>
        <v>6.5015895974566444E-3</v>
      </c>
      <c r="I18" s="236">
        <f t="shared" si="1"/>
        <v>-1.8009403184954972E-2</v>
      </c>
      <c r="J18" s="236"/>
      <c r="K18" s="236">
        <f t="shared" si="0"/>
        <v>5.7205695952612734E-3</v>
      </c>
      <c r="L18" s="242" cm="1">
        <f t="array" ref="L18">_xll.ciqfunctions.udf.CIQ(F18,"IQ_CLOSEPRICE",$E$2,"USD")</f>
        <v>189.13</v>
      </c>
      <c r="M18" s="242">
        <f t="shared" si="2"/>
        <v>1.2296456405669751</v>
      </c>
      <c r="N18" s="236">
        <f t="shared" si="3"/>
        <v>1.0819313275517646</v>
      </c>
      <c r="O18" s="236"/>
      <c r="P18" s="236"/>
      <c r="Q18" s="236"/>
    </row>
    <row r="19" spans="1:17" ht="14.5" thickBot="1">
      <c r="A19" s="236" t="s">
        <v>150</v>
      </c>
      <c r="B19" s="236" t="s">
        <v>134</v>
      </c>
      <c r="C19" s="244">
        <f>VLOOKUP(A19,CHOOSE({1,2},F19:F63,K19:K63),2,FALSE)</f>
        <v>7.8801250915405373E-3</v>
      </c>
      <c r="D19" s="247" t="s">
        <v>219</v>
      </c>
      <c r="E19" s="236"/>
      <c r="F19" s="236" t="s">
        <v>150</v>
      </c>
      <c r="G19" s="236" cm="1">
        <f t="array" ref="G19">_xll.ciqfunctions.udf.CIQ(F19,"IQ_CLOSEPRICE",$E$2,"USD")-_xll.ciqfunctions.udf.CIQ(F19,"IQ_CLOSEPRICE",$E$3,"USD")</f>
        <v>-1.990000000000002</v>
      </c>
      <c r="H19" s="246">
        <f>VLOOKUP(F19,'07_30_2025_agix_holdings'!$D$3:$E$48,2,FALSE)/$Q$2</f>
        <v>8.9559856704229269E-3</v>
      </c>
      <c r="I19" s="236">
        <f t="shared" si="1"/>
        <v>-1.7822411484141643E-2</v>
      </c>
      <c r="J19" s="236"/>
      <c r="K19" s="236">
        <f t="shared" si="0"/>
        <v>7.8801250915405373E-3</v>
      </c>
      <c r="L19" s="242" cm="1">
        <f t="array" ref="L19">_xll.ciqfunctions.udf.CIQ(F19,"IQ_CLOSEPRICE",$E$2,"USD")</f>
        <v>41.82</v>
      </c>
      <c r="M19" s="242">
        <f t="shared" si="2"/>
        <v>0.37453932073708679</v>
      </c>
      <c r="N19" s="236">
        <f t="shared" si="3"/>
        <v>0.32954683132822526</v>
      </c>
      <c r="O19" s="236"/>
      <c r="P19" s="236"/>
      <c r="Q19" s="236"/>
    </row>
    <row r="20" spans="1:17" ht="14.5" thickBot="1">
      <c r="A20" s="236" t="s">
        <v>151</v>
      </c>
      <c r="B20" s="236" t="s">
        <v>132</v>
      </c>
      <c r="C20" s="244">
        <f>VLOOKUP(A20,CHOOSE({1,2},F20:F64,K20:K64),2,FALSE)</f>
        <v>1.2209090639818725E-2</v>
      </c>
      <c r="D20" s="247" t="s">
        <v>348</v>
      </c>
      <c r="E20" s="236"/>
      <c r="F20" s="236" t="s">
        <v>151</v>
      </c>
      <c r="G20" s="236" cm="1">
        <f t="array" ref="G20">_xll.ciqfunctions.udf.CIQ(F20,"IQ_CLOSEPRICE",$E$2,"USD")-_xll.ciqfunctions.udf.CIQ(F20,"IQ_CLOSEPRICE",$E$3,"USD")</f>
        <v>-2.0200000000000031</v>
      </c>
      <c r="H20" s="246">
        <f>VLOOKUP(F20,'07_30_2025_agix_holdings'!$D$3:$E$48,2,FALSE)/$Q$2</f>
        <v>1.3875977798435522E-2</v>
      </c>
      <c r="I20" s="236">
        <f t="shared" si="1"/>
        <v>-2.8029475152839798E-2</v>
      </c>
      <c r="J20" s="236"/>
      <c r="K20" s="236">
        <f t="shared" si="0"/>
        <v>1.2209090639818725E-2</v>
      </c>
      <c r="L20" s="242" cm="1">
        <f t="array" ref="L20">_xll.ciqfunctions.udf.CIQ(F20,"IQ_CLOSEPRICE",$E$2,"USD")</f>
        <v>36.01</v>
      </c>
      <c r="M20" s="242">
        <f t="shared" si="2"/>
        <v>0.49967396052166313</v>
      </c>
      <c r="N20" s="236">
        <f t="shared" si="3"/>
        <v>0.43964935393987226</v>
      </c>
      <c r="O20" s="236"/>
      <c r="P20" s="236"/>
      <c r="Q20" s="236"/>
    </row>
    <row r="21" spans="1:17" ht="14.5" thickBot="1">
      <c r="A21" s="236" t="s">
        <v>152</v>
      </c>
      <c r="B21" s="236" t="s">
        <v>134</v>
      </c>
      <c r="C21" s="244">
        <f>VLOOKUP(A21,CHOOSE({1,2},F21:F65,K21:K65),2,FALSE)</f>
        <v>1.9638721755603486E-3</v>
      </c>
      <c r="D21" s="247" t="s">
        <v>221</v>
      </c>
      <c r="E21" s="236"/>
      <c r="F21" s="236" t="s">
        <v>152</v>
      </c>
      <c r="G21" s="236" cm="1">
        <f t="array" ref="G21">_xll.ciqfunctions.udf.CIQ(F21,"IQ_CLOSEPRICE",$E$2,"USD")-_xll.ciqfunctions.udf.CIQ(F21,"IQ_CLOSEPRICE",$E$3,"USD")</f>
        <v>-16.919999999999987</v>
      </c>
      <c r="H21" s="246">
        <f>VLOOKUP(F21,'07_30_2025_agix_holdings'!$D$3:$E$48,2,FALSE)/$Q$2</f>
        <v>2.231996428805714E-3</v>
      </c>
      <c r="I21" s="236">
        <f t="shared" si="1"/>
        <v>-3.7765379575392652E-2</v>
      </c>
      <c r="J21" s="236"/>
      <c r="K21" s="236">
        <f t="shared" si="0"/>
        <v>1.9638721755603486E-3</v>
      </c>
      <c r="L21" s="242" cm="1">
        <f t="array" ref="L21">_xll.ciqfunctions.udf.CIQ(F21,"IQ_CLOSEPRICE",$E$2,"USD")</f>
        <v>220.97</v>
      </c>
      <c r="M21" s="242">
        <f t="shared" si="2"/>
        <v>0.49320425087319864</v>
      </c>
      <c r="N21" s="236">
        <f t="shared" si="3"/>
        <v>0.43395683463357021</v>
      </c>
      <c r="O21" s="236"/>
      <c r="P21" s="236"/>
      <c r="Q21" s="236"/>
    </row>
    <row r="22" spans="1:17" ht="14.5" thickBot="1">
      <c r="A22" s="236" t="s">
        <v>153</v>
      </c>
      <c r="B22" s="236" t="s">
        <v>132</v>
      </c>
      <c r="C22" s="244">
        <f>VLOOKUP(A22,CHOOSE({1,2},F22:F66,K22:K66),2,FALSE)</f>
        <v>3.2020267120516218E-3</v>
      </c>
      <c r="D22" s="251" t="s">
        <v>195</v>
      </c>
      <c r="E22" s="236"/>
      <c r="F22" s="236" t="s">
        <v>153</v>
      </c>
      <c r="G22" s="236" cm="1">
        <f t="array" ref="G22">_xll.ciqfunctions.udf.CIQ(F22,"IQ_CLOSEPRICE",$E$2,"USD")-_xll.ciqfunctions.udf.CIQ(F22,"IQ_CLOSEPRICE",$E$3,"USD")</f>
        <v>-23.430000000000064</v>
      </c>
      <c r="H22" s="246">
        <f>VLOOKUP(F22,'07_30_2025_agix_holdings'!$D$3:$E$48,2,FALSE)/$Q$2</f>
        <v>3.6391941772893161E-3</v>
      </c>
      <c r="I22" s="236">
        <f t="shared" si="1"/>
        <v>-8.5266319573888916E-2</v>
      </c>
      <c r="J22" s="236"/>
      <c r="K22" s="236">
        <f t="shared" si="0"/>
        <v>3.2020267120516218E-3</v>
      </c>
      <c r="L22" s="242" cm="1">
        <f t="array" ref="L22">_xll.ciqfunctions.udf.CIQ(F22,"IQ_CLOSEPRICE",$E$2,"USD")</f>
        <v>750.01</v>
      </c>
      <c r="M22" s="242">
        <f t="shared" si="2"/>
        <v>2.72943202490876</v>
      </c>
      <c r="N22" s="236">
        <f t="shared" si="3"/>
        <v>2.4015520543058368</v>
      </c>
      <c r="O22" s="236"/>
      <c r="P22" s="236"/>
      <c r="Q22" s="236"/>
    </row>
    <row r="23" spans="1:17" ht="14.5" thickBot="1">
      <c r="A23" s="236" t="s">
        <v>154</v>
      </c>
      <c r="B23" s="236" t="s">
        <v>131</v>
      </c>
      <c r="C23" s="244">
        <f>VLOOKUP(A23,CHOOSE({1,2},F23:F67,K23:K67),2,FALSE)</f>
        <v>6.3934949715464678E-3</v>
      </c>
      <c r="D23" s="247" t="s">
        <v>231</v>
      </c>
      <c r="E23" s="236"/>
      <c r="F23" s="236" t="s">
        <v>154</v>
      </c>
      <c r="G23" s="236" cm="1">
        <f t="array" ref="G23">_xll.ciqfunctions.udf.CIQ(F23,"IQ_CLOSEPRICE",$E$2,"USD")-_xll.ciqfunctions.udf.CIQ(F23,"IQ_CLOSEPRICE",$E$3,"USD")</f>
        <v>-5.9200000000000017</v>
      </c>
      <c r="H23" s="246">
        <f>VLOOKUP(F23,'07_30_2025_agix_holdings'!$D$3:$E$48,2,FALSE)/$Q$2</f>
        <v>7.2663883737786022E-3</v>
      </c>
      <c r="I23" s="236">
        <f t="shared" si="1"/>
        <v>-4.3017019172769337E-2</v>
      </c>
      <c r="J23" s="236"/>
      <c r="K23" s="236">
        <f t="shared" si="0"/>
        <v>6.3934949715464678E-3</v>
      </c>
      <c r="L23" s="242" cm="1">
        <f t="array" ref="L23">_xll.ciqfunctions.udf.CIQ(F23,"IQ_CLOSEPRICE",$E$2,"USD")</f>
        <v>74.45</v>
      </c>
      <c r="M23" s="242">
        <f t="shared" si="2"/>
        <v>0.54098261442781692</v>
      </c>
      <c r="N23" s="236">
        <f t="shared" si="3"/>
        <v>0.47599570063163454</v>
      </c>
      <c r="O23" s="236"/>
      <c r="P23" s="236"/>
      <c r="Q23" s="236"/>
    </row>
    <row r="24" spans="1:17" ht="14.5" thickBot="1">
      <c r="A24" s="236" t="s">
        <v>155</v>
      </c>
      <c r="B24" s="236" t="s">
        <v>134</v>
      </c>
      <c r="C24" s="244">
        <f>VLOOKUP(A24,CHOOSE({1,2},F24:F68,K24:K68),2,FALSE)</f>
        <v>3.2372215539075424E-3</v>
      </c>
      <c r="D24" s="247" t="s">
        <v>208</v>
      </c>
      <c r="E24" s="236"/>
      <c r="F24" s="236" t="s">
        <v>155</v>
      </c>
      <c r="G24" s="236" cm="1">
        <f t="array" ref="G24">_xll.ciqfunctions.udf.CIQ(F24,"IQ_CLOSEPRICE",$E$2,"USD")-_xll.ciqfunctions.udf.CIQ(F24,"IQ_CLOSEPRICE",$E$3,"USD")</f>
        <v>-9.3899999999999864</v>
      </c>
      <c r="H24" s="246">
        <f>VLOOKUP(F24,'07_30_2025_agix_holdings'!$D$3:$E$48,2,FALSE)/$Q$2</f>
        <v>3.6791941132894189E-3</v>
      </c>
      <c r="I24" s="236">
        <f t="shared" si="1"/>
        <v>-3.4547632723787594E-2</v>
      </c>
      <c r="J24" s="236"/>
      <c r="K24" s="236">
        <f t="shared" si="0"/>
        <v>3.2372215539075424E-3</v>
      </c>
      <c r="L24" s="242" cm="1">
        <f t="array" ref="L24">_xll.ciqfunctions.udf.CIQ(F24,"IQ_CLOSEPRICE",$E$2,"USD")</f>
        <v>524.11</v>
      </c>
      <c r="M24" s="242">
        <f t="shared" si="2"/>
        <v>1.9283024267161173</v>
      </c>
      <c r="N24" s="236">
        <f t="shared" si="3"/>
        <v>1.696660188618482</v>
      </c>
      <c r="O24" s="236"/>
      <c r="P24" s="236"/>
      <c r="Q24" s="236"/>
    </row>
    <row r="25" spans="1:17" ht="14.5" thickBot="1">
      <c r="A25" s="236" t="s">
        <v>156</v>
      </c>
      <c r="B25" s="236" t="s">
        <v>131</v>
      </c>
      <c r="C25" s="244">
        <f>VLOOKUP(A25,CHOOSE({1,2},F25:F69,K25:K69),2,FALSE)</f>
        <v>3.2703047052521071E-3</v>
      </c>
      <c r="D25" s="247" t="s">
        <v>235</v>
      </c>
      <c r="E25" s="236"/>
      <c r="F25" s="236" t="s">
        <v>156</v>
      </c>
      <c r="G25" s="236" cm="1">
        <f t="array" ref="G25">_xll.ciqfunctions.udf.CIQ(F25,"IQ_CLOSEPRICE",$E$2,"USD")-_xll.ciqfunctions.udf.CIQ(F25,"IQ_CLOSEPRICE",$E$3,"USD")</f>
        <v>-4.2600000000000051</v>
      </c>
      <c r="H25" s="246">
        <f>VLOOKUP(F25,'07_30_2025_agix_holdings'!$D$3:$E$48,2,FALSE)/$Q$2</f>
        <v>3.7167940531295149E-3</v>
      </c>
      <c r="I25" s="236">
        <f t="shared" si="1"/>
        <v>-1.5833542666331753E-2</v>
      </c>
      <c r="J25" s="236"/>
      <c r="K25" s="236">
        <f t="shared" si="0"/>
        <v>3.2703047052521071E-3</v>
      </c>
      <c r="L25" s="242" cm="1">
        <f t="array" ref="L25">_xll.ciqfunctions.udf.CIQ(F25,"IQ_CLOSEPRICE",$E$2,"USD")</f>
        <v>104.88</v>
      </c>
      <c r="M25" s="242">
        <f t="shared" si="2"/>
        <v>0.38981736029222352</v>
      </c>
      <c r="N25" s="236">
        <f t="shared" si="3"/>
        <v>0.34298955748684096</v>
      </c>
      <c r="O25" s="236"/>
      <c r="P25" s="236"/>
      <c r="Q25" s="236"/>
    </row>
    <row r="26" spans="1:17" ht="14.5" thickBot="1">
      <c r="A26" s="236" t="s">
        <v>157</v>
      </c>
      <c r="B26" s="236" t="s">
        <v>134</v>
      </c>
      <c r="C26" s="244">
        <f>VLOOKUP(A26,CHOOSE({1,2},F26:F70,K26:K70),2,FALSE)</f>
        <v>1.8028909689113692E-2</v>
      </c>
      <c r="D26" s="247" t="s">
        <v>214</v>
      </c>
      <c r="E26" s="236"/>
      <c r="F26" s="236" t="s">
        <v>157</v>
      </c>
      <c r="G26" s="236" cm="1">
        <f t="array" ref="G26">_xll.ciqfunctions.udf.CIQ(F26,"IQ_CLOSEPRICE",$E$2,"USD")-_xll.ciqfunctions.udf.CIQ(F26,"IQ_CLOSEPRICE",$E$3,"USD")</f>
        <v>-2.4299999999999997</v>
      </c>
      <c r="H26" s="246">
        <f>VLOOKUP(F26,'07_30_2025_agix_holdings'!$D$3:$E$48,2,FALSE)/$Q$2</f>
        <v>2.0490367215412454E-2</v>
      </c>
      <c r="I26" s="236">
        <f t="shared" si="1"/>
        <v>-4.9791592333452254E-2</v>
      </c>
      <c r="J26" s="236"/>
      <c r="K26" s="236">
        <f t="shared" si="0"/>
        <v>1.8028909689113692E-2</v>
      </c>
      <c r="L26" s="242" cm="1">
        <f t="array" ref="L26">_xll.ciqfunctions.udf.CIQ(F26,"IQ_CLOSEPRICE",$E$2,"USD")</f>
        <v>52</v>
      </c>
      <c r="M26" s="242">
        <f t="shared" si="2"/>
        <v>1.0654990952014476</v>
      </c>
      <c r="N26" s="236">
        <f t="shared" si="3"/>
        <v>0.93750330383391201</v>
      </c>
      <c r="O26" s="236"/>
      <c r="P26" s="236"/>
      <c r="Q26" s="236"/>
    </row>
    <row r="27" spans="1:17" ht="14.5" thickBot="1">
      <c r="A27" s="236" t="s">
        <v>158</v>
      </c>
      <c r="B27" s="236" t="s">
        <v>134</v>
      </c>
      <c r="C27" s="244">
        <f>VLOOKUP(A27,CHOOSE({1,2},F27:F71,K27:K71),2,FALSE)</f>
        <v>3.6011362186977574E-3</v>
      </c>
      <c r="D27" s="247" t="s">
        <v>218</v>
      </c>
      <c r="E27" s="236"/>
      <c r="F27" s="236" t="s">
        <v>158</v>
      </c>
      <c r="G27" s="236" cm="1">
        <f t="array" ref="G27">_xll.ciqfunctions.udf.CIQ(F27,"IQ_CLOSEPRICE",$E$2,"USD")-_xll.ciqfunctions.udf.CIQ(F27,"IQ_CLOSEPRICE",$E$3,"USD")</f>
        <v>-7.5699999999999932</v>
      </c>
      <c r="H27" s="246">
        <f>VLOOKUP(F27,'07_30_2025_agix_holdings'!$D$3:$E$48,2,FALSE)/$Q$2</f>
        <v>4.0927934515304779E-3</v>
      </c>
      <c r="I27" s="236">
        <f t="shared" si="1"/>
        <v>-3.0982446428085689E-2</v>
      </c>
      <c r="J27" s="236"/>
      <c r="K27" s="236">
        <f t="shared" si="0"/>
        <v>3.6011362186977574E-3</v>
      </c>
      <c r="L27" s="242" cm="1">
        <f t="array" ref="L27">_xll.ciqfunctions.udf.CIQ(F27,"IQ_CLOSEPRICE",$E$2,"USD")</f>
        <v>200.11</v>
      </c>
      <c r="M27" s="242">
        <f t="shared" si="2"/>
        <v>0.81900889758576401</v>
      </c>
      <c r="N27" s="236">
        <f t="shared" si="3"/>
        <v>0.72062336872360833</v>
      </c>
      <c r="O27" s="236"/>
      <c r="P27" s="236"/>
      <c r="Q27" s="236"/>
    </row>
    <row r="28" spans="1:17" ht="14.5" thickBot="1">
      <c r="A28" s="236" t="s">
        <v>159</v>
      </c>
      <c r="B28" s="236" t="s">
        <v>132</v>
      </c>
      <c r="C28" s="244">
        <f>VLOOKUP(A28,CHOOSE({1,2},F28:F72,K28:K72),2,FALSE)</f>
        <v>8.0455408482633635E-4</v>
      </c>
      <c r="D28" s="247" t="s">
        <v>197</v>
      </c>
      <c r="E28" s="236"/>
      <c r="F28" s="236" t="s">
        <v>159</v>
      </c>
      <c r="G28" s="236" cm="1">
        <f t="array" ref="G28">_xll.ciqfunctions.udf.CIQ(F28,"IQ_CLOSEPRICE",$E$2,"USD")-_xll.ciqfunctions.udf.CIQ(F28,"IQ_CLOSEPRICE",$E$3,"USD")</f>
        <v>-28.75</v>
      </c>
      <c r="H28" s="246">
        <f>VLOOKUP(F28,'07_30_2025_agix_holdings'!$D$3:$E$48,2,FALSE)/$Q$2</f>
        <v>9.1439853696234088E-4</v>
      </c>
      <c r="I28" s="236">
        <f t="shared" si="1"/>
        <v>-2.62889579376673E-2</v>
      </c>
      <c r="J28" s="236"/>
      <c r="K28" s="236">
        <f t="shared" si="0"/>
        <v>8.0455408482633635E-4</v>
      </c>
      <c r="L28" s="242" cm="1">
        <f t="array" ref="L28">_xll.ciqfunctions.udf.CIQ(F28,"IQ_CLOSEPRICE",$E$2,"USD")</f>
        <v>914.37</v>
      </c>
      <c r="M28" s="242">
        <f t="shared" si="2"/>
        <v>0.83609859024225563</v>
      </c>
      <c r="N28" s="236">
        <f t="shared" si="3"/>
        <v>0.73566011854265723</v>
      </c>
      <c r="O28" s="236"/>
      <c r="P28" s="236"/>
      <c r="Q28" s="236"/>
    </row>
    <row r="29" spans="1:17" ht="14.5" thickBot="1">
      <c r="A29" s="236" t="s">
        <v>160</v>
      </c>
      <c r="B29" s="236" t="s">
        <v>131</v>
      </c>
      <c r="C29" s="244">
        <f>VLOOKUP(A29,CHOOSE({1,2},F29:F73,K29:K73),2,FALSE)</f>
        <v>8.5446037057803122E-3</v>
      </c>
      <c r="D29" s="247" t="s">
        <v>225</v>
      </c>
      <c r="E29" s="236"/>
      <c r="F29" s="236" t="s">
        <v>160</v>
      </c>
      <c r="G29" s="236" cm="1">
        <f t="array" ref="G29">_xll.ciqfunctions.udf.CIQ(F29,"IQ_CLOSEPRICE",$E$2,"USD")-_xll.ciqfunctions.udf.CIQ(F29,"IQ_CLOSEPRICE",$E$3,"USD")</f>
        <v>-4.1500000000000057</v>
      </c>
      <c r="H29" s="246">
        <f>VLOOKUP(F29,'07_30_2025_agix_holdings'!$D$3:$E$48,2,FALSE)/$Q$2</f>
        <v>9.7111844621048608E-3</v>
      </c>
      <c r="I29" s="236">
        <f t="shared" si="1"/>
        <v>-4.030141551773523E-2</v>
      </c>
      <c r="J29" s="236"/>
      <c r="K29" s="236">
        <f t="shared" si="0"/>
        <v>8.5446037057803122E-3</v>
      </c>
      <c r="L29" s="242" cm="1">
        <f t="array" ref="L29">_xll.ciqfunctions.udf.CIQ(F29,"IQ_CLOSEPRICE",$E$2,"USD")</f>
        <v>173.72</v>
      </c>
      <c r="M29" s="242">
        <f t="shared" si="2"/>
        <v>1.6870269647568563</v>
      </c>
      <c r="N29" s="236">
        <f t="shared" si="3"/>
        <v>1.4843685557681559</v>
      </c>
      <c r="O29" s="236"/>
      <c r="P29" s="236"/>
      <c r="Q29" s="236"/>
    </row>
    <row r="30" spans="1:17" ht="14.5" thickBot="1">
      <c r="A30" s="236" t="s">
        <v>161</v>
      </c>
      <c r="B30" s="236" t="s">
        <v>134</v>
      </c>
      <c r="C30" s="244">
        <f>VLOOKUP(A30,CHOOSE({1,2},F30:F74,K30:K74),2,FALSE)</f>
        <v>3.6539284814816374E-3</v>
      </c>
      <c r="D30" s="247" t="s">
        <v>213</v>
      </c>
      <c r="E30" s="236"/>
      <c r="F30" s="236" t="s">
        <v>161</v>
      </c>
      <c r="G30" s="236" cm="1">
        <f t="array" ref="G30">_xll.ciqfunctions.udf.CIQ(F30,"IQ_CLOSEPRICE",$E$2,"USD")-_xll.ciqfunctions.udf.CIQ(F30,"IQ_CLOSEPRICE",$E$3,"USD")</f>
        <v>-9.3500000000000227</v>
      </c>
      <c r="H30" s="246">
        <f>VLOOKUP(F30,'07_30_2025_agix_holdings'!$D$3:$E$48,2,FALSE)/$Q$2</f>
        <v>4.1527933555306311E-3</v>
      </c>
      <c r="I30" s="236">
        <f t="shared" si="1"/>
        <v>-3.8828617874211498E-2</v>
      </c>
      <c r="J30" s="236"/>
      <c r="K30" s="236">
        <f t="shared" si="0"/>
        <v>3.6539284814816374E-3</v>
      </c>
      <c r="L30" s="242" cm="1">
        <f t="array" ref="L30">_xll.ciqfunctions.udf.CIQ(F30,"IQ_CLOSEPRICE",$E$2,"USD")</f>
        <v>244.42</v>
      </c>
      <c r="M30" s="242">
        <f t="shared" si="2"/>
        <v>1.0150257519587969</v>
      </c>
      <c r="N30" s="236">
        <f t="shared" si="3"/>
        <v>0.89309319944374177</v>
      </c>
      <c r="O30" s="236"/>
      <c r="P30" s="236"/>
      <c r="Q30" s="236"/>
    </row>
    <row r="31" spans="1:17" ht="14.5" thickBot="1">
      <c r="A31" s="236" t="s">
        <v>162</v>
      </c>
      <c r="B31" s="236" t="s">
        <v>134</v>
      </c>
      <c r="C31" s="244">
        <f>VLOOKUP(A31,CHOOSE({1,2},F31:F75,K31:K75),2,FALSE)</f>
        <v>2.0215917162040575E-3</v>
      </c>
      <c r="D31" s="247" t="s">
        <v>220</v>
      </c>
      <c r="E31" s="236"/>
      <c r="F31" s="236" t="s">
        <v>162</v>
      </c>
      <c r="G31" s="236" cm="1">
        <f t="array" ref="G31">_xll.ciqfunctions.udf.CIQ(F31,"IQ_CLOSEPRICE",$E$2,"USD")-_xll.ciqfunctions.udf.CIQ(F31,"IQ_CLOSEPRICE",$E$3,"USD")</f>
        <v>-0.71999999999999886</v>
      </c>
      <c r="H31" s="246">
        <f>VLOOKUP(F31,'07_30_2025_agix_holdings'!$D$3:$E$48,2,FALSE)/$Q$2</f>
        <v>2.2975963238458818E-3</v>
      </c>
      <c r="I31" s="236">
        <f t="shared" si="1"/>
        <v>-1.6542693531690323E-3</v>
      </c>
      <c r="J31" s="236"/>
      <c r="K31" s="236">
        <f t="shared" si="0"/>
        <v>2.0215917162040575E-3</v>
      </c>
      <c r="L31" s="242" cm="1">
        <f t="array" ref="L31">_xll.ciqfunctions.udf.CIQ(F31,"IQ_CLOSEPRICE",$E$2,"USD")</f>
        <v>172.88</v>
      </c>
      <c r="M31" s="242">
        <f t="shared" si="2"/>
        <v>0.39720845246647601</v>
      </c>
      <c r="N31" s="236">
        <f t="shared" si="3"/>
        <v>0.34949277589735744</v>
      </c>
      <c r="O31" s="236"/>
      <c r="P31" s="236"/>
      <c r="Q31" s="236"/>
    </row>
    <row r="32" spans="1:17" ht="14.5" thickBot="1">
      <c r="A32" s="236" t="s">
        <v>163</v>
      </c>
      <c r="B32" s="236" t="s">
        <v>134</v>
      </c>
      <c r="C32" s="244">
        <f>VLOOKUP(A32,CHOOSE({1,2},F32:F76,K32:K76),2,FALSE)</f>
        <v>5.650883808386551E-3</v>
      </c>
      <c r="D32" s="247" t="s">
        <v>349</v>
      </c>
      <c r="E32" s="236"/>
      <c r="F32" s="236" t="s">
        <v>163</v>
      </c>
      <c r="G32" s="236" cm="1">
        <f t="array" ref="G32">_xll.ciqfunctions.udf.CIQ(F32,"IQ_CLOSEPRICE",$E$2,"USD")-_xll.ciqfunctions.udf.CIQ(F32,"IQ_CLOSEPRICE",$E$3,"USD")</f>
        <v>-4.0799999999999841</v>
      </c>
      <c r="H32" s="246">
        <f>VLOOKUP(F32,'07_30_2025_agix_holdings'!$D$3:$E$48,2,FALSE)/$Q$2</f>
        <v>6.4223897241764416E-3</v>
      </c>
      <c r="I32" s="236">
        <f t="shared" si="1"/>
        <v>-2.6203350074639781E-2</v>
      </c>
      <c r="J32" s="236"/>
      <c r="K32" s="236">
        <f t="shared" si="0"/>
        <v>5.650883808386551E-3</v>
      </c>
      <c r="L32" s="242" cm="1">
        <f t="array" ref="L32">_xll.ciqfunctions.udf.CIQ(F32,"IQ_CLOSEPRICE",$E$2,"USD")</f>
        <v>154.27000000000001</v>
      </c>
      <c r="M32" s="242">
        <f t="shared" si="2"/>
        <v>0.99078206274869973</v>
      </c>
      <c r="N32" s="236">
        <f t="shared" si="3"/>
        <v>0.87176184511979327</v>
      </c>
      <c r="O32" s="236"/>
      <c r="P32" s="236"/>
      <c r="Q32" s="236"/>
    </row>
    <row r="33" spans="1:17" ht="14.5" thickBot="1">
      <c r="A33" s="236" t="s">
        <v>164</v>
      </c>
      <c r="B33" s="236" t="s">
        <v>134</v>
      </c>
      <c r="C33" s="244">
        <f>VLOOKUP(A33,CHOOSE({1,2},F33:F77,K33:K77),2,FALSE)</f>
        <v>6.5751003555230159E-3</v>
      </c>
      <c r="D33" s="247" t="s">
        <v>350</v>
      </c>
      <c r="E33" s="236"/>
      <c r="F33" s="236" t="s">
        <v>164</v>
      </c>
      <c r="G33" s="236" cm="1">
        <f t="array" ref="G33">_xll.ciqfunctions.udf.CIQ(F33,"IQ_CLOSEPRICE",$E$2,"USD")-_xll.ciqfunctions.udf.CIQ(F33,"IQ_CLOSEPRICE",$E$3,"USD")</f>
        <v>-5.0100000000000051</v>
      </c>
      <c r="H33" s="246">
        <f>VLOOKUP(F33,'07_30_2025_agix_holdings'!$D$3:$E$48,2,FALSE)/$Q$2</f>
        <v>7.4727880435391299E-3</v>
      </c>
      <c r="I33" s="236">
        <f t="shared" si="1"/>
        <v>-3.7438668098131081E-2</v>
      </c>
      <c r="J33" s="236"/>
      <c r="K33" s="236">
        <f t="shared" si="0"/>
        <v>6.5751003555230159E-3</v>
      </c>
      <c r="L33" s="242" cm="1">
        <f t="array" ref="L33">_xll.ciqfunctions.udf.CIQ(F33,"IQ_CLOSEPRICE",$E$2,"USD")</f>
        <v>54.51</v>
      </c>
      <c r="M33" s="242">
        <f t="shared" si="2"/>
        <v>0.40734167625331796</v>
      </c>
      <c r="N33" s="236">
        <f t="shared" si="3"/>
        <v>0.35840872037955956</v>
      </c>
      <c r="O33" s="236"/>
      <c r="P33" s="236"/>
      <c r="Q33" s="236"/>
    </row>
    <row r="34" spans="1:17" ht="14.5" thickBot="1">
      <c r="A34" s="236" t="s">
        <v>165</v>
      </c>
      <c r="B34" s="236" t="s">
        <v>131</v>
      </c>
      <c r="C34" s="244">
        <f>VLOOKUP(A34,CHOOSE({1,2},F34:F78,K34:K78),2,FALSE)</f>
        <v>1.7745239263754974E-3</v>
      </c>
      <c r="D34" s="247" t="s">
        <v>236</v>
      </c>
      <c r="E34" s="236"/>
      <c r="F34" s="236" t="s">
        <v>165</v>
      </c>
      <c r="G34" s="236" cm="1">
        <f t="array" ref="G34">_xll.ciqfunctions.udf.CIQ(F34,"IQ_CLOSEPRICE",$E$2,"USD")-_xll.ciqfunctions.udf.CIQ(F34,"IQ_CLOSEPRICE",$E$3,"USD")</f>
        <v>1.4300000000000068</v>
      </c>
      <c r="H34" s="246">
        <f>VLOOKUP(F34,'07_30_2025_agix_holdings'!$D$3:$E$48,2,FALSE)/$Q$2</f>
        <v>2.0167967731251628E-3</v>
      </c>
      <c r="I34" s="236">
        <f t="shared" si="1"/>
        <v>2.8840193855689967E-3</v>
      </c>
      <c r="J34" s="236"/>
      <c r="K34" s="236">
        <f t="shared" si="0"/>
        <v>1.7745239263754974E-3</v>
      </c>
      <c r="L34" s="242" cm="1">
        <f t="array" ref="L34">_xll.ciqfunctions.udf.CIQ(F34,"IQ_CLOSEPRICE",$E$2,"USD")</f>
        <v>148.19</v>
      </c>
      <c r="M34" s="242">
        <f t="shared" si="2"/>
        <v>0.29886911380941789</v>
      </c>
      <c r="N34" s="236">
        <f t="shared" si="3"/>
        <v>0.26296670064958494</v>
      </c>
      <c r="O34" s="236"/>
      <c r="P34" s="236"/>
      <c r="Q34" s="236"/>
    </row>
    <row r="35" spans="1:17" ht="14.5" thickBot="1">
      <c r="A35" s="236" t="s">
        <v>166</v>
      </c>
      <c r="B35" s="236" t="s">
        <v>132</v>
      </c>
      <c r="C35" s="244">
        <f>VLOOKUP(A35,CHOOSE({1,2},F35:F79,K35:K79),2,FALSE)</f>
        <v>6.2161129685926299E-3</v>
      </c>
      <c r="D35" s="247" t="s">
        <v>351</v>
      </c>
      <c r="E35" s="236"/>
      <c r="F35" s="236" t="s">
        <v>166</v>
      </c>
      <c r="G35" s="236" cm="1">
        <f t="array" ref="G35">_xll.ciqfunctions.udf.CIQ(F35,"IQ_CLOSEPRICE",$E$2,"USD")-_xll.ciqfunctions.udf.CIQ(F35,"IQ_CLOSEPRICE",$E$3,"USD")</f>
        <v>-12.759999999999991</v>
      </c>
      <c r="H35" s="246">
        <f>VLOOKUP(F35,'07_30_2025_agix_holdings'!$D$3:$E$48,2,FALSE)/$Q$2</f>
        <v>7.0647886963380859E-3</v>
      </c>
      <c r="I35" s="236">
        <f t="shared" si="1"/>
        <v>-9.0146703765273908E-2</v>
      </c>
      <c r="J35" s="236"/>
      <c r="K35" s="236">
        <f t="shared" si="0"/>
        <v>6.2161129685926299E-3</v>
      </c>
      <c r="L35" s="242" cm="1">
        <f t="array" ref="L35">_xll.ciqfunctions.udf.CIQ(F35,"IQ_CLOSEPRICE",$E$2,"USD")</f>
        <v>125.03</v>
      </c>
      <c r="M35" s="242">
        <f t="shared" si="2"/>
        <v>0.88331053070315091</v>
      </c>
      <c r="N35" s="236">
        <f t="shared" si="3"/>
        <v>0.77720060446313655</v>
      </c>
      <c r="O35" s="236"/>
      <c r="P35" s="236"/>
      <c r="Q35" s="236"/>
    </row>
    <row r="36" spans="1:17" ht="14.5" thickBot="1">
      <c r="A36" s="236" t="s">
        <v>167</v>
      </c>
      <c r="B36" s="236" t="s">
        <v>132</v>
      </c>
      <c r="C36" s="244">
        <f>VLOOKUP(A36,CHOOSE({1,2},F36:F80,K36:K80),2,FALSE)</f>
        <v>2.272882887055328E-3</v>
      </c>
      <c r="D36" s="247" t="s">
        <v>199</v>
      </c>
      <c r="E36" s="236"/>
      <c r="F36" s="236" t="s">
        <v>167</v>
      </c>
      <c r="G36" s="236" cm="1">
        <f t="array" ref="G36">_xll.ciqfunctions.udf.CIQ(F36,"IQ_CLOSEPRICE",$E$2,"USD")-_xll.ciqfunctions.udf.CIQ(F36,"IQ_CLOSEPRICE",$E$3,"USD")</f>
        <v>-4.4177099999999996</v>
      </c>
      <c r="H36" s="246">
        <f>VLOOKUP(F36,'07_30_2025_agix_holdings'!$D$3:$E$48,2,FALSE)/$Q$2</f>
        <v>2.5831958668866128E-3</v>
      </c>
      <c r="I36" s="236">
        <f t="shared" si="1"/>
        <v>-1.1411810213103658E-2</v>
      </c>
      <c r="J36" s="236"/>
      <c r="K36" s="236">
        <f t="shared" si="0"/>
        <v>2.272882887055328E-3</v>
      </c>
      <c r="L36" s="242" cm="1">
        <f t="array" ref="L36">_xll.ciqfunctions.udf.CIQ(F36,"IQ_CLOSEPRICE",$E$2,"USD")</f>
        <v>282.47316000000001</v>
      </c>
      <c r="M36" s="242">
        <f t="shared" si="2"/>
        <v>0.72968349941840094</v>
      </c>
      <c r="N36" s="236">
        <f t="shared" si="3"/>
        <v>0.64202841141644162</v>
      </c>
      <c r="O36" s="236"/>
      <c r="P36" s="236"/>
      <c r="Q36" s="236"/>
    </row>
    <row r="37" spans="1:17" ht="14.5" thickBot="1">
      <c r="A37" s="236" t="s">
        <v>168</v>
      </c>
      <c r="B37" s="236" t="s">
        <v>132</v>
      </c>
      <c r="C37" s="244">
        <f>VLOOKUP(A37,CHOOSE({1,2},F37:F81,K37:K81),2,FALSE)</f>
        <v>4.3303733419524241E-3</v>
      </c>
      <c r="D37" s="247" t="s">
        <v>352</v>
      </c>
      <c r="E37" s="236"/>
      <c r="F37" s="236" t="s">
        <v>168</v>
      </c>
      <c r="G37" s="236" cm="1">
        <f t="array" ref="G37">_xll.ciqfunctions.udf.CIQ(F37,"IQ_CLOSEPRICE",$E$2,"USD")-_xll.ciqfunctions.udf.CIQ(F37,"IQ_CLOSEPRICE",$E$3,"USD")</f>
        <v>-3.6099999999999994</v>
      </c>
      <c r="H37" s="246">
        <f>VLOOKUP(F37,'07_30_2025_agix_holdings'!$D$3:$E$48,2,FALSE)/$Q$2</f>
        <v>4.9215921254525995E-3</v>
      </c>
      <c r="I37" s="236">
        <f t="shared" si="1"/>
        <v>-1.7766947572883881E-2</v>
      </c>
      <c r="J37" s="236"/>
      <c r="K37" s="236">
        <f t="shared" si="0"/>
        <v>4.3303733419524241E-3</v>
      </c>
      <c r="L37" s="242" cm="1">
        <f t="array" ref="L37">_xll.ciqfunctions.udf.CIQ(F37,"IQ_CLOSEPRICE",$E$2,"USD")</f>
        <v>118.6</v>
      </c>
      <c r="M37" s="242">
        <f t="shared" si="2"/>
        <v>0.58370082607867824</v>
      </c>
      <c r="N37" s="236">
        <f t="shared" si="3"/>
        <v>0.51358227835555748</v>
      </c>
      <c r="O37" s="236"/>
      <c r="P37" s="236"/>
      <c r="Q37" s="236"/>
    </row>
    <row r="38" spans="1:17" ht="14.5" thickBot="1">
      <c r="A38" s="236" t="s">
        <v>169</v>
      </c>
      <c r="B38" s="236" t="s">
        <v>134</v>
      </c>
      <c r="C38" s="244">
        <f>VLOOKUP(A38,CHOOSE({1,2},F38:F82,K38:K82),2,FALSE)</f>
        <v>2.8029172054054867E-3</v>
      </c>
      <c r="D38" s="247" t="s">
        <v>353</v>
      </c>
      <c r="E38" s="236"/>
      <c r="F38" s="236" t="s">
        <v>169</v>
      </c>
      <c r="G38" s="236" cm="1">
        <f t="array" ref="G38">_xll.ciqfunctions.udf.CIQ(F38,"IQ_CLOSEPRICE",$E$2,"USD")-_xll.ciqfunctions.udf.CIQ(F38,"IQ_CLOSEPRICE",$E$3,"USD")</f>
        <v>-18.47999999999999</v>
      </c>
      <c r="H38" s="246">
        <f>VLOOKUP(F38,'07_30_2025_agix_holdings'!$D$3:$E$48,2,FALSE)/$Q$2</f>
        <v>3.1855949030481553E-3</v>
      </c>
      <c r="I38" s="236">
        <f t="shared" si="1"/>
        <v>-5.8869793808329879E-2</v>
      </c>
      <c r="J38" s="236"/>
      <c r="K38" s="236">
        <f t="shared" si="0"/>
        <v>2.8029172054054867E-3</v>
      </c>
      <c r="L38" s="242" cm="1">
        <f t="array" ref="L38">_xll.ciqfunctions.udf.CIQ(F38,"IQ_CLOSEPRICE",$E$2,"USD")</f>
        <v>205.02</v>
      </c>
      <c r="M38" s="242">
        <f t="shared" si="2"/>
        <v>0.65311066702293286</v>
      </c>
      <c r="N38" s="236">
        <f t="shared" si="3"/>
        <v>0.57465408545223295</v>
      </c>
      <c r="O38" s="236"/>
      <c r="P38" s="236"/>
      <c r="Q38" s="236"/>
    </row>
    <row r="39" spans="1:17" ht="14.5" thickBot="1">
      <c r="A39" s="236" t="s">
        <v>170</v>
      </c>
      <c r="B39" s="236" t="s">
        <v>131</v>
      </c>
      <c r="C39" s="244">
        <f>VLOOKUP(A39,CHOOSE({1,2},F39:F83,K39:K83),2,FALSE)</f>
        <v>5.4270446141828983E-4</v>
      </c>
      <c r="D39" s="247" t="s">
        <v>237</v>
      </c>
      <c r="E39" s="236"/>
      <c r="F39" s="236" t="s">
        <v>170</v>
      </c>
      <c r="G39" s="236" cm="1">
        <f t="array" ref="G39">_xll.ciqfunctions.udf.CIQ(F39,"IQ_CLOSEPRICE",$E$2,"USD")-_xll.ciqfunctions.udf.CIQ(F39,"IQ_CLOSEPRICE",$E$3,"USD")</f>
        <v>-14.82000000000005</v>
      </c>
      <c r="H39" s="246">
        <f>VLOOKUP(F39,'07_30_2025_agix_holdings'!$D$3:$E$48,2,FALSE)/$Q$2</f>
        <v>6.1679901312157903E-4</v>
      </c>
      <c r="I39" s="236">
        <f t="shared" si="1"/>
        <v>-9.1409613744618326E-3</v>
      </c>
      <c r="J39" s="236"/>
      <c r="K39" s="236">
        <f t="shared" si="0"/>
        <v>5.4270446141828983E-4</v>
      </c>
      <c r="L39" s="242" cm="1">
        <f t="array" ref="L39">_xll.ciqfunctions.udf.CIQ(F39,"IQ_CLOSEPRICE",$E$2,"USD")</f>
        <v>618.65</v>
      </c>
      <c r="M39" s="242">
        <f t="shared" si="2"/>
        <v>0.38158270946766487</v>
      </c>
      <c r="N39" s="236">
        <f t="shared" si="3"/>
        <v>0.33574411505642499</v>
      </c>
      <c r="O39" s="236"/>
      <c r="P39" s="236"/>
      <c r="Q39" s="236"/>
    </row>
    <row r="40" spans="1:17">
      <c r="A40" s="236" t="s">
        <v>171</v>
      </c>
      <c r="B40" s="236" t="s">
        <v>132</v>
      </c>
      <c r="C40" s="244">
        <f>VLOOKUP(A40,CHOOSE({1,2},F40:F84,K40:K84),2,FALSE)</f>
        <v>2.0272228909010048E-3</v>
      </c>
      <c r="D40" s="247" t="s">
        <v>354</v>
      </c>
      <c r="E40" s="236"/>
      <c r="F40" s="236" t="s">
        <v>171</v>
      </c>
      <c r="G40" s="236" cm="1">
        <f t="array" ref="G40">_xll.ciqfunctions.udf.CIQ(F40,"IQ_CLOSEPRICE",$E$2,"USD")-_xll.ciqfunctions.udf.CIQ(F40,"IQ_CLOSEPRICE",$E$3,"USD")</f>
        <v>-8.8199999999999932</v>
      </c>
      <c r="H40" s="246">
        <f>VLOOKUP(F40,'07_30_2025_agix_holdings'!$D$3:$E$48,2,FALSE)/$Q$2</f>
        <v>2.3039963136058982E-3</v>
      </c>
      <c r="I40" s="236">
        <f t="shared" si="1"/>
        <v>-2.0321247486004005E-2</v>
      </c>
      <c r="J40" s="236"/>
      <c r="K40" s="236">
        <f t="shared" si="0"/>
        <v>2.0272228909010048E-3</v>
      </c>
      <c r="L40" s="242" cm="1">
        <f t="array" ref="L40">_xll.ciqfunctions.udf.CIQ(F40,"IQ_CLOSEPRICE",$E$2,"USD")</f>
        <v>182.96</v>
      </c>
      <c r="M40" s="242">
        <f t="shared" si="2"/>
        <v>0.42153916553733517</v>
      </c>
      <c r="N40" s="236">
        <f t="shared" si="3"/>
        <v>0.37090070011924786</v>
      </c>
      <c r="O40" s="236"/>
      <c r="P40" s="236"/>
      <c r="Q40" s="236"/>
    </row>
    <row r="41" spans="1:17">
      <c r="A41" s="236" t="s">
        <v>172</v>
      </c>
      <c r="B41" s="236" t="s">
        <v>132</v>
      </c>
      <c r="C41" s="244">
        <f>VLOOKUP(A41,CHOOSE({1,2},F41:F85,K41:K85),2,FALSE)</f>
        <v>8.2792345981866737E-3</v>
      </c>
      <c r="D41" s="236" t="s">
        <v>200</v>
      </c>
      <c r="E41" s="236"/>
      <c r="F41" s="236" t="s">
        <v>172</v>
      </c>
      <c r="G41" s="236" cm="1">
        <f t="array" ref="G41">_xll.ciqfunctions.udf.CIQ(F41,"IQ_CLOSEPRICE",$E$2,"USD")-_xll.ciqfunctions.udf.CIQ(F41,"IQ_CLOSEPRICE",$E$3,"USD")</f>
        <v>-1.7000000000000028</v>
      </c>
      <c r="H41" s="246">
        <f>VLOOKUP(F41,'07_30_2025_agix_holdings'!$D$3:$E$48,2,FALSE)/$Q$2</f>
        <v>9.4095849446640886E-3</v>
      </c>
      <c r="I41" s="236">
        <f t="shared" si="1"/>
        <v>-1.5996294405928979E-2</v>
      </c>
      <c r="J41" s="236"/>
      <c r="K41" s="236">
        <f t="shared" si="0"/>
        <v>8.2792345981866737E-3</v>
      </c>
      <c r="L41" s="242" cm="1">
        <f t="array" ref="L41">_xll.ciqfunctions.udf.CIQ(F41,"IQ_CLOSEPRICE",$E$2,"USD")</f>
        <v>54.89</v>
      </c>
      <c r="M41" s="242">
        <f t="shared" si="2"/>
        <v>0.51649211761261182</v>
      </c>
      <c r="N41" s="236">
        <f t="shared" si="3"/>
        <v>0.45444718709446652</v>
      </c>
      <c r="O41" s="236"/>
      <c r="P41" s="236"/>
      <c r="Q41" s="236"/>
    </row>
    <row r="42" spans="1:17">
      <c r="A42" s="236" t="s">
        <v>173</v>
      </c>
      <c r="B42" s="236" t="s">
        <v>134</v>
      </c>
      <c r="C42" s="244">
        <f>VLOOKUP(A42,CHOOSE({1,2},F42:F86,K42:K86),2,FALSE)</f>
        <v>2.5354364073004931E-3</v>
      </c>
      <c r="D42" s="236" t="s">
        <v>211</v>
      </c>
      <c r="E42" s="236"/>
      <c r="F42" s="236" t="s">
        <v>173</v>
      </c>
      <c r="G42" s="236" cm="1">
        <f t="array" ref="G42">_xll.ciqfunctions.udf.CIQ(F42,"IQ_CLOSEPRICE",$E$2,"USD")-_xll.ciqfunctions.udf.CIQ(F42,"IQ_CLOSEPRICE",$E$3,"USD")</f>
        <v>-5.6399999999999864</v>
      </c>
      <c r="H42" s="246">
        <f>VLOOKUP(F42,'07_30_2025_agix_holdings'!$D$3:$E$48,2,FALSE)/$Q$2</f>
        <v>2.8815953894473769E-3</v>
      </c>
      <c r="I42" s="236">
        <f t="shared" si="1"/>
        <v>-1.6252197996483166E-2</v>
      </c>
      <c r="J42" s="236"/>
      <c r="K42" s="236">
        <f t="shared" si="0"/>
        <v>2.5354364073004931E-3</v>
      </c>
      <c r="L42" s="242" cm="1">
        <f t="array" ref="L42">_xll.ciqfunctions.udf.CIQ(F42,"IQ_CLOSEPRICE",$E$2,"USD")</f>
        <v>302.63</v>
      </c>
      <c r="M42" s="242">
        <f t="shared" si="2"/>
        <v>0.87205721270845971</v>
      </c>
      <c r="N42" s="236">
        <f t="shared" si="3"/>
        <v>0.76729911994134825</v>
      </c>
      <c r="O42" s="236"/>
      <c r="P42" s="236"/>
      <c r="Q42" s="236"/>
    </row>
    <row r="43" spans="1:17">
      <c r="A43" s="236" t="s">
        <v>174</v>
      </c>
      <c r="B43" s="236" t="s">
        <v>131</v>
      </c>
      <c r="C43" s="244">
        <f>VLOOKUP(A43,CHOOSE({1,2},F43:F87,K43:K87),2,FALSE)</f>
        <v>3.3871515802137622E-3</v>
      </c>
      <c r="D43" s="236" t="s">
        <v>355</v>
      </c>
      <c r="E43" s="236"/>
      <c r="F43" s="236" t="s">
        <v>174</v>
      </c>
      <c r="G43" s="236" cm="1">
        <f t="array" ref="G43">_xll.ciqfunctions.udf.CIQ(F43,"IQ_CLOSEPRICE",$E$2,"USD")-_xll.ciqfunctions.udf.CIQ(F43,"IQ_CLOSEPRICE",$E$3,"USD")</f>
        <v>-4.0099999999999909</v>
      </c>
      <c r="H43" s="246">
        <f>VLOOKUP(F43,'07_30_2025_agix_holdings'!$D$3:$E$48,2,FALSE)/$Q$2</f>
        <v>3.849593840649855E-3</v>
      </c>
      <c r="I43" s="236">
        <f t="shared" si="1"/>
        <v>-1.5436871301005883E-2</v>
      </c>
      <c r="J43" s="236"/>
      <c r="K43" s="236">
        <f t="shared" si="0"/>
        <v>3.3871515802137622E-3</v>
      </c>
      <c r="L43" s="242" cm="1">
        <f t="array" ref="L43">_xll.ciqfunctions.udf.CIQ(F43,"IQ_CLOSEPRICE",$E$2,"USD")</f>
        <v>141.59</v>
      </c>
      <c r="M43" s="242">
        <f t="shared" si="2"/>
        <v>0.54506399189761301</v>
      </c>
      <c r="N43" s="236">
        <f t="shared" si="3"/>
        <v>0.47958679224246659</v>
      </c>
      <c r="O43" s="236"/>
      <c r="P43" s="236"/>
      <c r="Q43" s="236"/>
    </row>
    <row r="44" spans="1:17">
      <c r="A44" s="236" t="s">
        <v>175</v>
      </c>
      <c r="B44" s="236" t="s">
        <v>132</v>
      </c>
      <c r="C44" s="244">
        <f>VLOOKUP(A44,CHOOSE({1,2},F44:F88,K44:K88),2,FALSE)</f>
        <v>1.7386251876824591E-3</v>
      </c>
      <c r="D44" s="236" t="s">
        <v>356</v>
      </c>
      <c r="E44" s="236"/>
      <c r="F44" s="236" t="s">
        <v>175</v>
      </c>
      <c r="G44" s="236" cm="1">
        <f t="array" ref="G44">_xll.ciqfunctions.udf.CIQ(F44,"IQ_CLOSEPRICE",$E$2,"USD")-_xll.ciqfunctions.udf.CIQ(F44,"IQ_CLOSEPRICE",$E$3,"USD")</f>
        <v>-7.1599999999999966</v>
      </c>
      <c r="H44" s="246">
        <f>VLOOKUP(F44,'07_30_2025_agix_holdings'!$D$3:$E$48,2,FALSE)/$Q$2</f>
        <v>1.9759968384050587E-3</v>
      </c>
      <c r="I44" s="236">
        <f t="shared" si="1"/>
        <v>-1.4148137362980213E-2</v>
      </c>
      <c r="J44" s="236"/>
      <c r="K44" s="236">
        <f t="shared" si="0"/>
        <v>1.7386251876824591E-3</v>
      </c>
      <c r="L44" s="242" cm="1">
        <f t="array" ref="L44">_xll.ciqfunctions.udf.CIQ(F44,"IQ_CLOSEPRICE",$E$2,"USD")</f>
        <v>222.22</v>
      </c>
      <c r="M44" s="242">
        <f t="shared" si="2"/>
        <v>0.43910601743037214</v>
      </c>
      <c r="N44" s="236">
        <f t="shared" si="3"/>
        <v>0.38635728920679607</v>
      </c>
      <c r="O44" s="236"/>
      <c r="P44" s="236"/>
      <c r="Q44" s="236"/>
    </row>
    <row r="45" spans="1:17">
      <c r="A45" s="236" t="s">
        <v>176</v>
      </c>
      <c r="B45" s="236" t="s">
        <v>134</v>
      </c>
      <c r="C45" s="244">
        <f>VLOOKUP(A45,CHOOSE({1,2},F45:F89,K45:K89),2,FALSE)</f>
        <v>1.3909001501459673E-3</v>
      </c>
      <c r="D45" s="236" t="s">
        <v>223</v>
      </c>
      <c r="E45" s="236"/>
      <c r="F45" s="236" t="s">
        <v>176</v>
      </c>
      <c r="G45" s="236" cm="1">
        <f t="array" ref="G45">_xll.ciqfunctions.udf.CIQ(F45,"IQ_CLOSEPRICE",$E$2,"USD")-_xll.ciqfunctions.udf.CIQ(F45,"IQ_CLOSEPRICE",$E$3,"USD")</f>
        <v>-5.2900000000000205</v>
      </c>
      <c r="H45" s="246">
        <f>VLOOKUP(F45,'07_30_2025_agix_holdings'!$D$3:$E$48,2,FALSE)/$Q$2</f>
        <v>1.5807974707240469E-3</v>
      </c>
      <c r="I45" s="236">
        <f t="shared" si="1"/>
        <v>-8.3624186201302405E-3</v>
      </c>
      <c r="J45" s="236"/>
      <c r="K45" s="236">
        <f t="shared" si="0"/>
        <v>1.3909001501459673E-3</v>
      </c>
      <c r="L45" s="242" cm="1">
        <f t="array" ref="L45">_xll.ciqfunctions.udf.CIQ(F45,"IQ_CLOSEPRICE",$E$2,"USD")</f>
        <v>280.27</v>
      </c>
      <c r="M45" s="242">
        <f t="shared" si="2"/>
        <v>0.44305010711982856</v>
      </c>
      <c r="N45" s="236">
        <f t="shared" si="3"/>
        <v>0.38982758508141024</v>
      </c>
      <c r="O45" s="236"/>
      <c r="P45" s="236"/>
      <c r="Q45" s="236"/>
    </row>
    <row r="46" spans="1:17">
      <c r="A46" s="236"/>
      <c r="B46" s="236"/>
      <c r="C46" s="236"/>
      <c r="D46" s="236"/>
      <c r="E46" s="236"/>
      <c r="O46" s="236"/>
      <c r="P46" s="236"/>
      <c r="Q46" s="236"/>
    </row>
    <row r="47" spans="1:17">
      <c r="I47" s="236"/>
    </row>
  </sheetData>
  <phoneticPr fontId="31"/>
  <pageMargins left="0.75" right="0.75" top="1" bottom="1"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0E7126-C3D7-440A-AB84-DED91B9E6CE6}">
  <dimension ref="A1:F48"/>
  <sheetViews>
    <sheetView workbookViewId="0">
      <selection activeCell="B3" sqref="B3"/>
    </sheetView>
  </sheetViews>
  <sheetFormatPr defaultRowHeight="14"/>
  <cols>
    <col min="1" max="1" width="10.4140625" style="253" customWidth="1"/>
    <col min="2" max="2" width="25.83203125" style="253" customWidth="1"/>
    <col min="3" max="3" width="9.4140625" style="253" customWidth="1"/>
    <col min="4" max="4" width="16.83203125" style="253" customWidth="1"/>
    <col min="5" max="5" width="17.6640625" style="253" customWidth="1"/>
    <col min="6" max="6" width="15.33203125" style="253" bestFit="1" customWidth="1"/>
    <col min="7" max="16384" width="8.6640625" style="253"/>
  </cols>
  <sheetData>
    <row r="1" spans="1:6">
      <c r="A1" s="253" t="s">
        <v>363</v>
      </c>
      <c r="B1" s="253" t="s">
        <v>362</v>
      </c>
      <c r="C1" s="253" t="s">
        <v>252</v>
      </c>
    </row>
    <row r="2" spans="1:6">
      <c r="A2" s="253" t="s">
        <v>361</v>
      </c>
      <c r="B2" s="253" t="s">
        <v>253</v>
      </c>
      <c r="C2" s="253" t="s">
        <v>254</v>
      </c>
      <c r="D2" s="253" t="s">
        <v>1</v>
      </c>
      <c r="E2" s="253" t="s">
        <v>360</v>
      </c>
      <c r="F2" s="253" t="s">
        <v>359</v>
      </c>
    </row>
    <row r="3" spans="1:6">
      <c r="A3" s="253">
        <v>1</v>
      </c>
      <c r="B3" s="253" t="s">
        <v>195</v>
      </c>
      <c r="C3" s="253">
        <v>6.98</v>
      </c>
      <c r="D3" s="255" t="s">
        <v>153</v>
      </c>
      <c r="E3" s="254">
        <v>4549</v>
      </c>
      <c r="F3" s="254">
        <v>3162510</v>
      </c>
    </row>
    <row r="4" spans="1:6">
      <c r="A4" s="253">
        <v>2</v>
      </c>
      <c r="B4" s="253" t="s">
        <v>208</v>
      </c>
      <c r="C4" s="253">
        <v>5.21</v>
      </c>
      <c r="D4" s="255" t="s">
        <v>155</v>
      </c>
      <c r="E4" s="254">
        <v>4599</v>
      </c>
      <c r="F4" s="254">
        <v>2360391</v>
      </c>
    </row>
    <row r="5" spans="1:6">
      <c r="A5" s="253">
        <v>3</v>
      </c>
      <c r="B5" s="253" t="s">
        <v>209</v>
      </c>
      <c r="C5" s="253">
        <v>5.01</v>
      </c>
      <c r="D5" s="255" t="s">
        <v>138</v>
      </c>
      <c r="E5" s="254">
        <v>9862</v>
      </c>
      <c r="F5" s="254">
        <v>2270134</v>
      </c>
    </row>
    <row r="6" spans="1:6">
      <c r="A6" s="253">
        <v>4</v>
      </c>
      <c r="B6" s="253" t="s">
        <v>225</v>
      </c>
      <c r="C6" s="253">
        <v>4.8</v>
      </c>
      <c r="D6" s="255" t="s">
        <v>160</v>
      </c>
      <c r="E6" s="254">
        <v>12139</v>
      </c>
      <c r="F6" s="254">
        <v>2176159</v>
      </c>
    </row>
    <row r="7" spans="1:6">
      <c r="A7" s="253">
        <v>5</v>
      </c>
      <c r="B7" s="253" t="s">
        <v>210</v>
      </c>
      <c r="C7" s="253">
        <v>3.52</v>
      </c>
      <c r="D7" s="255" t="s">
        <v>149</v>
      </c>
      <c r="E7" s="254">
        <v>8127</v>
      </c>
      <c r="F7" s="254">
        <v>1597199</v>
      </c>
    </row>
    <row r="8" spans="1:6">
      <c r="A8" s="253">
        <v>6</v>
      </c>
      <c r="B8" s="253" t="s">
        <v>358</v>
      </c>
      <c r="C8" s="253">
        <v>3.31</v>
      </c>
      <c r="D8" s="255"/>
      <c r="F8" s="254">
        <v>1500020</v>
      </c>
    </row>
    <row r="9" spans="1:6">
      <c r="A9" s="253">
        <v>7</v>
      </c>
      <c r="B9" s="253" t="s">
        <v>226</v>
      </c>
      <c r="C9" s="253">
        <v>3.07</v>
      </c>
      <c r="D9" s="255" t="s">
        <v>136</v>
      </c>
      <c r="E9" s="254">
        <v>6653</v>
      </c>
      <c r="F9" s="254">
        <v>1390810</v>
      </c>
    </row>
    <row r="10" spans="1:6">
      <c r="A10" s="253">
        <v>8</v>
      </c>
      <c r="B10" s="253" t="s">
        <v>214</v>
      </c>
      <c r="C10" s="253">
        <v>2.9</v>
      </c>
      <c r="D10" s="255" t="s">
        <v>157</v>
      </c>
      <c r="E10" s="254">
        <v>25613</v>
      </c>
      <c r="F10" s="254">
        <v>1313691</v>
      </c>
    </row>
    <row r="11" spans="1:6">
      <c r="A11" s="253">
        <v>9</v>
      </c>
      <c r="B11" s="253" t="s">
        <v>213</v>
      </c>
      <c r="C11" s="253">
        <v>2.87</v>
      </c>
      <c r="D11" s="255" t="s">
        <v>161</v>
      </c>
      <c r="E11" s="254">
        <v>5191</v>
      </c>
      <c r="F11" s="254">
        <v>1300865</v>
      </c>
    </row>
    <row r="12" spans="1:6">
      <c r="A12" s="253">
        <v>10</v>
      </c>
      <c r="B12" s="253" t="s">
        <v>227</v>
      </c>
      <c r="C12" s="253">
        <v>2.84</v>
      </c>
      <c r="D12" s="255" t="s">
        <v>142</v>
      </c>
      <c r="E12" s="254">
        <v>4255</v>
      </c>
      <c r="F12" s="254">
        <v>1287648</v>
      </c>
    </row>
    <row r="13" spans="1:6">
      <c r="A13" s="253">
        <v>11</v>
      </c>
      <c r="B13" s="253" t="s">
        <v>212</v>
      </c>
      <c r="C13" s="253">
        <v>2.81</v>
      </c>
      <c r="D13" s="255" t="s">
        <v>163</v>
      </c>
      <c r="E13" s="254">
        <v>8028</v>
      </c>
      <c r="F13" s="254">
        <v>1273321</v>
      </c>
    </row>
    <row r="14" spans="1:6">
      <c r="A14" s="253">
        <v>12</v>
      </c>
      <c r="B14" s="253" t="s">
        <v>357</v>
      </c>
      <c r="C14" s="253">
        <v>2.64</v>
      </c>
      <c r="D14" s="255"/>
      <c r="F14" s="254">
        <v>1194543</v>
      </c>
    </row>
    <row r="15" spans="1:6">
      <c r="A15" s="253">
        <v>13</v>
      </c>
      <c r="B15" s="253" t="s">
        <v>211</v>
      </c>
      <c r="C15" s="253">
        <v>2.54</v>
      </c>
      <c r="D15" s="255" t="s">
        <v>173</v>
      </c>
      <c r="E15" s="254">
        <v>3602</v>
      </c>
      <c r="F15" s="254">
        <v>1149182</v>
      </c>
    </row>
    <row r="16" spans="1:6">
      <c r="A16" s="253">
        <v>14</v>
      </c>
      <c r="B16" s="253" t="s">
        <v>196</v>
      </c>
      <c r="C16" s="253">
        <v>2.5099999999999998</v>
      </c>
      <c r="D16" s="255" t="s">
        <v>144</v>
      </c>
      <c r="E16" s="254">
        <v>4288</v>
      </c>
      <c r="F16" s="254">
        <v>1135505</v>
      </c>
    </row>
    <row r="17" spans="1:6">
      <c r="A17" s="253">
        <v>15</v>
      </c>
      <c r="B17" s="253" t="s">
        <v>197</v>
      </c>
      <c r="C17" s="253">
        <v>2.4700000000000002</v>
      </c>
      <c r="D17" s="255" t="s">
        <v>159</v>
      </c>
      <c r="E17" s="254">
        <v>1143</v>
      </c>
      <c r="F17" s="254">
        <v>1117260</v>
      </c>
    </row>
    <row r="18" spans="1:6">
      <c r="A18" s="253">
        <v>16</v>
      </c>
      <c r="B18" s="253" t="s">
        <v>204</v>
      </c>
      <c r="C18" s="253">
        <v>2.4300000000000002</v>
      </c>
      <c r="D18" s="255" t="s">
        <v>166</v>
      </c>
      <c r="E18" s="254">
        <v>8831</v>
      </c>
      <c r="F18" s="254">
        <v>1103345</v>
      </c>
    </row>
    <row r="19" spans="1:6">
      <c r="A19" s="253">
        <v>17</v>
      </c>
      <c r="B19" s="253" t="s">
        <v>228</v>
      </c>
      <c r="C19" s="253">
        <v>2.3199999999999998</v>
      </c>
      <c r="D19" s="255" t="s">
        <v>133</v>
      </c>
      <c r="E19" s="254">
        <v>27000</v>
      </c>
      <c r="F19" s="254">
        <v>1049788</v>
      </c>
    </row>
    <row r="20" spans="1:6">
      <c r="A20" s="253">
        <v>18</v>
      </c>
      <c r="B20" s="253" t="s">
        <v>218</v>
      </c>
      <c r="C20" s="253">
        <v>2.27</v>
      </c>
      <c r="D20" s="255" t="s">
        <v>158</v>
      </c>
      <c r="E20" s="254">
        <v>5116</v>
      </c>
      <c r="F20" s="254">
        <v>1027549</v>
      </c>
    </row>
    <row r="21" spans="1:6">
      <c r="A21" s="253">
        <v>19</v>
      </c>
      <c r="B21" s="253" t="s">
        <v>199</v>
      </c>
      <c r="C21" s="253">
        <v>2.0699999999999998</v>
      </c>
      <c r="D21" s="255" t="s">
        <v>167</v>
      </c>
      <c r="E21" s="254">
        <v>3229</v>
      </c>
      <c r="F21" s="254">
        <v>937844</v>
      </c>
    </row>
    <row r="22" spans="1:6">
      <c r="A22" s="253">
        <v>20</v>
      </c>
      <c r="B22" s="253" t="s">
        <v>217</v>
      </c>
      <c r="C22" s="253">
        <v>1.94</v>
      </c>
      <c r="D22" s="255" t="s">
        <v>145</v>
      </c>
      <c r="E22" s="254">
        <v>5918</v>
      </c>
      <c r="F22" s="254">
        <v>881072</v>
      </c>
    </row>
    <row r="23" spans="1:6">
      <c r="A23" s="253">
        <v>21</v>
      </c>
      <c r="B23" s="253" t="s">
        <v>353</v>
      </c>
      <c r="C23" s="253">
        <v>1.94</v>
      </c>
      <c r="D23" s="255" t="s">
        <v>169</v>
      </c>
      <c r="E23" s="254">
        <v>3982</v>
      </c>
      <c r="F23" s="254">
        <v>877155</v>
      </c>
    </row>
    <row r="24" spans="1:6">
      <c r="A24" s="253">
        <v>22</v>
      </c>
      <c r="B24" s="253" t="s">
        <v>229</v>
      </c>
      <c r="C24" s="253">
        <v>1.88</v>
      </c>
      <c r="D24" s="255" t="s">
        <v>130</v>
      </c>
      <c r="E24" s="254">
        <v>4477</v>
      </c>
      <c r="F24" s="254">
        <v>853055</v>
      </c>
    </row>
    <row r="25" spans="1:6">
      <c r="A25" s="253">
        <v>23</v>
      </c>
      <c r="B25" s="253" t="s">
        <v>201</v>
      </c>
      <c r="C25" s="253">
        <v>1.74</v>
      </c>
      <c r="D25" s="255" t="s">
        <v>137</v>
      </c>
      <c r="E25" s="254">
        <v>2171</v>
      </c>
      <c r="F25" s="254">
        <v>790244</v>
      </c>
    </row>
    <row r="26" spans="1:6">
      <c r="A26" s="253">
        <v>24</v>
      </c>
      <c r="B26" s="253" t="s">
        <v>215</v>
      </c>
      <c r="C26" s="253">
        <v>1.69</v>
      </c>
      <c r="D26" s="255" t="s">
        <v>148</v>
      </c>
      <c r="E26" s="254">
        <v>8709</v>
      </c>
      <c r="F26" s="254">
        <v>766305</v>
      </c>
    </row>
    <row r="27" spans="1:6">
      <c r="A27" s="253">
        <v>25</v>
      </c>
      <c r="B27" s="253" t="s">
        <v>206</v>
      </c>
      <c r="C27" s="253">
        <v>1.67</v>
      </c>
      <c r="D27" s="255" t="s">
        <v>168</v>
      </c>
      <c r="E27" s="254">
        <v>6152</v>
      </c>
      <c r="F27" s="254">
        <v>758793</v>
      </c>
    </row>
    <row r="28" spans="1:6">
      <c r="A28" s="253">
        <v>26</v>
      </c>
      <c r="B28" s="253" t="s">
        <v>231</v>
      </c>
      <c r="C28" s="253">
        <v>1.64</v>
      </c>
      <c r="D28" s="255" t="s">
        <v>154</v>
      </c>
      <c r="E28" s="254">
        <v>9083</v>
      </c>
      <c r="F28" s="254">
        <v>742444</v>
      </c>
    </row>
    <row r="29" spans="1:6">
      <c r="A29" s="253">
        <v>27</v>
      </c>
      <c r="B29" s="253" t="s">
        <v>232</v>
      </c>
      <c r="C29" s="253">
        <v>1.53</v>
      </c>
      <c r="D29" s="255" t="s">
        <v>174</v>
      </c>
      <c r="E29" s="254">
        <v>4812</v>
      </c>
      <c r="F29" s="254">
        <v>693746</v>
      </c>
    </row>
    <row r="30" spans="1:6">
      <c r="A30" s="253">
        <v>28</v>
      </c>
      <c r="B30" s="253" t="s">
        <v>221</v>
      </c>
      <c r="C30" s="253">
        <v>1.5</v>
      </c>
      <c r="D30" s="255" t="s">
        <v>152</v>
      </c>
      <c r="E30" s="254">
        <v>2790</v>
      </c>
      <c r="F30" s="254">
        <v>681764</v>
      </c>
    </row>
    <row r="31" spans="1:6">
      <c r="A31" s="253">
        <v>29</v>
      </c>
      <c r="B31" s="253" t="s">
        <v>200</v>
      </c>
      <c r="C31" s="253">
        <v>1.5</v>
      </c>
      <c r="D31" s="255" t="s">
        <v>172</v>
      </c>
      <c r="E31" s="254">
        <v>11762</v>
      </c>
      <c r="F31" s="254">
        <v>679961</v>
      </c>
    </row>
    <row r="32" spans="1:6">
      <c r="A32" s="253">
        <v>30</v>
      </c>
      <c r="B32" s="253" t="s">
        <v>198</v>
      </c>
      <c r="C32" s="253">
        <v>1.49</v>
      </c>
      <c r="D32" s="255" t="s">
        <v>147</v>
      </c>
      <c r="E32" s="254">
        <v>1976</v>
      </c>
      <c r="F32" s="254">
        <v>674488</v>
      </c>
    </row>
    <row r="33" spans="1:6">
      <c r="A33" s="253">
        <v>31</v>
      </c>
      <c r="B33" s="253" t="s">
        <v>202</v>
      </c>
      <c r="C33" s="253">
        <v>1.47</v>
      </c>
      <c r="D33" s="255" t="s">
        <v>151</v>
      </c>
      <c r="E33" s="254">
        <v>17345</v>
      </c>
      <c r="F33" s="254">
        <v>668303</v>
      </c>
    </row>
    <row r="34" spans="1:6">
      <c r="A34" s="253">
        <v>32</v>
      </c>
      <c r="B34" s="253" t="s">
        <v>205</v>
      </c>
      <c r="C34" s="253">
        <v>1.44</v>
      </c>
      <c r="D34" s="255" t="s">
        <v>146</v>
      </c>
      <c r="E34" s="254">
        <v>1795</v>
      </c>
      <c r="F34" s="254">
        <v>652141</v>
      </c>
    </row>
    <row r="35" spans="1:6">
      <c r="A35" s="253">
        <v>33</v>
      </c>
      <c r="B35" s="253" t="s">
        <v>233</v>
      </c>
      <c r="C35" s="253">
        <v>1.37</v>
      </c>
      <c r="D35" s="255" t="s">
        <v>139</v>
      </c>
      <c r="E35" s="254">
        <v>5084</v>
      </c>
      <c r="F35" s="254">
        <v>620706</v>
      </c>
    </row>
    <row r="36" spans="1:6">
      <c r="A36" s="253">
        <v>34</v>
      </c>
      <c r="B36" s="253" t="s">
        <v>203</v>
      </c>
      <c r="C36" s="253">
        <v>1.3</v>
      </c>
      <c r="D36" s="255" t="s">
        <v>175</v>
      </c>
      <c r="E36" s="254">
        <v>2470</v>
      </c>
      <c r="F36" s="254">
        <v>587070</v>
      </c>
    </row>
    <row r="37" spans="1:6">
      <c r="A37" s="253">
        <v>35</v>
      </c>
      <c r="B37" s="253" t="s">
        <v>223</v>
      </c>
      <c r="C37" s="253">
        <v>1.25</v>
      </c>
      <c r="D37" s="255" t="s">
        <v>176</v>
      </c>
      <c r="E37" s="254">
        <v>1976</v>
      </c>
      <c r="F37" s="254">
        <v>568554</v>
      </c>
    </row>
    <row r="38" spans="1:6">
      <c r="A38" s="253">
        <v>36</v>
      </c>
      <c r="B38" s="253" t="s">
        <v>207</v>
      </c>
      <c r="C38" s="253">
        <v>1.25</v>
      </c>
      <c r="D38" s="255" t="s">
        <v>171</v>
      </c>
      <c r="E38" s="254">
        <v>2880</v>
      </c>
      <c r="F38" s="254">
        <v>567907</v>
      </c>
    </row>
    <row r="39" spans="1:6">
      <c r="A39" s="253">
        <v>37</v>
      </c>
      <c r="B39" s="253" t="s">
        <v>230</v>
      </c>
      <c r="C39" s="253">
        <v>1.23</v>
      </c>
      <c r="D39" s="255" t="s">
        <v>345</v>
      </c>
      <c r="E39" s="253">
        <v>776</v>
      </c>
      <c r="F39" s="254">
        <v>559007</v>
      </c>
    </row>
    <row r="40" spans="1:6">
      <c r="A40" s="253">
        <v>38</v>
      </c>
      <c r="B40" s="253" t="s">
        <v>222</v>
      </c>
      <c r="C40" s="253">
        <v>1.22</v>
      </c>
      <c r="D40" s="255" t="s">
        <v>164</v>
      </c>
      <c r="E40" s="254">
        <v>9341</v>
      </c>
      <c r="F40" s="254">
        <v>553267</v>
      </c>
    </row>
    <row r="41" spans="1:6">
      <c r="A41" s="253">
        <v>39</v>
      </c>
      <c r="B41" s="253" t="s">
        <v>235</v>
      </c>
      <c r="C41" s="253">
        <v>1.18</v>
      </c>
      <c r="D41" s="255" t="s">
        <v>156</v>
      </c>
      <c r="E41" s="254">
        <v>4646</v>
      </c>
      <c r="F41" s="254">
        <v>533082</v>
      </c>
    </row>
    <row r="42" spans="1:6">
      <c r="A42" s="253">
        <v>40</v>
      </c>
      <c r="B42" s="253" t="s">
        <v>220</v>
      </c>
      <c r="C42" s="253">
        <v>1.1599999999999999</v>
      </c>
      <c r="D42" s="255" t="s">
        <v>162</v>
      </c>
      <c r="E42" s="254">
        <v>2872</v>
      </c>
      <c r="F42" s="254">
        <v>525662</v>
      </c>
    </row>
    <row r="43" spans="1:6">
      <c r="A43" s="253">
        <v>41</v>
      </c>
      <c r="B43" s="253" t="s">
        <v>219</v>
      </c>
      <c r="C43" s="253">
        <v>1.1399999999999999</v>
      </c>
      <c r="D43" s="255" t="s">
        <v>150</v>
      </c>
      <c r="E43" s="254">
        <v>11195</v>
      </c>
      <c r="F43" s="254">
        <v>516873</v>
      </c>
    </row>
    <row r="44" spans="1:6">
      <c r="A44" s="253">
        <v>42</v>
      </c>
      <c r="B44" s="253" t="s">
        <v>224</v>
      </c>
      <c r="C44" s="253">
        <v>1.1100000000000001</v>
      </c>
      <c r="D44" s="255" t="s">
        <v>143</v>
      </c>
      <c r="E44" s="254">
        <v>19119</v>
      </c>
      <c r="F44" s="254">
        <v>504742</v>
      </c>
    </row>
    <row r="45" spans="1:6">
      <c r="A45" s="253">
        <v>43</v>
      </c>
      <c r="B45" s="253" t="s">
        <v>237</v>
      </c>
      <c r="C45" s="253">
        <v>1.1000000000000001</v>
      </c>
      <c r="D45" s="255" t="s">
        <v>170</v>
      </c>
      <c r="E45" s="253">
        <v>771</v>
      </c>
      <c r="F45" s="254">
        <v>497565</v>
      </c>
    </row>
    <row r="46" spans="1:6">
      <c r="A46" s="253">
        <v>44</v>
      </c>
      <c r="B46" s="253" t="s">
        <v>238</v>
      </c>
      <c r="C46" s="253">
        <v>0.99</v>
      </c>
      <c r="D46" s="255" t="s">
        <v>140</v>
      </c>
      <c r="E46" s="254">
        <v>2735</v>
      </c>
      <c r="F46" s="254">
        <v>446694</v>
      </c>
    </row>
    <row r="47" spans="1:6">
      <c r="A47" s="253">
        <v>45</v>
      </c>
      <c r="B47" s="253" t="s">
        <v>236</v>
      </c>
      <c r="C47" s="253">
        <v>0.88</v>
      </c>
      <c r="D47" s="255" t="s">
        <v>165</v>
      </c>
      <c r="E47" s="254">
        <v>2521</v>
      </c>
      <c r="F47" s="254">
        <v>400990</v>
      </c>
    </row>
    <row r="48" spans="1:6">
      <c r="A48" s="253">
        <v>46</v>
      </c>
      <c r="B48" s="253" t="s">
        <v>234</v>
      </c>
      <c r="C48" s="253">
        <v>0.62</v>
      </c>
      <c r="D48" s="255" t="s">
        <v>135</v>
      </c>
      <c r="E48" s="254">
        <v>6000</v>
      </c>
      <c r="F48" s="254">
        <v>278732</v>
      </c>
    </row>
  </sheetData>
  <phoneticPr fontId="31"/>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730BAA-437F-4077-A7FC-ACCB3A72C868}">
  <dimension ref="A1:S10"/>
  <sheetViews>
    <sheetView zoomScaleNormal="100" workbookViewId="0">
      <selection activeCell="C2" sqref="C2"/>
    </sheetView>
  </sheetViews>
  <sheetFormatPr defaultRowHeight="14"/>
  <cols>
    <col min="1" max="1" width="9.1640625" bestFit="1" customWidth="1"/>
    <col min="2" max="2" width="5.58203125" bestFit="1" customWidth="1"/>
    <col min="3" max="3" width="6.83203125" bestFit="1" customWidth="1"/>
    <col min="4" max="4" width="8.83203125" bestFit="1" customWidth="1"/>
    <col min="5" max="5" width="14.08203125" customWidth="1"/>
    <col min="6" max="6" width="12.5" customWidth="1"/>
    <col min="7" max="7" width="14.5" customWidth="1"/>
    <col min="8" max="8" width="18.08203125" customWidth="1"/>
    <col min="10" max="10" width="16.75" customWidth="1"/>
    <col min="12" max="12" width="17" customWidth="1"/>
    <col min="13" max="13" width="20.6640625" customWidth="1"/>
    <col min="16" max="16" width="12.25" customWidth="1"/>
    <col min="19" max="19" width="9.1640625" bestFit="1" customWidth="1"/>
  </cols>
  <sheetData>
    <row r="1" spans="1:19" ht="34" customHeight="1">
      <c r="A1" s="227" t="s">
        <v>319</v>
      </c>
      <c r="B1" s="227"/>
      <c r="C1" s="228" t="s">
        <v>262</v>
      </c>
      <c r="D1" s="228" t="s">
        <v>263</v>
      </c>
      <c r="E1" s="228" t="s">
        <v>264</v>
      </c>
      <c r="F1" s="228" t="s">
        <v>265</v>
      </c>
      <c r="G1" s="228" t="s">
        <v>266</v>
      </c>
      <c r="H1" s="228" t="s">
        <v>310</v>
      </c>
      <c r="J1" s="19" t="s">
        <v>270</v>
      </c>
      <c r="K1" s="19" t="s">
        <v>271</v>
      </c>
      <c r="L1" s="19" t="s">
        <v>272</v>
      </c>
      <c r="M1" s="19" t="s">
        <v>280</v>
      </c>
      <c r="N1" s="19" t="s">
        <v>274</v>
      </c>
      <c r="O1" s="19" t="s">
        <v>276</v>
      </c>
      <c r="P1" s="19" t="s">
        <v>308</v>
      </c>
      <c r="Q1" s="19" t="s">
        <v>283</v>
      </c>
      <c r="R1" s="19" t="s">
        <v>309</v>
      </c>
      <c r="S1" s="19" t="s">
        <v>311</v>
      </c>
    </row>
    <row r="2" spans="1:19">
      <c r="A2" s="208" t="s">
        <v>261</v>
      </c>
      <c r="B2" s="208" t="s">
        <v>261</v>
      </c>
      <c r="C2" s="210">
        <f>'raw1'!H15</f>
        <v>0.14872669715089692</v>
      </c>
      <c r="D2" s="210">
        <f>J2/K2-1</f>
        <v>0.37664083266199389</v>
      </c>
      <c r="E2" s="210" t="s">
        <v>282</v>
      </c>
      <c r="F2" s="208" t="s">
        <v>282</v>
      </c>
      <c r="G2" s="210">
        <f>J2/N2-1</f>
        <v>0.2600552050473186</v>
      </c>
      <c r="H2" s="210">
        <f>((O2-Q2)/O2)*((P2-R2)/ABS(P2-R2))</f>
        <v>0.34932791497342913</v>
      </c>
      <c r="J2" s="225">
        <f>_xll.ciqfunctions.udf.CIQ(A2,"IQ_CLOSEPRICE",$A$6,"USD")</f>
        <v>31.954999999999998</v>
      </c>
      <c r="K2" s="225">
        <f>_xll.ciqfunctions.udf.CIQ(A2,"IQ_CLOSEPRICE",$A$7,"USD")</f>
        <v>23.212299999999999</v>
      </c>
      <c r="L2" s="225">
        <f>_xll.ciqfunctions.udf.CIQ($A2,"IQ_CLOSEPRICE",$A$9,"USD")</f>
        <v>0</v>
      </c>
      <c r="M2" s="225">
        <f>_xll.ciqfunctions.udf.CIQ(A2,"IQ_CLOSEPRICE",$A$8,"USD")</f>
        <v>0</v>
      </c>
      <c r="N2" s="225">
        <f>_xll.ciqfunctions.udf.CIQ(A2,"IQ_OPENPRICE",$A$10,"USD")</f>
        <v>25.36</v>
      </c>
      <c r="O2" s="225">
        <f>_xll.ciqfunctions.udf.CIQ(A2,"IQ_YEARHIGH",$A$6,"USD")</f>
        <v>31.99</v>
      </c>
      <c r="P2" s="230" cm="1">
        <f t="array" ref="P2">_xll.ciqfunctions.udf.CIQ(B2,"IQ_YEARHIGH_DATE")</f>
        <v>45876</v>
      </c>
      <c r="Q2" s="225">
        <f>_xll.ciqfunctions.udf.CIQ(A2,"IQ_YEARLOW",$A$6,"USD")</f>
        <v>20.815000000000001</v>
      </c>
      <c r="R2" s="230" cm="1">
        <f t="array" ref="R2">_xll.ciqfunctions.udf.CIQ(B2,"IQ_YEARLOW_DATE")</f>
        <v>45754</v>
      </c>
      <c r="S2" s="230">
        <f>P2-R2</f>
        <v>122</v>
      </c>
    </row>
    <row r="3" spans="1:19">
      <c r="A3" s="208" t="s">
        <v>21</v>
      </c>
      <c r="B3" s="208" t="s">
        <v>286</v>
      </c>
      <c r="C3" s="210">
        <f>'raw1'!H17</f>
        <v>0.12053283258024772</v>
      </c>
      <c r="D3" s="210">
        <f t="shared" ref="D3:D5" si="0">J3/K3-1</f>
        <v>0.26503039855888288</v>
      </c>
      <c r="E3" s="210">
        <f>J3/L3-1</f>
        <v>0.91505317698391031</v>
      </c>
      <c r="F3" s="210">
        <f>J3/M3-1</f>
        <v>0.88922890674916744</v>
      </c>
      <c r="G3" s="210">
        <f t="shared" ref="G3:G5" si="1">J3/N3-1</f>
        <v>0.15708607089160287</v>
      </c>
      <c r="H3" s="210">
        <f t="shared" ref="H3:H5" si="2">((O3-Q3)/O3)*((P3-R3)/ABS(P3-R3))</f>
        <v>0.28439828564315051</v>
      </c>
      <c r="J3" s="225">
        <f>_xll.ciqfunctions.udf.CIQ(A3,"IQ_CLOSEPRICE",$A$6,"USD")</f>
        <v>561.79999999999995</v>
      </c>
      <c r="K3" s="225">
        <f>_xll.ciqfunctions.udf.CIQ(A3,"IQ_CLOSEPRICE",$A$7,"USD")</f>
        <v>444.1</v>
      </c>
      <c r="L3" s="225">
        <f>_xll.ciqfunctions.udf.CIQ($A3,"IQ_CLOSEPRICE",$A$9,"USD")</f>
        <v>293.36</v>
      </c>
      <c r="M3" s="225">
        <f>_xll.ciqfunctions.udf.CIQ(A3,"IQ_CLOSEPRICE",$A$8,"USD")</f>
        <v>297.37</v>
      </c>
      <c r="N3" s="225">
        <f>_xll.ciqfunctions.udf.CIQ(A3,"IQ_OPENPRICE",$A$10,"USD")</f>
        <v>485.53</v>
      </c>
      <c r="O3" s="225">
        <f>_xll.ciqfunctions.udf.CIQ(A3,"IQ_YEARHIGH",$A$6,"USD")</f>
        <v>562.30999999999995</v>
      </c>
      <c r="P3" s="230" cm="1">
        <f t="array" ref="P3">_xll.ciqfunctions.udf.CIQ(B3,"IQ_YEARHIGH_DATE")</f>
        <v>45880</v>
      </c>
      <c r="Q3" s="225">
        <f>_xll.ciqfunctions.udf.CIQ(A3,"IQ_YEARLOW",$A$6,"USD")</f>
        <v>402.39</v>
      </c>
      <c r="R3" s="230" cm="1">
        <f t="array" ref="R3">_xll.ciqfunctions.udf.CIQ(B3,"IQ_YEARLOW_DATE")</f>
        <v>45754</v>
      </c>
      <c r="S3" s="230">
        <f t="shared" ref="S3:S5" si="3">P3-R3</f>
        <v>126</v>
      </c>
    </row>
    <row r="4" spans="1:19">
      <c r="A4" s="208" t="s">
        <v>18</v>
      </c>
      <c r="B4" s="208" t="s">
        <v>287</v>
      </c>
      <c r="C4" s="210">
        <f>'raw1'!H16</f>
        <v>8.3620682788377421E-2</v>
      </c>
      <c r="D4" s="210">
        <f t="shared" si="0"/>
        <v>0.19207236717704679</v>
      </c>
      <c r="E4" s="210">
        <f>J4/L4-1</f>
        <v>0.54343074937589542</v>
      </c>
      <c r="F4" s="210">
        <f t="shared" ref="F4:F5" si="4">J4/M4-1</f>
        <v>0.60676214175447862</v>
      </c>
      <c r="G4" s="210">
        <f t="shared" si="1"/>
        <v>0.12281261321979242</v>
      </c>
      <c r="H4" s="210">
        <f t="shared" si="2"/>
        <v>0.20875274738656394</v>
      </c>
      <c r="J4" s="225">
        <f>_xll.ciqfunctions.udf.CIQ("^SPX","IQ_CLOSEPRICE",$A$6,"USD")</f>
        <v>6297.3619099999996</v>
      </c>
      <c r="K4" s="225">
        <f>_xll.ciqfunctions.udf.CIQ("^SPX","IQ_CLOSEPRICE",$A$7,"USD")</f>
        <v>5282.7010200000004</v>
      </c>
      <c r="L4" s="225">
        <f>_xll.ciqfunctions.udf.CIQ("^SPX","IQ_CLOSEPRICE",$A$9,"USD")</f>
        <v>4080.10655</v>
      </c>
      <c r="M4" s="225">
        <f>_xll.ciqfunctions.udf.CIQ("^SPX","IQ_CLOSEPRICE",$A$8,"USD")</f>
        <v>3919.2869599999999</v>
      </c>
      <c r="N4" s="225">
        <f>_xll.ciqfunctions.udf.CIQ(B4,"IQ_OPENPRICE",$A$10,"USD")</f>
        <v>5608.56</v>
      </c>
      <c r="O4" s="225">
        <f>_xll.ciqfunctions.udf.CIQ("^SPX","IQ_YEARHIGH",$A$6,"USD")</f>
        <v>6297.3619099999996</v>
      </c>
      <c r="P4" s="230" cm="1">
        <f t="array" ref="P4">_xll.ciqfunctions.udf.CIQ(B4,"IQ_YEARHIGH_DATE")</f>
        <v>45866</v>
      </c>
      <c r="Q4" s="225">
        <f>_xll.ciqfunctions.udf.CIQ("^SPX","IQ_YEARLOW",$A$6,"USD")</f>
        <v>4982.7703099999999</v>
      </c>
      <c r="R4" s="230" cm="1">
        <f t="array" ref="R4">_xll.ciqfunctions.udf.CIQ(B4,"IQ_YEARLOW_DATE")</f>
        <v>45755</v>
      </c>
      <c r="S4" s="230">
        <f t="shared" si="3"/>
        <v>111</v>
      </c>
    </row>
    <row r="5" spans="1:19" s="19" customFormat="1">
      <c r="A5" s="208" t="s">
        <v>23</v>
      </c>
      <c r="B5" s="208" t="s">
        <v>288</v>
      </c>
      <c r="C5" s="210">
        <f>'raw1'!H18</f>
        <v>3.3632555978090339E-2</v>
      </c>
      <c r="D5" s="210">
        <f t="shared" si="0"/>
        <v>0.13648312918957095</v>
      </c>
      <c r="E5" s="210">
        <f>J5/L5-1</f>
        <v>0.28605909106154925</v>
      </c>
      <c r="F5" s="210">
        <f t="shared" si="4"/>
        <v>0.38342175067801954</v>
      </c>
      <c r="G5" s="210">
        <f t="shared" si="1"/>
        <v>8.0860165426848152E-2</v>
      </c>
      <c r="H5" s="210">
        <f t="shared" si="2"/>
        <v>-0.16369227649452017</v>
      </c>
      <c r="J5" s="225">
        <f>_xll.ciqfunctions.udf.CIQ("^DJI","IQ_CLOSEPRICE",$A$6,"USD")</f>
        <v>44484.486250000002</v>
      </c>
      <c r="K5" s="225">
        <f>_xll.ciqfunctions.udf.CIQ("^DJI","IQ_CLOSEPRICE",$A$7,"USD")</f>
        <v>39142.231950000001</v>
      </c>
      <c r="L5" s="225">
        <f>_xll.ciqfunctions.udf.CIQ("^DJI","IQ_CLOSEPRICE",$A$9,"USD")</f>
        <v>34589.768510000002</v>
      </c>
      <c r="M5" s="225">
        <f>_xll.ciqfunctions.udf.CIQ("^DJI","IQ_CLOSEPRICE",$A$8,"USD")</f>
        <v>32155.404689999999</v>
      </c>
      <c r="N5" s="225">
        <f>_xll.ciqfunctions.udf.CIQ(B5,"IQ_OPENPRICE",$A$10,"USD")</f>
        <v>41156.559999999998</v>
      </c>
      <c r="O5" s="225">
        <f>_xll.ciqfunctions.udf.CIQ("^DJI","IQ_YEARHIGH",$A$6,"USD")</f>
        <v>45014.040050000003</v>
      </c>
      <c r="P5" s="230" cm="1">
        <f t="array" ref="P5">_xll.ciqfunctions.udf.CIQ(B5,"IQ_YEARHIGH_DATE")</f>
        <v>45630</v>
      </c>
      <c r="Q5" s="225">
        <f>_xll.ciqfunctions.udf.CIQ("^DJI","IQ_YEARLOW",$A$6,"USD")</f>
        <v>37645.589359999998</v>
      </c>
      <c r="R5" s="230" cm="1">
        <f t="array" ref="R5">_xll.ciqfunctions.udf.CIQ(B5,"IQ_YEARLOW_DATE")</f>
        <v>45755</v>
      </c>
      <c r="S5" s="230">
        <f t="shared" si="3"/>
        <v>-125</v>
      </c>
    </row>
    <row r="6" spans="1:19">
      <c r="A6" s="19" t="s">
        <v>268</v>
      </c>
      <c r="B6" s="19"/>
    </row>
    <row r="7" spans="1:19">
      <c r="A7" s="19" t="s">
        <v>269</v>
      </c>
      <c r="B7" s="19"/>
    </row>
    <row r="8" spans="1:19">
      <c r="A8" s="19" t="s">
        <v>281</v>
      </c>
      <c r="B8" s="19"/>
    </row>
    <row r="9" spans="1:19" ht="28">
      <c r="A9" s="19" t="s">
        <v>273</v>
      </c>
      <c r="B9" s="19"/>
    </row>
    <row r="10" spans="1:19">
      <c r="A10" s="19" t="s">
        <v>275</v>
      </c>
      <c r="B10" s="19"/>
    </row>
  </sheetData>
  <phoneticPr fontId="31"/>
  <conditionalFormatting sqref="C2:C5">
    <cfRule type="dataBar" priority="6">
      <dataBar>
        <cfvo type="min"/>
        <cfvo type="max"/>
        <color rgb="FF63C384"/>
      </dataBar>
      <extLst>
        <ext xmlns:x14="http://schemas.microsoft.com/office/spreadsheetml/2009/9/main" uri="{B025F937-C7B1-47D3-B67F-A62EFF666E3E}">
          <x14:id>{CABAD830-B1DF-4C39-B6BF-3E16DEE5435C}</x14:id>
        </ext>
      </extLst>
    </cfRule>
  </conditionalFormatting>
  <conditionalFormatting sqref="D2:D5">
    <cfRule type="dataBar" priority="5">
      <dataBar>
        <cfvo type="min"/>
        <cfvo type="max"/>
        <color rgb="FF63C384"/>
      </dataBar>
      <extLst>
        <ext xmlns:x14="http://schemas.microsoft.com/office/spreadsheetml/2009/9/main" uri="{B025F937-C7B1-47D3-B67F-A62EFF666E3E}">
          <x14:id>{FDB82328-1333-49D7-81B6-9C34CAA14D6E}</x14:id>
        </ext>
      </extLst>
    </cfRule>
  </conditionalFormatting>
  <conditionalFormatting sqref="E2:E5">
    <cfRule type="dataBar" priority="4">
      <dataBar>
        <cfvo type="min"/>
        <cfvo type="max"/>
        <color rgb="FF63C384"/>
      </dataBar>
      <extLst>
        <ext xmlns:x14="http://schemas.microsoft.com/office/spreadsheetml/2009/9/main" uri="{B025F937-C7B1-47D3-B67F-A62EFF666E3E}">
          <x14:id>{97389E98-4533-417F-97D7-0C3B54F1E20B}</x14:id>
        </ext>
      </extLst>
    </cfRule>
  </conditionalFormatting>
  <conditionalFormatting sqref="F3:F5">
    <cfRule type="dataBar" priority="3">
      <dataBar>
        <cfvo type="min"/>
        <cfvo type="max"/>
        <color rgb="FF63C384"/>
      </dataBar>
      <extLst>
        <ext xmlns:x14="http://schemas.microsoft.com/office/spreadsheetml/2009/9/main" uri="{B025F937-C7B1-47D3-B67F-A62EFF666E3E}">
          <x14:id>{04118384-273C-4682-904A-55D6C0148215}</x14:id>
        </ext>
      </extLst>
    </cfRule>
  </conditionalFormatting>
  <conditionalFormatting sqref="G2:G5">
    <cfRule type="dataBar" priority="2">
      <dataBar>
        <cfvo type="min"/>
        <cfvo type="max"/>
        <color rgb="FF63C384"/>
      </dataBar>
      <extLst>
        <ext xmlns:x14="http://schemas.microsoft.com/office/spreadsheetml/2009/9/main" uri="{B025F937-C7B1-47D3-B67F-A62EFF666E3E}">
          <x14:id>{AD4B7492-3DCF-448B-B8CF-1AA49901575E}</x14:id>
        </ext>
      </extLst>
    </cfRule>
  </conditionalFormatting>
  <conditionalFormatting sqref="H2:H5">
    <cfRule type="dataBar" priority="1">
      <dataBar>
        <cfvo type="min"/>
        <cfvo type="max"/>
        <color rgb="FF63C384"/>
      </dataBar>
      <extLst>
        <ext xmlns:x14="http://schemas.microsoft.com/office/spreadsheetml/2009/9/main" uri="{B025F937-C7B1-47D3-B67F-A62EFF666E3E}">
          <x14:id>{671D66DB-82D2-49A6-BAED-CBAA9E9F8F77}</x14:id>
        </ext>
      </extLst>
    </cfRule>
  </conditionalFormatting>
  <hyperlinks>
    <hyperlink ref="K2" r:id="rId1" display="=@CIQ($A2,&quot;IQ_CLOSEPRICE&quot;,$A$4,&quot;USD&quot;)" xr:uid="{E7C881E3-94D0-4405-B5C8-69669888094F}"/>
    <hyperlink ref="L2" r:id="rId2" display="=@CIQ($A2,&quot;IQ_CLOSEPRICE&quot;,$A$5,&quot;USD&quot;)" xr:uid="{18D0EB76-D624-40FB-A92B-F1A2591D4E9A}"/>
    <hyperlink ref="K3:K5" r:id="rId3" display="=@CIQ($A2,&quot;IQ_CLOSEPRICE&quot;,$A$4,&quot;USD&quot;)" xr:uid="{AADB9E7A-CF7F-4D1C-9FC9-87DE42740408}"/>
    <hyperlink ref="L3:L5" r:id="rId4" display="=@CIQ($A2,&quot;IQ_CLOSEPRICE&quot;,$A$5,&quot;USD&quot;)" xr:uid="{96A3B74B-E27D-42A2-A309-3A5AAB26D239}"/>
  </hyperlinks>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CABAD830-B1DF-4C39-B6BF-3E16DEE5435C}">
            <x14:dataBar minLength="0" maxLength="100" gradient="0">
              <x14:cfvo type="autoMin"/>
              <x14:cfvo type="autoMax"/>
              <x14:negativeFillColor rgb="FFFF0000"/>
              <x14:axisColor rgb="FF000000"/>
            </x14:dataBar>
          </x14:cfRule>
          <xm:sqref>C2:C5</xm:sqref>
        </x14:conditionalFormatting>
        <x14:conditionalFormatting xmlns:xm="http://schemas.microsoft.com/office/excel/2006/main">
          <x14:cfRule type="dataBar" id="{FDB82328-1333-49D7-81B6-9C34CAA14D6E}">
            <x14:dataBar minLength="0" maxLength="100" gradient="0">
              <x14:cfvo type="autoMin"/>
              <x14:cfvo type="autoMax"/>
              <x14:negativeFillColor rgb="FFFF0000"/>
              <x14:axisColor rgb="FF000000"/>
            </x14:dataBar>
          </x14:cfRule>
          <xm:sqref>D2:D5</xm:sqref>
        </x14:conditionalFormatting>
        <x14:conditionalFormatting xmlns:xm="http://schemas.microsoft.com/office/excel/2006/main">
          <x14:cfRule type="dataBar" id="{97389E98-4533-417F-97D7-0C3B54F1E20B}">
            <x14:dataBar minLength="0" maxLength="100" gradient="0">
              <x14:cfvo type="autoMin"/>
              <x14:cfvo type="autoMax"/>
              <x14:negativeFillColor rgb="FFFF0000"/>
              <x14:axisColor rgb="FF000000"/>
            </x14:dataBar>
          </x14:cfRule>
          <xm:sqref>E2:E5</xm:sqref>
        </x14:conditionalFormatting>
        <x14:conditionalFormatting xmlns:xm="http://schemas.microsoft.com/office/excel/2006/main">
          <x14:cfRule type="dataBar" id="{04118384-273C-4682-904A-55D6C0148215}">
            <x14:dataBar minLength="0" maxLength="100" gradient="0">
              <x14:cfvo type="autoMin"/>
              <x14:cfvo type="autoMax"/>
              <x14:negativeFillColor rgb="FFFF0000"/>
              <x14:axisColor rgb="FF000000"/>
            </x14:dataBar>
          </x14:cfRule>
          <xm:sqref>F3:F5</xm:sqref>
        </x14:conditionalFormatting>
        <x14:conditionalFormatting xmlns:xm="http://schemas.microsoft.com/office/excel/2006/main">
          <x14:cfRule type="dataBar" id="{AD4B7492-3DCF-448B-B8CF-1AA49901575E}">
            <x14:dataBar minLength="0" maxLength="100" gradient="0">
              <x14:cfvo type="autoMin"/>
              <x14:cfvo type="autoMax"/>
              <x14:negativeFillColor rgb="FFFF0000"/>
              <x14:axisColor rgb="FF000000"/>
            </x14:dataBar>
          </x14:cfRule>
          <xm:sqref>G2:G5</xm:sqref>
        </x14:conditionalFormatting>
        <x14:conditionalFormatting xmlns:xm="http://schemas.microsoft.com/office/excel/2006/main">
          <x14:cfRule type="dataBar" id="{671D66DB-82D2-49A6-BAED-CBAA9E9F8F77}">
            <x14:dataBar minLength="0" maxLength="100" gradient="0">
              <x14:cfvo type="autoMin"/>
              <x14:cfvo type="autoMax"/>
              <x14:negativeFillColor rgb="FFFF0000"/>
              <x14:axisColor rgb="FF000000"/>
            </x14:dataBar>
          </x14:cfRule>
          <xm:sqref>H2:H5</xm:sqref>
        </x14:conditionalFormatting>
      </x14:conditionalFormatting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47B366-E844-4A82-94D7-4BD5FCE8B2D7}">
  <dimension ref="A1:T14"/>
  <sheetViews>
    <sheetView workbookViewId="0">
      <selection activeCell="H21" sqref="H21"/>
    </sheetView>
  </sheetViews>
  <sheetFormatPr defaultRowHeight="14"/>
  <cols>
    <col min="1" max="1" width="55" bestFit="1" customWidth="1"/>
    <col min="2" max="2" width="15.1640625" bestFit="1" customWidth="1"/>
    <col min="5" max="5" width="13.58203125" customWidth="1"/>
    <col min="6" max="6" width="12.58203125" customWidth="1"/>
    <col min="7" max="7" width="13.9140625" customWidth="1"/>
    <col min="8" max="8" width="18.08203125" customWidth="1"/>
    <col min="10" max="10" width="11.33203125" customWidth="1"/>
    <col min="16" max="16" width="9.1640625" bestFit="1" customWidth="1"/>
    <col min="20" max="20" width="9.1640625" bestFit="1" customWidth="1"/>
  </cols>
  <sheetData>
    <row r="1" spans="1:20" ht="33.5" customHeight="1">
      <c r="A1" s="227" t="s">
        <v>320</v>
      </c>
      <c r="B1" s="227"/>
      <c r="C1" s="228" t="s">
        <v>262</v>
      </c>
      <c r="D1" s="228" t="s">
        <v>263</v>
      </c>
      <c r="E1" s="228" t="s">
        <v>264</v>
      </c>
      <c r="F1" s="228" t="s">
        <v>265</v>
      </c>
      <c r="G1" s="228" t="s">
        <v>266</v>
      </c>
      <c r="H1" s="228" t="s">
        <v>310</v>
      </c>
      <c r="J1" s="19" t="s">
        <v>270</v>
      </c>
      <c r="K1" s="19" t="s">
        <v>271</v>
      </c>
      <c r="L1" s="19" t="s">
        <v>272</v>
      </c>
      <c r="M1" s="19" t="s">
        <v>280</v>
      </c>
      <c r="N1" s="19" t="s">
        <v>274</v>
      </c>
      <c r="O1" s="19" t="s">
        <v>276</v>
      </c>
      <c r="P1" s="19" t="s">
        <v>308</v>
      </c>
      <c r="Q1" s="19" t="s">
        <v>283</v>
      </c>
      <c r="R1" s="19" t="s">
        <v>309</v>
      </c>
      <c r="S1" s="19" t="s">
        <v>302</v>
      </c>
      <c r="T1" s="19" t="s">
        <v>311</v>
      </c>
    </row>
    <row r="2" spans="1:20">
      <c r="A2" s="208" t="s">
        <v>261</v>
      </c>
      <c r="B2" s="208" t="s">
        <v>261</v>
      </c>
      <c r="C2" s="206">
        <f>J2/S2-1</f>
        <v>0.1239887442842067</v>
      </c>
      <c r="D2" s="206">
        <f>J2/K2-1</f>
        <v>0.37664083266199389</v>
      </c>
      <c r="E2" s="206" t="s">
        <v>282</v>
      </c>
      <c r="F2" s="206" t="s">
        <v>282</v>
      </c>
      <c r="G2" s="206">
        <f>J2/N2-1</f>
        <v>0.2600552050473186</v>
      </c>
      <c r="H2" s="206">
        <f>((O2-Q2)/O2)*((P2-R2)/ABS(P2-R2))</f>
        <v>0.34932791497342913</v>
      </c>
      <c r="J2" s="225">
        <f>_xll.ciqfunctions.udf.CIQ(B2,"IQ_CLOSEPRICE",$A$9,"USD")</f>
        <v>31.954999999999998</v>
      </c>
      <c r="K2" s="225">
        <f>_xll.ciqfunctions.udf.CIQ(B2,"IQ_CLOSEPRICE",$A$10,"USD")</f>
        <v>23.212299999999999</v>
      </c>
      <c r="L2" s="225">
        <f>_xll.ciqfunctions.udf.CIQ($B2,"IQ_CLOSEPRICE",$A$12,"USD")</f>
        <v>0</v>
      </c>
      <c r="M2" s="225">
        <f>_xll.ciqfunctions.udf.CIQ(B2,"IQ_CLOSEPRICE",$A$11,"USD")</f>
        <v>0</v>
      </c>
      <c r="N2" s="225">
        <f>_xll.ciqfunctions.udf.CIQ(B2,"IQ_OPENPRICE",$A$13,"USD")</f>
        <v>25.36</v>
      </c>
      <c r="O2" s="225">
        <f>_xll.ciqfunctions.udf.CIQ(B2,"IQ_YEARHIGH",$A$9,"USD")</f>
        <v>31.99</v>
      </c>
      <c r="P2" s="230" cm="1">
        <f t="array" ref="P2">_xll.ciqfunctions.udf.CIQ(B2,"IQ_YEARHIGH_DATE")</f>
        <v>45876</v>
      </c>
      <c r="Q2" s="225">
        <f>_xll.ciqfunctions.udf.CIQ(B2,"IQ_YEARLOW",$A$9,"USD")</f>
        <v>20.815000000000001</v>
      </c>
      <c r="R2" s="230" cm="1">
        <f t="array" ref="R2">_xll.ciqfunctions.udf.CIQ(B2,"IQ_YEARLOW_DATE")</f>
        <v>45754</v>
      </c>
      <c r="S2" s="225">
        <f>_xll.ciqfunctions.udf.CIQ(B2,"IQ_CLOSEPRICE",$A$14,"USD")</f>
        <v>28.43</v>
      </c>
      <c r="T2" s="231">
        <f>P2-R2</f>
        <v>122</v>
      </c>
    </row>
    <row r="3" spans="1:20" ht="44" customHeight="1">
      <c r="A3" s="208" t="s">
        <v>290</v>
      </c>
      <c r="B3" s="26" t="s">
        <v>321</v>
      </c>
      <c r="C3" s="206">
        <f t="shared" ref="C3:C8" si="0">J3/S3-1</f>
        <v>0.23208106772120618</v>
      </c>
      <c r="D3" s="206">
        <f t="shared" ref="D3:D8" si="1">J3/K3-1</f>
        <v>0.52773521299417703</v>
      </c>
      <c r="E3" s="206" t="s">
        <v>282</v>
      </c>
      <c r="F3" s="206" t="s">
        <v>282</v>
      </c>
      <c r="G3" s="206">
        <f t="shared" ref="G3:G8" si="2">J3/N3-1</f>
        <v>0.34802595997836683</v>
      </c>
      <c r="H3" s="206">
        <f t="shared" ref="H3:H8" si="3">((O3-Q3)/O3)*((P3-R3)/ABS(P3-R3))</f>
        <v>0.42008029715956313</v>
      </c>
      <c r="J3" s="225">
        <f>_xll.ciqfunctions.udf.CIQ(B3,"IQ_CLOSEPRICE",$A$9,"USD")</f>
        <v>49.85</v>
      </c>
      <c r="K3" s="225">
        <f>_xll.ciqfunctions.udf.CIQ(B3,"IQ_CLOSEPRICE",$A$10,"USD")</f>
        <v>32.630000000000003</v>
      </c>
      <c r="L3" s="225">
        <f>_xll.ciqfunctions.udf.CIQ($B3,"IQ_CLOSEPRICE",$A$12,"USD")</f>
        <v>0</v>
      </c>
      <c r="M3" s="225">
        <f>_xll.ciqfunctions.udf.CIQ(B3,"IQ_CLOSEPRICE",$A$11,"USD")</f>
        <v>0</v>
      </c>
      <c r="N3" s="225">
        <f>_xll.ciqfunctions.udf.CIQ(B3,"IQ_OPENPRICE",$A$13,"USD")</f>
        <v>36.979999999999997</v>
      </c>
      <c r="O3" s="225">
        <f>_xll.ciqfunctions.udf.CIQ(B3,"IQ_YEARHIGH",$A$9,"USD")</f>
        <v>49.939500000000002</v>
      </c>
      <c r="P3" s="230" cm="1">
        <f t="array" ref="P3">_xll.ciqfunctions.udf.CIQ(B3,"IQ_YEARHIGH_DATE")</f>
        <v>45880</v>
      </c>
      <c r="Q3" s="225">
        <f>_xll.ciqfunctions.udf.CIQ(B3,"IQ_YEARLOW",$A$9,"USD")</f>
        <v>28.960899999999999</v>
      </c>
      <c r="R3" s="230" cm="1">
        <f t="array" ref="R3">_xll.ciqfunctions.udf.CIQ(B3,"IQ_YEARLOW_DATE")</f>
        <v>45754</v>
      </c>
      <c r="S3" s="225">
        <f>_xll.ciqfunctions.udf.CIQ(B3,"IQ_CLOSEPRICE",$A$14,"USD")</f>
        <v>40.46</v>
      </c>
      <c r="T3" s="231">
        <f t="shared" ref="T3:T8" si="4">P3-R3</f>
        <v>126</v>
      </c>
    </row>
    <row r="4" spans="1:20">
      <c r="A4" s="208" t="s">
        <v>292</v>
      </c>
      <c r="B4" s="26" t="s">
        <v>28</v>
      </c>
      <c r="C4" s="206">
        <f t="shared" si="0"/>
        <v>0.14984472049689446</v>
      </c>
      <c r="D4" s="206">
        <f t="shared" si="1"/>
        <v>0.31061946902654869</v>
      </c>
      <c r="E4" s="206">
        <f t="shared" ref="E4:E8" si="5">J4/L4-1</f>
        <v>1.0436982520699174</v>
      </c>
      <c r="F4" s="206">
        <f t="shared" ref="F4:F8" si="6">J4/M4-1</f>
        <v>0.98525469168900814</v>
      </c>
      <c r="G4" s="206">
        <f t="shared" si="2"/>
        <v>0.23657111049262447</v>
      </c>
      <c r="H4" s="206">
        <f t="shared" si="3"/>
        <v>0.31235955056179771</v>
      </c>
      <c r="J4" s="225">
        <f>_xll.ciqfunctions.udf.CIQ(B4,"IQ_CLOSEPRICE",$A$9,"USD")</f>
        <v>44.43</v>
      </c>
      <c r="K4" s="225">
        <f>_xll.ciqfunctions.udf.CIQ(B4,"IQ_CLOSEPRICE",$A$10,"USD")</f>
        <v>33.9</v>
      </c>
      <c r="L4" s="225">
        <f>_xll.ciqfunctions.udf.CIQ($B4,"IQ_CLOSEPRICE",$A$12,"USD")</f>
        <v>21.74</v>
      </c>
      <c r="M4" s="225">
        <f>_xll.ciqfunctions.udf.CIQ(B4,"IQ_CLOSEPRICE",$A$11,"USD")</f>
        <v>22.38</v>
      </c>
      <c r="N4" s="225">
        <f>_xll.ciqfunctions.udf.CIQ(B4,"IQ_OPENPRICE",$A$13,"USD")</f>
        <v>35.93</v>
      </c>
      <c r="O4" s="225">
        <f>_xll.ciqfunctions.udf.CIQ(B4,"IQ_YEARHIGH",$A$9,"USD")</f>
        <v>44.5</v>
      </c>
      <c r="P4" s="230" cm="1">
        <f t="array" ref="P4">_xll.ciqfunctions.udf.CIQ(B4,"IQ_YEARHIGH_DATE")</f>
        <v>45867</v>
      </c>
      <c r="Q4" s="225">
        <f>_xll.ciqfunctions.udf.CIQ(B4,"IQ_YEARLOW",$A$9,"USD")</f>
        <v>30.6</v>
      </c>
      <c r="R4" s="230" cm="1">
        <f t="array" ref="R4">_xll.ciqfunctions.udf.CIQ(B4,"IQ_YEARLOW_DATE")</f>
        <v>45754</v>
      </c>
      <c r="S4" s="225">
        <f>_xll.ciqfunctions.udf.CIQ(B4,"IQ_CLOSEPRICE",$A$14,"USD")</f>
        <v>38.64</v>
      </c>
      <c r="T4" s="231">
        <f t="shared" si="4"/>
        <v>113</v>
      </c>
    </row>
    <row r="5" spans="1:20">
      <c r="A5" s="208" t="s">
        <v>294</v>
      </c>
      <c r="B5" s="26" t="s">
        <v>35</v>
      </c>
      <c r="C5" s="206">
        <f t="shared" si="0"/>
        <v>3.9749608763693267E-2</v>
      </c>
      <c r="D5" s="206">
        <f t="shared" si="1"/>
        <v>0.2479338842975205</v>
      </c>
      <c r="E5" s="206">
        <f t="shared" si="5"/>
        <v>0.5501633224451703</v>
      </c>
      <c r="F5" s="206">
        <f t="shared" si="6"/>
        <v>0.40109658371994938</v>
      </c>
      <c r="G5" s="206">
        <f t="shared" si="2"/>
        <v>5.7961783439490544E-2</v>
      </c>
      <c r="H5" s="206">
        <f t="shared" si="3"/>
        <v>-0.31675842540287291</v>
      </c>
      <c r="J5" s="225">
        <f>_xll.ciqfunctions.udf.CIQ(B5,"IQ_CLOSEPRICE",$A$9,"USD")</f>
        <v>33.22</v>
      </c>
      <c r="K5" s="225">
        <f>_xll.ciqfunctions.udf.CIQ(B5,"IQ_CLOSEPRICE",$A$10,"USD")</f>
        <v>26.62</v>
      </c>
      <c r="L5" s="225">
        <f>_xll.ciqfunctions.udf.CIQ($B5,"IQ_CLOSEPRICE",$A$12,"USD")</f>
        <v>21.43</v>
      </c>
      <c r="M5" s="225">
        <f>_xll.ciqfunctions.udf.CIQ(B5,"IQ_CLOSEPRICE",$A$11,"USD")</f>
        <v>23.71</v>
      </c>
      <c r="N5" s="225">
        <f>_xll.ciqfunctions.udf.CIQ(B5,"IQ_OPENPRICE",$A$13,"USD")</f>
        <v>31.4</v>
      </c>
      <c r="O5" s="225">
        <f>_xll.ciqfunctions.udf.CIQ(B5,"IQ_YEARHIGH",$A$9,"USD")</f>
        <v>34.855899999999998</v>
      </c>
      <c r="P5" s="230" cm="1">
        <f t="array" ref="P5">_xll.ciqfunctions.udf.CIQ(B5,"IQ_YEARHIGH_DATE")</f>
        <v>45681</v>
      </c>
      <c r="Q5" s="225">
        <f>_xll.ciqfunctions.udf.CIQ(B5,"IQ_YEARLOW",$A$9,"USD")</f>
        <v>23.815000000000001</v>
      </c>
      <c r="R5" s="230" cm="1">
        <f t="array" ref="R5">_xll.ciqfunctions.udf.CIQ(B5,"IQ_YEARLOW_DATE")</f>
        <v>45754</v>
      </c>
      <c r="S5" s="225">
        <f>_xll.ciqfunctions.udf.CIQ(B5,"IQ_CLOSEPRICE",$A$14,"USD")</f>
        <v>31.95</v>
      </c>
      <c r="T5" s="231">
        <f t="shared" si="4"/>
        <v>-73</v>
      </c>
    </row>
    <row r="6" spans="1:20">
      <c r="A6" s="208" t="s">
        <v>296</v>
      </c>
      <c r="B6" s="26" t="s">
        <v>86</v>
      </c>
      <c r="C6" s="206">
        <f t="shared" si="0"/>
        <v>0.13590909090909076</v>
      </c>
      <c r="D6" s="206">
        <f t="shared" si="1"/>
        <v>0.39297658862876239</v>
      </c>
      <c r="E6" s="206">
        <f t="shared" si="5"/>
        <v>0.59782608695652151</v>
      </c>
      <c r="F6" s="206">
        <f t="shared" si="6"/>
        <v>0.52734740277599523</v>
      </c>
      <c r="G6" s="206">
        <f t="shared" si="2"/>
        <v>0.18436018957345945</v>
      </c>
      <c r="H6" s="206">
        <f t="shared" si="3"/>
        <v>0.37020179820179816</v>
      </c>
      <c r="J6" s="225">
        <f>_xll.ciqfunctions.udf.CIQ(B6,"IQ_CLOSEPRICE",$A$9,"USD")</f>
        <v>24.99</v>
      </c>
      <c r="K6" s="225">
        <f>_xll.ciqfunctions.udf.CIQ(B6,"IQ_CLOSEPRICE",$A$10,"USD")</f>
        <v>17.940000000000001</v>
      </c>
      <c r="L6" s="225">
        <f>_xll.ciqfunctions.udf.CIQ($B6,"IQ_CLOSEPRICE",$A$12,"USD")</f>
        <v>15.64</v>
      </c>
      <c r="M6" s="225">
        <f>_xll.ciqfunctions.udf.CIQ(B6,"IQ_CLOSEPRICE",$A$11,"USD")</f>
        <v>16.361699999999999</v>
      </c>
      <c r="N6" s="225">
        <f>_xll.ciqfunctions.udf.CIQ(B6,"IQ_OPENPRICE",$A$13,"USD")</f>
        <v>21.1</v>
      </c>
      <c r="O6" s="225">
        <f>_xll.ciqfunctions.udf.CIQ(B6,"IQ_YEARHIGH",$A$9,"USD")</f>
        <v>25.024999999999999</v>
      </c>
      <c r="P6" s="230" cm="1">
        <f t="array" ref="P6">_xll.ciqfunctions.udf.CIQ(B6,"IQ_YEARHIGH_DATE")</f>
        <v>45869</v>
      </c>
      <c r="Q6" s="225">
        <f>_xll.ciqfunctions.udf.CIQ(B6,"IQ_YEARLOW",$A$9,"USD")</f>
        <v>15.7607</v>
      </c>
      <c r="R6" s="230" cm="1">
        <f t="array" ref="R6">_xll.ciqfunctions.udf.CIQ(B6,"IQ_YEARLOW_DATE")</f>
        <v>45754</v>
      </c>
      <c r="S6" s="225">
        <f>_xll.ciqfunctions.udf.CIQ(B6,"IQ_CLOSEPRICE",$A$14,"USD")</f>
        <v>22</v>
      </c>
      <c r="T6" s="231">
        <f t="shared" si="4"/>
        <v>115</v>
      </c>
    </row>
    <row r="7" spans="1:20">
      <c r="A7" s="208" t="s">
        <v>298</v>
      </c>
      <c r="B7" s="27" t="s">
        <v>78</v>
      </c>
      <c r="C7" s="206">
        <f t="shared" si="0"/>
        <v>0.14108443485298072</v>
      </c>
      <c r="D7" s="206">
        <f t="shared" si="1"/>
        <v>0.41946308724832204</v>
      </c>
      <c r="E7" s="206">
        <f t="shared" si="5"/>
        <v>0.58071748878923746</v>
      </c>
      <c r="F7" s="206">
        <f t="shared" si="6"/>
        <v>0.45211122554067962</v>
      </c>
      <c r="G7" s="206">
        <f t="shared" si="2"/>
        <v>0.23359580052493434</v>
      </c>
      <c r="H7" s="206">
        <f t="shared" si="3"/>
        <v>0.37868094139537517</v>
      </c>
      <c r="J7" s="225">
        <f>_xll.ciqfunctions.udf.CIQ(B7,"IQ_CLOSEPRICE",$A$9,"USD")</f>
        <v>42.3</v>
      </c>
      <c r="K7" s="225">
        <f>_xll.ciqfunctions.udf.CIQ(B7,"IQ_CLOSEPRICE",$A$10,"USD")</f>
        <v>29.8</v>
      </c>
      <c r="L7" s="225">
        <f>_xll.ciqfunctions.udf.CIQ($B7,"IQ_CLOSEPRICE",$A$12,"USD")</f>
        <v>26.76</v>
      </c>
      <c r="M7" s="225">
        <f>_xll.ciqfunctions.udf.CIQ(B7,"IQ_CLOSEPRICE",$A$11,"USD")</f>
        <v>29.13</v>
      </c>
      <c r="N7" s="225">
        <f>_xll.ciqfunctions.udf.CIQ(B7,"IQ_OPENPRICE",$A$13,"USD")</f>
        <v>34.29</v>
      </c>
      <c r="O7" s="225">
        <f>_xll.ciqfunctions.udf.CIQ(B7,"IQ_YEARHIGH",$A$9,"USD")</f>
        <v>42.349899999999998</v>
      </c>
      <c r="P7" s="230" cm="1">
        <f t="array" ref="P7">_xll.ciqfunctions.udf.CIQ(B7,"IQ_YEARHIGH_DATE")</f>
        <v>45869</v>
      </c>
      <c r="Q7" s="225">
        <f>_xll.ciqfunctions.udf.CIQ(B7,"IQ_YEARLOW",$A$9,"USD")</f>
        <v>26.312799999999999</v>
      </c>
      <c r="R7" s="230" cm="1">
        <f t="array" ref="R7">_xll.ciqfunctions.udf.CIQ(B7,"IQ_YEARLOW_DATE")</f>
        <v>45754</v>
      </c>
      <c r="S7" s="225">
        <f>_xll.ciqfunctions.udf.CIQ(B7,"IQ_CLOSEPRICE",$A$14,"USD")</f>
        <v>37.07</v>
      </c>
      <c r="T7" s="231">
        <f t="shared" si="4"/>
        <v>115</v>
      </c>
    </row>
    <row r="8" spans="1:20">
      <c r="A8" s="208" t="s">
        <v>300</v>
      </c>
      <c r="B8" s="25" t="s">
        <v>109</v>
      </c>
      <c r="C8" s="206">
        <f t="shared" si="0"/>
        <v>0.11135135135135132</v>
      </c>
      <c r="D8" s="206">
        <f t="shared" si="1"/>
        <v>0.26393442622950825</v>
      </c>
      <c r="E8" s="206">
        <f t="shared" si="5"/>
        <v>0.61044386422976515</v>
      </c>
      <c r="F8" s="206">
        <f t="shared" si="6"/>
        <v>0.46230440967283082</v>
      </c>
      <c r="G8" s="206">
        <f t="shared" si="2"/>
        <v>0.1490312965722802</v>
      </c>
      <c r="H8" s="206">
        <f t="shared" si="3"/>
        <v>0.30516881872223589</v>
      </c>
      <c r="J8" s="225">
        <f>_xll.ciqfunctions.udf.CIQ(B8,"IQ_CLOSEPRICE",$A$9,"USD")</f>
        <v>15.42</v>
      </c>
      <c r="K8" s="225">
        <f>_xll.ciqfunctions.udf.CIQ(B8,"IQ_CLOSEPRICE",$A$10,"USD")</f>
        <v>12.2</v>
      </c>
      <c r="L8" s="225">
        <f>_xll.ciqfunctions.udf.CIQ($B8,"IQ_CLOSEPRICE",$A$12,"USD")</f>
        <v>9.5749999999999993</v>
      </c>
      <c r="M8" s="225">
        <f>_xll.ciqfunctions.udf.CIQ(B8,"IQ_CLOSEPRICE",$A$11,"USD")</f>
        <v>10.545</v>
      </c>
      <c r="N8" s="225">
        <f>_xll.ciqfunctions.udf.CIQ(B8,"IQ_OPENPRICE",$A$13,"USD")</f>
        <v>13.42</v>
      </c>
      <c r="O8" s="225">
        <f>_xll.ciqfunctions.udf.CIQ(B8,"IQ_YEARHIGH",$A$9,"USD")</f>
        <v>15.442600000000001</v>
      </c>
      <c r="P8" s="230" cm="1">
        <f t="array" ref="P8">_xll.ciqfunctions.udf.CIQ(B8,"IQ_YEARHIGH_DATE")</f>
        <v>45862</v>
      </c>
      <c r="Q8" s="225">
        <f>_xll.ciqfunctions.udf.CIQ(B8,"IQ_YEARLOW",$A$9,"USD")</f>
        <v>10.73</v>
      </c>
      <c r="R8" s="230" cm="1">
        <f t="array" ref="R8">_xll.ciqfunctions.udf.CIQ(B8,"IQ_YEARLOW_DATE")</f>
        <v>45754</v>
      </c>
      <c r="S8" s="225">
        <f>_xll.ciqfunctions.udf.CIQ(B8,"IQ_CLOSEPRICE",$A$14,"USD")</f>
        <v>13.875</v>
      </c>
      <c r="T8" s="231">
        <f t="shared" si="4"/>
        <v>108</v>
      </c>
    </row>
    <row r="9" spans="1:20">
      <c r="A9" s="19" t="s">
        <v>268</v>
      </c>
      <c r="H9" s="1"/>
    </row>
    <row r="10" spans="1:20">
      <c r="A10" s="19" t="s">
        <v>269</v>
      </c>
      <c r="H10" s="1"/>
    </row>
    <row r="11" spans="1:20">
      <c r="A11" s="19" t="s">
        <v>281</v>
      </c>
      <c r="H11" s="1"/>
    </row>
    <row r="12" spans="1:20">
      <c r="A12" s="19" t="s">
        <v>273</v>
      </c>
      <c r="H12" s="1"/>
    </row>
    <row r="13" spans="1:20">
      <c r="A13" s="19" t="s">
        <v>275</v>
      </c>
      <c r="H13" s="1"/>
    </row>
    <row r="14" spans="1:20">
      <c r="A14" s="19" t="s">
        <v>301</v>
      </c>
      <c r="H14" s="1"/>
    </row>
  </sheetData>
  <phoneticPr fontId="31"/>
  <conditionalFormatting sqref="C2:C8">
    <cfRule type="dataBar" priority="6">
      <dataBar>
        <cfvo type="min"/>
        <cfvo type="max"/>
        <color rgb="FF63C384"/>
      </dataBar>
      <extLst>
        <ext xmlns:x14="http://schemas.microsoft.com/office/spreadsheetml/2009/9/main" uri="{B025F937-C7B1-47D3-B67F-A62EFF666E3E}">
          <x14:id>{DF77C1BD-8195-4A72-A5AB-632DC4759881}</x14:id>
        </ext>
      </extLst>
    </cfRule>
  </conditionalFormatting>
  <conditionalFormatting sqref="D2:D8">
    <cfRule type="dataBar" priority="5">
      <dataBar>
        <cfvo type="min"/>
        <cfvo type="max"/>
        <color rgb="FF63C384"/>
      </dataBar>
      <extLst>
        <ext xmlns:x14="http://schemas.microsoft.com/office/spreadsheetml/2009/9/main" uri="{B025F937-C7B1-47D3-B67F-A62EFF666E3E}">
          <x14:id>{B2AF1031-3E80-4983-A87F-BBB204985B58}</x14:id>
        </ext>
      </extLst>
    </cfRule>
  </conditionalFormatting>
  <conditionalFormatting sqref="E4:E8">
    <cfRule type="dataBar" priority="4">
      <dataBar>
        <cfvo type="min"/>
        <cfvo type="max"/>
        <color rgb="FF63C384"/>
      </dataBar>
      <extLst>
        <ext xmlns:x14="http://schemas.microsoft.com/office/spreadsheetml/2009/9/main" uri="{B025F937-C7B1-47D3-B67F-A62EFF666E3E}">
          <x14:id>{628B0248-32C2-4883-924D-BA685B90FCBC}</x14:id>
        </ext>
      </extLst>
    </cfRule>
  </conditionalFormatting>
  <conditionalFormatting sqref="F4:F8">
    <cfRule type="dataBar" priority="3">
      <dataBar>
        <cfvo type="min"/>
        <cfvo type="max"/>
        <color rgb="FF63C384"/>
      </dataBar>
      <extLst>
        <ext xmlns:x14="http://schemas.microsoft.com/office/spreadsheetml/2009/9/main" uri="{B025F937-C7B1-47D3-B67F-A62EFF666E3E}">
          <x14:id>{149F0159-327B-452E-9B9E-B9DFE66CEECA}</x14:id>
        </ext>
      </extLst>
    </cfRule>
  </conditionalFormatting>
  <conditionalFormatting sqref="G2:G8">
    <cfRule type="dataBar" priority="2">
      <dataBar>
        <cfvo type="min"/>
        <cfvo type="max"/>
        <color rgb="FF63C384"/>
      </dataBar>
      <extLst>
        <ext xmlns:x14="http://schemas.microsoft.com/office/spreadsheetml/2009/9/main" uri="{B025F937-C7B1-47D3-B67F-A62EFF666E3E}">
          <x14:id>{9DA99F1E-42AC-423A-BEAC-DE8D2E797F37}</x14:id>
        </ext>
      </extLst>
    </cfRule>
  </conditionalFormatting>
  <conditionalFormatting sqref="H2:H8">
    <cfRule type="dataBar" priority="1">
      <dataBar>
        <cfvo type="min"/>
        <cfvo type="max"/>
        <color rgb="FF63C384"/>
      </dataBar>
      <extLst>
        <ext xmlns:x14="http://schemas.microsoft.com/office/spreadsheetml/2009/9/main" uri="{B025F937-C7B1-47D3-B67F-A62EFF666E3E}">
          <x14:id>{8B9DC593-6069-49C2-A572-938DB5D6500D}</x14:id>
        </ext>
      </extLst>
    </cfRule>
  </conditionalFormatting>
  <hyperlinks>
    <hyperlink ref="K2" r:id="rId1" display="=@CIQ($A2,&quot;IQ_CLOSEPRICE&quot;,$A$4,&quot;USD&quot;)" xr:uid="{E0C52A21-CE74-44F7-BEA1-8B704085FB68}"/>
    <hyperlink ref="L2" r:id="rId2" display="=@CIQ($A2,&quot;IQ_CLOSEPRICE&quot;,$A$5,&quot;USD&quot;)" xr:uid="{9B26C8F3-53D0-4A23-A4D4-AA4C2F43D50E}"/>
    <hyperlink ref="K3:K5" r:id="rId3" display="=@CIQ($A2,&quot;IQ_CLOSEPRICE&quot;,$A$4,&quot;USD&quot;)" xr:uid="{298AD188-5FA7-4FBE-8D19-8DDCB08005A8}"/>
    <hyperlink ref="L3:L5" r:id="rId4" display="=@CIQ($A2,&quot;IQ_CLOSEPRICE&quot;,$A$5,&quot;USD&quot;)" xr:uid="{0B547AE3-C995-4788-8908-50C4A2A08276}"/>
    <hyperlink ref="K6:K8" r:id="rId5" display="=@CIQ($A2,&quot;IQ_CLOSEPRICE&quot;,$A$4,&quot;USD&quot;)" xr:uid="{598619BE-318C-478B-9EC4-7511C696D102}"/>
    <hyperlink ref="L6:L8" r:id="rId6" display="=@CIQ($A2,&quot;IQ_CLOSEPRICE&quot;,$A$5,&quot;USD&quot;)" xr:uid="{98AAD445-F259-4063-A2DC-06693661A40E}"/>
  </hyperlinks>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DF77C1BD-8195-4A72-A5AB-632DC4759881}">
            <x14:dataBar minLength="0" maxLength="100" gradient="0">
              <x14:cfvo type="autoMin"/>
              <x14:cfvo type="autoMax"/>
              <x14:negativeFillColor rgb="FFFF0000"/>
              <x14:axisColor rgb="FF000000"/>
            </x14:dataBar>
          </x14:cfRule>
          <xm:sqref>C2:C8</xm:sqref>
        </x14:conditionalFormatting>
        <x14:conditionalFormatting xmlns:xm="http://schemas.microsoft.com/office/excel/2006/main">
          <x14:cfRule type="dataBar" id="{B2AF1031-3E80-4983-A87F-BBB204985B58}">
            <x14:dataBar minLength="0" maxLength="100" gradient="0">
              <x14:cfvo type="autoMin"/>
              <x14:cfvo type="autoMax"/>
              <x14:negativeFillColor rgb="FFFF0000"/>
              <x14:axisColor rgb="FF000000"/>
            </x14:dataBar>
          </x14:cfRule>
          <xm:sqref>D2:D8</xm:sqref>
        </x14:conditionalFormatting>
        <x14:conditionalFormatting xmlns:xm="http://schemas.microsoft.com/office/excel/2006/main">
          <x14:cfRule type="dataBar" id="{628B0248-32C2-4883-924D-BA685B90FCBC}">
            <x14:dataBar minLength="0" maxLength="100" gradient="0">
              <x14:cfvo type="autoMin"/>
              <x14:cfvo type="autoMax"/>
              <x14:negativeFillColor rgb="FFFF0000"/>
              <x14:axisColor rgb="FF000000"/>
            </x14:dataBar>
          </x14:cfRule>
          <xm:sqref>E4:E8</xm:sqref>
        </x14:conditionalFormatting>
        <x14:conditionalFormatting xmlns:xm="http://schemas.microsoft.com/office/excel/2006/main">
          <x14:cfRule type="dataBar" id="{149F0159-327B-452E-9B9E-B9DFE66CEECA}">
            <x14:dataBar minLength="0" maxLength="100" gradient="0">
              <x14:cfvo type="autoMin"/>
              <x14:cfvo type="autoMax"/>
              <x14:negativeFillColor rgb="FFFF0000"/>
              <x14:axisColor rgb="FF000000"/>
            </x14:dataBar>
          </x14:cfRule>
          <xm:sqref>F4:F8</xm:sqref>
        </x14:conditionalFormatting>
        <x14:conditionalFormatting xmlns:xm="http://schemas.microsoft.com/office/excel/2006/main">
          <x14:cfRule type="dataBar" id="{9DA99F1E-42AC-423A-BEAC-DE8D2E797F37}">
            <x14:dataBar minLength="0" maxLength="100" gradient="0">
              <x14:cfvo type="autoMin"/>
              <x14:cfvo type="autoMax"/>
              <x14:negativeFillColor rgb="FFFF0000"/>
              <x14:axisColor rgb="FF000000"/>
            </x14:dataBar>
          </x14:cfRule>
          <xm:sqref>G2:G8</xm:sqref>
        </x14:conditionalFormatting>
        <x14:conditionalFormatting xmlns:xm="http://schemas.microsoft.com/office/excel/2006/main">
          <x14:cfRule type="dataBar" id="{8B9DC593-6069-49C2-A572-938DB5D6500D}">
            <x14:dataBar minLength="0" maxLength="100" gradient="0">
              <x14:cfvo type="autoMin"/>
              <x14:cfvo type="autoMax"/>
              <x14:negativeFillColor rgb="FFFF0000"/>
              <x14:axisColor rgb="FF000000"/>
            </x14:dataBar>
          </x14:cfRule>
          <xm:sqref>H2:H8</xm:sqref>
        </x14:conditionalFormatting>
      </x14:conditionalFormatting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2F4D70-6D79-4BB0-AA11-04DBFC4D54A4}">
  <dimension ref="A1:H4"/>
  <sheetViews>
    <sheetView workbookViewId="0">
      <selection activeCell="D2" sqref="D2"/>
    </sheetView>
  </sheetViews>
  <sheetFormatPr defaultRowHeight="14"/>
  <cols>
    <col min="1" max="1" width="14.1640625" customWidth="1"/>
    <col min="3" max="3" width="10.58203125" customWidth="1"/>
    <col min="4" max="4" width="17.58203125" customWidth="1"/>
    <col min="5" max="5" width="14" customWidth="1"/>
    <col min="6" max="6" width="16.25" customWidth="1"/>
    <col min="7" max="7" width="13.33203125" customWidth="1"/>
    <col min="8" max="8" width="11.1640625" customWidth="1"/>
  </cols>
  <sheetData>
    <row r="1" spans="1:8" ht="30.5" customHeight="1">
      <c r="A1" s="227" t="s">
        <v>318</v>
      </c>
      <c r="B1" s="228" t="s">
        <v>262</v>
      </c>
      <c r="C1" s="228" t="s">
        <v>263</v>
      </c>
      <c r="D1" s="228" t="s">
        <v>264</v>
      </c>
      <c r="E1" s="228" t="s">
        <v>265</v>
      </c>
      <c r="F1" s="228" t="s">
        <v>266</v>
      </c>
      <c r="G1" s="228" t="s">
        <v>310</v>
      </c>
      <c r="H1" s="228" t="s">
        <v>307</v>
      </c>
    </row>
    <row r="2" spans="1:8" ht="12.5" customHeight="1">
      <c r="A2" s="208" t="s">
        <v>312</v>
      </c>
      <c r="B2" s="206">
        <f>SUM('Yearly-App'!B23:B35)</f>
        <v>0.13929172652347119</v>
      </c>
      <c r="C2" s="206">
        <f>SUM('Yearly-App'!C23:C35)</f>
        <v>0.26616439457270402</v>
      </c>
      <c r="D2" s="206">
        <f>SUM('Yearly-App'!D23:D35)</f>
        <v>3.3645216410992465</v>
      </c>
      <c r="E2" s="206">
        <f>SUM('Yearly-App'!E23:E35)</f>
        <v>2.9643553188664988</v>
      </c>
      <c r="F2" s="206">
        <f>SUM('Yearly-App'!F23:F35)</f>
        <v>0.65303677278914185</v>
      </c>
      <c r="G2" s="206">
        <f>SUM('Yearly-App'!G23:G35)</f>
        <v>0.21394960706871713</v>
      </c>
      <c r="H2" s="206">
        <f>'Yearly-App'!H15</f>
        <v>4.603088062003366E-2</v>
      </c>
    </row>
    <row r="3" spans="1:8">
      <c r="A3" s="208" t="s">
        <v>313</v>
      </c>
      <c r="B3" s="206">
        <f>SUM('Yearly-Infra'!B23:B35)</f>
        <v>0.27974693472978363</v>
      </c>
      <c r="C3" s="206">
        <f>SUM('Yearly-Infra'!C23:C35)</f>
        <v>0.37959517535887188</v>
      </c>
      <c r="D3" s="206">
        <f>SUM('Yearly-Infra'!D23:D35)</f>
        <v>2.0202324067027724</v>
      </c>
      <c r="E3" s="206">
        <f>SUM('Yearly-Infra'!E23:E35)</f>
        <v>1.9469645977005057</v>
      </c>
      <c r="F3" s="206">
        <f>SUM('Yearly-Infra'!F23:F35)</f>
        <v>0.51581179275579758</v>
      </c>
      <c r="G3" s="206">
        <f>SUM('Yearly-Infra'!G23:G35)</f>
        <v>0.22282742574324282</v>
      </c>
      <c r="H3" s="206">
        <f>'Yearly-Infra'!H19</f>
        <v>6.1750732653443524E-2</v>
      </c>
    </row>
    <row r="4" spans="1:8" ht="22" customHeight="1">
      <c r="A4" s="208" t="s">
        <v>314</v>
      </c>
      <c r="B4" s="206">
        <f>SUM('Yearly-Semi'!B23:B35)</f>
        <v>0.14703479367768346</v>
      </c>
      <c r="C4" s="206">
        <f>SUM('Yearly-Semi'!C23:C35)</f>
        <v>0.36837620533700888</v>
      </c>
      <c r="D4" s="206">
        <f>SUM('Yearly-Semi'!D23:D35)</f>
        <v>1.6378399829198453</v>
      </c>
      <c r="E4" s="206">
        <f>SUM('Yearly-Semi'!E23:E35)</f>
        <v>1.5798196819755139</v>
      </c>
      <c r="F4" s="206">
        <f>SUM('Yearly-Semi'!F23:F35)</f>
        <v>0.14008221027183382</v>
      </c>
      <c r="G4" s="206">
        <f>SUM('Yearly-Semi'!G23:G35)</f>
        <v>6.1152774226945567E-2</v>
      </c>
      <c r="H4" s="206">
        <f>'Yearly-Semi'!H16</f>
        <v>4.0945083877419727E-2</v>
      </c>
    </row>
  </sheetData>
  <phoneticPr fontId="31"/>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16AEE9-33BD-45CE-B037-88306EB29668}">
  <dimension ref="A1:R45"/>
  <sheetViews>
    <sheetView topLeftCell="A8" workbookViewId="0">
      <selection activeCell="A14" sqref="A14"/>
    </sheetView>
  </sheetViews>
  <sheetFormatPr defaultRowHeight="14"/>
  <cols>
    <col min="1" max="1" width="23.4140625" customWidth="1"/>
    <col min="3" max="3" width="12" customWidth="1"/>
    <col min="6" max="6" width="17.9140625" customWidth="1"/>
    <col min="7" max="7" width="13" customWidth="1"/>
    <col min="8" max="8" width="13.83203125" customWidth="1"/>
    <col min="9" max="9" width="14.5" customWidth="1"/>
    <col min="10" max="10" width="11.1640625" customWidth="1"/>
  </cols>
  <sheetData>
    <row r="1" spans="1:18" ht="35.5" customHeight="1">
      <c r="A1" s="227" t="s">
        <v>317</v>
      </c>
      <c r="B1" s="227" t="s">
        <v>316</v>
      </c>
      <c r="C1" s="227" t="s">
        <v>318</v>
      </c>
      <c r="D1" s="228" t="s">
        <v>262</v>
      </c>
      <c r="E1" s="228" t="s">
        <v>263</v>
      </c>
      <c r="F1" s="228" t="s">
        <v>264</v>
      </c>
      <c r="G1" s="228" t="s">
        <v>265</v>
      </c>
      <c r="H1" s="228" t="s">
        <v>266</v>
      </c>
      <c r="I1" s="228" t="s">
        <v>310</v>
      </c>
      <c r="J1" s="228" t="s">
        <v>307</v>
      </c>
    </row>
    <row r="2" spans="1:18">
      <c r="A2" s="233" t="str">
        <f>VLOOKUP(B2,weight!$A$4:$B$47,2,FALSE)</f>
        <v>META PLATFORMS INC</v>
      </c>
      <c r="B2" s="208" t="s">
        <v>153</v>
      </c>
      <c r="C2" s="208" t="s">
        <v>312</v>
      </c>
      <c r="D2" s="206">
        <f>'Yearly-App'!B2</f>
        <v>0.30803914536045496</v>
      </c>
      <c r="E2" s="206">
        <f>'Yearly-App'!C2</f>
        <v>0.39867990747387716</v>
      </c>
      <c r="F2" s="206">
        <f>'Yearly-App'!D2</f>
        <v>4.9391193903471633</v>
      </c>
      <c r="G2" s="206">
        <f>'Yearly-App'!E2</f>
        <v>2.6151427687867228</v>
      </c>
      <c r="H2" s="206">
        <f>'Yearly-App'!F2</f>
        <v>0.47665263157894722</v>
      </c>
      <c r="I2" s="206">
        <f>'Yearly-App'!G2</f>
        <v>0.40814279983955076</v>
      </c>
      <c r="J2" s="206">
        <f>'Yearly-App'!H2</f>
        <v>1.3801896709242357E-2</v>
      </c>
      <c r="K2" s="1"/>
      <c r="L2" s="1"/>
      <c r="M2" s="1"/>
      <c r="N2" s="1"/>
      <c r="O2" s="1"/>
      <c r="P2" s="1"/>
      <c r="Q2" s="1"/>
      <c r="R2" s="1"/>
    </row>
    <row r="3" spans="1:18">
      <c r="A3" s="233" t="str">
        <f>VLOOKUP(B3,weight!$A$4:$B$47,2,FALSE)</f>
        <v>SALESFORCE INC</v>
      </c>
      <c r="B3" s="208" t="s">
        <v>144</v>
      </c>
      <c r="C3" s="208" t="s">
        <v>312</v>
      </c>
      <c r="D3" s="206">
        <f>'Yearly-App'!B3</f>
        <v>-0.30404091765620789</v>
      </c>
      <c r="E3" s="206">
        <f>'Yearly-App'!C3</f>
        <v>5.1039391733397999E-2</v>
      </c>
      <c r="F3" s="206">
        <f>'Yearly-App'!D3</f>
        <v>0.62171606864274565</v>
      </c>
      <c r="G3" s="206">
        <f>'Yearly-App'!E3</f>
        <v>0.42096342063535475</v>
      </c>
      <c r="H3" s="206">
        <f>'Yearly-App'!F3</f>
        <v>3.0697231696676486E-2</v>
      </c>
      <c r="I3" s="206">
        <f>'Yearly-App'!G3</f>
        <v>-0.37669376693766937</v>
      </c>
      <c r="J3" s="206">
        <f>'Yearly-App'!H3</f>
        <v>-8.3571631165526815E-3</v>
      </c>
      <c r="K3" s="1"/>
      <c r="L3" s="1"/>
      <c r="M3" s="1"/>
      <c r="N3" s="1"/>
      <c r="O3" s="1"/>
      <c r="P3" s="1"/>
      <c r="Q3" s="1"/>
      <c r="R3" s="1"/>
    </row>
    <row r="4" spans="1:18">
      <c r="A4" s="233" t="str">
        <f>VLOOKUP(B4,weight!$A$4:$B$47,2,FALSE)</f>
        <v>SERVICENOW INC</v>
      </c>
      <c r="B4" s="208" t="s">
        <v>159</v>
      </c>
      <c r="C4" s="208" t="s">
        <v>312</v>
      </c>
      <c r="D4" s="206">
        <f>'Yearly-App'!B4</f>
        <v>-0.19219522318228122</v>
      </c>
      <c r="E4" s="206">
        <f>'Yearly-App'!C4</f>
        <v>0.24216483630335683</v>
      </c>
      <c r="F4" s="206">
        <f>'Yearly-App'!D4</f>
        <v>1.3039875090079267</v>
      </c>
      <c r="G4" s="206">
        <f>'Yearly-App'!E4</f>
        <v>1.2592688557026426</v>
      </c>
      <c r="H4" s="206">
        <f>'Yearly-App'!F4</f>
        <v>0.29906276241298047</v>
      </c>
      <c r="I4" s="206">
        <f>'Yearly-App'!G4</f>
        <v>-0.43354939946080839</v>
      </c>
      <c r="J4" s="206">
        <f>'Yearly-App'!H4</f>
        <v>-3.02118963988692E-3</v>
      </c>
      <c r="K4" s="1"/>
      <c r="L4" s="1"/>
      <c r="M4" s="1"/>
      <c r="N4" s="1"/>
      <c r="O4" s="1"/>
      <c r="P4" s="1"/>
      <c r="Q4" s="1"/>
      <c r="R4" s="1"/>
    </row>
    <row r="5" spans="1:18">
      <c r="A5" s="233" t="str">
        <f>VLOOKUP(B5,weight!$A$4:$B$47,2,FALSE)</f>
        <v>DUOLINGO</v>
      </c>
      <c r="B5" s="208" t="s">
        <v>147</v>
      </c>
      <c r="C5" s="208" t="s">
        <v>312</v>
      </c>
      <c r="D5" s="206">
        <f>'Yearly-App'!B5</f>
        <v>5.045800820405244E-2</v>
      </c>
      <c r="E5" s="206">
        <f>'Yearly-App'!C5</f>
        <v>0.10857580398162314</v>
      </c>
      <c r="F5" s="206">
        <f>'Yearly-App'!D5</f>
        <v>4.195205971006172</v>
      </c>
      <c r="G5" s="206">
        <f>'Yearly-App'!E5</f>
        <v>1.9255577109602329</v>
      </c>
      <c r="H5" s="206">
        <f>'Yearly-App'!F5</f>
        <v>0.98753500631486446</v>
      </c>
      <c r="I5" s="206">
        <f>'Yearly-App'!G5</f>
        <v>0.73381902262675935</v>
      </c>
      <c r="J5" s="206">
        <f>'Yearly-App'!H5</f>
        <v>1.9511830942038292E-3</v>
      </c>
      <c r="K5" s="1"/>
      <c r="L5" s="1"/>
      <c r="M5" s="1"/>
      <c r="N5" s="1"/>
      <c r="O5" s="1"/>
      <c r="P5" s="1"/>
      <c r="Q5" s="1"/>
      <c r="R5" s="1"/>
    </row>
    <row r="6" spans="1:18">
      <c r="A6" s="233" t="str">
        <f>VLOOKUP(B6,weight!$A$4:$B$47,2,FALSE)</f>
        <v>SAP SE</v>
      </c>
      <c r="B6" s="208" t="s">
        <v>167</v>
      </c>
      <c r="C6" s="208" t="s">
        <v>312</v>
      </c>
      <c r="D6" s="206">
        <f>'Yearly-App'!B6</f>
        <v>0.179298693771621</v>
      </c>
      <c r="E6" s="206">
        <f>'Yearly-App'!C6</f>
        <v>0.19859521684214454</v>
      </c>
      <c r="F6" s="206">
        <f>'Yearly-App'!D6</f>
        <v>1.8594458581390003</v>
      </c>
      <c r="G6" s="206">
        <f>'Yearly-App'!E6</f>
        <v>1.6112390979044715</v>
      </c>
      <c r="H6" s="206">
        <f>'Yearly-App'!F6</f>
        <v>0.53898021165938759</v>
      </c>
      <c r="I6" s="206">
        <f>'Yearly-App'!G6</f>
        <v>0.37664903692445018</v>
      </c>
      <c r="J6" s="206">
        <f>'Yearly-App'!H6</f>
        <v>2.603766022792443E-2</v>
      </c>
      <c r="K6" s="1"/>
      <c r="L6" s="1"/>
      <c r="M6" s="1"/>
      <c r="N6" s="1"/>
      <c r="O6" s="1"/>
      <c r="P6" s="1"/>
      <c r="Q6" s="1"/>
      <c r="R6" s="1"/>
    </row>
    <row r="7" spans="1:18">
      <c r="A7" s="233" t="str">
        <f>VLOOKUP(B7,weight!$A$4:$B$47,2,FALSE)</f>
        <v>TEMPUS AI INC</v>
      </c>
      <c r="B7" s="208" t="s">
        <v>172</v>
      </c>
      <c r="C7" s="208" t="s">
        <v>312</v>
      </c>
      <c r="D7" s="206">
        <f>'Yearly-App'!B7</f>
        <v>0.80154028436018976</v>
      </c>
      <c r="E7" s="206">
        <f>'Yearly-App'!C7</f>
        <v>0.49938195302843003</v>
      </c>
      <c r="F7" s="206" t="e">
        <f>'Yearly-App'!D7</f>
        <v>#DIV/0!</v>
      </c>
      <c r="G7" s="206" t="e">
        <f>'Yearly-App'!E7</f>
        <v>#DIV/0!</v>
      </c>
      <c r="H7" s="206">
        <f>'Yearly-App'!F7</f>
        <v>0.45933589990375356</v>
      </c>
      <c r="I7" s="206">
        <f>'Yearly-App'!G7</f>
        <v>0.65708037178786227</v>
      </c>
      <c r="J7" s="206">
        <f>'Yearly-App'!H7</f>
        <v>8.2796385395657833E-3</v>
      </c>
      <c r="K7" s="1"/>
      <c r="L7" s="1"/>
      <c r="M7" s="1"/>
      <c r="N7" s="1"/>
      <c r="O7" s="1"/>
      <c r="P7" s="1"/>
      <c r="Q7" s="1"/>
      <c r="R7" s="1"/>
    </row>
    <row r="8" spans="1:18">
      <c r="A8" s="233" t="str">
        <f>VLOOKUP(B8,weight!$A$4:$B$47,2,FALSE)</f>
        <v>ADOBE INC</v>
      </c>
      <c r="B8" s="208" t="s">
        <v>137</v>
      </c>
      <c r="C8" s="208" t="s">
        <v>312</v>
      </c>
      <c r="D8" s="206">
        <f>'Yearly-App'!B8</f>
        <v>-0.24968516686156339</v>
      </c>
      <c r="E8" s="206">
        <f>'Yearly-App'!C8</f>
        <v>5.0602064220183429E-2</v>
      </c>
      <c r="F8" s="206">
        <f>'Yearly-App'!D8</f>
        <v>6.2389470327312679E-2</v>
      </c>
      <c r="G8" s="206">
        <f>'Yearly-App'!E8</f>
        <v>9.9360993609936221E-2</v>
      </c>
      <c r="H8" s="206">
        <f>'Yearly-App'!F8</f>
        <v>-0.35047325321705836</v>
      </c>
      <c r="I8" s="206">
        <f>'Yearly-App'!G8</f>
        <v>-0.43511697150148876</v>
      </c>
      <c r="J8" s="206">
        <f>'Yearly-App'!H8</f>
        <v>-4.4460316891338312E-3</v>
      </c>
      <c r="K8" s="1"/>
      <c r="L8" s="1"/>
      <c r="M8" s="1"/>
      <c r="N8" s="1"/>
      <c r="O8" s="1"/>
      <c r="P8" s="1"/>
      <c r="Q8" s="1"/>
      <c r="R8" s="1"/>
    </row>
    <row r="9" spans="1:18">
      <c r="A9" s="233" t="str">
        <f>VLOOKUP(B9,weight!$A$4:$B$47,2,FALSE)</f>
        <v>SAMSARA INC-CL A</v>
      </c>
      <c r="B9" s="208" t="s">
        <v>151</v>
      </c>
      <c r="C9" s="208" t="s">
        <v>312</v>
      </c>
      <c r="D9" s="206">
        <f>'Yearly-App'!B9</f>
        <v>-0.25612268253604942</v>
      </c>
      <c r="E9" s="206">
        <f>'Yearly-App'!C9</f>
        <v>1.6791044776119257E-2</v>
      </c>
      <c r="F9" s="206">
        <f>'Yearly-App'!D9</f>
        <v>3.0031479538300108</v>
      </c>
      <c r="G9" s="206">
        <f>'Yearly-App'!E9</f>
        <v>0.93753174200101563</v>
      </c>
      <c r="H9" s="206">
        <f>'Yearly-App'!F9</f>
        <v>2.4711254364759627E-2</v>
      </c>
      <c r="I9" s="206">
        <f>'Yearly-App'!G9</f>
        <v>-0.49272939051597825</v>
      </c>
      <c r="J9" s="206">
        <f>'Yearly-App'!H9</f>
        <v>-2.5154950613629256E-3</v>
      </c>
      <c r="K9" s="1"/>
      <c r="L9" s="1"/>
      <c r="M9" s="1"/>
      <c r="N9" s="1"/>
      <c r="O9" s="1"/>
      <c r="P9" s="1"/>
      <c r="Q9" s="1"/>
      <c r="R9" s="1"/>
    </row>
    <row r="10" spans="1:18">
      <c r="A10" s="233" t="str">
        <f>VLOOKUP(B10,weight!$A$4:$B$47,2,FALSE)</f>
        <v>WORKDAY INC-CLASS A</v>
      </c>
      <c r="B10" s="208" t="s">
        <v>175</v>
      </c>
      <c r="C10" s="208" t="s">
        <v>312</v>
      </c>
      <c r="D10" s="206">
        <f>'Yearly-App'!B10</f>
        <v>-0.17184048366469007</v>
      </c>
      <c r="E10" s="206">
        <f>'Yearly-App'!C10</f>
        <v>4.4656592163605069E-2</v>
      </c>
      <c r="F10" s="206">
        <f>'Yearly-App'!D10</f>
        <v>0.37516378796902905</v>
      </c>
      <c r="G10" s="206">
        <f>'Yearly-App'!E10</f>
        <v>0.25887356196499645</v>
      </c>
      <c r="H10" s="206">
        <f>'Yearly-App'!F10</f>
        <v>-8.0340264650283766E-3</v>
      </c>
      <c r="I10" s="206">
        <f>'Yearly-App'!G10</f>
        <v>-0.32037414965986394</v>
      </c>
      <c r="J10" s="206">
        <f>'Yearly-App'!H10</f>
        <v>-1.7548750389942982E-3</v>
      </c>
      <c r="K10" s="1"/>
      <c r="L10" s="1"/>
      <c r="M10" s="1"/>
      <c r="N10" s="1"/>
      <c r="O10" s="1"/>
      <c r="P10" s="1"/>
      <c r="Q10" s="1"/>
      <c r="R10" s="1"/>
    </row>
    <row r="11" spans="1:18">
      <c r="A11" s="233" t="str">
        <f>VLOOKUP(B11,weight!$A$4:$B$47,2,FALSE)</f>
        <v>ROBLOX CORP -CLASS A</v>
      </c>
      <c r="B11" s="208" t="s">
        <v>166</v>
      </c>
      <c r="C11" s="208" t="s">
        <v>312</v>
      </c>
      <c r="D11" s="206">
        <f>'Yearly-App'!B11</f>
        <v>1.2595921189077086</v>
      </c>
      <c r="E11" s="206">
        <f>'Yearly-App'!C11</f>
        <v>1.0460559370289735</v>
      </c>
      <c r="F11" s="206">
        <f>'Yearly-App'!D11</f>
        <v>2.8454516839785962</v>
      </c>
      <c r="G11" s="206">
        <f>'Yearly-App'!E11</f>
        <v>1.8286640426024543</v>
      </c>
      <c r="H11" s="206">
        <f>'Yearly-App'!F11</f>
        <v>2.0489143998003496</v>
      </c>
      <c r="I11" s="206">
        <f>'Yearly-App'!G11</f>
        <v>0.71377604800129735</v>
      </c>
      <c r="J11" s="206">
        <f>'Yearly-App'!H11</f>
        <v>1.486715243936009E-2</v>
      </c>
      <c r="K11" s="1"/>
      <c r="L11" s="1"/>
      <c r="M11" s="1"/>
      <c r="N11" s="1"/>
      <c r="O11" s="1"/>
      <c r="P11" s="1"/>
      <c r="Q11" s="1"/>
      <c r="R11" s="1"/>
    </row>
    <row r="12" spans="1:18">
      <c r="A12" s="233" t="str">
        <f>VLOOKUP(B12,weight!$A$4:$B$47,2,FALSE)</f>
        <v>APPLOVIN CORP-CLASS A</v>
      </c>
      <c r="B12" s="208" t="s">
        <v>146</v>
      </c>
      <c r="C12" s="208" t="s">
        <v>312</v>
      </c>
      <c r="D12" s="206">
        <f>'Yearly-App'!B12</f>
        <v>0.43772967297656185</v>
      </c>
      <c r="E12" s="206">
        <f>'Yearly-App'!C12</f>
        <v>0.52707581227436817</v>
      </c>
      <c r="F12" s="206">
        <f>'Yearly-App'!D12</f>
        <v>24.244968771686327</v>
      </c>
      <c r="G12" s="206">
        <f>'Yearly-App'!E12</f>
        <v>27.487079091620984</v>
      </c>
      <c r="H12" s="206">
        <f>'Yearly-App'!F12</f>
        <v>3.436882546652031</v>
      </c>
      <c r="I12" s="206">
        <f>'Yearly-App'!G12</f>
        <v>0.88447110349423974</v>
      </c>
      <c r="J12" s="206">
        <f>'Yearly-App'!H12</f>
        <v>1.8772436185596484E-3</v>
      </c>
      <c r="K12" s="1"/>
      <c r="L12" s="1"/>
      <c r="M12" s="1"/>
      <c r="N12" s="1"/>
      <c r="O12" s="1"/>
      <c r="P12" s="1"/>
      <c r="Q12" s="1"/>
      <c r="R12" s="1"/>
    </row>
    <row r="13" spans="1:18">
      <c r="A13" s="233" t="str">
        <f>VLOOKUP(B13,weight!$A$4:$B$47,2,FALSE)</f>
        <v>SHOPIFY INC - CLASS A</v>
      </c>
      <c r="B13" s="208" t="s">
        <v>168</v>
      </c>
      <c r="C13" s="208" t="s">
        <v>312</v>
      </c>
      <c r="D13" s="206">
        <f>'Yearly-App'!B13</f>
        <v>0.38719082102887237</v>
      </c>
      <c r="E13" s="206">
        <f>'Yearly-App'!C13</f>
        <v>0.51524208009563655</v>
      </c>
      <c r="F13" s="206">
        <f>'Yearly-App'!D13</f>
        <v>2.1005381604696671</v>
      </c>
      <c r="G13" s="206">
        <f>'Yearly-App'!E13</f>
        <v>1.8938356164383565</v>
      </c>
      <c r="H13" s="206">
        <f>'Yearly-App'!F13</f>
        <v>0.92336874051593298</v>
      </c>
      <c r="I13" s="206">
        <f>'Yearly-App'!G13</f>
        <v>0.62467151027979595</v>
      </c>
      <c r="J13" s="206">
        <f>'Yearly-App'!H13</f>
        <v>3.2886031212965841E-3</v>
      </c>
      <c r="K13" s="1"/>
      <c r="L13" s="1"/>
      <c r="M13" s="1"/>
      <c r="N13" s="1"/>
      <c r="O13" s="1"/>
      <c r="P13" s="1"/>
      <c r="Q13" s="1"/>
      <c r="R13" s="1"/>
    </row>
    <row r="14" spans="1:18">
      <c r="A14" s="233" t="str">
        <f>VLOOKUP(B14,weight!$A$4:$B$47,2,FALSE)</f>
        <v>ATLASSIAN CORP-CL A</v>
      </c>
      <c r="B14" s="208" t="s">
        <v>171</v>
      </c>
      <c r="C14" s="208" t="s">
        <v>312</v>
      </c>
      <c r="D14" s="206">
        <f>'Yearly-App'!B14</f>
        <v>-0.34555016846084308</v>
      </c>
      <c r="E14" s="206">
        <f>'Yearly-App'!C14</f>
        <v>-5.9827373612823642E-2</v>
      </c>
      <c r="F14" s="206">
        <f>'Yearly-App'!D14</f>
        <v>0.44903078677309005</v>
      </c>
      <c r="G14" s="206">
        <f>'Yearly-App'!E14</f>
        <v>0.19152394049256172</v>
      </c>
      <c r="H14" s="206">
        <f>'Yearly-App'!F14</f>
        <v>6.0767946577629406E-2</v>
      </c>
      <c r="I14" s="206">
        <f>'Yearly-App'!G14</f>
        <v>0.5849998726993475</v>
      </c>
      <c r="J14" s="206">
        <f>'Yearly-App'!H14</f>
        <v>-3.9777425841884019E-3</v>
      </c>
      <c r="K14" s="1"/>
      <c r="L14" s="1"/>
      <c r="M14" s="1"/>
      <c r="N14" s="1"/>
      <c r="O14" s="1"/>
      <c r="P14" s="1"/>
      <c r="Q14" s="1"/>
      <c r="R14" s="1"/>
    </row>
    <row r="15" spans="1:18">
      <c r="A15" s="233" t="str">
        <f>VLOOKUP(B15,weight!$A$4:$B$47,2,FALSE)</f>
        <v>MICROSOFT CORP</v>
      </c>
      <c r="B15" s="208" t="s">
        <v>155</v>
      </c>
      <c r="C15" s="208" t="s">
        <v>313</v>
      </c>
      <c r="D15" s="206">
        <f>'Yearly-Infra'!B2</f>
        <v>0.23788849347568197</v>
      </c>
      <c r="E15" s="206">
        <f>'Yearly-Infra'!C2</f>
        <v>0.39132089836315198</v>
      </c>
      <c r="F15" s="206">
        <f>'Yearly-Infra'!D2</f>
        <v>1.0055655718429097</v>
      </c>
      <c r="G15" s="206">
        <f>'Yearly-Infra'!E2</f>
        <v>0.96211511177575804</v>
      </c>
      <c r="H15" s="206">
        <f>'Yearly-Infra'!F2</f>
        <v>0.1515956249718684</v>
      </c>
      <c r="I15" s="206">
        <f>'Yearly-Infra'!G2</f>
        <v>0.32837914174961524</v>
      </c>
      <c r="J15" s="206">
        <f>'Yearly-Infra'!H2</f>
        <v>1.0859487937057471E-2</v>
      </c>
      <c r="K15" s="1"/>
      <c r="L15" s="1"/>
      <c r="M15" s="1"/>
      <c r="N15" s="1"/>
      <c r="O15" s="1"/>
      <c r="P15" s="1"/>
      <c r="Q15" s="1"/>
      <c r="R15" s="1"/>
    </row>
    <row r="16" spans="1:18">
      <c r="A16" s="233" t="str">
        <f>VLOOKUP(B16,weight!$A$4:$B$47,2,FALSE)</f>
        <v>AMAZON.COM INC</v>
      </c>
      <c r="B16" s="208" t="s">
        <v>138</v>
      </c>
      <c r="C16" s="208" t="s">
        <v>313</v>
      </c>
      <c r="D16" s="206">
        <f>'Yearly-Infra'!B3</f>
        <v>8.7059574274124252E-3</v>
      </c>
      <c r="E16" s="206">
        <f>'Yearly-Infra'!C3</f>
        <v>0.29702798215630599</v>
      </c>
      <c r="F16" s="206">
        <f>'Yearly-Infra'!D3</f>
        <v>1.3190387404184793</v>
      </c>
      <c r="G16" s="206">
        <f>'Yearly-Infra'!E3</f>
        <v>1.3596121416526139</v>
      </c>
      <c r="H16" s="206">
        <f>'Yearly-Infra'!F3</f>
        <v>0.1808639696186507</v>
      </c>
      <c r="I16" s="206">
        <f>'Yearly-Infra'!G3</f>
        <v>-0.37485568200560776</v>
      </c>
      <c r="J16" s="206">
        <f>'Yearly-Infra'!H3</f>
        <v>1.1591796260980332E-3</v>
      </c>
      <c r="K16" s="1"/>
      <c r="L16" s="1"/>
      <c r="M16" s="1"/>
      <c r="N16" s="1"/>
      <c r="O16" s="1"/>
      <c r="P16" s="1"/>
      <c r="Q16" s="1"/>
      <c r="R16" s="1"/>
    </row>
    <row r="17" spans="1:18" ht="28">
      <c r="A17" s="233" t="str">
        <f>VLOOKUP(B17,weight!$A$4:$B$47,2,FALSE)</f>
        <v>ALPHABET INC-CL A</v>
      </c>
      <c r="B17" s="208" t="s">
        <v>149</v>
      </c>
      <c r="C17" s="208" t="s">
        <v>313</v>
      </c>
      <c r="D17" s="206">
        <f>'Yearly-Infra'!B4</f>
        <v>6.1806656101426327E-2</v>
      </c>
      <c r="E17" s="206">
        <f>'Yearly-Infra'!C4</f>
        <v>0.21447472876422347</v>
      </c>
      <c r="F17" s="206">
        <f>'Yearly-Infra'!D4</f>
        <v>0.81780374294484615</v>
      </c>
      <c r="G17" s="206">
        <f>'Yearly-Infra'!E4</f>
        <v>0.95360221347238494</v>
      </c>
      <c r="H17" s="206">
        <f>'Yearly-Infra'!F4</f>
        <v>9.0694223052822931E-3</v>
      </c>
      <c r="I17" s="206">
        <f>'Yearly-Infra'!G4</f>
        <v>-0.32127505433470177</v>
      </c>
      <c r="J17" s="206">
        <f>'Yearly-Infra'!H4</f>
        <v>-1.2169302552920399E-3</v>
      </c>
      <c r="K17" s="1"/>
      <c r="L17" s="1"/>
      <c r="M17" s="1"/>
      <c r="N17" s="1"/>
      <c r="O17" s="1"/>
      <c r="P17" s="1"/>
      <c r="Q17" s="1"/>
      <c r="R17" s="1"/>
    </row>
    <row r="18" spans="1:18">
      <c r="A18" s="233" t="str">
        <f>VLOOKUP(B18,weight!$A$4:$B$47,2,FALSE)</f>
        <v>TESLA INC</v>
      </c>
      <c r="B18" s="208" t="s">
        <v>173</v>
      </c>
      <c r="C18" s="208" t="s">
        <v>313</v>
      </c>
      <c r="D18" s="206">
        <f>'Yearly-Infra'!B5</f>
        <v>-0.1604843502377179</v>
      </c>
      <c r="E18" s="206">
        <f>'Yearly-Infra'!C5</f>
        <v>0.32332104238306347</v>
      </c>
      <c r="F18" s="206">
        <f>'Yearly-Infra'!D5</f>
        <v>0.64052388289676454</v>
      </c>
      <c r="G18" s="206">
        <f>'Yearly-Infra'!E5</f>
        <v>0.74293353705118426</v>
      </c>
      <c r="H18" s="206">
        <f>'Yearly-Infra'!F5</f>
        <v>0.2720936715918596</v>
      </c>
      <c r="I18" s="206">
        <f>'Yearly-Infra'!G5</f>
        <v>0.62746133939111215</v>
      </c>
      <c r="J18" s="206">
        <f>'Yearly-Infra'!H5</f>
        <v>-7.961224995469935E-3</v>
      </c>
      <c r="K18" s="1"/>
      <c r="L18" s="1"/>
      <c r="M18" s="1"/>
      <c r="N18" s="1"/>
      <c r="O18" s="1"/>
      <c r="P18" s="1"/>
      <c r="Q18" s="1"/>
      <c r="R18" s="1"/>
    </row>
    <row r="19" spans="1:18">
      <c r="A19" s="233" t="str">
        <f>VLOOKUP(B19,weight!$A$4:$B$47,2,FALSE)</f>
        <v>PALANTIR TECHN-A</v>
      </c>
      <c r="B19" s="208" t="s">
        <v>163</v>
      </c>
      <c r="C19" s="208" t="s">
        <v>313</v>
      </c>
      <c r="D19" s="206">
        <f>'Yearly-Infra'!B6</f>
        <v>1.4154436070342458</v>
      </c>
      <c r="E19" s="206">
        <f>'Yearly-Infra'!C6</f>
        <v>0.64203454894433798</v>
      </c>
      <c r="F19" s="206">
        <f>'Yearly-Infra'!D6</f>
        <v>19.532</v>
      </c>
      <c r="G19" s="206">
        <f>'Yearly-Infra'!E6</f>
        <v>18.517110266159698</v>
      </c>
      <c r="H19" s="206">
        <f>'Yearly-Infra'!F6</f>
        <v>4.4183673469387754</v>
      </c>
      <c r="I19" s="206">
        <f>'Yearly-Infra'!G6</f>
        <v>0.86363052415210695</v>
      </c>
      <c r="J19" s="206">
        <f>'Yearly-Infra'!H6</f>
        <v>1.64680126241546E-2</v>
      </c>
      <c r="K19" s="1"/>
      <c r="L19" s="1"/>
      <c r="M19" s="1"/>
      <c r="N19" s="1"/>
      <c r="O19" s="1"/>
      <c r="P19" s="1"/>
      <c r="Q19" s="1"/>
      <c r="R19" s="1"/>
    </row>
    <row r="20" spans="1:18">
      <c r="A20" s="233" t="str">
        <f>VLOOKUP(B20,weight!$A$4:$B$47,2,FALSE)</f>
        <v>ORACLE CORP</v>
      </c>
      <c r="B20" s="208" t="s">
        <v>161</v>
      </c>
      <c r="C20" s="208" t="s">
        <v>313</v>
      </c>
      <c r="D20" s="206">
        <f>'Yearly-Infra'!B7</f>
        <v>0.51632261161785897</v>
      </c>
      <c r="E20" s="206">
        <f>'Yearly-Infra'!C7</f>
        <v>0.93399160317213492</v>
      </c>
      <c r="F20" s="206">
        <f>'Yearly-Infra'!D7</f>
        <v>1.9959050945441406</v>
      </c>
      <c r="G20" s="206">
        <f>'Yearly-Infra'!E7</f>
        <v>1.9416982024597917</v>
      </c>
      <c r="H20" s="206">
        <f>'Yearly-Infra'!F7</f>
        <v>0.78494546498277828</v>
      </c>
      <c r="I20" s="206">
        <f>'Yearly-Infra'!G7</f>
        <v>0.52758327805376704</v>
      </c>
      <c r="J20" s="206">
        <f>'Yearly-Infra'!H7</f>
        <v>1.1158003187019587E-2</v>
      </c>
      <c r="K20" s="1"/>
      <c r="L20" s="1"/>
      <c r="M20" s="1"/>
      <c r="N20" s="1"/>
      <c r="O20" s="1"/>
      <c r="P20" s="1"/>
      <c r="Q20" s="1"/>
      <c r="R20" s="1"/>
    </row>
    <row r="21" spans="1:18">
      <c r="A21" s="233" t="str">
        <f>VLOOKUP(B21,weight!$A$4:$B$47,2,FALSE)</f>
        <v>NEBIUS GROUP NV</v>
      </c>
      <c r="B21" s="208" t="s">
        <v>157</v>
      </c>
      <c r="C21" s="208" t="s">
        <v>313</v>
      </c>
      <c r="D21" s="206">
        <f>'Yearly-Infra'!B8</f>
        <v>1.5357400722021661</v>
      </c>
      <c r="E21" s="206">
        <f>'Yearly-Infra'!C8</f>
        <v>1.493729679516953</v>
      </c>
      <c r="F21" s="206" t="e">
        <f>'Yearly-Infra'!D8</f>
        <v>#DIV/0!</v>
      </c>
      <c r="G21" s="206" t="e">
        <f>'Yearly-Infra'!E8</f>
        <v>#DIV/0!</v>
      </c>
      <c r="H21" s="206" t="e">
        <f>'Yearly-Infra'!F8</f>
        <v>#DIV/0!</v>
      </c>
      <c r="I21" s="206">
        <f>'Yearly-Infra'!G8</f>
        <v>0.74910968660968658</v>
      </c>
      <c r="J21" s="206">
        <f>'Yearly-Infra'!H8</f>
        <v>1.7426337831040244E-2</v>
      </c>
      <c r="K21" s="1"/>
      <c r="L21" s="1"/>
      <c r="M21" s="1"/>
      <c r="N21" s="1"/>
      <c r="O21" s="1"/>
      <c r="P21" s="1"/>
      <c r="Q21" s="1"/>
      <c r="R21" s="1"/>
    </row>
    <row r="22" spans="1:18">
      <c r="A22" s="233" t="str">
        <f>VLOOKUP(B22,weight!$A$4:$B$47,2,FALSE)</f>
        <v>ELASTIC NV</v>
      </c>
      <c r="B22" s="208" t="s">
        <v>148</v>
      </c>
      <c r="C22" s="208" t="s">
        <v>313</v>
      </c>
      <c r="D22" s="206">
        <f>'Yearly-Infra'!B9</f>
        <v>-0.26786435203875647</v>
      </c>
      <c r="E22" s="206">
        <f>'Yearly-Infra'!C9</f>
        <v>0.10825735199691788</v>
      </c>
      <c r="F22" s="206">
        <f>'Yearly-Infra'!D9</f>
        <v>0.41036117012583762</v>
      </c>
      <c r="G22" s="206">
        <f>'Yearly-Infra'!E9</f>
        <v>0.5656748911465892</v>
      </c>
      <c r="H22" s="206">
        <f>'Yearly-Infra'!F9</f>
        <v>-0.25313717005625269</v>
      </c>
      <c r="I22" s="206">
        <f>'Yearly-Infra'!G9</f>
        <v>0.41938741164591048</v>
      </c>
      <c r="J22" s="206">
        <f>'Yearly-Infra'!H9</f>
        <v>-2.9136578039287257E-3</v>
      </c>
      <c r="K22" s="1"/>
      <c r="L22" s="1"/>
      <c r="M22" s="1"/>
      <c r="N22" s="1"/>
      <c r="O22" s="1"/>
      <c r="P22" s="1"/>
      <c r="Q22" s="1"/>
      <c r="R22" s="1"/>
    </row>
    <row r="23" spans="1:18">
      <c r="A23" s="233" t="str">
        <f>VLOOKUP(B23,weight!$A$4:$B$47,2,FALSE)</f>
        <v>SNOWFLAKE INC-CLASS A</v>
      </c>
      <c r="B23" s="208" t="s">
        <v>169</v>
      </c>
      <c r="C23" s="208" t="s">
        <v>313</v>
      </c>
      <c r="D23" s="206">
        <f>'Yearly-Infra'!B10</f>
        <v>0.24214752930509698</v>
      </c>
      <c r="E23" s="206">
        <f>'Yearly-Infra'!C10</f>
        <v>0.47514466987380599</v>
      </c>
      <c r="F23" s="206">
        <f>'Yearly-Infra'!D10</f>
        <v>0.48061581525542341</v>
      </c>
      <c r="G23" s="206">
        <f>'Yearly-Infra'!E10</f>
        <v>0.51323129738234896</v>
      </c>
      <c r="H23" s="206">
        <f>'Yearly-Infra'!F10</f>
        <v>0.56691105680219223</v>
      </c>
      <c r="I23" s="206">
        <f>'Yearly-Infra'!G10</f>
        <v>0.52722859664607236</v>
      </c>
      <c r="J23" s="206">
        <f>'Yearly-Infra'!H10</f>
        <v>5.9594866058074779E-3</v>
      </c>
      <c r="K23" s="1"/>
      <c r="L23" s="1"/>
      <c r="M23" s="1"/>
      <c r="N23" s="1"/>
      <c r="O23" s="1"/>
      <c r="P23" s="1"/>
      <c r="Q23" s="1"/>
      <c r="R23" s="1"/>
    </row>
    <row r="24" spans="1:18">
      <c r="A24" s="233" t="str">
        <f>VLOOKUP(B24,weight!$A$4:$B$47,2,FALSE)</f>
        <v>DATADOG INC - CLASS A</v>
      </c>
      <c r="B24" s="208" t="s">
        <v>145</v>
      </c>
      <c r="C24" s="208" t="s">
        <v>313</v>
      </c>
      <c r="D24" s="206">
        <f>'Yearly-Infra'!B11</f>
        <v>-9.8397368605220636E-2</v>
      </c>
      <c r="E24" s="206">
        <f>'Yearly-Infra'!C11</f>
        <v>0.56997148497477501</v>
      </c>
      <c r="F24" s="206">
        <f>'Yearly-Infra'!D11</f>
        <v>0.88902084982845087</v>
      </c>
      <c r="G24" s="206">
        <f>'Yearly-Infra'!E11</f>
        <v>1.1702546998180718</v>
      </c>
      <c r="H24" s="206">
        <f>'Yearly-Infra'!F11</f>
        <v>0.176253081347576</v>
      </c>
      <c r="I24" s="206">
        <f>'Yearly-Infra'!G11</f>
        <v>-0.52004938852304805</v>
      </c>
      <c r="J24" s="206">
        <f>'Yearly-Infra'!H11</f>
        <v>4.0279837415231104E-5</v>
      </c>
      <c r="K24" s="1"/>
      <c r="L24" s="1"/>
      <c r="M24" s="1"/>
      <c r="N24" s="1"/>
      <c r="O24" s="1"/>
      <c r="P24" s="1"/>
      <c r="Q24" s="1"/>
      <c r="R24" s="1"/>
    </row>
    <row r="25" spans="1:18" ht="28">
      <c r="A25" s="233" t="str">
        <f>VLOOKUP(B25,weight!$A$4:$B$47,2,FALSE)</f>
        <v>CLOUDFLARE INC - CLASS A</v>
      </c>
      <c r="B25" s="208" t="s">
        <v>158</v>
      </c>
      <c r="C25" s="208" t="s">
        <v>313</v>
      </c>
      <c r="D25" s="206">
        <f>'Yearly-Infra'!B12</f>
        <v>0.86822065378900426</v>
      </c>
      <c r="E25" s="206">
        <f>'Yearly-Infra'!C12</f>
        <v>0.77247451343836881</v>
      </c>
      <c r="F25" s="206">
        <f>'Yearly-Infra'!D12</f>
        <v>2.8919413919413919</v>
      </c>
      <c r="G25" s="206">
        <f>'Yearly-Infra'!E12</f>
        <v>2.4899635036496353</v>
      </c>
      <c r="H25" s="206">
        <f>'Yearly-Infra'!F12</f>
        <v>1.3608196518948277</v>
      </c>
      <c r="I25" s="206">
        <f>'Yearly-Infra'!G12</f>
        <v>0.65021968587445078</v>
      </c>
      <c r="J25" s="206">
        <f>'Yearly-Infra'!H12</f>
        <v>1.1192325656690651E-2</v>
      </c>
      <c r="K25" s="1"/>
      <c r="L25" s="1"/>
      <c r="M25" s="1"/>
      <c r="N25" s="1"/>
      <c r="O25" s="1"/>
      <c r="P25" s="1"/>
      <c r="Q25" s="1"/>
      <c r="R25" s="1"/>
    </row>
    <row r="26" spans="1:18">
      <c r="A26" s="233" t="str">
        <f>VLOOKUP(B26,weight!$A$4:$B$47,2,FALSE)</f>
        <v>GITLAB INC-CL A</v>
      </c>
      <c r="B26" s="208" t="s">
        <v>150</v>
      </c>
      <c r="C26" s="208" t="s">
        <v>313</v>
      </c>
      <c r="D26" s="206">
        <f>'Yearly-Infra'!B13</f>
        <v>-0.31109139307897071</v>
      </c>
      <c r="E26" s="206">
        <f>'Yearly-Infra'!C13</f>
        <v>2.3776223776223793E-2</v>
      </c>
      <c r="F26" s="206">
        <f>'Yearly-Infra'!D13</f>
        <v>0.11049304677623284</v>
      </c>
      <c r="G26" s="206">
        <f>'Yearly-Infra'!E13</f>
        <v>0.29328621908127217</v>
      </c>
      <c r="H26" s="206">
        <f>'Yearly-Infra'!F13</f>
        <v>-0.19412844036697241</v>
      </c>
      <c r="I26" s="206">
        <f>'Yearly-Infra'!G13</f>
        <v>-0.48912240496090592</v>
      </c>
      <c r="J26" s="206">
        <f>'Yearly-Infra'!H13</f>
        <v>-3.6427941181421983E-3</v>
      </c>
      <c r="K26" s="1"/>
      <c r="L26" s="1"/>
      <c r="M26" s="1"/>
      <c r="N26" s="1"/>
      <c r="O26" s="1"/>
      <c r="P26" s="1"/>
      <c r="Q26" s="1"/>
      <c r="R26" s="1"/>
    </row>
    <row r="27" spans="1:18" ht="28">
      <c r="A27" s="233" t="str">
        <f>VLOOKUP(B27,weight!$A$4:$B$47,2,FALSE)</f>
        <v>PALO ALTO NETWORKS INC</v>
      </c>
      <c r="B27" s="208" t="s">
        <v>162</v>
      </c>
      <c r="C27" s="208" t="s">
        <v>313</v>
      </c>
      <c r="D27" s="206">
        <f>'Yearly-Infra'!B14</f>
        <v>-7.5785887008133712E-2</v>
      </c>
      <c r="E27" s="206">
        <f>'Yearly-Infra'!C14</f>
        <v>0.17049317192438429</v>
      </c>
      <c r="F27" s="206">
        <f>'Yearly-Infra'!D14</f>
        <v>1.3105356091818718</v>
      </c>
      <c r="G27" s="206">
        <f>'Yearly-Infra'!E14</f>
        <v>1.1279271465741547</v>
      </c>
      <c r="H27" s="206">
        <f>'Yearly-Infra'!F14</f>
        <v>0.19221307741367277</v>
      </c>
      <c r="I27" s="206">
        <f>'Yearly-Infra'!G14</f>
        <v>0.31853735783866788</v>
      </c>
      <c r="J27" s="206">
        <f>'Yearly-Infra'!H14</f>
        <v>1.0766309333776886E-3</v>
      </c>
      <c r="K27" s="1"/>
      <c r="L27" s="1"/>
      <c r="M27" s="1"/>
      <c r="N27" s="1"/>
      <c r="O27" s="1"/>
      <c r="P27" s="1"/>
      <c r="Q27" s="1"/>
      <c r="R27" s="1"/>
    </row>
    <row r="28" spans="1:18">
      <c r="A28" s="233" t="str">
        <f>VLOOKUP(B28,weight!$A$4:$B$47,2,FALSE)</f>
        <v>MONGODB INC</v>
      </c>
      <c r="B28" s="208" t="s">
        <v>152</v>
      </c>
      <c r="C28" s="208" t="s">
        <v>313</v>
      </c>
      <c r="D28" s="206">
        <f>'Yearly-Infra'!B15</f>
        <v>-0.13663502426871699</v>
      </c>
      <c r="E28" s="206">
        <f>'Yearly-Infra'!C15</f>
        <v>0.37215873414542266</v>
      </c>
      <c r="F28" s="206">
        <f>'Yearly-Infra'!D15</f>
        <v>0.4312004715436506</v>
      </c>
      <c r="G28" s="206">
        <f>'Yearly-Infra'!E15</f>
        <v>6.7666601524330572E-2</v>
      </c>
      <c r="H28" s="206">
        <f>'Yearly-Infra'!F15</f>
        <v>-0.16908745247148294</v>
      </c>
      <c r="I28" s="206">
        <f>'Yearly-Infra'!G15</f>
        <v>-0.61951351351351347</v>
      </c>
      <c r="J28" s="206">
        <f>'Yearly-Infra'!H15</f>
        <v>-1.0429699862398848E-3</v>
      </c>
      <c r="K28" s="1"/>
      <c r="L28" s="1"/>
      <c r="M28" s="1"/>
      <c r="N28" s="1"/>
      <c r="O28" s="1"/>
      <c r="P28" s="1"/>
      <c r="Q28" s="1"/>
      <c r="R28" s="1"/>
    </row>
    <row r="29" spans="1:18">
      <c r="A29" s="233" t="str">
        <f>VLOOKUP(B29,weight!$A$4:$B$47,2,FALSE)</f>
        <v>PURE STORAGE-A</v>
      </c>
      <c r="B29" s="208" t="s">
        <v>164</v>
      </c>
      <c r="C29" s="208" t="s">
        <v>313</v>
      </c>
      <c r="D29" s="206">
        <f>'Yearly-Infra'!B16</f>
        <v>-6.6579846980302726E-2</v>
      </c>
      <c r="E29" s="206">
        <f>'Yearly-Infra'!C16</f>
        <v>0.37125748502994016</v>
      </c>
      <c r="F29" s="206">
        <f>'Yearly-Infra'!D16</f>
        <v>0.96128811236724898</v>
      </c>
      <c r="G29" s="206">
        <f>'Yearly-Infra'!E16</f>
        <v>1.440323955669224</v>
      </c>
      <c r="H29" s="206">
        <f>'Yearly-Infra'!F16</f>
        <v>-6.8954301512441085E-2</v>
      </c>
      <c r="I29" s="206">
        <f>'Yearly-Infra'!G16</f>
        <v>-0.53155965793403015</v>
      </c>
      <c r="J29" s="206">
        <f>'Yearly-Infra'!H16</f>
        <v>-1.0221368694048136E-3</v>
      </c>
      <c r="K29" s="1"/>
      <c r="L29" s="1"/>
      <c r="M29" s="1"/>
      <c r="N29" s="1"/>
      <c r="O29" s="1"/>
      <c r="P29" s="1"/>
      <c r="Q29" s="1"/>
      <c r="R29" s="1"/>
    </row>
    <row r="30" spans="1:18">
      <c r="A30" s="233" t="str">
        <f>VLOOKUP(B30,weight!$A$4:$B$47,2,FALSE)</f>
        <v>ZSCALER INC</v>
      </c>
      <c r="B30" s="208" t="s">
        <v>176</v>
      </c>
      <c r="C30" s="208" t="s">
        <v>313</v>
      </c>
      <c r="D30" s="206">
        <f>'Yearly-Infra'!B17</f>
        <v>0.5031317554459287</v>
      </c>
      <c r="E30" s="206">
        <f>'Yearly-Infra'!C17</f>
        <v>0.42369088467850213</v>
      </c>
      <c r="F30" s="206">
        <f>'Yearly-Infra'!D17</f>
        <v>1.1452978643686778</v>
      </c>
      <c r="G30" s="206">
        <f>'Yearly-Infra'!E17</f>
        <v>1.6515698805223678</v>
      </c>
      <c r="H30" s="206">
        <f>'Yearly-Infra'!F17</f>
        <v>0.46845506770619627</v>
      </c>
      <c r="I30" s="206">
        <f>'Yearly-Infra'!G17</f>
        <v>0.51814969482814011</v>
      </c>
      <c r="J30" s="206">
        <f>'Yearly-Infra'!H17</f>
        <v>5.476968876307043E-3</v>
      </c>
      <c r="K30" s="1"/>
      <c r="L30" s="1"/>
      <c r="M30" s="1"/>
      <c r="N30" s="1"/>
      <c r="O30" s="1"/>
      <c r="P30" s="1"/>
      <c r="Q30" s="1"/>
      <c r="R30" s="1"/>
    </row>
    <row r="31" spans="1:18">
      <c r="A31" s="233" t="str">
        <f>VLOOKUP(B31,weight!$A$4:$B$47,2,FALSE)</f>
        <v>CONFLUENT INC-CLASS A</v>
      </c>
      <c r="B31" s="208" t="s">
        <v>143</v>
      </c>
      <c r="C31" s="208" t="s">
        <v>313</v>
      </c>
      <c r="D31" s="206">
        <f>'Yearly-Infra'!B18</f>
        <v>-0.43097281831187417</v>
      </c>
      <c r="E31" s="206">
        <f>'Yearly-Infra'!C18</f>
        <v>0.2023640661938535</v>
      </c>
      <c r="F31" s="206">
        <f>'Yearly-Infra'!D18</f>
        <v>0.10421189752496729</v>
      </c>
      <c r="G31" s="206">
        <f>'Yearly-Infra'!E18</f>
        <v>0.12522123893805293</v>
      </c>
      <c r="H31" s="206">
        <f>'Yearly-Infra'!F18</f>
        <v>-2.4174980813507219E-2</v>
      </c>
      <c r="I31" s="206">
        <f>'Yearly-Infra'!G18</f>
        <v>-0.53060686015831138</v>
      </c>
      <c r="J31" s="206">
        <f>'Yearly-Infra'!H18</f>
        <v>-1.2662664330469094E-3</v>
      </c>
      <c r="K31" s="1"/>
      <c r="L31" s="1"/>
      <c r="M31" s="1"/>
      <c r="N31" s="1"/>
      <c r="O31" s="1"/>
      <c r="P31" s="1"/>
      <c r="Q31" s="1"/>
      <c r="R31" s="1"/>
    </row>
    <row r="32" spans="1:18" ht="17" customHeight="1">
      <c r="A32" s="233" t="str">
        <f>VLOOKUP(B32,weight!$A$4:$B$47,2,FALSE)</f>
        <v>NVIDIA CORP</v>
      </c>
      <c r="B32" s="208" t="s">
        <v>160</v>
      </c>
      <c r="C32" s="208" t="s">
        <v>314</v>
      </c>
      <c r="D32" s="206">
        <f>'Yearly-Semi'!B2</f>
        <v>0.35572268970139254</v>
      </c>
      <c r="E32" s="206">
        <f>'Yearly-Semi'!C2</f>
        <v>0.70460143856537605</v>
      </c>
      <c r="F32" s="206">
        <f>'Yearly-Semi'!D2</f>
        <v>9.2227737398806369</v>
      </c>
      <c r="G32" s="206">
        <f>'Yearly-Semi'!E2</f>
        <v>6.1894609982130246</v>
      </c>
      <c r="H32" s="206">
        <f>'Yearly-Semi'!F2</f>
        <v>0.41977841608535083</v>
      </c>
      <c r="I32" s="206">
        <f>'Yearly-Semi'!G2</f>
        <v>0.50264124942581534</v>
      </c>
      <c r="J32" s="206">
        <f>'Yearly-Semi'!H2</f>
        <v>1.2301143444058223E-2</v>
      </c>
      <c r="K32" s="1"/>
      <c r="L32" s="1"/>
      <c r="M32" s="1"/>
      <c r="N32" s="1"/>
      <c r="O32" s="1"/>
      <c r="P32" s="1"/>
      <c r="Q32" s="1"/>
      <c r="R32" s="1"/>
    </row>
    <row r="33" spans="1:18">
      <c r="A33" s="233" t="str">
        <f>VLOOKUP(B33,weight!$A$4:$B$47,2,FALSE)</f>
        <v>APPLE INC</v>
      </c>
      <c r="B33" s="208" t="s">
        <v>136</v>
      </c>
      <c r="C33" s="208" t="s">
        <v>314</v>
      </c>
      <c r="D33" s="206">
        <f>'Yearly-Semi'!B3</f>
        <v>-9.2804089130261058E-2</v>
      </c>
      <c r="E33" s="206">
        <f>'Yearly-Semi'!C3</f>
        <v>6.6199614174027976E-2</v>
      </c>
      <c r="F33" s="206">
        <f>'Yearly-Semi'!D3</f>
        <v>0.41876646625684</v>
      </c>
      <c r="G33" s="206">
        <f>'Yearly-Semi'!E3</f>
        <v>0.37636804508814481</v>
      </c>
      <c r="H33" s="206">
        <f>'Yearly-Semi'!F3</f>
        <v>-8.7979850616640598E-2</v>
      </c>
      <c r="I33" s="206">
        <f>'Yearly-Semi'!G3</f>
        <v>-0.34944213763936949</v>
      </c>
      <c r="J33" s="206">
        <f>'Yearly-Semi'!H3</f>
        <v>-7.0362018329151611E-3</v>
      </c>
      <c r="K33" s="1"/>
      <c r="L33" s="1"/>
      <c r="M33" s="1"/>
      <c r="N33" s="1"/>
      <c r="O33" s="1"/>
      <c r="P33" s="1"/>
      <c r="Q33" s="1"/>
      <c r="R33" s="1"/>
    </row>
    <row r="34" spans="1:18">
      <c r="A34" s="233" t="str">
        <f>VLOOKUP(B34,weight!$A$4:$B$47,2,FALSE)</f>
        <v>BROADCOM INC</v>
      </c>
      <c r="B34" s="208" t="s">
        <v>142</v>
      </c>
      <c r="C34" s="208" t="s">
        <v>314</v>
      </c>
      <c r="D34" s="206">
        <f>'Yearly-Semi'!B4</f>
        <v>0.31081780538302262</v>
      </c>
      <c r="E34" s="206">
        <f>'Yearly-Semi'!C4</f>
        <v>0.67524416632551598</v>
      </c>
      <c r="F34" s="206">
        <f>'Yearly-Semi'!D4</f>
        <v>4.1984465455601327</v>
      </c>
      <c r="G34" s="206">
        <f>'Yearly-Semi'!E4</f>
        <v>3.5291401827783568</v>
      </c>
      <c r="H34" s="206">
        <f>'Yearly-Semi'!F4</f>
        <v>0.8028195607023727</v>
      </c>
      <c r="I34" s="206">
        <f>'Yearly-Semi'!G4</f>
        <v>0.55425280976828084</v>
      </c>
      <c r="J34" s="206">
        <f>'Yearly-Semi'!H4</f>
        <v>6.0829065009618969E-3</v>
      </c>
      <c r="K34" s="1"/>
      <c r="L34" s="1"/>
      <c r="M34" s="1"/>
      <c r="N34" s="1"/>
      <c r="O34" s="1"/>
      <c r="P34" s="1"/>
      <c r="Q34" s="1"/>
      <c r="R34" s="1"/>
    </row>
    <row r="35" spans="1:18" ht="28">
      <c r="A35" s="233" t="str">
        <f>VLOOKUP(B35,weight!$A$4:$B$47,2,FALSE)</f>
        <v>TSMC</v>
      </c>
      <c r="B35" s="208" t="s">
        <v>133</v>
      </c>
      <c r="C35" s="208" t="s">
        <v>314</v>
      </c>
      <c r="D35" s="206">
        <f>'Yearly-Semi'!B5</f>
        <v>0.20039250615730309</v>
      </c>
      <c r="E35" s="206">
        <f>'Yearly-Semi'!C5</f>
        <v>0.47405102680571676</v>
      </c>
      <c r="F35" s="206">
        <f>'Yearly-Semi'!D5</f>
        <v>1.4217737408143312</v>
      </c>
      <c r="G35" s="206">
        <f>'Yearly-Semi'!E5</f>
        <v>1.3009807770103237</v>
      </c>
      <c r="H35" s="206">
        <f>'Yearly-Semi'!F5</f>
        <v>0.27056373470435946</v>
      </c>
      <c r="I35" s="206">
        <f>'Yearly-Semi'!G5</f>
        <v>0.32758605816169739</v>
      </c>
      <c r="J35" s="206">
        <f>'Yearly-Semi'!H5</f>
        <v>3.957574916613151E-3</v>
      </c>
      <c r="K35" s="1"/>
      <c r="L35" s="1"/>
      <c r="M35" s="1"/>
      <c r="N35" s="1"/>
      <c r="O35" s="1"/>
      <c r="P35" s="1"/>
      <c r="Q35" s="1"/>
      <c r="R35" s="1"/>
    </row>
    <row r="36" spans="1:18" ht="28">
      <c r="A36" s="233" t="str">
        <f>VLOOKUP(B36,weight!$A$4:$B$47,2,FALSE)</f>
        <v>SK HYNIX INC</v>
      </c>
      <c r="B36" s="208" t="s">
        <v>130</v>
      </c>
      <c r="C36" s="208" t="s">
        <v>314</v>
      </c>
      <c r="D36" s="206">
        <f>'Yearly-Semi'!B6</f>
        <v>0.62541131846704223</v>
      </c>
      <c r="E36" s="206">
        <f>'Yearly-Semi'!C6</f>
        <v>0.56663493878567683</v>
      </c>
      <c r="F36" s="206">
        <f>'Yearly-Semi'!D6</f>
        <v>2.0009808942496234</v>
      </c>
      <c r="G36" s="206">
        <f>'Yearly-Semi'!E6</f>
        <v>2.1172274210874904</v>
      </c>
      <c r="H36" s="206">
        <f>'Yearly-Semi'!F6</f>
        <v>0.26016755281918269</v>
      </c>
      <c r="I36" s="206">
        <f>'Yearly-Semi'!G6</f>
        <v>0.52789557872812731</v>
      </c>
      <c r="J36" s="206">
        <f>'Yearly-Semi'!H6</f>
        <v>2.2704317042930557E-2</v>
      </c>
      <c r="K36" s="1"/>
      <c r="L36" s="1"/>
      <c r="M36" s="1"/>
      <c r="N36" s="1"/>
      <c r="O36" s="1"/>
      <c r="P36" s="1"/>
      <c r="Q36" s="1"/>
      <c r="R36" s="1"/>
    </row>
    <row r="37" spans="1:18" ht="28">
      <c r="A37" s="233" t="str">
        <f>VLOOKUP(B37,weight!$A$4:$B$47,2,FALSE)</f>
        <v>ASML HOLDING NV</v>
      </c>
      <c r="B37" s="208" t="s">
        <v>141</v>
      </c>
      <c r="C37" s="208" t="s">
        <v>314</v>
      </c>
      <c r="D37" s="206">
        <f>'Yearly-Semi'!B7</f>
        <v>4.0731228718185353E-2</v>
      </c>
      <c r="E37" s="206">
        <f>'Yearly-Semi'!C7</f>
        <v>0.16363096725818549</v>
      </c>
      <c r="F37" s="206">
        <f>'Yearly-Semi'!D7</f>
        <v>0.22493915674537912</v>
      </c>
      <c r="G37" s="206">
        <f>'Yearly-Semi'!E7</f>
        <v>0.20088666774141539</v>
      </c>
      <c r="H37" s="206">
        <f>'Yearly-Semi'!F7</f>
        <v>-0.21876245411641326</v>
      </c>
      <c r="I37" s="206">
        <f>'Yearly-Semi'!G7</f>
        <v>-0.39562896334137759</v>
      </c>
      <c r="J37" s="206">
        <f>'Yearly-Semi'!H7</f>
        <v>1.0528883739487516E-3</v>
      </c>
      <c r="K37" s="1"/>
      <c r="L37" s="1"/>
      <c r="M37" s="1"/>
      <c r="N37" s="1"/>
      <c r="O37" s="1"/>
      <c r="P37" s="1"/>
      <c r="Q37" s="1"/>
      <c r="R37" s="1"/>
    </row>
    <row r="38" spans="1:18" ht="28">
      <c r="A38" s="233" t="str">
        <f>VLOOKUP(B38,weight!$A$4:$B$47,2,FALSE)</f>
        <v>MARVELL TECHNOLOGY INC</v>
      </c>
      <c r="B38" s="208" t="s">
        <v>154</v>
      </c>
      <c r="C38" s="208" t="s">
        <v>314</v>
      </c>
      <c r="D38" s="206">
        <f>'Yearly-Semi'!B8</f>
        <v>-0.30031688546853785</v>
      </c>
      <c r="E38" s="206">
        <f>'Yearly-Semi'!C8</f>
        <v>0.3928433268858802</v>
      </c>
      <c r="F38" s="206">
        <f>'Yearly-Semi'!D8</f>
        <v>0.54793637145313845</v>
      </c>
      <c r="G38" s="206">
        <f>'Yearly-Semi'!E8</f>
        <v>0.86506086506086532</v>
      </c>
      <c r="H38" s="206">
        <f>'Yearly-Semi'!F8</f>
        <v>3.2549469457986868E-2</v>
      </c>
      <c r="I38" s="206">
        <f>'Yearly-Semi'!G8</f>
        <v>-0.63064794477565111</v>
      </c>
      <c r="J38" s="206">
        <f>'Yearly-Semi'!H8</f>
        <v>-9.1401241187526634E-3</v>
      </c>
      <c r="K38" s="1"/>
      <c r="L38" s="1"/>
      <c r="M38" s="1"/>
      <c r="N38" s="1"/>
      <c r="O38" s="1"/>
      <c r="P38" s="1"/>
      <c r="Q38" s="1"/>
      <c r="R38" s="1"/>
    </row>
    <row r="39" spans="1:18">
      <c r="A39" s="233" t="str">
        <f>VLOOKUP(B39,weight!$A$4:$B$47,2,FALSE)</f>
        <v>VERTIV HOLDINGS CO-A</v>
      </c>
      <c r="B39" s="208" t="s">
        <v>174</v>
      </c>
      <c r="C39" s="208" t="s">
        <v>314</v>
      </c>
      <c r="D39" s="206">
        <f>'Yearly-Semi'!B9</f>
        <v>0.23078954317401656</v>
      </c>
      <c r="E39" s="206">
        <f>'Yearly-Semi'!C9</f>
        <v>0.79101215680917925</v>
      </c>
      <c r="F39" s="206">
        <f>'Yearly-Semi'!D9</f>
        <v>8.4671480144404345</v>
      </c>
      <c r="G39" s="206">
        <f>'Yearly-Semi'!E9</f>
        <v>8.3992831541218642</v>
      </c>
      <c r="H39" s="206">
        <f>'Yearly-Semi'!F9</f>
        <v>0.56785842401052267</v>
      </c>
      <c r="I39" s="206">
        <f>'Yearly-Semi'!G9</f>
        <v>-0.65605749486652987</v>
      </c>
      <c r="J39" s="206">
        <f>'Yearly-Semi'!H9</f>
        <v>2.2057239806280576E-3</v>
      </c>
      <c r="K39" s="1"/>
      <c r="L39" s="1"/>
      <c r="M39" s="1"/>
      <c r="N39" s="1"/>
      <c r="O39" s="1"/>
      <c r="P39" s="1"/>
      <c r="Q39" s="1"/>
      <c r="R39" s="1"/>
    </row>
    <row r="40" spans="1:18">
      <c r="A40" s="233" t="str">
        <f>VLOOKUP(B40,weight!$A$4:$B$47,2,FALSE)</f>
        <v>ARISTA NETWORKS INC</v>
      </c>
      <c r="B40" s="208" t="s">
        <v>139</v>
      </c>
      <c r="C40" s="208" t="s">
        <v>314</v>
      </c>
      <c r="D40" s="206">
        <f>'Yearly-Semi'!B10</f>
        <v>0.24536324979643531</v>
      </c>
      <c r="E40" s="206">
        <f>'Yearly-Semi'!C10</f>
        <v>0.57275280898876413</v>
      </c>
      <c r="F40" s="206">
        <f>'Yearly-Semi'!D10</f>
        <v>2.2155061019382627</v>
      </c>
      <c r="G40" s="206">
        <f>'Yearly-Semi'!E10</f>
        <v>1.9247143323539015</v>
      </c>
      <c r="H40" s="206">
        <f>'Yearly-Semi'!F10</f>
        <v>0.32262446111143905</v>
      </c>
      <c r="I40" s="206">
        <f>'Yearly-Semi'!G10</f>
        <v>0.5550814149354294</v>
      </c>
      <c r="J40" s="206">
        <f>'Yearly-Semi'!H10</f>
        <v>1.9298028534690717E-4</v>
      </c>
      <c r="K40" s="1"/>
      <c r="L40" s="1"/>
      <c r="M40" s="1"/>
      <c r="N40" s="1"/>
      <c r="O40" s="1"/>
      <c r="P40" s="1"/>
      <c r="Q40" s="1"/>
      <c r="R40" s="1"/>
    </row>
    <row r="41" spans="1:18" ht="28">
      <c r="A41" s="233" t="str">
        <f>VLOOKUP(B41,weight!$A$4:$B$47,2,FALSE)</f>
        <v>MEDIATEK INC</v>
      </c>
      <c r="B41" s="208" t="s">
        <v>135</v>
      </c>
      <c r="C41" s="208" t="s">
        <v>314</v>
      </c>
      <c r="D41" s="206">
        <f>'Yearly-Semi'!B11</f>
        <v>4.7207375338688129E-2</v>
      </c>
      <c r="E41" s="206">
        <f>'Yearly-Semi'!C11</f>
        <v>0.14611296032585019</v>
      </c>
      <c r="F41" s="206">
        <f>'Yearly-Semi'!D11</f>
        <v>0.99141617690341444</v>
      </c>
      <c r="G41" s="206">
        <f>'Yearly-Semi'!E11</f>
        <v>0.89685778961641516</v>
      </c>
      <c r="H41" s="206">
        <f>'Yearly-Semi'!F11</f>
        <v>0.21586672594855094</v>
      </c>
      <c r="I41" s="206">
        <f>'Yearly-Semi'!G11</f>
        <v>0.37714278986971062</v>
      </c>
      <c r="J41" s="206">
        <f>'Yearly-Semi'!H11</f>
        <v>6.3784960778604037E-4</v>
      </c>
      <c r="K41" s="1"/>
      <c r="L41" s="1"/>
      <c r="M41" s="1"/>
      <c r="N41" s="1"/>
      <c r="O41" s="1"/>
      <c r="P41" s="1"/>
      <c r="Q41" s="1"/>
      <c r="R41" s="1"/>
    </row>
    <row r="42" spans="1:18" ht="28">
      <c r="A42" s="233" t="str">
        <f>VLOOKUP(B42,weight!$A$4:$B$47,2,FALSE)</f>
        <v>MICRON TECHNOLOGY INC</v>
      </c>
      <c r="B42" s="208" t="s">
        <v>156</v>
      </c>
      <c r="C42" s="208" t="s">
        <v>314</v>
      </c>
      <c r="D42" s="206">
        <f>'Yearly-Semi'!B12</f>
        <v>0.47005703422053235</v>
      </c>
      <c r="E42" s="206">
        <f>'Yearly-Semi'!C12</f>
        <v>0.64622093023255833</v>
      </c>
      <c r="F42" s="206">
        <f>'Yearly-Semi'!D12</f>
        <v>0.96461405030355607</v>
      </c>
      <c r="G42" s="206">
        <f>'Yearly-Semi'!E12</f>
        <v>1.0869725446839875</v>
      </c>
      <c r="H42" s="206">
        <f>'Yearly-Semi'!F12</f>
        <v>-6.008298755186714E-2</v>
      </c>
      <c r="I42" s="206">
        <f>'Yearly-Semi'!G12</f>
        <v>0.52606854062379671</v>
      </c>
      <c r="J42" s="206">
        <f>'Yearly-Semi'!H12</f>
        <v>3.5392528834887428E-3</v>
      </c>
      <c r="K42" s="1"/>
      <c r="L42" s="1"/>
      <c r="M42" s="1"/>
      <c r="N42" s="1"/>
      <c r="O42" s="1"/>
      <c r="P42" s="1"/>
      <c r="Q42" s="1"/>
      <c r="R42" s="1"/>
    </row>
    <row r="43" spans="1:18">
      <c r="A43" s="233" t="str">
        <f>VLOOKUP(B43,weight!$A$4:$B$47,2,FALSE)</f>
        <v>QUALCOMM INC</v>
      </c>
      <c r="B43" s="208" t="s">
        <v>165</v>
      </c>
      <c r="C43" s="208" t="s">
        <v>314</v>
      </c>
      <c r="D43" s="206">
        <f>'Yearly-Semi'!B13</f>
        <v>-3.6779065225882035E-2</v>
      </c>
      <c r="E43" s="206">
        <f>'Yearly-Semi'!C13</f>
        <v>0.11671301039075099</v>
      </c>
      <c r="F43" s="206">
        <f>'Yearly-Semi'!D13</f>
        <v>0.20649853743378932</v>
      </c>
      <c r="G43" s="206">
        <f>'Yearly-Semi'!E13</f>
        <v>0.3093951093951095</v>
      </c>
      <c r="H43" s="206">
        <f>'Yearly-Semi'!F13</f>
        <v>-0.21245742594695005</v>
      </c>
      <c r="I43" s="206">
        <f>'Yearly-Semi'!G13</f>
        <v>-0.38441754993885041</v>
      </c>
      <c r="J43" s="206">
        <f>'Yearly-Semi'!H13</f>
        <v>-6.6655136106940366E-5</v>
      </c>
      <c r="K43" s="1"/>
      <c r="L43" s="1"/>
      <c r="M43" s="1"/>
      <c r="N43" s="1"/>
      <c r="O43" s="1"/>
      <c r="P43" s="1"/>
      <c r="Q43" s="1"/>
      <c r="R43" s="1"/>
    </row>
    <row r="44" spans="1:18">
      <c r="A44" s="233" t="str">
        <f>VLOOKUP(B44,weight!$A$4:$B$47,2,FALSE)</f>
        <v>SYNOPSYS INC</v>
      </c>
      <c r="B44" s="208" t="s">
        <v>170</v>
      </c>
      <c r="C44" s="208" t="s">
        <v>314</v>
      </c>
      <c r="D44" s="206">
        <f>'Yearly-Semi'!B14</f>
        <v>0.26940827427064451</v>
      </c>
      <c r="E44" s="206">
        <f>'Yearly-Semi'!C14</f>
        <v>0.42507016355366312</v>
      </c>
      <c r="F44" s="206">
        <f>'Yearly-Semi'!D14</f>
        <v>0.73472933969488108</v>
      </c>
      <c r="G44" s="206">
        <f>'Yearly-Semi'!E14</f>
        <v>0.59260761410339624</v>
      </c>
      <c r="H44" s="206">
        <f>'Yearly-Semi'!F14</f>
        <v>2.205448551101874E-2</v>
      </c>
      <c r="I44" s="206">
        <f>'Yearly-Semi'!G14</f>
        <v>0.38425536213340517</v>
      </c>
      <c r="J44" s="206">
        <f>'Yearly-Semi'!H14</f>
        <v>2.0920067650038667E-3</v>
      </c>
      <c r="K44" s="1"/>
      <c r="L44" s="1"/>
      <c r="M44" s="1"/>
      <c r="N44" s="1"/>
      <c r="O44" s="1"/>
      <c r="P44" s="1"/>
      <c r="Q44" s="1"/>
      <c r="R44" s="1"/>
    </row>
    <row r="45" spans="1:18">
      <c r="A45" s="233" t="str">
        <f>VLOOKUP(B45,weight!$A$4:$B$47,2,FALSE)</f>
        <v>ARM HOLDINGS PLC-ADR</v>
      </c>
      <c r="B45" s="208" t="s">
        <v>140</v>
      </c>
      <c r="C45" s="208" t="s">
        <v>314</v>
      </c>
      <c r="D45" s="206">
        <f>'Yearly-Semi'!B15</f>
        <v>0.1434014267185475</v>
      </c>
      <c r="E45" s="206">
        <f>'Yearly-Semi'!C15</f>
        <v>0.56040901419636646</v>
      </c>
      <c r="F45" s="206" t="e">
        <f>'Yearly-Semi'!D15</f>
        <v>#DIV/0!</v>
      </c>
      <c r="G45" s="206" t="e">
        <f>'Yearly-Semi'!E15</f>
        <v>#DIV/0!</v>
      </c>
      <c r="H45" s="206">
        <f>'Yearly-Semi'!F15</f>
        <v>-5.2276153150437099E-2</v>
      </c>
      <c r="I45" s="206">
        <f>'Yearly-Semi'!G15</f>
        <v>-0.56255468066491687</v>
      </c>
      <c r="J45" s="206">
        <f>'Yearly-Semi'!H15</f>
        <v>2.4214211644283047E-3</v>
      </c>
      <c r="K45" s="1"/>
      <c r="L45" s="1"/>
      <c r="M45" s="1"/>
      <c r="N45" s="1"/>
      <c r="O45" s="1"/>
      <c r="P45" s="1"/>
      <c r="Q45" s="1"/>
      <c r="R45" s="1"/>
    </row>
  </sheetData>
  <phoneticPr fontId="31"/>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D4ABE3-B517-4BB2-A266-DEB5D5A2A59D}">
  <dimension ref="A1:T35"/>
  <sheetViews>
    <sheetView topLeftCell="B1" workbookViewId="0">
      <selection sqref="A1:T35"/>
    </sheetView>
  </sheetViews>
  <sheetFormatPr defaultRowHeight="14"/>
  <cols>
    <col min="4" max="4" width="13.83203125" customWidth="1"/>
    <col min="5" max="5" width="13.25" customWidth="1"/>
    <col min="6" max="6" width="14.5" customWidth="1"/>
    <col min="7" max="7" width="20" customWidth="1"/>
    <col min="8" max="8" width="12.1640625" customWidth="1"/>
    <col min="16" max="16" width="9.1640625" bestFit="1" customWidth="1"/>
    <col min="18" max="18" width="9.1640625" bestFit="1" customWidth="1"/>
    <col min="20" max="20" width="12.9140625" customWidth="1"/>
  </cols>
  <sheetData>
    <row r="1" spans="1:20" ht="42">
      <c r="A1" s="227"/>
      <c r="B1" s="228" t="s">
        <v>262</v>
      </c>
      <c r="C1" s="228" t="s">
        <v>263</v>
      </c>
      <c r="D1" s="228" t="s">
        <v>264</v>
      </c>
      <c r="E1" s="228" t="s">
        <v>265</v>
      </c>
      <c r="F1" s="228" t="s">
        <v>266</v>
      </c>
      <c r="G1" s="228" t="s">
        <v>310</v>
      </c>
      <c r="H1" s="228" t="s">
        <v>307</v>
      </c>
      <c r="J1" s="19" t="s">
        <v>270</v>
      </c>
      <c r="K1" s="19" t="s">
        <v>271</v>
      </c>
      <c r="L1" s="19" t="s">
        <v>272</v>
      </c>
      <c r="M1" s="19" t="s">
        <v>280</v>
      </c>
      <c r="N1" s="19" t="s">
        <v>274</v>
      </c>
      <c r="O1" s="19" t="s">
        <v>276</v>
      </c>
      <c r="P1" s="19" t="s">
        <v>308</v>
      </c>
      <c r="Q1" s="19" t="s">
        <v>283</v>
      </c>
      <c r="R1" s="19" t="s">
        <v>309</v>
      </c>
      <c r="S1" s="19" t="s">
        <v>302</v>
      </c>
      <c r="T1" s="19" t="s">
        <v>311</v>
      </c>
    </row>
    <row r="2" spans="1:20">
      <c r="A2" s="208" t="s">
        <v>153</v>
      </c>
      <c r="B2" s="206">
        <f>holdings!X4</f>
        <v>0.30803914536045496</v>
      </c>
      <c r="C2" s="206">
        <f>J2/K2-1</f>
        <v>0.39867990747387716</v>
      </c>
      <c r="D2" s="206">
        <f>J2/L2-1</f>
        <v>4.9391193903471633</v>
      </c>
      <c r="E2" s="206">
        <f>J2/M2-1</f>
        <v>2.6151427687867228</v>
      </c>
      <c r="F2" s="206">
        <f>J2/N2-1</f>
        <v>0.47665263157894722</v>
      </c>
      <c r="G2" s="206">
        <f>((O2-Q2)/O2)*((P2-R2)/ABS(P2-R2))</f>
        <v>0.40814279983955076</v>
      </c>
      <c r="H2" s="206">
        <f>'Yearly-Sector-Raw-Contribute'!G2</f>
        <v>1.3801896709242357E-2</v>
      </c>
      <c r="J2" s="225">
        <f>_xll.ciqfunctions.udf.CIQ(A2,"IQ_CLOSEPRICE",$A$15,"USD")</f>
        <v>701.41</v>
      </c>
      <c r="K2" s="225">
        <f>_xll.ciqfunctions.udf.CIQ(A2,"IQ_CLOSEPRICE",$A$16,"USD")</f>
        <v>501.48</v>
      </c>
      <c r="L2" s="225">
        <f>_xll.ciqfunctions.udf.CIQ(A2,"IQ_CLOSEPRICE",$A$18,"USD")</f>
        <v>118.1</v>
      </c>
      <c r="M2" s="225">
        <f>_xll.ciqfunctions.udf.CIQ(A2,"IQ_CLOSEPRICE",$A$17,"USD")</f>
        <v>194.02</v>
      </c>
      <c r="N2" s="225">
        <f>_xll.ciqfunctions.udf.CIQ(A2,"IQ_OPENPRICE",$A$19,"USD")</f>
        <v>475</v>
      </c>
      <c r="O2" s="225">
        <f>_xll.ciqfunctions.udf.CIQ(A2,"IQ_YEARHIGH",$A$15,"USD")</f>
        <v>747.9</v>
      </c>
      <c r="P2" s="230" cm="1">
        <f t="array" ref="P2">_xll.ciqfunctions.udf.CIQ(A2,"IQ_YEARHIGH_DATE")</f>
        <v>45869</v>
      </c>
      <c r="Q2" s="225">
        <f>_xll.ciqfunctions.udf.CIQ(A2,"IQ_YEARLOW",$A$15,"USD")</f>
        <v>442.65</v>
      </c>
      <c r="R2" s="230" cm="1">
        <f t="array" ref="R2">_xll.ciqfunctions.udf.CIQ(A2,"IQ_YEARLOW_DATE")</f>
        <v>45768</v>
      </c>
      <c r="S2" s="225">
        <f>_xll.ciqfunctions.udf.CIQ(A2,"IQ_CLOSEPRICE",$A$20,"USD")</f>
        <v>585.51</v>
      </c>
      <c r="T2" s="231">
        <f>P2-R2</f>
        <v>101</v>
      </c>
    </row>
    <row r="3" spans="1:20">
      <c r="A3" s="208" t="s">
        <v>144</v>
      </c>
      <c r="B3" s="206">
        <f>holdings!X5</f>
        <v>-0.30404091765620789</v>
      </c>
      <c r="C3" s="206">
        <f t="shared" ref="C3:C14" si="0">J3/K3-1</f>
        <v>5.1039391733397999E-2</v>
      </c>
      <c r="D3" s="206">
        <f t="shared" ref="D3:D14" si="1">J3/L3-1</f>
        <v>0.62171606864274565</v>
      </c>
      <c r="E3" s="206">
        <f t="shared" ref="E3:E14" si="2">J3/M3-1</f>
        <v>0.42096342063535475</v>
      </c>
      <c r="F3" s="206">
        <f t="shared" ref="F3:F14" si="3">J3/N3-1</f>
        <v>3.0697231696676486E-2</v>
      </c>
      <c r="G3" s="206">
        <f t="shared" ref="G3:G14" si="4">((O3-Q3)/O3)*((P3-R3)/ABS(P3-R3))</f>
        <v>-0.37669376693766937</v>
      </c>
      <c r="H3" s="206">
        <f>'Yearly-Sector-Raw-Contribute'!G3</f>
        <v>-8.3571631165526815E-3</v>
      </c>
      <c r="J3" s="225">
        <f>_xll.ciqfunctions.udf.CIQ(A3,"IQ_CLOSEPRICE",$A$15,"USD")</f>
        <v>259.88</v>
      </c>
      <c r="K3" s="225">
        <f>_xll.ciqfunctions.udf.CIQ(A3,"IQ_CLOSEPRICE",$A$16,"USD")</f>
        <v>247.26</v>
      </c>
      <c r="L3" s="225">
        <f>_xll.ciqfunctions.udf.CIQ(A3,"IQ_CLOSEPRICE",$A$18,"USD")</f>
        <v>160.25</v>
      </c>
      <c r="M3" s="225">
        <f>_xll.ciqfunctions.udf.CIQ(A3,"IQ_CLOSEPRICE",$A$17,"USD")</f>
        <v>182.89</v>
      </c>
      <c r="N3" s="225">
        <f>_xll.ciqfunctions.udf.CIQ(A3,"IQ_OPENPRICE",$A$19,"USD")</f>
        <v>252.14</v>
      </c>
      <c r="O3" s="225">
        <f>_xll.ciqfunctions.udf.CIQ(A3,"IQ_YEARHIGH",$A$15,"USD")</f>
        <v>369</v>
      </c>
      <c r="P3" s="230" cm="1">
        <f t="array" ref="P3">_xll.ciqfunctions.udf.CIQ(A3,"IQ_YEARHIGH_DATE")</f>
        <v>45630</v>
      </c>
      <c r="Q3" s="225">
        <f>_xll.ciqfunctions.udf.CIQ(A3,"IQ_YEARLOW",$A$15,"USD")</f>
        <v>230</v>
      </c>
      <c r="R3" s="230" cm="1">
        <f t="array" ref="R3">_xll.ciqfunctions.udf.CIQ(A3,"IQ_YEARLOW_DATE")</f>
        <v>45754</v>
      </c>
      <c r="S3" s="225">
        <f>_xll.ciqfunctions.udf.CIQ(A3,"IQ_CLOSEPRICE",$A$20,"USD")</f>
        <v>334.33</v>
      </c>
      <c r="T3" s="231">
        <f t="shared" ref="T3:T14" si="5">P3-R3</f>
        <v>-124</v>
      </c>
    </row>
    <row r="4" spans="1:20">
      <c r="A4" s="208" t="s">
        <v>159</v>
      </c>
      <c r="B4" s="206">
        <f>holdings!X6</f>
        <v>-0.19219522318228122</v>
      </c>
      <c r="C4" s="206">
        <f t="shared" si="0"/>
        <v>0.24216483630335683</v>
      </c>
      <c r="D4" s="206">
        <f t="shared" si="1"/>
        <v>1.3039875090079267</v>
      </c>
      <c r="E4" s="206">
        <f t="shared" si="2"/>
        <v>1.2592688557026426</v>
      </c>
      <c r="F4" s="206">
        <f t="shared" si="3"/>
        <v>0.29906276241298047</v>
      </c>
      <c r="G4" s="206">
        <f t="shared" si="4"/>
        <v>-0.43354939946080839</v>
      </c>
      <c r="H4" s="206">
        <f>'Yearly-Sector-Raw-Contribute'!G4</f>
        <v>-3.02118963988692E-3</v>
      </c>
      <c r="J4" s="225">
        <f>_xll.ciqfunctions.udf.CIQ(A4,"IQ_CLOSEPRICE",$A$15,"USD")</f>
        <v>959.15</v>
      </c>
      <c r="K4" s="225">
        <f>_xll.ciqfunctions.udf.CIQ(A4,"IQ_CLOSEPRICE",$A$16,"USD")</f>
        <v>772.16</v>
      </c>
      <c r="L4" s="225">
        <f>_xll.ciqfunctions.udf.CIQ(A4,"IQ_CLOSEPRICE",$A$18,"USD")</f>
        <v>416.3</v>
      </c>
      <c r="M4" s="225">
        <f>_xll.ciqfunctions.udf.CIQ(A4,"IQ_CLOSEPRICE",$A$17,"USD")</f>
        <v>424.54</v>
      </c>
      <c r="N4" s="225">
        <f>_xll.ciqfunctions.udf.CIQ(A4,"IQ_OPENPRICE",$A$19,"USD")</f>
        <v>738.34</v>
      </c>
      <c r="O4" s="225">
        <f>_xll.ciqfunctions.udf.CIQ(A4,"IQ_YEARHIGH",$A$15,"USD")</f>
        <v>1198.0899999999999</v>
      </c>
      <c r="P4" s="230" cm="1">
        <f t="array" ref="P4">_xll.ciqfunctions.udf.CIQ(A4,"IQ_YEARHIGH_DATE")</f>
        <v>45685</v>
      </c>
      <c r="Q4" s="225">
        <f>_xll.ciqfunctions.udf.CIQ(A4,"IQ_YEARLOW",$A$15,"USD")</f>
        <v>678.65880000000004</v>
      </c>
      <c r="R4" s="230" cm="1">
        <f t="array" ref="R4">_xll.ciqfunctions.udf.CIQ(A4,"IQ_YEARLOW_DATE")</f>
        <v>45754</v>
      </c>
      <c r="S4" s="225">
        <f>_xll.ciqfunctions.udf.CIQ(A4,"IQ_CLOSEPRICE",$A$20,"USD")</f>
        <v>1060.1199999999999</v>
      </c>
      <c r="T4" s="231">
        <f t="shared" si="5"/>
        <v>-69</v>
      </c>
    </row>
    <row r="5" spans="1:20">
      <c r="A5" s="208" t="s">
        <v>147</v>
      </c>
      <c r="B5" s="206">
        <f>holdings!X7</f>
        <v>5.045800820405244E-2</v>
      </c>
      <c r="C5" s="206">
        <f t="shared" si="0"/>
        <v>0.10857580398162314</v>
      </c>
      <c r="D5" s="206">
        <f t="shared" si="1"/>
        <v>4.195205971006172</v>
      </c>
      <c r="E5" s="206">
        <f t="shared" si="2"/>
        <v>1.9255577109602329</v>
      </c>
      <c r="F5" s="206">
        <f t="shared" si="3"/>
        <v>0.98753500631486446</v>
      </c>
      <c r="G5" s="206">
        <f t="shared" si="4"/>
        <v>0.73381902262675935</v>
      </c>
      <c r="H5" s="206">
        <f>'Yearly-Sector-Raw-Contribute'!G5</f>
        <v>1.9511830942038292E-3</v>
      </c>
      <c r="J5" s="225">
        <f>_xll.ciqfunctions.udf.CIQ(A5,"IQ_CLOSEPRICE",$A$15,"USD")</f>
        <v>361.95</v>
      </c>
      <c r="K5" s="225">
        <f>_xll.ciqfunctions.udf.CIQ(A5,"IQ_CLOSEPRICE",$A$16,"USD")</f>
        <v>326.5</v>
      </c>
      <c r="L5" s="225">
        <f>_xll.ciqfunctions.udf.CIQ(A5,"IQ_CLOSEPRICE",$A$18,"USD")</f>
        <v>69.67</v>
      </c>
      <c r="M5" s="225">
        <f>_xll.ciqfunctions.udf.CIQ(A5,"IQ_CLOSEPRICE",$A$17,"USD")</f>
        <v>123.72</v>
      </c>
      <c r="N5" s="225">
        <f>_xll.ciqfunctions.udf.CIQ(A5,"IQ_OPENPRICE",$A$19,"USD")</f>
        <v>182.11</v>
      </c>
      <c r="O5" s="225">
        <f>_xll.ciqfunctions.udf.CIQ(A5,"IQ_YEARHIGH",$A$15,"USD")</f>
        <v>544.92999999999995</v>
      </c>
      <c r="P5" s="230" cm="1">
        <f t="array" ref="P5">_xll.ciqfunctions.udf.CIQ(A5,"IQ_YEARHIGH_DATE")</f>
        <v>45791</v>
      </c>
      <c r="Q5" s="225">
        <f>_xll.ciqfunctions.udf.CIQ(A5,"IQ_YEARLOW",$A$15,"USD")</f>
        <v>145.05000000000001</v>
      </c>
      <c r="R5" s="230" cm="1">
        <f t="array" ref="R5">_xll.ciqfunctions.udf.CIQ(A5,"IQ_YEARLOW_DATE")</f>
        <v>45516</v>
      </c>
      <c r="S5" s="225">
        <f>_xll.ciqfunctions.udf.CIQ(A5,"IQ_CLOSEPRICE",$A$20,"USD")</f>
        <v>324.23</v>
      </c>
      <c r="T5" s="231">
        <f t="shared" si="5"/>
        <v>275</v>
      </c>
    </row>
    <row r="6" spans="1:20">
      <c r="A6" s="208" t="s">
        <v>167</v>
      </c>
      <c r="B6" s="206">
        <f>holdings!X8</f>
        <v>0.179298693771621</v>
      </c>
      <c r="C6" s="206">
        <f t="shared" si="0"/>
        <v>0.19859521684214454</v>
      </c>
      <c r="D6" s="206">
        <f t="shared" si="1"/>
        <v>1.8594458581390003</v>
      </c>
      <c r="E6" s="206">
        <f t="shared" si="2"/>
        <v>1.6112390979044715</v>
      </c>
      <c r="F6" s="206">
        <f t="shared" si="3"/>
        <v>0.53898021165938759</v>
      </c>
      <c r="G6" s="206">
        <f t="shared" si="4"/>
        <v>0.37664903692445018</v>
      </c>
      <c r="H6" s="206">
        <f>'Yearly-Sector-Raw-Contribute'!G6</f>
        <v>2.603766022792443E-2</v>
      </c>
      <c r="J6" s="225">
        <f>_xll.ciqfunctions.udf.CIQ(A6,"IQ_CLOSEPRICE",$A$15,"USD")</f>
        <v>308.03106000000002</v>
      </c>
      <c r="K6" s="225">
        <f>_xll.ciqfunctions.udf.CIQ(A6,"IQ_CLOSEPRICE",$A$16,"USD")</f>
        <v>256.99340000000001</v>
      </c>
      <c r="L6" s="225">
        <f>_xll.ciqfunctions.udf.CIQ(A6,"IQ_CLOSEPRICE",$A$18,"USD")</f>
        <v>107.72404</v>
      </c>
      <c r="M6" s="225">
        <f>_xll.ciqfunctions.udf.CIQ(A6,"IQ_CLOSEPRICE",$A$17,"USD")</f>
        <v>117.96356</v>
      </c>
      <c r="N6" s="225">
        <f>_xll.ciqfunctions.udf.CIQ(A6,"IQ_OPENPRICE",$A$19,"USD")</f>
        <v>200.15271000000001</v>
      </c>
      <c r="O6" s="225">
        <f>_xll.ciqfunctions.udf.CIQ(A6,"IQ_YEARHIGH",$A$15,"USD")</f>
        <v>328.54327999999998</v>
      </c>
      <c r="P6" s="230" cm="1">
        <f t="array" ref="P6">_xll.ciqfunctions.udf.CIQ(A6,"IQ_YEARHIGH_DATE")</f>
        <v>45707</v>
      </c>
      <c r="Q6" s="225">
        <f>_xll.ciqfunctions.udf.CIQ(A6,"IQ_YEARLOW",$A$15,"USD")</f>
        <v>204.79777000000001</v>
      </c>
      <c r="R6" s="230" cm="1">
        <f t="array" ref="R6">_xll.ciqfunctions.udf.CIQ(A6,"IQ_YEARLOW_DATE")</f>
        <v>45516</v>
      </c>
      <c r="S6" s="225">
        <f>_xll.ciqfunctions.udf.CIQ(A6,"IQ_CLOSEPRICE",$A$20,"USD")</f>
        <v>0</v>
      </c>
      <c r="T6" s="231">
        <f t="shared" si="5"/>
        <v>191</v>
      </c>
    </row>
    <row r="7" spans="1:20">
      <c r="A7" s="208" t="s">
        <v>172</v>
      </c>
      <c r="B7" s="206">
        <f>holdings!X9</f>
        <v>0.80154028436018976</v>
      </c>
      <c r="C7" s="206">
        <f t="shared" si="0"/>
        <v>0.49938195302843003</v>
      </c>
      <c r="D7" s="206" t="e">
        <f t="shared" si="1"/>
        <v>#DIV/0!</v>
      </c>
      <c r="E7" s="206" t="e">
        <f t="shared" si="2"/>
        <v>#DIV/0!</v>
      </c>
      <c r="F7" s="206">
        <f t="shared" si="3"/>
        <v>0.45933589990375356</v>
      </c>
      <c r="G7" s="206">
        <f t="shared" si="4"/>
        <v>0.65708037178786227</v>
      </c>
      <c r="H7" s="206">
        <f>'Yearly-Sector-Raw-Contribute'!G7</f>
        <v>8.2796385395657833E-3</v>
      </c>
      <c r="J7" s="225">
        <f>_xll.ciqfunctions.udf.CIQ(A7,"IQ_CLOSEPRICE",$A$15,"USD")</f>
        <v>60.65</v>
      </c>
      <c r="K7" s="225">
        <f>_xll.ciqfunctions.udf.CIQ(A7,"IQ_CLOSEPRICE",$A$16,"USD")</f>
        <v>40.450000000000003</v>
      </c>
      <c r="L7" s="225">
        <f>_xll.ciqfunctions.udf.CIQ(A7,"IQ_CLOSEPRICE",$A$18,"USD")</f>
        <v>0</v>
      </c>
      <c r="M7" s="225">
        <f>_xll.ciqfunctions.udf.CIQ(A7,"IQ_CLOSEPRICE",$A$17,"USD")</f>
        <v>0</v>
      </c>
      <c r="N7" s="225">
        <f>_xll.ciqfunctions.udf.CIQ(A7,"IQ_OPENPRICE",$A$19,"USD")</f>
        <v>41.56</v>
      </c>
      <c r="O7" s="225">
        <f>_xll.ciqfunctions.udf.CIQ(A7,"IQ_YEARHIGH",$A$15,"USD")</f>
        <v>91.45</v>
      </c>
      <c r="P7" s="230" cm="1">
        <f t="array" ref="P7">_xll.ciqfunctions.udf.CIQ(A7,"IQ_YEARHIGH_DATE")</f>
        <v>45702</v>
      </c>
      <c r="Q7" s="225">
        <f>_xll.ciqfunctions.udf.CIQ(A7,"IQ_YEARLOW",$A$15,"USD")</f>
        <v>31.36</v>
      </c>
      <c r="R7" s="230" cm="1">
        <f t="array" ref="R7">_xll.ciqfunctions.udf.CIQ(A7,"IQ_YEARLOW_DATE")</f>
        <v>45670</v>
      </c>
      <c r="S7" s="225">
        <f>_xll.ciqfunctions.udf.CIQ(A7,"IQ_CLOSEPRICE",$A$20,"USD")</f>
        <v>33.76</v>
      </c>
      <c r="T7" s="231">
        <f t="shared" si="5"/>
        <v>32</v>
      </c>
    </row>
    <row r="8" spans="1:20">
      <c r="A8" s="208" t="s">
        <v>137</v>
      </c>
      <c r="B8" s="206">
        <f>holdings!X10</f>
        <v>-0.24968516686156339</v>
      </c>
      <c r="C8" s="206">
        <f t="shared" si="0"/>
        <v>5.0602064220183429E-2</v>
      </c>
      <c r="D8" s="206">
        <f t="shared" si="1"/>
        <v>6.2389470327312679E-2</v>
      </c>
      <c r="E8" s="206">
        <f t="shared" si="2"/>
        <v>9.9360993609936221E-2</v>
      </c>
      <c r="F8" s="206">
        <f t="shared" si="3"/>
        <v>-0.35047325321705836</v>
      </c>
      <c r="G8" s="206">
        <f t="shared" si="4"/>
        <v>-0.43511697150148876</v>
      </c>
      <c r="H8" s="206">
        <f>'Yearly-Sector-Raw-Contribute'!G8</f>
        <v>-4.4460316891338312E-3</v>
      </c>
      <c r="J8" s="225">
        <f>_xll.ciqfunctions.udf.CIQ(A8,"IQ_CLOSEPRICE",$A$15,"USD")</f>
        <v>366.45</v>
      </c>
      <c r="K8" s="225">
        <f>_xll.ciqfunctions.udf.CIQ(A8,"IQ_CLOSEPRICE",$A$16,"USD")</f>
        <v>348.8</v>
      </c>
      <c r="L8" s="225">
        <f>_xll.ciqfunctions.udf.CIQ(A8,"IQ_CLOSEPRICE",$A$18,"USD")</f>
        <v>344.93</v>
      </c>
      <c r="M8" s="225">
        <f>_xll.ciqfunctions.udf.CIQ(A8,"IQ_CLOSEPRICE",$A$17,"USD")</f>
        <v>333.33</v>
      </c>
      <c r="N8" s="225">
        <f>_xll.ciqfunctions.udf.CIQ(A8,"IQ_OPENPRICE",$A$19,"USD")</f>
        <v>564.17999999999995</v>
      </c>
      <c r="O8" s="225">
        <f>_xll.ciqfunctions.udf.CIQ(A8,"IQ_YEARHIGH",$A$15,"USD")</f>
        <v>587.75</v>
      </c>
      <c r="P8" s="230" cm="1">
        <f t="array" ref="P8">_xll.ciqfunctions.udf.CIQ(A8,"IQ_YEARHIGH_DATE")</f>
        <v>45547</v>
      </c>
      <c r="Q8" s="225">
        <f>_xll.ciqfunctions.udf.CIQ(A8,"IQ_YEARLOW",$A$15,"USD")</f>
        <v>332.01</v>
      </c>
      <c r="R8" s="230" cm="1">
        <f t="array" ref="R8">_xll.ciqfunctions.udf.CIQ(A8,"IQ_YEARLOW_DATE")</f>
        <v>45754</v>
      </c>
      <c r="S8" s="225">
        <f>_xll.ciqfunctions.udf.CIQ(A8,"IQ_CLOSEPRICE",$A$20,"USD")</f>
        <v>444.68</v>
      </c>
      <c r="T8" s="231">
        <f t="shared" si="5"/>
        <v>-207</v>
      </c>
    </row>
    <row r="9" spans="1:20">
      <c r="A9" s="208" t="s">
        <v>151</v>
      </c>
      <c r="B9" s="206">
        <f>holdings!X11</f>
        <v>-0.25612268253604942</v>
      </c>
      <c r="C9" s="206">
        <f t="shared" si="0"/>
        <v>1.6791044776119257E-2</v>
      </c>
      <c r="D9" s="206">
        <f t="shared" si="1"/>
        <v>3.0031479538300108</v>
      </c>
      <c r="E9" s="206">
        <f t="shared" si="2"/>
        <v>0.93753174200101563</v>
      </c>
      <c r="F9" s="206">
        <f t="shared" si="3"/>
        <v>2.4711254364759627E-2</v>
      </c>
      <c r="G9" s="206">
        <f t="shared" si="4"/>
        <v>-0.49272939051597825</v>
      </c>
      <c r="H9" s="206">
        <f>'Yearly-Sector-Raw-Contribute'!G9</f>
        <v>-2.5154950613629256E-3</v>
      </c>
      <c r="J9" s="225">
        <f>_xll.ciqfunctions.udf.CIQ(A9,"IQ_CLOSEPRICE",$A$15,"USD")</f>
        <v>38.15</v>
      </c>
      <c r="K9" s="225">
        <f>_xll.ciqfunctions.udf.CIQ(A9,"IQ_CLOSEPRICE",$A$16,"USD")</f>
        <v>37.520000000000003</v>
      </c>
      <c r="L9" s="225">
        <f>_xll.ciqfunctions.udf.CIQ(A9,"IQ_CLOSEPRICE",$A$18,"USD")</f>
        <v>9.5299999999999994</v>
      </c>
      <c r="M9" s="225">
        <f>_xll.ciqfunctions.udf.CIQ(A9,"IQ_CLOSEPRICE",$A$17,"USD")</f>
        <v>19.690000000000001</v>
      </c>
      <c r="N9" s="225">
        <f>_xll.ciqfunctions.udf.CIQ(A9,"IQ_OPENPRICE",$A$19,"USD")</f>
        <v>37.229999999999997</v>
      </c>
      <c r="O9" s="225">
        <f>_xll.ciqfunctions.udf.CIQ(A9,"IQ_YEARHIGH",$A$15,"USD")</f>
        <v>61.899900000000002</v>
      </c>
      <c r="P9" s="230" cm="1">
        <f t="array" ref="P9">_xll.ciqfunctions.udf.CIQ(A9,"IQ_YEARHIGH_DATE")</f>
        <v>45707</v>
      </c>
      <c r="Q9" s="225">
        <f>_xll.ciqfunctions.udf.CIQ(A9,"IQ_YEARLOW",$A$15,"USD")</f>
        <v>31.4</v>
      </c>
      <c r="R9" s="230" cm="1">
        <f t="array" ref="R9">_xll.ciqfunctions.udf.CIQ(A9,"IQ_YEARLOW_DATE")</f>
        <v>45754</v>
      </c>
      <c r="S9" s="225">
        <f>_xll.ciqfunctions.udf.CIQ(A9,"IQ_CLOSEPRICE",$A$20,"USD")</f>
        <v>43.69</v>
      </c>
      <c r="T9" s="231">
        <f t="shared" si="5"/>
        <v>-47</v>
      </c>
    </row>
    <row r="10" spans="1:20">
      <c r="A10" s="208" t="s">
        <v>175</v>
      </c>
      <c r="B10" s="206">
        <f>holdings!X12</f>
        <v>-0.17184048366469007</v>
      </c>
      <c r="C10" s="206">
        <f t="shared" si="0"/>
        <v>4.4656592163605069E-2</v>
      </c>
      <c r="D10" s="206">
        <f t="shared" si="1"/>
        <v>0.37516378796902905</v>
      </c>
      <c r="E10" s="206">
        <f t="shared" si="2"/>
        <v>0.25887356196499645</v>
      </c>
      <c r="F10" s="206">
        <f t="shared" si="3"/>
        <v>-8.0340264650283766E-3</v>
      </c>
      <c r="G10" s="206">
        <f t="shared" si="4"/>
        <v>-0.32037414965986394</v>
      </c>
      <c r="H10" s="206">
        <f>'Yearly-Sector-Raw-Contribute'!G10</f>
        <v>-1.7548750389942982E-3</v>
      </c>
      <c r="J10" s="225">
        <f>_xll.ciqfunctions.udf.CIQ(A10,"IQ_CLOSEPRICE",$A$15,"USD")</f>
        <v>230.89</v>
      </c>
      <c r="K10" s="225">
        <f>_xll.ciqfunctions.udf.CIQ(A10,"IQ_CLOSEPRICE",$A$16,"USD")</f>
        <v>221.02</v>
      </c>
      <c r="L10" s="225">
        <f>_xll.ciqfunctions.udf.CIQ(A10,"IQ_CLOSEPRICE",$A$18,"USD")</f>
        <v>167.9</v>
      </c>
      <c r="M10" s="225">
        <f>_xll.ciqfunctions.udf.CIQ(A10,"IQ_CLOSEPRICE",$A$17,"USD")</f>
        <v>183.41</v>
      </c>
      <c r="N10" s="225">
        <f>_xll.ciqfunctions.udf.CIQ(A10,"IQ_OPENPRICE",$A$19,"USD")</f>
        <v>232.76</v>
      </c>
      <c r="O10" s="225">
        <f>_xll.ciqfunctions.udf.CIQ(A10,"IQ_YEARHIGH",$A$15,"USD")</f>
        <v>294</v>
      </c>
      <c r="P10" s="230" cm="1">
        <f t="array" ref="P10">_xll.ciqfunctions.udf.CIQ(A10,"IQ_YEARHIGH_DATE")</f>
        <v>45635</v>
      </c>
      <c r="Q10" s="225">
        <f>_xll.ciqfunctions.udf.CIQ(A10,"IQ_YEARLOW",$A$15,"USD")</f>
        <v>199.81</v>
      </c>
      <c r="R10" s="230" cm="1">
        <f t="array" ref="R10">_xll.ciqfunctions.udf.CIQ(A10,"IQ_YEARLOW_DATE")</f>
        <v>45754</v>
      </c>
      <c r="S10" s="225">
        <f>_xll.ciqfunctions.udf.CIQ(A10,"IQ_CLOSEPRICE",$A$20,"USD")</f>
        <v>258.02999999999997</v>
      </c>
      <c r="T10" s="231">
        <f t="shared" si="5"/>
        <v>-119</v>
      </c>
    </row>
    <row r="11" spans="1:20">
      <c r="A11" s="208" t="s">
        <v>166</v>
      </c>
      <c r="B11" s="206">
        <f>holdings!X13</f>
        <v>1.2595921189077086</v>
      </c>
      <c r="C11" s="206">
        <f t="shared" si="0"/>
        <v>1.0460559370289735</v>
      </c>
      <c r="D11" s="206">
        <f t="shared" si="1"/>
        <v>2.8454516839785962</v>
      </c>
      <c r="E11" s="206">
        <f t="shared" si="2"/>
        <v>1.8286640426024543</v>
      </c>
      <c r="F11" s="206">
        <f t="shared" si="3"/>
        <v>2.0489143998003496</v>
      </c>
      <c r="G11" s="206">
        <f t="shared" si="4"/>
        <v>0.71377604800129735</v>
      </c>
      <c r="H11" s="206">
        <f>'Yearly-Sector-Raw-Contribute'!G11</f>
        <v>1.486715243936009E-2</v>
      </c>
      <c r="J11" s="225">
        <f>_xll.ciqfunctions.udf.CIQ(A11,"IQ_CLOSEPRICE",$A$15,"USD")</f>
        <v>122.17</v>
      </c>
      <c r="K11" s="225">
        <f>_xll.ciqfunctions.udf.CIQ(A11,"IQ_CLOSEPRICE",$A$16,"USD")</f>
        <v>59.71</v>
      </c>
      <c r="L11" s="225">
        <f>_xll.ciqfunctions.udf.CIQ(A11,"IQ_CLOSEPRICE",$A$18,"USD")</f>
        <v>31.77</v>
      </c>
      <c r="M11" s="225">
        <f>_xll.ciqfunctions.udf.CIQ(A11,"IQ_CLOSEPRICE",$A$17,"USD")</f>
        <v>43.19</v>
      </c>
      <c r="N11" s="225">
        <f>_xll.ciqfunctions.udf.CIQ(A11,"IQ_OPENPRICE",$A$19,"USD")</f>
        <v>40.07</v>
      </c>
      <c r="O11" s="225">
        <f>_xll.ciqfunctions.udf.CIQ(A11,"IQ_YEARHIGH",$A$15,"USD")</f>
        <v>123.33</v>
      </c>
      <c r="P11" s="230" cm="1">
        <f t="array" ref="P11">_xll.ciqfunctions.udf.CIQ(A11,"IQ_YEARHIGH_DATE")</f>
        <v>45869</v>
      </c>
      <c r="Q11" s="225">
        <f>_xll.ciqfunctions.udf.CIQ(A11,"IQ_YEARLOW",$A$15,"USD")</f>
        <v>35.299999999999997</v>
      </c>
      <c r="R11" s="230" cm="1">
        <f t="array" ref="R11">_xll.ciqfunctions.udf.CIQ(A11,"IQ_YEARLOW_DATE")</f>
        <v>45516</v>
      </c>
      <c r="S11" s="225">
        <f>_xll.ciqfunctions.udf.CIQ(A11,"IQ_CLOSEPRICE",$A$20,"USD")</f>
        <v>57.86</v>
      </c>
      <c r="T11" s="231">
        <f t="shared" si="5"/>
        <v>353</v>
      </c>
    </row>
    <row r="12" spans="1:20">
      <c r="A12" s="208" t="s">
        <v>146</v>
      </c>
      <c r="B12" s="206">
        <f>holdings!X14</f>
        <v>0.43772967297656185</v>
      </c>
      <c r="C12" s="206">
        <f t="shared" si="0"/>
        <v>0.52707581227436817</v>
      </c>
      <c r="D12" s="206">
        <f t="shared" si="1"/>
        <v>24.244968771686327</v>
      </c>
      <c r="E12" s="206">
        <f t="shared" si="2"/>
        <v>27.487079091620984</v>
      </c>
      <c r="F12" s="206">
        <f t="shared" si="3"/>
        <v>3.436882546652031</v>
      </c>
      <c r="G12" s="206">
        <f t="shared" si="4"/>
        <v>0.88447110349423974</v>
      </c>
      <c r="H12" s="206">
        <f>'Yearly-Sector-Raw-Contribute'!G12</f>
        <v>1.8772436185596484E-3</v>
      </c>
      <c r="J12" s="225">
        <f>_xll.ciqfunctions.udf.CIQ(A12,"IQ_CLOSEPRICE",$A$15,"USD")</f>
        <v>363.78</v>
      </c>
      <c r="K12" s="225">
        <f>_xll.ciqfunctions.udf.CIQ(A12,"IQ_CLOSEPRICE",$A$16,"USD")</f>
        <v>238.22</v>
      </c>
      <c r="L12" s="225">
        <f>_xll.ciqfunctions.udf.CIQ(A12,"IQ_CLOSEPRICE",$A$18,"USD")</f>
        <v>14.41</v>
      </c>
      <c r="M12" s="225">
        <f>_xll.ciqfunctions.udf.CIQ(A12,"IQ_CLOSEPRICE",$A$17,"USD")</f>
        <v>12.77</v>
      </c>
      <c r="N12" s="225">
        <f>_xll.ciqfunctions.udf.CIQ(A12,"IQ_OPENPRICE",$A$19,"USD")</f>
        <v>81.99</v>
      </c>
      <c r="O12" s="225">
        <f>_xll.ciqfunctions.udf.CIQ(A12,"IQ_YEARHIGH",$A$15,"USD")</f>
        <v>525.15</v>
      </c>
      <c r="P12" s="230" cm="1">
        <f t="array" ref="P12">_xll.ciqfunctions.udf.CIQ(A12,"IQ_YEARHIGH_DATE")</f>
        <v>45701</v>
      </c>
      <c r="Q12" s="225">
        <f>_xll.ciqfunctions.udf.CIQ(A12,"IQ_YEARLOW",$A$15,"USD")</f>
        <v>60.67</v>
      </c>
      <c r="R12" s="230" cm="1">
        <f t="array" ref="R12">_xll.ciqfunctions.udf.CIQ(A12,"IQ_YEARLOW_DATE")</f>
        <v>45516</v>
      </c>
      <c r="S12" s="225">
        <f>_xll.ciqfunctions.udf.CIQ(A12,"IQ_CLOSEPRICE",$A$20,"USD")</f>
        <v>323.83</v>
      </c>
      <c r="T12" s="231">
        <f t="shared" si="5"/>
        <v>185</v>
      </c>
    </row>
    <row r="13" spans="1:20">
      <c r="A13" s="208" t="s">
        <v>168</v>
      </c>
      <c r="B13" s="206">
        <f>holdings!X15</f>
        <v>0.38719082102887237</v>
      </c>
      <c r="C13" s="206">
        <f t="shared" si="0"/>
        <v>0.51524208009563655</v>
      </c>
      <c r="D13" s="206">
        <f t="shared" si="1"/>
        <v>2.1005381604696671</v>
      </c>
      <c r="E13" s="206">
        <f t="shared" si="2"/>
        <v>1.8938356164383565</v>
      </c>
      <c r="F13" s="206">
        <f t="shared" si="3"/>
        <v>0.92336874051593298</v>
      </c>
      <c r="G13" s="206">
        <f t="shared" si="4"/>
        <v>0.62467151027979595</v>
      </c>
      <c r="H13" s="206">
        <f>'Yearly-Sector-Raw-Contribute'!G13</f>
        <v>3.2886031212965841E-3</v>
      </c>
      <c r="J13" s="225">
        <f>_xll.ciqfunctions.udf.CIQ(A13,"IQ_CLOSEPRICE",$A$15,"USD")</f>
        <v>126.75</v>
      </c>
      <c r="K13" s="225">
        <f>_xll.ciqfunctions.udf.CIQ(A13,"IQ_CLOSEPRICE",$A$16,"USD")</f>
        <v>83.65</v>
      </c>
      <c r="L13" s="225">
        <f>_xll.ciqfunctions.udf.CIQ(A13,"IQ_CLOSEPRICE",$A$18,"USD")</f>
        <v>40.880000000000003</v>
      </c>
      <c r="M13" s="225">
        <f>_xll.ciqfunctions.udf.CIQ(A13,"IQ_CLOSEPRICE",$A$17,"USD")</f>
        <v>43.8</v>
      </c>
      <c r="N13" s="225">
        <f>_xll.ciqfunctions.udf.CIQ(A13,"IQ_OPENPRICE",$A$19,"USD")</f>
        <v>65.900000000000006</v>
      </c>
      <c r="O13" s="225">
        <f>_xll.ciqfunctions.udf.CIQ(A13,"IQ_YEARHIGH",$A$15,"USD")</f>
        <v>129.38</v>
      </c>
      <c r="P13" s="230" cm="1">
        <f t="array" ref="P13">_xll.ciqfunctions.udf.CIQ(A13,"IQ_YEARHIGH_DATE")</f>
        <v>45876</v>
      </c>
      <c r="Q13" s="225">
        <f>_xll.ciqfunctions.udf.CIQ(A13,"IQ_YEARLOW",$A$15,"USD")</f>
        <v>48.56</v>
      </c>
      <c r="R13" s="230" cm="1">
        <f t="array" ref="R13">_xll.ciqfunctions.udf.CIQ(A13,"IQ_YEARLOW_DATE")</f>
        <v>45541</v>
      </c>
      <c r="S13" s="225">
        <f>_xll.ciqfunctions.udf.CIQ(A13,"IQ_CLOSEPRICE",$A$20,"USD")</f>
        <v>106.33</v>
      </c>
      <c r="T13" s="231">
        <f t="shared" si="5"/>
        <v>335</v>
      </c>
    </row>
    <row r="14" spans="1:20">
      <c r="A14" s="208" t="s">
        <v>171</v>
      </c>
      <c r="B14" s="206">
        <f>holdings!X16</f>
        <v>-0.34555016846084308</v>
      </c>
      <c r="C14" s="206">
        <f t="shared" si="0"/>
        <v>-5.9827373612823642E-2</v>
      </c>
      <c r="D14" s="206">
        <f t="shared" si="1"/>
        <v>0.44903078677309005</v>
      </c>
      <c r="E14" s="206">
        <f t="shared" si="2"/>
        <v>0.19152394049256172</v>
      </c>
      <c r="F14" s="206">
        <f t="shared" si="3"/>
        <v>6.0767946577629406E-2</v>
      </c>
      <c r="G14" s="206">
        <f t="shared" si="4"/>
        <v>0.5849998726993475</v>
      </c>
      <c r="H14" s="206">
        <f>'Yearly-Sector-Raw-Contribute'!G14</f>
        <v>-3.9777425841884019E-3</v>
      </c>
      <c r="J14" s="225">
        <f>_xll.ciqfunctions.udf.CIQ(A14,"IQ_CLOSEPRICE",$A$15,"USD")</f>
        <v>190.62</v>
      </c>
      <c r="K14" s="225">
        <f>_xll.ciqfunctions.udf.CIQ(A14,"IQ_CLOSEPRICE",$A$16,"USD")</f>
        <v>202.75</v>
      </c>
      <c r="L14" s="225">
        <f>_xll.ciqfunctions.udf.CIQ(A14,"IQ_CLOSEPRICE",$A$18,"USD")</f>
        <v>131.55000000000001</v>
      </c>
      <c r="M14" s="225">
        <f>_xll.ciqfunctions.udf.CIQ(A14,"IQ_CLOSEPRICE",$A$17,"USD")</f>
        <v>159.97999999999999</v>
      </c>
      <c r="N14" s="225">
        <f>_xll.ciqfunctions.udf.CIQ(A14,"IQ_OPENPRICE",$A$19,"USD")</f>
        <v>179.7</v>
      </c>
      <c r="O14" s="225">
        <f>_xll.ciqfunctions.udf.CIQ(A14,"IQ_YEARHIGH",$A$15,"USD")</f>
        <v>325.99990000000003</v>
      </c>
      <c r="P14" s="230" cm="1">
        <f t="array" ref="P14">_xll.ciqfunctions.udf.CIQ(A14,"IQ_YEARHIGH_DATE")</f>
        <v>45698</v>
      </c>
      <c r="Q14" s="225">
        <f>_xll.ciqfunctions.udf.CIQ(A14,"IQ_YEARLOW",$A$15,"USD")</f>
        <v>135.29</v>
      </c>
      <c r="R14" s="230" cm="1">
        <f t="array" ref="R14">_xll.ciqfunctions.udf.CIQ(A14,"IQ_YEARLOW_DATE")</f>
        <v>45517</v>
      </c>
      <c r="S14" s="225">
        <f>_xll.ciqfunctions.udf.CIQ(A14,"IQ_CLOSEPRICE",$A$20,"USD")</f>
        <v>243.38</v>
      </c>
      <c r="T14" s="231">
        <f t="shared" si="5"/>
        <v>181</v>
      </c>
    </row>
    <row r="15" spans="1:20">
      <c r="A15" s="19" t="s">
        <v>268</v>
      </c>
      <c r="C15" s="1"/>
      <c r="D15" s="1"/>
      <c r="E15" s="1"/>
      <c r="F15" s="1"/>
      <c r="G15" s="1"/>
      <c r="H15" s="225">
        <f>SUM(H2:H14)</f>
        <v>4.603088062003366E-2</v>
      </c>
    </row>
    <row r="16" spans="1:20">
      <c r="A16" s="19" t="s">
        <v>269</v>
      </c>
      <c r="C16" s="1"/>
      <c r="D16" s="1"/>
      <c r="E16" s="1"/>
      <c r="F16" s="1"/>
      <c r="G16" s="1"/>
    </row>
    <row r="17" spans="1:8">
      <c r="A17" s="19" t="s">
        <v>281</v>
      </c>
      <c r="C17" s="1"/>
      <c r="D17" s="1"/>
      <c r="E17" s="1"/>
      <c r="F17" s="1"/>
      <c r="G17" s="1"/>
    </row>
    <row r="18" spans="1:8" ht="28">
      <c r="A18" s="19" t="s">
        <v>273</v>
      </c>
      <c r="C18" s="1"/>
      <c r="D18" s="1"/>
      <c r="E18" s="1"/>
      <c r="F18" s="1"/>
      <c r="G18" s="1"/>
    </row>
    <row r="19" spans="1:8">
      <c r="A19" s="19" t="s">
        <v>275</v>
      </c>
      <c r="C19" s="1"/>
      <c r="D19" s="1"/>
      <c r="E19" s="1"/>
      <c r="F19" s="1"/>
      <c r="G19" s="1"/>
    </row>
    <row r="20" spans="1:8" ht="28">
      <c r="A20" s="19" t="s">
        <v>301</v>
      </c>
      <c r="C20" s="1"/>
      <c r="D20" s="1"/>
      <c r="E20" s="1"/>
      <c r="F20" s="1"/>
      <c r="G20" s="1"/>
    </row>
    <row r="22" spans="1:8" ht="26">
      <c r="A22" s="19" t="s">
        <v>315</v>
      </c>
      <c r="B22" s="228" t="s">
        <v>262</v>
      </c>
      <c r="C22" s="228" t="s">
        <v>263</v>
      </c>
      <c r="D22" s="228" t="s">
        <v>264</v>
      </c>
      <c r="E22" s="228" t="s">
        <v>265</v>
      </c>
      <c r="F22" s="228" t="s">
        <v>266</v>
      </c>
      <c r="G22" s="228" t="s">
        <v>310</v>
      </c>
      <c r="H22" s="228" t="s">
        <v>307</v>
      </c>
    </row>
    <row r="23" spans="1:8">
      <c r="A23" s="208" t="s">
        <v>153</v>
      </c>
      <c r="B23" s="1">
        <f>B2*holdings!$U$4*0.01</f>
        <v>2.2530448783921395E-2</v>
      </c>
      <c r="C23" s="1">
        <f>C2*holdings!$U$4*0.01</f>
        <v>2.9160051155212186E-2</v>
      </c>
      <c r="D23" s="1">
        <f>D2*holdings!$U$4*0.01</f>
        <v>0.36125465914948501</v>
      </c>
      <c r="E23" s="1">
        <f>E2*holdings!$U$4*0.01</f>
        <v>0.19127549567067342</v>
      </c>
      <c r="F23" s="1">
        <f>F2*holdings!$U$4*0.01</f>
        <v>3.4863094075086622E-2</v>
      </c>
      <c r="G23" s="1">
        <f>G2*holdings!$U$4*0.01</f>
        <v>2.9852181408797612E-2</v>
      </c>
      <c r="H23" s="263">
        <f>SUM(H2:H14)</f>
        <v>4.603088062003366E-2</v>
      </c>
    </row>
    <row r="24" spans="1:8">
      <c r="A24" s="208" t="s">
        <v>144</v>
      </c>
      <c r="B24" s="1">
        <f>B3*holdings!$U$4*0.01</f>
        <v>-2.2238012365129282E-2</v>
      </c>
      <c r="C24" s="1">
        <f>C3*holdings!$U$4*0.01</f>
        <v>3.7330982725140688E-3</v>
      </c>
      <c r="D24" s="1">
        <f>D3*holdings!$U$4*0.01</f>
        <v>4.5473253168214316E-2</v>
      </c>
      <c r="E24" s="1">
        <f>E3*holdings!$U$4*0.01</f>
        <v>3.0789900995962204E-2</v>
      </c>
      <c r="F24" s="1">
        <f>F3*holdings!$U$4*0.01</f>
        <v>2.2452419342380314E-3</v>
      </c>
      <c r="G24" s="1">
        <f>G3*holdings!$U$4*0.01</f>
        <v>-2.755195159784106E-2</v>
      </c>
      <c r="H24" s="264"/>
    </row>
    <row r="25" spans="1:8">
      <c r="A25" s="208" t="s">
        <v>159</v>
      </c>
      <c r="B25" s="1">
        <f>B4*holdings!$U$4*0.01</f>
        <v>-1.405744918346547E-2</v>
      </c>
      <c r="C25" s="1">
        <f>C4*holdings!$U$4*0.01</f>
        <v>1.7712302230987565E-2</v>
      </c>
      <c r="D25" s="1">
        <f>D4*holdings!$U$4*0.01</f>
        <v>9.5375617771558605E-2</v>
      </c>
      <c r="E25" s="1">
        <f>E4*holdings!$U$4*0.01</f>
        <v>9.2104827863342009E-2</v>
      </c>
      <c r="F25" s="1">
        <f>F4*holdings!$U$4*0.01</f>
        <v>2.1873902564685903E-2</v>
      </c>
      <c r="G25" s="1">
        <f>G4*holdings!$U$4*0.01</f>
        <v>-3.1710458514684653E-2</v>
      </c>
      <c r="H25" s="264"/>
    </row>
    <row r="26" spans="1:8">
      <c r="A26" s="208" t="s">
        <v>147</v>
      </c>
      <c r="B26" s="1">
        <f>B5*holdings!$U$4*0.01</f>
        <v>3.6905750022446105E-3</v>
      </c>
      <c r="C26" s="1">
        <f>C5*holdings!$U$4*0.01</f>
        <v>7.9413984476503201E-3</v>
      </c>
      <c r="D26" s="1">
        <f>D5*holdings!$U$4*0.01</f>
        <v>0.30684370701377073</v>
      </c>
      <c r="E26" s="1">
        <f>E5*holdings!$U$4*0.01</f>
        <v>0.14083820202951353</v>
      </c>
      <c r="F26" s="1">
        <f>F5*holdings!$U$4*0.01</f>
        <v>7.2229803313052801E-2</v>
      </c>
      <c r="G26" s="1">
        <f>G5*holdings!$U$4*0.01</f>
        <v>5.367263269936972E-2</v>
      </c>
      <c r="H26" s="264"/>
    </row>
    <row r="27" spans="1:8">
      <c r="A27" s="208" t="s">
        <v>167</v>
      </c>
      <c r="B27" s="1">
        <f>B6*holdings!$U$4*0.01</f>
        <v>1.3114177525451976E-2</v>
      </c>
      <c r="C27" s="1">
        <f>C6*holdings!$U$4*0.01</f>
        <v>1.4525554395230816E-2</v>
      </c>
      <c r="D27" s="1">
        <f>D6*holdings!$U$4*0.01</f>
        <v>0.13600268116655329</v>
      </c>
      <c r="E27" s="1">
        <f>E6*holdings!$U$4*0.01</f>
        <v>0.11784846348508511</v>
      </c>
      <c r="F27" s="1">
        <f>F6*holdings!$U$4*0.01</f>
        <v>3.9421827508738058E-2</v>
      </c>
      <c r="G27" s="1">
        <f>G6*holdings!$U$4*0.01</f>
        <v>2.7548679977051568E-2</v>
      </c>
      <c r="H27" s="264"/>
    </row>
    <row r="28" spans="1:8">
      <c r="A28" s="208" t="s">
        <v>172</v>
      </c>
      <c r="B28" s="1">
        <f>B7*holdings!$U$4*0.01</f>
        <v>5.8625868163265614E-2</v>
      </c>
      <c r="C28" s="1">
        <f>C7*holdings!$U$4*0.01</f>
        <v>3.6525551007992395E-2</v>
      </c>
      <c r="D28" s="1"/>
      <c r="E28" s="1"/>
      <c r="F28" s="1">
        <f>F7*holdings!$U$4*0.01</f>
        <v>3.3596522141002338E-2</v>
      </c>
      <c r="G28" s="1">
        <f>G7*holdings!$U$4*0.01</f>
        <v>4.8059851763849838E-2</v>
      </c>
      <c r="H28" s="264"/>
    </row>
    <row r="29" spans="1:8">
      <c r="A29" s="208" t="s">
        <v>137</v>
      </c>
      <c r="B29" s="1">
        <f>B8*holdings!$U$4*0.01</f>
        <v>-1.8262350577218249E-2</v>
      </c>
      <c r="C29" s="1">
        <f>C8*holdings!$U$4*0.01</f>
        <v>3.7011114770476978E-3</v>
      </c>
      <c r="D29" s="1">
        <f>D8*holdings!$U$4*0.01</f>
        <v>4.5632601798730873E-3</v>
      </c>
      <c r="E29" s="1">
        <f>E8*holdings!$U$4*0.01</f>
        <v>7.267413286154374E-3</v>
      </c>
      <c r="F29" s="1">
        <f>F8*holdings!$U$4*0.01</f>
        <v>-2.5634143584255479E-2</v>
      </c>
      <c r="G29" s="1">
        <f>G8*holdings!$U$4*0.01</f>
        <v>-3.1825113103588695E-2</v>
      </c>
      <c r="H29" s="264"/>
    </row>
    <row r="30" spans="1:8">
      <c r="A30" s="208" t="s">
        <v>151</v>
      </c>
      <c r="B30" s="1">
        <f>B9*holdings!$U$4*0.01</f>
        <v>-1.8733200205858721E-2</v>
      </c>
      <c r="C30" s="1">
        <f>C9*holdings!$U$4*0.01</f>
        <v>1.2281223995547804E-3</v>
      </c>
      <c r="D30" s="1">
        <f>D9*holdings!$U$4*0.01</f>
        <v>0.21965478148931275</v>
      </c>
      <c r="E30" s="1">
        <f>E9*holdings!$U$4*0.01</f>
        <v>6.8572488966417544E-2</v>
      </c>
      <c r="F30" s="1">
        <f>F9*holdings!$U$4*0.01</f>
        <v>1.8074185026067963E-3</v>
      </c>
      <c r="G30" s="1">
        <f>G9*holdings!$U$4*0.01</f>
        <v>-3.6038972528516226E-2</v>
      </c>
      <c r="H30" s="264"/>
    </row>
    <row r="31" spans="1:8">
      <c r="A31" s="208" t="s">
        <v>175</v>
      </c>
      <c r="B31" s="1">
        <f>B10*holdings!$U$4*0.01</f>
        <v>-1.2568672762941022E-2</v>
      </c>
      <c r="C31" s="1">
        <f>C10*holdings!$U$4*0.01</f>
        <v>3.266250662490422E-3</v>
      </c>
      <c r="D31" s="1">
        <f>D10*holdings!$U$4*0.01</f>
        <v>2.7440046623059069E-2</v>
      </c>
      <c r="E31" s="1">
        <f>E10*holdings!$U$4*0.01</f>
        <v>1.8934403686059621E-2</v>
      </c>
      <c r="F31" s="1">
        <f>F10*holdings!$U$4*0.01</f>
        <v>-5.876208414588997E-4</v>
      </c>
      <c r="G31" s="1">
        <f>G10*holdings!$U$4*0.01</f>
        <v>-2.3432649646386722E-2</v>
      </c>
      <c r="H31" s="264"/>
    </row>
    <row r="32" spans="1:8">
      <c r="A32" s="208" t="s">
        <v>166</v>
      </c>
      <c r="B32" s="1">
        <f>B11*holdings!$U$4*0.01</f>
        <v>9.2128471822868457E-2</v>
      </c>
      <c r="C32" s="1">
        <f>C11*holdings!$U$4*0.01</f>
        <v>7.6510112657174598E-2</v>
      </c>
      <c r="D32" s="1">
        <f>D11*holdings!$U$4*0.01</f>
        <v>0.20812063790783644</v>
      </c>
      <c r="E32" s="1">
        <f>E11*holdings!$U$4*0.01</f>
        <v>0.13375125264239368</v>
      </c>
      <c r="F32" s="1">
        <f>F11*holdings!$U$4*0.01</f>
        <v>0.14986069674139235</v>
      </c>
      <c r="G32" s="1">
        <f>G11*holdings!$U$4*0.01</f>
        <v>5.220665923438042E-2</v>
      </c>
      <c r="H32" s="264"/>
    </row>
    <row r="33" spans="1:8">
      <c r="A33" s="208" t="s">
        <v>146</v>
      </c>
      <c r="B33" s="1">
        <f>B12*holdings!$U$4*0.01</f>
        <v>3.2016210039346411E-2</v>
      </c>
      <c r="C33" s="1">
        <f>C12*holdings!$U$4*0.01</f>
        <v>3.8551121740697844E-2</v>
      </c>
      <c r="D33" s="1">
        <f>D12*holdings!$U$4*0.01</f>
        <v>1.7733136694008571</v>
      </c>
      <c r="E33" s="1">
        <f>E12*holdings!$U$4*0.01</f>
        <v>2.0104465196093431</v>
      </c>
      <c r="F33" s="1">
        <f>F12*holdings!$U$4*0.01</f>
        <v>0.25137878532641095</v>
      </c>
      <c r="G33" s="1">
        <f>G12*holdings!$U$4*0.01</f>
        <v>6.4691553649186412E-2</v>
      </c>
      <c r="H33" s="264"/>
    </row>
    <row r="34" spans="1:8">
      <c r="A34" s="208" t="s">
        <v>168</v>
      </c>
      <c r="B34" s="1">
        <f>B13*holdings!$U$4*0.01</f>
        <v>2.8319722003472964E-2</v>
      </c>
      <c r="C34" s="1">
        <f>C13*holdings!$U$4*0.01</f>
        <v>3.7685584678959903E-2</v>
      </c>
      <c r="D34" s="1">
        <f>D13*holdings!$U$4*0.01</f>
        <v>0.15363653664132604</v>
      </c>
      <c r="E34" s="1">
        <f>E13*holdings!$U$4*0.01</f>
        <v>0.13851800007885717</v>
      </c>
      <c r="F34" s="1">
        <f>F13*holdings!$U$4*0.01</f>
        <v>6.7536585626233755E-2</v>
      </c>
      <c r="G34" s="1">
        <f>G13*holdings!$U$4*0.01</f>
        <v>4.5689418637572157E-2</v>
      </c>
      <c r="H34" s="264"/>
    </row>
    <row r="35" spans="1:8">
      <c r="A35" s="208" t="s">
        <v>171</v>
      </c>
      <c r="B35" s="1">
        <f>B14*holdings!$U$4*0.01</f>
        <v>-2.527406172248749E-2</v>
      </c>
      <c r="C35" s="1">
        <f>C14*holdings!$U$4*0.01</f>
        <v>-4.3758645528085439E-3</v>
      </c>
      <c r="D35" s="1">
        <f>D14*holdings!$U$4*0.01</f>
        <v>3.2842790587399813E-2</v>
      </c>
      <c r="E35" s="1">
        <f>E14*holdings!$U$4*0.01</f>
        <v>1.4008350552697096E-2</v>
      </c>
      <c r="F35" s="1">
        <f>F14*holdings!$U$4*0.01</f>
        <v>4.4446594814086084E-3</v>
      </c>
      <c r="G35" s="1">
        <f>G14*holdings!$U$4*0.01</f>
        <v>4.2787775089526747E-2</v>
      </c>
      <c r="H35" s="264"/>
    </row>
  </sheetData>
  <mergeCells count="1">
    <mergeCell ref="H23:H35"/>
  </mergeCells>
  <phoneticPr fontId="31"/>
  <conditionalFormatting sqref="B2:B14">
    <cfRule type="dataBar" priority="7">
      <dataBar>
        <cfvo type="min"/>
        <cfvo type="max"/>
        <color rgb="FF63C384"/>
      </dataBar>
      <extLst>
        <ext xmlns:x14="http://schemas.microsoft.com/office/spreadsheetml/2009/9/main" uri="{B025F937-C7B1-47D3-B67F-A62EFF666E3E}">
          <x14:id>{B62B5AFC-8CD0-4A83-BF43-10B242BBDC33}</x14:id>
        </ext>
      </extLst>
    </cfRule>
  </conditionalFormatting>
  <conditionalFormatting sqref="C2:C14">
    <cfRule type="dataBar" priority="6">
      <dataBar>
        <cfvo type="min"/>
        <cfvo type="max"/>
        <color rgb="FF63C384"/>
      </dataBar>
      <extLst>
        <ext xmlns:x14="http://schemas.microsoft.com/office/spreadsheetml/2009/9/main" uri="{B025F937-C7B1-47D3-B67F-A62EFF666E3E}">
          <x14:id>{9FCE6AB7-1B1F-45D6-989B-81AAC00B4757}</x14:id>
        </ext>
      </extLst>
    </cfRule>
  </conditionalFormatting>
  <conditionalFormatting sqref="D2:D14">
    <cfRule type="dataBar" priority="5">
      <dataBar>
        <cfvo type="min"/>
        <cfvo type="max"/>
        <color rgb="FF63C384"/>
      </dataBar>
      <extLst>
        <ext xmlns:x14="http://schemas.microsoft.com/office/spreadsheetml/2009/9/main" uri="{B025F937-C7B1-47D3-B67F-A62EFF666E3E}">
          <x14:id>{B9E58550-2E60-4572-BC97-FCE097608E81}</x14:id>
        </ext>
      </extLst>
    </cfRule>
  </conditionalFormatting>
  <conditionalFormatting sqref="E2:E14">
    <cfRule type="dataBar" priority="4">
      <dataBar>
        <cfvo type="min"/>
        <cfvo type="max"/>
        <color rgb="FF63C384"/>
      </dataBar>
      <extLst>
        <ext xmlns:x14="http://schemas.microsoft.com/office/spreadsheetml/2009/9/main" uri="{B025F937-C7B1-47D3-B67F-A62EFF666E3E}">
          <x14:id>{F42EC9A2-994C-4261-8778-C9A8D126A7EF}</x14:id>
        </ext>
      </extLst>
    </cfRule>
  </conditionalFormatting>
  <conditionalFormatting sqref="F2:F14">
    <cfRule type="dataBar" priority="3">
      <dataBar>
        <cfvo type="min"/>
        <cfvo type="max"/>
        <color rgb="FF63C384"/>
      </dataBar>
      <extLst>
        <ext xmlns:x14="http://schemas.microsoft.com/office/spreadsheetml/2009/9/main" uri="{B025F937-C7B1-47D3-B67F-A62EFF666E3E}">
          <x14:id>{1AF18053-746B-43EC-AC51-5E261D708032}</x14:id>
        </ext>
      </extLst>
    </cfRule>
  </conditionalFormatting>
  <conditionalFormatting sqref="G2:G14">
    <cfRule type="dataBar" priority="2">
      <dataBar>
        <cfvo type="min"/>
        <cfvo type="max"/>
        <color rgb="FF63C384"/>
      </dataBar>
      <extLst>
        <ext xmlns:x14="http://schemas.microsoft.com/office/spreadsheetml/2009/9/main" uri="{B025F937-C7B1-47D3-B67F-A62EFF666E3E}">
          <x14:id>{B0CC5D19-1F0C-49F1-ACDF-4B5C8BAF55EF}</x14:id>
        </ext>
      </extLst>
    </cfRule>
  </conditionalFormatting>
  <conditionalFormatting sqref="H2:H14">
    <cfRule type="dataBar" priority="1">
      <dataBar>
        <cfvo type="min"/>
        <cfvo type="max"/>
        <color rgb="FF63C384"/>
      </dataBar>
      <extLst>
        <ext xmlns:x14="http://schemas.microsoft.com/office/spreadsheetml/2009/9/main" uri="{B025F937-C7B1-47D3-B67F-A62EFF666E3E}">
          <x14:id>{001D2C6B-79C3-446B-8B0F-D44C5FA90349}</x14:id>
        </ext>
      </extLst>
    </cfRule>
  </conditionalFormatting>
  <hyperlinks>
    <hyperlink ref="L14" r:id="rId1" display="=@CIQ($A2,&quot;IQ_CLOSEPRICE&quot;,$A$5,&quot;USD&quot;)" xr:uid="{F9D0A85E-AE6F-443C-8C0B-B3B7F0A2AE6D}"/>
    <hyperlink ref="L13" r:id="rId2" display="=@CIQ($A2,&quot;IQ_CLOSEPRICE&quot;,$A$5,&quot;USD&quot;)" xr:uid="{18EE8FB5-BC35-4EDE-99C2-7E87F7211776}"/>
    <hyperlink ref="L12" r:id="rId3" display="=@CIQ($A2,&quot;IQ_CLOSEPRICE&quot;,$A$5,&quot;USD&quot;)" xr:uid="{CAE6CE71-4A02-4CBC-BCA2-49EB60B26A2A}"/>
    <hyperlink ref="L11" r:id="rId4" display="=@CIQ($A2,&quot;IQ_CLOSEPRICE&quot;,$A$5,&quot;USD&quot;)" xr:uid="{D1A2AF85-3456-479B-87C5-5111121D9DB0}"/>
    <hyperlink ref="L10" r:id="rId5" display="=@CIQ($A2,&quot;IQ_CLOSEPRICE&quot;,$A$5,&quot;USD&quot;)" xr:uid="{DDC8A116-7C8A-4DB8-9A6F-21719F0B0107}"/>
    <hyperlink ref="L9" r:id="rId6" display="=@CIQ($A2,&quot;IQ_CLOSEPRICE&quot;,$A$5,&quot;USD&quot;)" xr:uid="{D3411010-D935-4898-B6D2-510551B5FD6F}"/>
    <hyperlink ref="K14" r:id="rId7" display="=@CIQ($A2,&quot;IQ_CLOSEPRICE&quot;,$A$4,&quot;USD&quot;)" xr:uid="{E1E29F71-35D0-4885-9A80-DC5A6FD5A702}"/>
    <hyperlink ref="K13" r:id="rId8" display="=@CIQ($A2,&quot;IQ_CLOSEPRICE&quot;,$A$4,&quot;USD&quot;)" xr:uid="{A0E3B34F-FF33-4F9A-BA8A-4963AA7C2248}"/>
    <hyperlink ref="K12" r:id="rId9" display="=@CIQ($A2,&quot;IQ_CLOSEPRICE&quot;,$A$4,&quot;USD&quot;)" xr:uid="{ED8BCD11-3311-4FF8-A033-48B299A015A0}"/>
    <hyperlink ref="K11" r:id="rId10" display="=@CIQ($A2,&quot;IQ_CLOSEPRICE&quot;,$A$4,&quot;USD&quot;)" xr:uid="{8C033C53-8908-4DDE-B34F-0DA74802AA5F}"/>
    <hyperlink ref="K10" r:id="rId11" display="=@CIQ($A2,&quot;IQ_CLOSEPRICE&quot;,$A$4,&quot;USD&quot;)" xr:uid="{EE5EFBA0-19FD-417B-BC20-884F23FDCB4B}"/>
    <hyperlink ref="K9" r:id="rId12" display="=@CIQ($A2,&quot;IQ_CLOSEPRICE&quot;,$A$4,&quot;USD&quot;)" xr:uid="{DDFC9042-B8E2-40F5-917F-56FF1E66E6C3}"/>
    <hyperlink ref="L3:L8" r:id="rId13" display="=@CIQ($A2,&quot;IQ_CLOSEPRICE&quot;,$A$5,&quot;USD&quot;)" xr:uid="{8C23D57E-DCEC-46AD-A09F-15155732F939}"/>
    <hyperlink ref="K3:K8" r:id="rId14" display="=@CIQ($A2,&quot;IQ_CLOSEPRICE&quot;,$A$4,&quot;USD&quot;)" xr:uid="{756E7391-674A-4F60-B723-991DCC56C903}"/>
    <hyperlink ref="L2" r:id="rId15" display="=@CIQ($A2,&quot;IQ_CLOSEPRICE&quot;,$A$5,&quot;USD&quot;)" xr:uid="{27119207-CC7C-49E7-91C1-0E2F50C2A8AA}"/>
    <hyperlink ref="K2" r:id="rId16" display="=@CIQ($A2,&quot;IQ_CLOSEPRICE&quot;,$A$4,&quot;USD&quot;)" xr:uid="{1269CF64-B22B-491C-8C56-64B02EF0E57A}"/>
  </hyperlinks>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B62B5AFC-8CD0-4A83-BF43-10B242BBDC33}">
            <x14:dataBar minLength="0" maxLength="100" gradient="0">
              <x14:cfvo type="autoMin"/>
              <x14:cfvo type="autoMax"/>
              <x14:negativeFillColor rgb="FFFF0000"/>
              <x14:axisColor rgb="FF000000"/>
            </x14:dataBar>
          </x14:cfRule>
          <xm:sqref>B2:B14</xm:sqref>
        </x14:conditionalFormatting>
        <x14:conditionalFormatting xmlns:xm="http://schemas.microsoft.com/office/excel/2006/main">
          <x14:cfRule type="dataBar" id="{9FCE6AB7-1B1F-45D6-989B-81AAC00B4757}">
            <x14:dataBar minLength="0" maxLength="100" gradient="0">
              <x14:cfvo type="autoMin"/>
              <x14:cfvo type="autoMax"/>
              <x14:negativeFillColor rgb="FFFF0000"/>
              <x14:axisColor rgb="FF000000"/>
            </x14:dataBar>
          </x14:cfRule>
          <xm:sqref>C2:C14</xm:sqref>
        </x14:conditionalFormatting>
        <x14:conditionalFormatting xmlns:xm="http://schemas.microsoft.com/office/excel/2006/main">
          <x14:cfRule type="dataBar" id="{B9E58550-2E60-4572-BC97-FCE097608E81}">
            <x14:dataBar minLength="0" maxLength="100" gradient="0">
              <x14:cfvo type="autoMin"/>
              <x14:cfvo type="autoMax"/>
              <x14:negativeFillColor rgb="FFFF0000"/>
              <x14:axisColor rgb="FF000000"/>
            </x14:dataBar>
          </x14:cfRule>
          <xm:sqref>D2:D14</xm:sqref>
        </x14:conditionalFormatting>
        <x14:conditionalFormatting xmlns:xm="http://schemas.microsoft.com/office/excel/2006/main">
          <x14:cfRule type="dataBar" id="{F42EC9A2-994C-4261-8778-C9A8D126A7EF}">
            <x14:dataBar minLength="0" maxLength="100" gradient="0">
              <x14:cfvo type="autoMin"/>
              <x14:cfvo type="autoMax"/>
              <x14:negativeFillColor rgb="FFFF0000"/>
              <x14:axisColor rgb="FF000000"/>
            </x14:dataBar>
          </x14:cfRule>
          <xm:sqref>E2:E14</xm:sqref>
        </x14:conditionalFormatting>
        <x14:conditionalFormatting xmlns:xm="http://schemas.microsoft.com/office/excel/2006/main">
          <x14:cfRule type="dataBar" id="{1AF18053-746B-43EC-AC51-5E261D708032}">
            <x14:dataBar minLength="0" maxLength="100" gradient="0">
              <x14:cfvo type="autoMin"/>
              <x14:cfvo type="autoMax"/>
              <x14:negativeFillColor rgb="FFFF0000"/>
              <x14:axisColor rgb="FF000000"/>
            </x14:dataBar>
          </x14:cfRule>
          <xm:sqref>F2:F14</xm:sqref>
        </x14:conditionalFormatting>
        <x14:conditionalFormatting xmlns:xm="http://schemas.microsoft.com/office/excel/2006/main">
          <x14:cfRule type="dataBar" id="{B0CC5D19-1F0C-49F1-ACDF-4B5C8BAF55EF}">
            <x14:dataBar minLength="0" maxLength="100" gradient="0">
              <x14:cfvo type="autoMin"/>
              <x14:cfvo type="autoMax"/>
              <x14:negativeFillColor rgb="FFFF0000"/>
              <x14:axisColor rgb="FF000000"/>
            </x14:dataBar>
          </x14:cfRule>
          <xm:sqref>G2:G14</xm:sqref>
        </x14:conditionalFormatting>
        <x14:conditionalFormatting xmlns:xm="http://schemas.microsoft.com/office/excel/2006/main">
          <x14:cfRule type="dataBar" id="{001D2C6B-79C3-446B-8B0F-D44C5FA90349}">
            <x14:dataBar minLength="0" maxLength="100" gradient="0">
              <x14:cfvo type="autoMin"/>
              <x14:cfvo type="autoMax"/>
              <x14:negativeFillColor rgb="FFFF0000"/>
              <x14:axisColor rgb="FF000000"/>
            </x14:dataBar>
          </x14:cfRule>
          <xm:sqref>H2:H14</xm:sqref>
        </x14:conditionalFormatting>
      </x14:conditionalFormatting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DC64E0-EE0B-4AA4-9964-A54A4F9DBAF4}">
  <dimension ref="A1:T39"/>
  <sheetViews>
    <sheetView workbookViewId="0">
      <selection activeCell="B2" sqref="B2"/>
    </sheetView>
  </sheetViews>
  <sheetFormatPr defaultRowHeight="14"/>
  <cols>
    <col min="4" max="4" width="14.6640625" customWidth="1"/>
    <col min="5" max="5" width="11.4140625" customWidth="1"/>
    <col min="6" max="6" width="17.4140625" customWidth="1"/>
    <col min="7" max="7" width="11.58203125" customWidth="1"/>
    <col min="8" max="8" width="11.25" customWidth="1"/>
    <col min="16" max="16" width="13.5" customWidth="1"/>
    <col min="18" max="18" width="10.1640625" bestFit="1" customWidth="1"/>
    <col min="20" max="20" width="10.1640625" bestFit="1" customWidth="1"/>
  </cols>
  <sheetData>
    <row r="1" spans="1:20" ht="33" customHeight="1">
      <c r="A1" s="227"/>
      <c r="B1" s="228" t="s">
        <v>262</v>
      </c>
      <c r="C1" s="228" t="s">
        <v>263</v>
      </c>
      <c r="D1" s="228" t="s">
        <v>264</v>
      </c>
      <c r="E1" s="228" t="s">
        <v>265</v>
      </c>
      <c r="F1" s="228" t="s">
        <v>266</v>
      </c>
      <c r="G1" s="228" t="s">
        <v>310</v>
      </c>
      <c r="H1" s="228" t="s">
        <v>307</v>
      </c>
      <c r="J1" s="19" t="s">
        <v>270</v>
      </c>
      <c r="K1" s="19" t="s">
        <v>271</v>
      </c>
      <c r="L1" s="19" t="s">
        <v>272</v>
      </c>
      <c r="M1" s="19" t="s">
        <v>280</v>
      </c>
      <c r="N1" s="19" t="s">
        <v>274</v>
      </c>
      <c r="O1" s="19" t="s">
        <v>276</v>
      </c>
      <c r="P1" s="19" t="s">
        <v>308</v>
      </c>
      <c r="Q1" s="19" t="s">
        <v>283</v>
      </c>
      <c r="R1" s="19" t="s">
        <v>309</v>
      </c>
      <c r="S1" s="19" t="s">
        <v>302</v>
      </c>
      <c r="T1" s="19" t="s">
        <v>311</v>
      </c>
    </row>
    <row r="2" spans="1:20">
      <c r="A2" s="208" t="s">
        <v>155</v>
      </c>
      <c r="B2" s="229">
        <f>holdings!X17</f>
        <v>0.23788849347568197</v>
      </c>
      <c r="C2" s="206">
        <f>J2/K2-1</f>
        <v>0.39132089836315198</v>
      </c>
      <c r="D2" s="206">
        <f>J2/L2-1</f>
        <v>1.0055655718429097</v>
      </c>
      <c r="E2" s="206">
        <f>J2/M2-1</f>
        <v>0.96211511177575804</v>
      </c>
      <c r="F2" s="206">
        <f>J2/N2-1</f>
        <v>0.1515956249718684</v>
      </c>
      <c r="G2" s="206">
        <f>((O2-Q2)/O2)*((P2-R2)/ABS(P2-R2))</f>
        <v>0.32837914174961524</v>
      </c>
      <c r="H2" s="206">
        <f>'Yearly-Sector-Raw-Contribute'!G15</f>
        <v>1.0859487937057471E-2</v>
      </c>
      <c r="I2" s="1"/>
      <c r="J2" s="225">
        <f>_xll.ciqfunctions.udf.CIQ(A2,"IQ_CLOSEPRICE",$A$19,"USD")</f>
        <v>511.7</v>
      </c>
      <c r="K2" s="225">
        <f>_xll.ciqfunctions.udf.CIQ(A2,"IQ_CLOSEPRICE",$A$20,"USD")</f>
        <v>367.78</v>
      </c>
      <c r="L2" s="225">
        <f>_xll.ciqfunctions.udf.CIQ(A2,"IQ_CLOSEPRICE",$A$22,"USD")</f>
        <v>255.14</v>
      </c>
      <c r="M2" s="225">
        <f>_xll.ciqfunctions.udf.CIQ(A2,"IQ_CLOSEPRICE",$A$21,"USD")</f>
        <v>260.79000000000002</v>
      </c>
      <c r="N2" s="225">
        <f>_xll.ciqfunctions.udf.CIQ(A2,"IQ_OPENPRICE",$A$23,"USD")</f>
        <v>444.34</v>
      </c>
      <c r="O2" s="225">
        <f>_xll.ciqfunctions.udf.CIQ(A2,"IQ_YEARHIGH",$A$19,"USD")</f>
        <v>513.37</v>
      </c>
      <c r="P2" s="230" cm="1">
        <f t="array" ref="P2">_xll.ciqfunctions.udf.CIQ(A2,"IQ_YEARHIGH_DATE")</f>
        <v>45869</v>
      </c>
      <c r="Q2" s="225">
        <f>_xll.ciqfunctions.udf.CIQ(A2,"IQ_YEARLOW",$A$19,"USD")</f>
        <v>344.79</v>
      </c>
      <c r="R2" s="230" cm="1">
        <f t="array" ref="R2">_xll.ciqfunctions.udf.CIQ(A2,"IQ_YEARLOW_DATE")</f>
        <v>45754</v>
      </c>
      <c r="S2" s="225">
        <f>_xll.ciqfunctions.udf.CIQ(A2,"IQ_CLOSEPRICE",$A$24,"USD")</f>
        <v>421.5</v>
      </c>
      <c r="T2" s="231">
        <f>P2-R2</f>
        <v>115</v>
      </c>
    </row>
    <row r="3" spans="1:20">
      <c r="A3" s="208" t="s">
        <v>138</v>
      </c>
      <c r="B3" s="229">
        <f>holdings!X18</f>
        <v>8.7059574274124252E-3</v>
      </c>
      <c r="C3" s="206">
        <f t="shared" ref="C3:C14" si="0">J3/K3-1</f>
        <v>0.29702798215630599</v>
      </c>
      <c r="D3" s="206">
        <f t="shared" ref="D3:D14" si="1">J3/L3-1</f>
        <v>1.3190387404184793</v>
      </c>
      <c r="E3" s="206">
        <f t="shared" ref="E3:E14" si="2">J3/M3-1</f>
        <v>1.3596121416526139</v>
      </c>
      <c r="F3" s="206">
        <f t="shared" ref="F3:F14" si="3">J3/N3-1</f>
        <v>0.1808639696186507</v>
      </c>
      <c r="G3" s="206">
        <f t="shared" ref="G3:G18" si="4">((O3-Q3)/O3)*((P3-R3)/ABS(P3-R3))</f>
        <v>-0.37485568200560776</v>
      </c>
      <c r="H3" s="206">
        <f>'Yearly-Sector-Raw-Contribute'!G16</f>
        <v>1.1591796260980332E-3</v>
      </c>
      <c r="I3" s="1"/>
      <c r="J3" s="225">
        <f>_xll.ciqfunctions.udf.CIQ(A3,"IQ_CLOSEPRICE",$A$19,"USD")</f>
        <v>223.88</v>
      </c>
      <c r="K3" s="225">
        <f>_xll.ciqfunctions.udf.CIQ(A3,"IQ_CLOSEPRICE",$A$20,"USD")</f>
        <v>172.61</v>
      </c>
      <c r="L3" s="225">
        <f>_xll.ciqfunctions.udf.CIQ(A3,"IQ_CLOSEPRICE",$A$22,"USD")</f>
        <v>96.54</v>
      </c>
      <c r="M3" s="225">
        <f>_xll.ciqfunctions.udf.CIQ(A3,"IQ_CLOSEPRICE",$A$21,"USD")</f>
        <v>94.88</v>
      </c>
      <c r="N3" s="225">
        <f>_xll.ciqfunctions.udf.CIQ(A3,"IQ_OPENPRICE",$A$23,"USD")</f>
        <v>189.59</v>
      </c>
      <c r="O3" s="225">
        <f>_xll.ciqfunctions.udf.CIQ(A3,"IQ_YEARHIGH",$A$19,"USD")</f>
        <v>242.52</v>
      </c>
      <c r="P3" s="230" cm="1">
        <f t="array" ref="P3">_xll.ciqfunctions.udf.CIQ(A3,"IQ_YEARHIGH_DATE")</f>
        <v>45692</v>
      </c>
      <c r="Q3" s="225">
        <f>_xll.ciqfunctions.udf.CIQ(A3,"IQ_YEARLOW",$A$19,"USD")</f>
        <v>151.61000000000001</v>
      </c>
      <c r="R3" s="230" cm="1">
        <f t="array" ref="R3">_xll.ciqfunctions.udf.CIQ(A3,"IQ_YEARLOW_DATE")</f>
        <v>45754</v>
      </c>
      <c r="S3" s="225">
        <f>_xll.ciqfunctions.udf.CIQ(A3,"IQ_CLOSEPRICE",$A$24,"USD")</f>
        <v>219.39</v>
      </c>
      <c r="T3" s="231">
        <f t="shared" ref="T3:T18" si="5">P3-R3</f>
        <v>-62</v>
      </c>
    </row>
    <row r="4" spans="1:20" ht="28">
      <c r="A4" s="208" t="s">
        <v>149</v>
      </c>
      <c r="B4" s="229">
        <f>holdings!X19</f>
        <v>6.1806656101426327E-2</v>
      </c>
      <c r="C4" s="206">
        <f t="shared" si="0"/>
        <v>0.21447472876422347</v>
      </c>
      <c r="D4" s="206">
        <f t="shared" si="1"/>
        <v>0.81780374294484615</v>
      </c>
      <c r="E4" s="206">
        <f t="shared" si="2"/>
        <v>0.95360221347238494</v>
      </c>
      <c r="F4" s="206">
        <f t="shared" si="3"/>
        <v>9.0694223052822931E-3</v>
      </c>
      <c r="G4" s="206">
        <f t="shared" si="4"/>
        <v>-0.32127505433470177</v>
      </c>
      <c r="H4" s="206">
        <f>'Yearly-Sector-Raw-Contribute'!G17</f>
        <v>-1.2169302552920399E-3</v>
      </c>
      <c r="I4" s="1"/>
      <c r="J4" s="225">
        <f>_xll.ciqfunctions.udf.CIQ(A4,"IQ_CLOSEPRICE",$A$19,"USD")</f>
        <v>183.58</v>
      </c>
      <c r="K4" s="225">
        <f>_xll.ciqfunctions.udf.CIQ(A4,"IQ_CLOSEPRICE",$A$20,"USD")</f>
        <v>151.16</v>
      </c>
      <c r="L4" s="225">
        <f>_xll.ciqfunctions.udf.CIQ(A4,"IQ_CLOSEPRICE",$A$22,"USD")</f>
        <v>100.99</v>
      </c>
      <c r="M4" s="225">
        <f>_xll.ciqfunctions.udf.CIQ(A4,"IQ_CLOSEPRICE",$A$21,"USD")</f>
        <v>93.97</v>
      </c>
      <c r="N4" s="225">
        <f>_xll.ciqfunctions.udf.CIQ(A4,"IQ_OPENPRICE",$A$23,"USD")</f>
        <v>181.93</v>
      </c>
      <c r="O4" s="225">
        <f>_xll.ciqfunctions.udf.CIQ(A4,"IQ_YEARHIGH",$A$19,"USD")</f>
        <v>207.05</v>
      </c>
      <c r="P4" s="230" cm="1">
        <f t="array" ref="P4">_xll.ciqfunctions.udf.CIQ(A4,"IQ_YEARHIGH_DATE")</f>
        <v>45692</v>
      </c>
      <c r="Q4" s="225">
        <f>_xll.ciqfunctions.udf.CIQ(A4,"IQ_YEARLOW",$A$19,"USD")</f>
        <v>140.53</v>
      </c>
      <c r="R4" s="230" cm="1">
        <f t="array" ref="R4">_xll.ciqfunctions.udf.CIQ(A4,"IQ_YEARLOW_DATE")</f>
        <v>45754</v>
      </c>
      <c r="S4" s="225">
        <f>_xll.ciqfunctions.udf.CIQ(A4,"IQ_CLOSEPRICE",$A$24,"USD")</f>
        <v>189.3</v>
      </c>
      <c r="T4" s="231">
        <f t="shared" si="5"/>
        <v>-62</v>
      </c>
    </row>
    <row r="5" spans="1:20">
      <c r="A5" s="208" t="s">
        <v>173</v>
      </c>
      <c r="B5" s="229">
        <f>holdings!X20</f>
        <v>-0.1604843502377179</v>
      </c>
      <c r="C5" s="206">
        <f t="shared" si="0"/>
        <v>0.32332104238306347</v>
      </c>
      <c r="D5" s="206">
        <f t="shared" si="1"/>
        <v>0.64052388289676454</v>
      </c>
      <c r="E5" s="206">
        <f t="shared" si="2"/>
        <v>0.74293353705118426</v>
      </c>
      <c r="F5" s="206">
        <f t="shared" si="3"/>
        <v>0.2720936715918596</v>
      </c>
      <c r="G5" s="206">
        <f t="shared" si="4"/>
        <v>0.62746133939111215</v>
      </c>
      <c r="H5" s="206">
        <f>'Yearly-Sector-Raw-Contribute'!G18</f>
        <v>-7.961224995469935E-3</v>
      </c>
      <c r="I5" s="1"/>
      <c r="J5" s="225">
        <f>_xll.ciqfunctions.udf.CIQ(A5,"IQ_CLOSEPRICE",$A$19,"USD")</f>
        <v>319.41000000000003</v>
      </c>
      <c r="K5" s="225">
        <f>_xll.ciqfunctions.udf.CIQ(A5,"IQ_CLOSEPRICE",$A$20,"USD")</f>
        <v>241.37</v>
      </c>
      <c r="L5" s="225">
        <f>_xll.ciqfunctions.udf.CIQ(A5,"IQ_CLOSEPRICE",$A$22,"USD")</f>
        <v>194.7</v>
      </c>
      <c r="M5" s="225">
        <f>_xll.ciqfunctions.udf.CIQ(A5,"IQ_CLOSEPRICE",$A$21,"USD")</f>
        <v>183.26</v>
      </c>
      <c r="N5" s="225">
        <f>_xll.ciqfunctions.udf.CIQ(A5,"IQ_OPENPRICE",$A$23,"USD")</f>
        <v>251.09</v>
      </c>
      <c r="O5" s="225">
        <f>_xll.ciqfunctions.udf.CIQ(A5,"IQ_YEARHIGH",$A$19,"USD")</f>
        <v>488.53989999999999</v>
      </c>
      <c r="P5" s="230" cm="1">
        <f t="array" ref="P5">_xll.ciqfunctions.udf.CIQ(A5,"IQ_YEARHIGH_DATE")</f>
        <v>45644</v>
      </c>
      <c r="Q5" s="225">
        <f>_xll.ciqfunctions.udf.CIQ(A5,"IQ_YEARLOW",$A$19,"USD")</f>
        <v>182</v>
      </c>
      <c r="R5" s="230" cm="1">
        <f t="array" ref="R5">_xll.ciqfunctions.udf.CIQ(A5,"IQ_YEARLOW_DATE")</f>
        <v>45516</v>
      </c>
      <c r="S5" s="225">
        <f>_xll.ciqfunctions.udf.CIQ(A5,"IQ_CLOSEPRICE",$A$24,"USD")</f>
        <v>403.84</v>
      </c>
      <c r="T5" s="231">
        <f t="shared" si="5"/>
        <v>128</v>
      </c>
    </row>
    <row r="6" spans="1:20">
      <c r="A6" s="208" t="s">
        <v>163</v>
      </c>
      <c r="B6" s="229">
        <f>holdings!X21</f>
        <v>1.4154436070342458</v>
      </c>
      <c r="C6" s="206">
        <f t="shared" si="0"/>
        <v>0.64203454894433798</v>
      </c>
      <c r="D6" s="206">
        <f t="shared" si="1"/>
        <v>19.532</v>
      </c>
      <c r="E6" s="206">
        <f t="shared" si="2"/>
        <v>18.517110266159698</v>
      </c>
      <c r="F6" s="206">
        <f t="shared" si="3"/>
        <v>4.4183673469387754</v>
      </c>
      <c r="G6" s="206">
        <f t="shared" si="4"/>
        <v>0.86363052415210695</v>
      </c>
      <c r="H6" s="206">
        <f>'Yearly-Sector-Raw-Contribute'!G19</f>
        <v>1.64680126241546E-2</v>
      </c>
      <c r="I6" s="1"/>
      <c r="J6" s="225">
        <f>_xll.ciqfunctions.udf.CIQ(A6,"IQ_CLOSEPRICE",$A$19,"USD")</f>
        <v>153.99</v>
      </c>
      <c r="K6" s="225">
        <f>_xll.ciqfunctions.udf.CIQ(A6,"IQ_CLOSEPRICE",$A$20,"USD")</f>
        <v>93.78</v>
      </c>
      <c r="L6" s="225">
        <f>_xll.ciqfunctions.udf.CIQ(A6,"IQ_CLOSEPRICE",$A$22,"USD")</f>
        <v>7.5</v>
      </c>
      <c r="M6" s="225">
        <f>_xll.ciqfunctions.udf.CIQ(A6,"IQ_CLOSEPRICE",$A$21,"USD")</f>
        <v>7.89</v>
      </c>
      <c r="N6" s="225">
        <f>_xll.ciqfunctions.udf.CIQ(A6,"IQ_OPENPRICE",$A$23,"USD")</f>
        <v>28.42</v>
      </c>
      <c r="O6" s="225">
        <f>_xll.ciqfunctions.udf.CIQ(A6,"IQ_YEARHIGH",$A$19,"USD")</f>
        <v>155.68</v>
      </c>
      <c r="P6" s="230" cm="1">
        <f t="array" ref="P6">_xll.ciqfunctions.udf.CIQ(A6,"IQ_YEARHIGH_DATE")</f>
        <v>45877</v>
      </c>
      <c r="Q6" s="225">
        <f>_xll.ciqfunctions.udf.CIQ(A6,"IQ_YEARLOW",$A$19,"USD")</f>
        <v>21.23</v>
      </c>
      <c r="R6" s="230" cm="1">
        <f t="array" ref="R6">_xll.ciqfunctions.udf.CIQ(A6,"IQ_YEARLOW_DATE")</f>
        <v>45516</v>
      </c>
      <c r="S6" s="225">
        <f>_xll.ciqfunctions.udf.CIQ(A6,"IQ_CLOSEPRICE",$A$24,"USD")</f>
        <v>75.63</v>
      </c>
      <c r="T6" s="231">
        <f t="shared" si="5"/>
        <v>361</v>
      </c>
    </row>
    <row r="7" spans="1:20">
      <c r="A7" s="208" t="s">
        <v>161</v>
      </c>
      <c r="B7" s="229">
        <f>holdings!X22</f>
        <v>0.51632261161785897</v>
      </c>
      <c r="C7" s="206">
        <f t="shared" si="0"/>
        <v>0.93399160317213492</v>
      </c>
      <c r="D7" s="206">
        <f t="shared" si="1"/>
        <v>1.9959050945441406</v>
      </c>
      <c r="E7" s="206">
        <f t="shared" si="2"/>
        <v>1.9416982024597917</v>
      </c>
      <c r="F7" s="206">
        <f t="shared" si="3"/>
        <v>0.78494546498277828</v>
      </c>
      <c r="G7" s="206">
        <f t="shared" si="4"/>
        <v>0.52758327805376704</v>
      </c>
      <c r="H7" s="206">
        <f>'Yearly-Sector-Raw-Contribute'!G20</f>
        <v>1.1158003187019587E-2</v>
      </c>
      <c r="I7" s="1"/>
      <c r="J7" s="225">
        <f>_xll.ciqfunctions.udf.CIQ(A7,"IQ_CLOSEPRICE",$A$19,"USD")</f>
        <v>248.75</v>
      </c>
      <c r="K7" s="225">
        <f>_xll.ciqfunctions.udf.CIQ(A7,"IQ_CLOSEPRICE",$A$20,"USD")</f>
        <v>128.62</v>
      </c>
      <c r="L7" s="225">
        <f>_xll.ciqfunctions.udf.CIQ(A7,"IQ_CLOSEPRICE",$A$22,"USD")</f>
        <v>83.03</v>
      </c>
      <c r="M7" s="225">
        <f>_xll.ciqfunctions.udf.CIQ(A7,"IQ_CLOSEPRICE",$A$21,"USD")</f>
        <v>84.56</v>
      </c>
      <c r="N7" s="225">
        <f>_xll.ciqfunctions.udf.CIQ(A7,"IQ_OPENPRICE",$A$23,"USD")</f>
        <v>139.36000000000001</v>
      </c>
      <c r="O7" s="225">
        <f>_xll.ciqfunctions.udf.CIQ(A7,"IQ_YEARHIGH",$A$19,"USD")</f>
        <v>251.59989999999999</v>
      </c>
      <c r="P7" s="230" cm="1">
        <f t="array" ref="P7">_xll.ciqfunctions.udf.CIQ(A7,"IQ_YEARHIGH_DATE")</f>
        <v>45869</v>
      </c>
      <c r="Q7" s="225">
        <f>_xll.ciqfunctions.udf.CIQ(A7,"IQ_YEARLOW",$A$19,"USD")</f>
        <v>118.86</v>
      </c>
      <c r="R7" s="230" cm="1">
        <f t="array" ref="R7">_xll.ciqfunctions.udf.CIQ(A7,"IQ_YEARLOW_DATE")</f>
        <v>45754</v>
      </c>
      <c r="S7" s="225">
        <f>_xll.ciqfunctions.udf.CIQ(A7,"IQ_CLOSEPRICE",$A$24,"USD")</f>
        <v>166.64</v>
      </c>
      <c r="T7" s="231">
        <f t="shared" si="5"/>
        <v>115</v>
      </c>
    </row>
    <row r="8" spans="1:20">
      <c r="A8" s="208" t="s">
        <v>157</v>
      </c>
      <c r="B8" s="229">
        <f>holdings!X23</f>
        <v>1.5357400722021661</v>
      </c>
      <c r="C8" s="206">
        <f t="shared" si="0"/>
        <v>1.493729679516953</v>
      </c>
      <c r="D8" s="206" t="e">
        <f t="shared" si="1"/>
        <v>#DIV/0!</v>
      </c>
      <c r="E8" s="206" t="e">
        <f t="shared" si="2"/>
        <v>#DIV/0!</v>
      </c>
      <c r="F8" s="206" t="e">
        <f t="shared" si="3"/>
        <v>#DIV/0!</v>
      </c>
      <c r="G8" s="206">
        <f t="shared" si="4"/>
        <v>0.74910968660968658</v>
      </c>
      <c r="H8" s="206">
        <f>'Yearly-Sector-Raw-Contribute'!G21</f>
        <v>1.7426337831040244E-2</v>
      </c>
      <c r="I8" s="1"/>
      <c r="J8" s="225">
        <f>_xll.ciqfunctions.udf.CIQ(A8,"IQ_CLOSEPRICE",$A$19,"USD")</f>
        <v>53.69</v>
      </c>
      <c r="K8" s="225">
        <f>_xll.ciqfunctions.udf.CIQ(A8,"IQ_CLOSEPRICE",$A$20,"USD")</f>
        <v>21.53</v>
      </c>
      <c r="L8" s="225">
        <f>_xll.ciqfunctions.udf.CIQ(A8,"IQ_CLOSEPRICE",$A$22,"USD")</f>
        <v>0</v>
      </c>
      <c r="M8" s="225">
        <f>_xll.ciqfunctions.udf.CIQ(A8,"IQ_CLOSEPRICE",$A$21,"USD")</f>
        <v>0</v>
      </c>
      <c r="N8" s="225">
        <f>_xll.ciqfunctions.udf.CIQ(A8,"IQ_OPENPRICE",$A$23,"USD")</f>
        <v>0</v>
      </c>
      <c r="O8" s="225">
        <f>_xll.ciqfunctions.udf.CIQ(A8,"IQ_YEARHIGH",$A$19,"USD")</f>
        <v>56.16</v>
      </c>
      <c r="P8" s="230" cm="1">
        <f t="array" ref="P8">_xll.ciqfunctions.udf.CIQ(A8,"IQ_YEARHIGH_DATE")</f>
        <v>45880</v>
      </c>
      <c r="Q8" s="225">
        <f>_xll.ciqfunctions.udf.CIQ(A8,"IQ_YEARLOW",$A$19,"USD")</f>
        <v>14.09</v>
      </c>
      <c r="R8" s="230" cm="1">
        <f t="array" ref="R8">_xll.ciqfunctions.udf.CIQ(A8,"IQ_YEARLOW_DATE")</f>
        <v>45586</v>
      </c>
      <c r="S8" s="225">
        <f>_xll.ciqfunctions.udf.CIQ(A8,"IQ_CLOSEPRICE",$A$24,"USD")</f>
        <v>27.7</v>
      </c>
      <c r="T8" s="231">
        <f t="shared" si="5"/>
        <v>294</v>
      </c>
    </row>
    <row r="9" spans="1:20">
      <c r="A9" s="208" t="s">
        <v>148</v>
      </c>
      <c r="B9" s="229">
        <f>holdings!X24</f>
        <v>-0.26786435203875647</v>
      </c>
      <c r="C9" s="206">
        <f t="shared" si="0"/>
        <v>0.10825735199691788</v>
      </c>
      <c r="D9" s="206">
        <f t="shared" si="1"/>
        <v>0.41036117012583762</v>
      </c>
      <c r="E9" s="206">
        <f t="shared" si="2"/>
        <v>0.5656748911465892</v>
      </c>
      <c r="F9" s="206">
        <f t="shared" si="3"/>
        <v>-0.25313717005625269</v>
      </c>
      <c r="G9" s="206">
        <f t="shared" si="4"/>
        <v>0.41938741164591048</v>
      </c>
      <c r="H9" s="206">
        <f>'Yearly-Sector-Raw-Contribute'!G22</f>
        <v>-2.9136578039287257E-3</v>
      </c>
      <c r="I9" s="1"/>
      <c r="J9" s="225">
        <f>_xll.ciqfunctions.udf.CIQ(A9,"IQ_CLOSEPRICE",$A$19,"USD")</f>
        <v>86.3</v>
      </c>
      <c r="K9" s="225">
        <f>_xll.ciqfunctions.udf.CIQ(A9,"IQ_CLOSEPRICE",$A$20,"USD")</f>
        <v>77.87</v>
      </c>
      <c r="L9" s="225">
        <f>_xll.ciqfunctions.udf.CIQ(A9,"IQ_CLOSEPRICE",$A$22,"USD")</f>
        <v>61.19</v>
      </c>
      <c r="M9" s="225">
        <f>_xll.ciqfunctions.udf.CIQ(A9,"IQ_CLOSEPRICE",$A$21,"USD")</f>
        <v>55.12</v>
      </c>
      <c r="N9" s="225">
        <f>_xll.ciqfunctions.udf.CIQ(A9,"IQ_OPENPRICE",$A$23,"USD")</f>
        <v>115.55</v>
      </c>
      <c r="O9" s="225">
        <f>_xll.ciqfunctions.udf.CIQ(A9,"IQ_YEARHIGH",$A$19,"USD")</f>
        <v>118.84</v>
      </c>
      <c r="P9" s="230" cm="1">
        <f t="array" ref="P9">_xll.ciqfunctions.udf.CIQ(A9,"IQ_YEARHIGH_DATE")</f>
        <v>45698</v>
      </c>
      <c r="Q9" s="225">
        <f>_xll.ciqfunctions.udf.CIQ(A9,"IQ_YEARLOW",$A$19,"USD")</f>
        <v>69</v>
      </c>
      <c r="R9" s="230" cm="1">
        <f t="array" ref="R9">_xll.ciqfunctions.udf.CIQ(A9,"IQ_YEARLOW_DATE")</f>
        <v>45544</v>
      </c>
      <c r="S9" s="225">
        <f>_xll.ciqfunctions.udf.CIQ(A9,"IQ_CLOSEPRICE",$A$24,"USD")</f>
        <v>99.08</v>
      </c>
      <c r="T9" s="231">
        <f t="shared" si="5"/>
        <v>154</v>
      </c>
    </row>
    <row r="10" spans="1:20">
      <c r="A10" s="208" t="s">
        <v>169</v>
      </c>
      <c r="B10" s="229">
        <f>holdings!X25</f>
        <v>0.24214752930509698</v>
      </c>
      <c r="C10" s="206">
        <f t="shared" si="0"/>
        <v>0.47514466987380599</v>
      </c>
      <c r="D10" s="206">
        <f t="shared" si="1"/>
        <v>0.48061581525542341</v>
      </c>
      <c r="E10" s="206">
        <f t="shared" si="2"/>
        <v>0.51323129738234896</v>
      </c>
      <c r="F10" s="206">
        <f t="shared" si="3"/>
        <v>0.56691105680219223</v>
      </c>
      <c r="G10" s="206">
        <f t="shared" si="4"/>
        <v>0.52722859664607236</v>
      </c>
      <c r="H10" s="206">
        <f>'Yearly-Sector-Raw-Contribute'!G23</f>
        <v>5.9594866058074779E-3</v>
      </c>
      <c r="I10" s="1"/>
      <c r="J10" s="225">
        <f>_xll.ciqfunctions.udf.CIQ(A10,"IQ_CLOSEPRICE",$A$19,"USD")</f>
        <v>211.58</v>
      </c>
      <c r="K10" s="225">
        <f>_xll.ciqfunctions.udf.CIQ(A10,"IQ_CLOSEPRICE",$A$20,"USD")</f>
        <v>143.43</v>
      </c>
      <c r="L10" s="225">
        <f>_xll.ciqfunctions.udf.CIQ(A10,"IQ_CLOSEPRICE",$A$22,"USD")</f>
        <v>142.9</v>
      </c>
      <c r="M10" s="225">
        <f>_xll.ciqfunctions.udf.CIQ(A10,"IQ_CLOSEPRICE",$A$21,"USD")</f>
        <v>139.82</v>
      </c>
      <c r="N10" s="225">
        <f>_xll.ciqfunctions.udf.CIQ(A10,"IQ_OPENPRICE",$A$23,"USD")</f>
        <v>135.03</v>
      </c>
      <c r="O10" s="225">
        <f>_xll.ciqfunctions.udf.CIQ(A10,"IQ_YEARHIGH",$A$19,"USD")</f>
        <v>226.6</v>
      </c>
      <c r="P10" s="230" cm="1">
        <f t="array" ref="P10">_xll.ciqfunctions.udf.CIQ(A10,"IQ_YEARHIGH_DATE")</f>
        <v>45869</v>
      </c>
      <c r="Q10" s="225">
        <f>_xll.ciqfunctions.udf.CIQ(A10,"IQ_YEARLOW",$A$19,"USD")</f>
        <v>107.13</v>
      </c>
      <c r="R10" s="230" cm="1">
        <f t="array" ref="R10">_xll.ciqfunctions.udf.CIQ(A10,"IQ_YEARLOW_DATE")</f>
        <v>45541</v>
      </c>
      <c r="S10" s="225">
        <f>_xll.ciqfunctions.udf.CIQ(A10,"IQ_CLOSEPRICE",$A$24,"USD")</f>
        <v>154.41</v>
      </c>
      <c r="T10" s="231">
        <f t="shared" si="5"/>
        <v>328</v>
      </c>
    </row>
    <row r="11" spans="1:20">
      <c r="A11" s="208" t="s">
        <v>145</v>
      </c>
      <c r="B11" s="229">
        <f>holdings!X26</f>
        <v>-9.8397368605220636E-2</v>
      </c>
      <c r="C11" s="206">
        <f t="shared" si="0"/>
        <v>0.56997148497477501</v>
      </c>
      <c r="D11" s="206">
        <f t="shared" si="1"/>
        <v>0.88902084982845087</v>
      </c>
      <c r="E11" s="206">
        <f t="shared" si="2"/>
        <v>1.1702546998180718</v>
      </c>
      <c r="F11" s="206">
        <f t="shared" si="3"/>
        <v>0.176253081347576</v>
      </c>
      <c r="G11" s="206">
        <f t="shared" si="4"/>
        <v>-0.52004938852304805</v>
      </c>
      <c r="H11" s="206">
        <f>'Yearly-Sector-Raw-Contribute'!G24</f>
        <v>4.0279837415231104E-5</v>
      </c>
      <c r="I11" s="1"/>
      <c r="J11" s="225">
        <f>_xll.ciqfunctions.udf.CIQ(A11,"IQ_CLOSEPRICE",$A$19,"USD")</f>
        <v>143.15</v>
      </c>
      <c r="K11" s="225">
        <f>_xll.ciqfunctions.udf.CIQ(A11,"IQ_CLOSEPRICE",$A$20,"USD")</f>
        <v>91.18</v>
      </c>
      <c r="L11" s="225">
        <f>_xll.ciqfunctions.udf.CIQ(A11,"IQ_CLOSEPRICE",$A$22,"USD")</f>
        <v>75.78</v>
      </c>
      <c r="M11" s="225">
        <f>_xll.ciqfunctions.udf.CIQ(A11,"IQ_CLOSEPRICE",$A$21,"USD")</f>
        <v>65.959999999999994</v>
      </c>
      <c r="N11" s="225">
        <f>_xll.ciqfunctions.udf.CIQ(A11,"IQ_OPENPRICE",$A$23,"USD")</f>
        <v>121.7</v>
      </c>
      <c r="O11" s="225">
        <f>_xll.ciqfunctions.udf.CIQ(A11,"IQ_YEARHIGH",$A$19,"USD")</f>
        <v>170.08</v>
      </c>
      <c r="P11" s="230" cm="1">
        <f t="array" ref="P11">_xll.ciqfunctions.udf.CIQ(A11,"IQ_YEARHIGH_DATE")</f>
        <v>45632</v>
      </c>
      <c r="Q11" s="225">
        <f>_xll.ciqfunctions.udf.CIQ(A11,"IQ_YEARLOW",$A$19,"USD")</f>
        <v>81.63</v>
      </c>
      <c r="R11" s="230" cm="1">
        <f t="array" ref="R11">_xll.ciqfunctions.udf.CIQ(A11,"IQ_YEARLOW_DATE")</f>
        <v>45754</v>
      </c>
      <c r="S11" s="225">
        <f>_xll.ciqfunctions.udf.CIQ(A11,"IQ_CLOSEPRICE",$A$24,"USD")</f>
        <v>142.88999999999999</v>
      </c>
      <c r="T11" s="231">
        <f t="shared" si="5"/>
        <v>-122</v>
      </c>
    </row>
    <row r="12" spans="1:20">
      <c r="A12" s="208" t="s">
        <v>158</v>
      </c>
      <c r="B12" s="229">
        <f>holdings!X27</f>
        <v>0.86822065378900426</v>
      </c>
      <c r="C12" s="206">
        <f t="shared" si="0"/>
        <v>0.77247451343836881</v>
      </c>
      <c r="D12" s="206">
        <f t="shared" si="1"/>
        <v>2.8919413919413919</v>
      </c>
      <c r="E12" s="206">
        <f t="shared" si="2"/>
        <v>2.4899635036496353</v>
      </c>
      <c r="F12" s="206">
        <f t="shared" si="3"/>
        <v>1.3608196518948277</v>
      </c>
      <c r="G12" s="206">
        <f t="shared" si="4"/>
        <v>0.65021968587445078</v>
      </c>
      <c r="H12" s="206">
        <f>'Yearly-Sector-Raw-Contribute'!G25</f>
        <v>1.1192325656690651E-2</v>
      </c>
      <c r="I12" s="1"/>
      <c r="J12" s="225">
        <f>_xll.ciqfunctions.udf.CIQ(A12,"IQ_CLOSEPRICE",$A$19,"USD")</f>
        <v>191.25</v>
      </c>
      <c r="K12" s="225">
        <f>_xll.ciqfunctions.udf.CIQ(A12,"IQ_CLOSEPRICE",$A$20,"USD")</f>
        <v>107.9</v>
      </c>
      <c r="L12" s="225">
        <f>_xll.ciqfunctions.udf.CIQ(A12,"IQ_CLOSEPRICE",$A$22,"USD")</f>
        <v>49.14</v>
      </c>
      <c r="M12" s="225">
        <f>_xll.ciqfunctions.udf.CIQ(A12,"IQ_CLOSEPRICE",$A$21,"USD")</f>
        <v>54.8</v>
      </c>
      <c r="N12" s="225">
        <f>_xll.ciqfunctions.udf.CIQ(A12,"IQ_OPENPRICE",$A$23,"USD")</f>
        <v>81.010000000000005</v>
      </c>
      <c r="O12" s="225">
        <f>_xll.ciqfunctions.udf.CIQ(A12,"IQ_YEARHIGH",$A$19,"USD")</f>
        <v>198.01</v>
      </c>
      <c r="P12" s="230" cm="1">
        <f t="array" ref="P12">_xll.ciqfunctions.udf.CIQ(A12,"IQ_YEARHIGH_DATE")</f>
        <v>45876</v>
      </c>
      <c r="Q12" s="225">
        <f>_xll.ciqfunctions.udf.CIQ(A12,"IQ_YEARLOW",$A$19,"USD")</f>
        <v>69.260000000000005</v>
      </c>
      <c r="R12" s="230" cm="1">
        <f t="array" ref="R12">_xll.ciqfunctions.udf.CIQ(A12,"IQ_YEARLOW_DATE")</f>
        <v>45545</v>
      </c>
      <c r="S12" s="225">
        <f>_xll.ciqfunctions.udf.CIQ(A12,"IQ_CLOSEPRICE",$A$24,"USD")</f>
        <v>107.68</v>
      </c>
      <c r="T12" s="231">
        <f t="shared" si="5"/>
        <v>331</v>
      </c>
    </row>
    <row r="13" spans="1:20">
      <c r="A13" s="208" t="s">
        <v>150</v>
      </c>
      <c r="B13" s="229">
        <f>holdings!X28</f>
        <v>-0.31109139307897071</v>
      </c>
      <c r="C13" s="206">
        <f t="shared" si="0"/>
        <v>2.3776223776223793E-2</v>
      </c>
      <c r="D13" s="206">
        <f t="shared" si="1"/>
        <v>0.11049304677623284</v>
      </c>
      <c r="E13" s="206">
        <f t="shared" si="2"/>
        <v>0.29328621908127217</v>
      </c>
      <c r="F13" s="206">
        <f t="shared" si="3"/>
        <v>-0.19412844036697241</v>
      </c>
      <c r="G13" s="206">
        <f t="shared" si="4"/>
        <v>-0.48912240496090592</v>
      </c>
      <c r="H13" s="206">
        <f>'Yearly-Sector-Raw-Contribute'!G26</f>
        <v>-3.6427941181421983E-3</v>
      </c>
      <c r="I13" s="1"/>
      <c r="J13" s="225">
        <f>_xll.ciqfunctions.udf.CIQ(A13,"IQ_CLOSEPRICE",$A$19,"USD")</f>
        <v>43.92</v>
      </c>
      <c r="K13" s="225">
        <f>_xll.ciqfunctions.udf.CIQ(A13,"IQ_CLOSEPRICE",$A$20,"USD")</f>
        <v>42.9</v>
      </c>
      <c r="L13" s="225">
        <f>_xll.ciqfunctions.udf.CIQ(A13,"IQ_CLOSEPRICE",$A$22,"USD")</f>
        <v>39.549999999999997</v>
      </c>
      <c r="M13" s="225">
        <f>_xll.ciqfunctions.udf.CIQ(A13,"IQ_CLOSEPRICE",$A$21,"USD")</f>
        <v>33.96</v>
      </c>
      <c r="N13" s="225">
        <f>_xll.ciqfunctions.udf.CIQ(A13,"IQ_OPENPRICE",$A$23,"USD")</f>
        <v>54.5</v>
      </c>
      <c r="O13" s="225">
        <f>_xll.ciqfunctions.udf.CIQ(A13,"IQ_YEARHIGH",$A$19,"USD")</f>
        <v>74.180000000000007</v>
      </c>
      <c r="P13" s="230" cm="1">
        <f t="array" ref="P13">_xll.ciqfunctions.udf.CIQ(A13,"IQ_YEARHIGH_DATE")</f>
        <v>45688</v>
      </c>
      <c r="Q13" s="225">
        <f>_xll.ciqfunctions.udf.CIQ(A13,"IQ_YEARLOW",$A$19,"USD")</f>
        <v>37.896900000000002</v>
      </c>
      <c r="R13" s="230" cm="1">
        <f t="array" ref="R13">_xll.ciqfunctions.udf.CIQ(A13,"IQ_YEARLOW_DATE")</f>
        <v>45751</v>
      </c>
      <c r="S13" s="225">
        <f>_xll.ciqfunctions.udf.CIQ(A13,"IQ_CLOSEPRICE",$A$24,"USD")</f>
        <v>56.35</v>
      </c>
      <c r="T13" s="231">
        <f t="shared" si="5"/>
        <v>-63</v>
      </c>
    </row>
    <row r="14" spans="1:20">
      <c r="A14" s="208" t="s">
        <v>162</v>
      </c>
      <c r="B14" s="229">
        <f>holdings!X29</f>
        <v>-7.5785887008133712E-2</v>
      </c>
      <c r="C14" s="206">
        <f t="shared" si="0"/>
        <v>0.17049317192438429</v>
      </c>
      <c r="D14" s="206">
        <f t="shared" si="1"/>
        <v>1.3105356091818718</v>
      </c>
      <c r="E14" s="206">
        <f t="shared" si="2"/>
        <v>1.1279271465741547</v>
      </c>
      <c r="F14" s="206">
        <f t="shared" si="3"/>
        <v>0.19221307741367277</v>
      </c>
      <c r="G14" s="206">
        <f t="shared" si="4"/>
        <v>0.31853735783866788</v>
      </c>
      <c r="H14" s="206">
        <f>'Yearly-Sector-Raw-Contribute'!G27</f>
        <v>1.0766309333776886E-3</v>
      </c>
      <c r="I14" s="1"/>
      <c r="J14" s="225">
        <f>_xll.ciqfunctions.udf.CIQ(A14,"IQ_CLOSEPRICE",$A$19,"USD")</f>
        <v>196.28</v>
      </c>
      <c r="K14" s="225">
        <f>_xll.ciqfunctions.udf.CIQ(A14,"IQ_CLOSEPRICE",$A$20,"USD")</f>
        <v>167.69</v>
      </c>
      <c r="L14" s="225">
        <f>_xll.ciqfunctions.udf.CIQ(A14,"IQ_CLOSEPRICE",$A$22,"USD")</f>
        <v>84.95</v>
      </c>
      <c r="M14" s="225">
        <f>_xll.ciqfunctions.udf.CIQ(A14,"IQ_CLOSEPRICE",$A$21,"USD")</f>
        <v>92.24</v>
      </c>
      <c r="N14" s="225">
        <f>_xll.ciqfunctions.udf.CIQ(A14,"IQ_OPENPRICE",$A$23,"USD")</f>
        <v>164.63499999999999</v>
      </c>
      <c r="O14" s="225">
        <f>_xll.ciqfunctions.udf.CIQ(A14,"IQ_YEARHIGH",$A$19,"USD")</f>
        <v>208.39</v>
      </c>
      <c r="P14" s="230" cm="1">
        <f t="array" ref="P14">_xll.ciqfunctions.udf.CIQ(A14,"IQ_YEARHIGH_DATE")</f>
        <v>45867</v>
      </c>
      <c r="Q14" s="225">
        <f>_xll.ciqfunctions.udf.CIQ(A14,"IQ_YEARLOW",$A$19,"USD")</f>
        <v>142.01</v>
      </c>
      <c r="R14" s="230" cm="1">
        <f t="array" ref="R14">_xll.ciqfunctions.udf.CIQ(A14,"IQ_YEARLOW_DATE")</f>
        <v>45754</v>
      </c>
      <c r="S14" s="225">
        <f>_xll.ciqfunctions.udf.CIQ(A14,"IQ_CLOSEPRICE",$A$24,"USD")</f>
        <v>181.96</v>
      </c>
      <c r="T14" s="231">
        <f t="shared" si="5"/>
        <v>113</v>
      </c>
    </row>
    <row r="15" spans="1:20">
      <c r="A15" s="208" t="s">
        <v>152</v>
      </c>
      <c r="B15" s="229">
        <f>holdings!X30</f>
        <v>-0.13663502426871699</v>
      </c>
      <c r="C15" s="206">
        <f>J15/K15-1</f>
        <v>0.37215873414542266</v>
      </c>
      <c r="D15" s="206">
        <f>J15/L15-1</f>
        <v>0.4312004715436506</v>
      </c>
      <c r="E15" s="206">
        <f>J15/M15-1</f>
        <v>6.7666601524330572E-2</v>
      </c>
      <c r="F15" s="206">
        <f>J15/N15-1</f>
        <v>-0.16908745247148294</v>
      </c>
      <c r="G15" s="206">
        <f t="shared" si="4"/>
        <v>-0.61951351351351347</v>
      </c>
      <c r="H15" s="206">
        <f>'Yearly-Sector-Raw-Contribute'!G28</f>
        <v>-1.0429699862398848E-3</v>
      </c>
      <c r="I15" s="1"/>
      <c r="J15" s="225">
        <f>_xll.ciqfunctions.udf.CIQ(A15,"IQ_CLOSEPRICE",$A$19,"USD")</f>
        <v>218.53</v>
      </c>
      <c r="K15" s="225">
        <f>_xll.ciqfunctions.udf.CIQ(A15,"IQ_CLOSEPRICE",$A$20,"USD")</f>
        <v>159.26</v>
      </c>
      <c r="L15" s="225">
        <f>_xll.ciqfunctions.udf.CIQ(A15,"IQ_CLOSEPRICE",$A$22,"USD")</f>
        <v>152.69</v>
      </c>
      <c r="M15" s="225">
        <f>_xll.ciqfunctions.udf.CIQ(A15,"IQ_CLOSEPRICE",$A$21,"USD")</f>
        <v>204.68</v>
      </c>
      <c r="N15" s="225">
        <f>_xll.ciqfunctions.udf.CIQ(A15,"IQ_OPENPRICE",$A$23,"USD")</f>
        <v>263</v>
      </c>
      <c r="O15" s="225">
        <f>_xll.ciqfunctions.udf.CIQ(A15,"IQ_YEARHIGH",$A$19,"USD")</f>
        <v>370</v>
      </c>
      <c r="P15" s="230" cm="1">
        <f t="array" ref="P15">_xll.ciqfunctions.udf.CIQ(A15,"IQ_YEARHIGH_DATE")</f>
        <v>45635</v>
      </c>
      <c r="Q15" s="225">
        <f>_xll.ciqfunctions.udf.CIQ(A15,"IQ_YEARLOW",$A$19,"USD")</f>
        <v>140.78</v>
      </c>
      <c r="R15" s="230" cm="1">
        <f t="array" ref="R15">_xll.ciqfunctions.udf.CIQ(A15,"IQ_YEARLOW_DATE")</f>
        <v>45754</v>
      </c>
      <c r="S15" s="225">
        <f>_xll.ciqfunctions.udf.CIQ(A15,"IQ_CLOSEPRICE",$A$24,"USD")</f>
        <v>232.81</v>
      </c>
      <c r="T15" s="231">
        <f t="shared" si="5"/>
        <v>-119</v>
      </c>
    </row>
    <row r="16" spans="1:20">
      <c r="A16" s="208" t="s">
        <v>164</v>
      </c>
      <c r="B16" s="229">
        <f>holdings!X31</f>
        <v>-6.6579846980302726E-2</v>
      </c>
      <c r="C16" s="206">
        <f t="shared" ref="C16:C18" si="6">J16/K16-1</f>
        <v>0.37125748502994016</v>
      </c>
      <c r="D16" s="206">
        <f t="shared" ref="D16:D18" si="7">J16/L16-1</f>
        <v>0.96128811236724898</v>
      </c>
      <c r="E16" s="206">
        <f t="shared" ref="E16:E18" si="8">J16/M16-1</f>
        <v>1.440323955669224</v>
      </c>
      <c r="F16" s="206">
        <f t="shared" ref="F16:F18" si="9">J16/N16-1</f>
        <v>-6.8954301512441085E-2</v>
      </c>
      <c r="G16" s="206">
        <f t="shared" si="4"/>
        <v>-0.53155965793403015</v>
      </c>
      <c r="H16" s="206">
        <f>'Yearly-Sector-Raw-Contribute'!G29</f>
        <v>-1.0221368694048136E-3</v>
      </c>
      <c r="I16" s="1"/>
      <c r="J16" s="225">
        <f>_xll.ciqfunctions.udf.CIQ(A16,"IQ_CLOSEPRICE",$A$19,"USD")</f>
        <v>57.25</v>
      </c>
      <c r="K16" s="225">
        <f>_xll.ciqfunctions.udf.CIQ(A16,"IQ_CLOSEPRICE",$A$20,"USD")</f>
        <v>41.75</v>
      </c>
      <c r="L16" s="225">
        <f>_xll.ciqfunctions.udf.CIQ(A16,"IQ_CLOSEPRICE",$A$22,"USD")</f>
        <v>29.19</v>
      </c>
      <c r="M16" s="225">
        <f>_xll.ciqfunctions.udf.CIQ(A16,"IQ_CLOSEPRICE",$A$21,"USD")</f>
        <v>23.46</v>
      </c>
      <c r="N16" s="225">
        <f>_xll.ciqfunctions.udf.CIQ(A16,"IQ_OPENPRICE",$A$23,"USD")</f>
        <v>61.49</v>
      </c>
      <c r="O16" s="225">
        <f>_xll.ciqfunctions.udf.CIQ(A16,"IQ_YEARHIGH",$A$19,"USD")</f>
        <v>73.67</v>
      </c>
      <c r="P16" s="230" cm="1">
        <f t="array" ref="P16">_xll.ciqfunctions.udf.CIQ(A16,"IQ_YEARHIGH_DATE")</f>
        <v>45679</v>
      </c>
      <c r="Q16" s="225">
        <f>_xll.ciqfunctions.udf.CIQ(A16,"IQ_YEARLOW",$A$19,"USD")</f>
        <v>34.51</v>
      </c>
      <c r="R16" s="230" cm="1">
        <f t="array" ref="R16">_xll.ciqfunctions.udf.CIQ(A16,"IQ_YEARLOW_DATE")</f>
        <v>45754</v>
      </c>
      <c r="S16" s="225">
        <f>_xll.ciqfunctions.udf.CIQ(A16,"IQ_CLOSEPRICE",$A$24,"USD")</f>
        <v>61.43</v>
      </c>
      <c r="T16" s="231">
        <f t="shared" si="5"/>
        <v>-75</v>
      </c>
    </row>
    <row r="17" spans="1:20">
      <c r="A17" s="208" t="s">
        <v>176</v>
      </c>
      <c r="B17" s="229">
        <f>holdings!X32</f>
        <v>0.5031317554459287</v>
      </c>
      <c r="C17" s="206">
        <f t="shared" si="6"/>
        <v>0.42369088467850213</v>
      </c>
      <c r="D17" s="206">
        <f t="shared" si="7"/>
        <v>1.1452978643686778</v>
      </c>
      <c r="E17" s="206">
        <f t="shared" si="8"/>
        <v>1.6515698805223678</v>
      </c>
      <c r="F17" s="206">
        <f t="shared" si="9"/>
        <v>0.46845506770619627</v>
      </c>
      <c r="G17" s="206">
        <f t="shared" si="4"/>
        <v>0.51814969482814011</v>
      </c>
      <c r="H17" s="206">
        <f>'Yearly-Sector-Raw-Contribute'!G30</f>
        <v>5.476968876307043E-3</v>
      </c>
      <c r="I17" s="1"/>
      <c r="J17" s="225">
        <f>_xll.ciqfunctions.udf.CIQ(A17,"IQ_CLOSEPRICE",$A$19,"USD")</f>
        <v>286.29000000000002</v>
      </c>
      <c r="K17" s="225">
        <f>_xll.ciqfunctions.udf.CIQ(A17,"IQ_CLOSEPRICE",$A$20,"USD")</f>
        <v>201.09</v>
      </c>
      <c r="L17" s="225">
        <f>_xll.ciqfunctions.udf.CIQ(A17,"IQ_CLOSEPRICE",$A$22,"USD")</f>
        <v>133.44999999999999</v>
      </c>
      <c r="M17" s="225">
        <f>_xll.ciqfunctions.udf.CIQ(A17,"IQ_CLOSEPRICE",$A$21,"USD")</f>
        <v>107.97</v>
      </c>
      <c r="N17" s="225">
        <f>_xll.ciqfunctions.udf.CIQ(A17,"IQ_OPENPRICE",$A$23,"USD")</f>
        <v>194.96</v>
      </c>
      <c r="O17" s="225">
        <f>_xll.ciqfunctions.udf.CIQ(A17,"IQ_YEARHIGH",$A$19,"USD")</f>
        <v>318.4599</v>
      </c>
      <c r="P17" s="230" cm="1">
        <f t="array" ref="P17">_xll.ciqfunctions.udf.CIQ(A17,"IQ_YEARHIGH_DATE")</f>
        <v>45846</v>
      </c>
      <c r="Q17" s="225">
        <f>_xll.ciqfunctions.udf.CIQ(A17,"IQ_YEARLOW",$A$19,"USD")</f>
        <v>153.44999999999999</v>
      </c>
      <c r="R17" s="230" cm="1">
        <f t="array" ref="R17">_xll.ciqfunctions.udf.CIQ(A17,"IQ_YEARLOW_DATE")</f>
        <v>45545</v>
      </c>
      <c r="S17" s="225">
        <f>_xll.ciqfunctions.udf.CIQ(A17,"IQ_CLOSEPRICE",$A$24,"USD")</f>
        <v>180.41</v>
      </c>
      <c r="T17" s="231">
        <f t="shared" si="5"/>
        <v>301</v>
      </c>
    </row>
    <row r="18" spans="1:20">
      <c r="A18" s="208" t="s">
        <v>143</v>
      </c>
      <c r="B18" s="229">
        <f>holdings!X33</f>
        <v>-0.43097281831187417</v>
      </c>
      <c r="C18" s="206">
        <f t="shared" si="6"/>
        <v>0.2023640661938535</v>
      </c>
      <c r="D18" s="206">
        <f t="shared" si="7"/>
        <v>0.10421189752496729</v>
      </c>
      <c r="E18" s="206">
        <f t="shared" si="8"/>
        <v>0.12522123893805293</v>
      </c>
      <c r="F18" s="206">
        <f t="shared" si="9"/>
        <v>-2.4174980813507219E-2</v>
      </c>
      <c r="G18" s="206">
        <f t="shared" si="4"/>
        <v>-0.53060686015831138</v>
      </c>
      <c r="H18" s="206">
        <f>'Yearly-Sector-Raw-Contribute'!G31</f>
        <v>-1.2662664330469094E-3</v>
      </c>
      <c r="I18" s="1"/>
      <c r="J18" s="225">
        <f>_xll.ciqfunctions.udf.CIQ(A18,"IQ_CLOSEPRICE",$A$19,"USD")</f>
        <v>25.43</v>
      </c>
      <c r="K18" s="225">
        <f>_xll.ciqfunctions.udf.CIQ(A18,"IQ_CLOSEPRICE",$A$20,"USD")</f>
        <v>21.15</v>
      </c>
      <c r="L18" s="225">
        <f>_xll.ciqfunctions.udf.CIQ(A18,"IQ_CLOSEPRICE",$A$22,"USD")</f>
        <v>23.03</v>
      </c>
      <c r="M18" s="225">
        <f>_xll.ciqfunctions.udf.CIQ(A18,"IQ_CLOSEPRICE",$A$21,"USD")</f>
        <v>22.6</v>
      </c>
      <c r="N18" s="225">
        <f>_xll.ciqfunctions.udf.CIQ(A18,"IQ_OPENPRICE",$A$23,"USD")</f>
        <v>26.06</v>
      </c>
      <c r="O18" s="225">
        <f>_xll.ciqfunctions.udf.CIQ(A18,"IQ_YEARHIGH",$A$19,"USD")</f>
        <v>37.9</v>
      </c>
      <c r="P18" s="230" cm="1">
        <f t="array" ref="P18">_xll.ciqfunctions.udf.CIQ(A18,"IQ_YEARHIGH_DATE")</f>
        <v>45700</v>
      </c>
      <c r="Q18" s="225">
        <f>_xll.ciqfunctions.udf.CIQ(A18,"IQ_YEARLOW",$A$19,"USD")</f>
        <v>17.79</v>
      </c>
      <c r="R18" s="230" cm="1">
        <f t="array" ref="R18">_xll.ciqfunctions.udf.CIQ(A18,"IQ_YEARLOW_DATE")</f>
        <v>45880</v>
      </c>
      <c r="S18" s="225">
        <f>_xll.ciqfunctions.udf.CIQ(A18,"IQ_CLOSEPRICE",$A$24,"USD")</f>
        <v>27.96</v>
      </c>
      <c r="T18" s="231">
        <f t="shared" si="5"/>
        <v>-180</v>
      </c>
    </row>
    <row r="19" spans="1:20">
      <c r="A19" s="19" t="s">
        <v>268</v>
      </c>
      <c r="C19" s="206"/>
      <c r="D19" s="206"/>
      <c r="E19" s="206"/>
      <c r="F19" s="206"/>
      <c r="G19" s="206"/>
      <c r="H19" s="55">
        <f>SUM(H2:H18)</f>
        <v>6.1750732653443524E-2</v>
      </c>
    </row>
    <row r="20" spans="1:20">
      <c r="A20" s="19" t="s">
        <v>269</v>
      </c>
      <c r="C20" s="206"/>
      <c r="D20" s="206"/>
      <c r="E20" s="206"/>
      <c r="F20" s="206"/>
      <c r="G20" s="206"/>
      <c r="H20" s="1"/>
    </row>
    <row r="21" spans="1:20">
      <c r="A21" s="19" t="s">
        <v>281</v>
      </c>
      <c r="C21" s="206"/>
      <c r="D21" s="206"/>
      <c r="E21" s="206"/>
      <c r="F21" s="206"/>
      <c r="G21" s="206"/>
      <c r="H21" s="1"/>
    </row>
    <row r="22" spans="1:20" ht="28">
      <c r="A22" s="19" t="s">
        <v>273</v>
      </c>
      <c r="C22" s="206"/>
      <c r="D22" s="206"/>
      <c r="E22" s="206"/>
      <c r="F22" s="206"/>
      <c r="G22" s="206"/>
      <c r="H22" s="1"/>
    </row>
    <row r="23" spans="1:20">
      <c r="A23" s="19" t="s">
        <v>275</v>
      </c>
      <c r="C23" s="206"/>
      <c r="D23" s="206"/>
      <c r="E23" s="206"/>
      <c r="F23" s="206"/>
      <c r="G23" s="206"/>
      <c r="H23" s="1"/>
    </row>
    <row r="24" spans="1:20" ht="28">
      <c r="A24" s="19" t="s">
        <v>301</v>
      </c>
      <c r="C24" s="206"/>
      <c r="D24" s="206"/>
      <c r="E24" s="206"/>
      <c r="F24" s="206"/>
      <c r="G24" s="206"/>
      <c r="H24" s="1"/>
    </row>
    <row r="26" spans="1:20" ht="39">
      <c r="A26" s="19" t="s">
        <v>315</v>
      </c>
      <c r="B26" s="228" t="s">
        <v>262</v>
      </c>
      <c r="C26" s="228" t="s">
        <v>263</v>
      </c>
      <c r="D26" s="228" t="s">
        <v>264</v>
      </c>
      <c r="E26" s="228" t="s">
        <v>265</v>
      </c>
      <c r="F26" s="228" t="s">
        <v>266</v>
      </c>
      <c r="G26" s="228" t="s">
        <v>310</v>
      </c>
      <c r="H26" s="228" t="s">
        <v>307</v>
      </c>
    </row>
    <row r="27" spans="1:20">
      <c r="A27" s="208" t="s">
        <v>153</v>
      </c>
      <c r="B27" s="1">
        <f>B6*holdings!$U$4*0.01</f>
        <v>0.10352768528005415</v>
      </c>
      <c r="C27" s="1">
        <f>C6*holdings!$U$4*0.01</f>
        <v>4.695937753486408E-2</v>
      </c>
      <c r="D27" s="1">
        <f>D6*holdings!$U$4*0.01</f>
        <v>1.42860000839376</v>
      </c>
      <c r="E27" s="1">
        <f>E6*holdings!$U$4*0.01</f>
        <v>1.3543694389547372</v>
      </c>
      <c r="F27" s="1">
        <f>F6*holdings!$U$4*0.01</f>
        <v>0.32316606742389153</v>
      </c>
      <c r="G27" s="1">
        <f>G6*holdings!$U$4*0.01</f>
        <v>6.3167242169404433E-2</v>
      </c>
      <c r="H27" s="263"/>
    </row>
    <row r="28" spans="1:20">
      <c r="A28" s="208" t="s">
        <v>144</v>
      </c>
      <c r="B28" s="1">
        <f>B7*holdings!$U$4*0.01</f>
        <v>3.7764616388038172E-2</v>
      </c>
      <c r="C28" s="1">
        <f>C7*holdings!$U$4*0.01</f>
        <v>6.8313557860506524E-2</v>
      </c>
      <c r="D28" s="1">
        <f>D7*holdings!$U$4*0.01</f>
        <v>0.14598351601571308</v>
      </c>
      <c r="E28" s="1">
        <f>E7*holdings!$U$4*0.01</f>
        <v>0.14201874197891703</v>
      </c>
      <c r="F28" s="1">
        <f>F7*holdings!$U$4*0.01</f>
        <v>5.7412097986025035E-2</v>
      </c>
      <c r="G28" s="1">
        <f>G7*holdings!$U$4*0.01</f>
        <v>3.8588238554987664E-2</v>
      </c>
      <c r="H28" s="264"/>
    </row>
    <row r="29" spans="1:20">
      <c r="A29" s="208" t="s">
        <v>159</v>
      </c>
      <c r="B29" s="1">
        <f>B8*holdings!$U$4*0.01</f>
        <v>0.11232635060611551</v>
      </c>
      <c r="C29" s="1">
        <f>C8*holdings!$U$4*0.01</f>
        <v>0.10925364697398771</v>
      </c>
      <c r="D29" s="1"/>
      <c r="E29" s="1"/>
      <c r="F29" s="1"/>
      <c r="G29" s="1">
        <f>G8*holdings!$U$4*0.01</f>
        <v>5.4791014979441187E-2</v>
      </c>
      <c r="H29" s="264"/>
    </row>
    <row r="30" spans="1:20">
      <c r="A30" s="208" t="s">
        <v>147</v>
      </c>
      <c r="B30" s="1">
        <f>B9*holdings!$U$4*0.01</f>
        <v>-1.9592003664292271E-2</v>
      </c>
      <c r="C30" s="1">
        <f>C9*holdings!$U$4*0.01</f>
        <v>7.9181063880546347E-3</v>
      </c>
      <c r="D30" s="1">
        <f>D9*holdings!$U$4*0.01</f>
        <v>3.0014436365259311E-2</v>
      </c>
      <c r="E30" s="1">
        <f>E9*holdings!$U$4*0.01</f>
        <v>4.1374316723333852E-2</v>
      </c>
      <c r="F30" s="1">
        <f>F9*holdings!$U$4*0.01</f>
        <v>-1.8514835309601439E-2</v>
      </c>
      <c r="G30" s="1">
        <f>G9*holdings!$U$4*0.01</f>
        <v>3.0674629315870627E-2</v>
      </c>
      <c r="H30" s="264"/>
    </row>
    <row r="31" spans="1:20">
      <c r="A31" s="208" t="s">
        <v>167</v>
      </c>
      <c r="B31" s="1">
        <f>B10*holdings!$U$4*0.01</f>
        <v>1.7711036370970192E-2</v>
      </c>
      <c r="C31" s="1">
        <f>C10*holdings!$U$4*0.01</f>
        <v>3.4752799476242553E-2</v>
      </c>
      <c r="D31" s="1">
        <f>D10*holdings!$U$4*0.01</f>
        <v>3.5152967320708155E-2</v>
      </c>
      <c r="E31" s="1">
        <f>E10*holdings!$U$4*0.01</f>
        <v>3.7538512991417375E-2</v>
      </c>
      <c r="F31" s="1">
        <f>F10*holdings!$U$4*0.01</f>
        <v>4.1464731748214578E-2</v>
      </c>
      <c r="G31" s="1">
        <f>G10*holdings!$U$4*0.01</f>
        <v>3.8562296620623042E-2</v>
      </c>
      <c r="H31" s="264"/>
    </row>
    <row r="32" spans="1:20">
      <c r="A32" s="208" t="s">
        <v>172</v>
      </c>
      <c r="B32" s="1">
        <f>B11*holdings!$U$4*0.01</f>
        <v>-7.1969322965053303E-3</v>
      </c>
      <c r="C32" s="1">
        <f>C11*holdings!$U$4*0.01</f>
        <v>4.1688576091499466E-2</v>
      </c>
      <c r="D32" s="1">
        <f>D11*holdings!$U$4*0.01</f>
        <v>6.5024328974357601E-2</v>
      </c>
      <c r="E32" s="1">
        <f>E11*holdings!$U$4*0.01</f>
        <v>8.5594197930725716E-2</v>
      </c>
      <c r="F32" s="1">
        <f>F11*holdings!$U$4*0.01</f>
        <v>1.2891416828413535E-2</v>
      </c>
      <c r="G32" s="1">
        <f>G11*holdings!$U$4*0.01</f>
        <v>-3.8037198485009027E-2</v>
      </c>
      <c r="H32" s="264"/>
    </row>
    <row r="33" spans="1:8">
      <c r="A33" s="208" t="s">
        <v>137</v>
      </c>
      <c r="B33" s="1">
        <f>B12*holdings!$U$4*0.01</f>
        <v>6.3502971190385379E-2</v>
      </c>
      <c r="C33" s="1">
        <f>C12*holdings!$U$4*0.01</f>
        <v>5.6499953736535914E-2</v>
      </c>
      <c r="D33" s="1">
        <f>D12*holdings!$U$4*0.01</f>
        <v>0.21152096543117627</v>
      </c>
      <c r="E33" s="1">
        <f>E12*holdings!$U$4*0.01</f>
        <v>0.18211969497307112</v>
      </c>
      <c r="F33" s="1">
        <f>F12*holdings!$U$4*0.01</f>
        <v>9.9532406620896199E-2</v>
      </c>
      <c r="G33" s="1">
        <f>G12*holdings!$U$4*0.01</f>
        <v>4.755805082418741E-2</v>
      </c>
      <c r="H33" s="264"/>
    </row>
    <row r="34" spans="1:8">
      <c r="A34" s="208" t="s">
        <v>151</v>
      </c>
      <c r="B34" s="1">
        <f>B13*holdings!$U$4*0.01</f>
        <v>-2.2753694796428636E-2</v>
      </c>
      <c r="C34" s="1">
        <f>C13*holdings!$U$4*0.01</f>
        <v>1.7390289517860552E-3</v>
      </c>
      <c r="D34" s="1">
        <f>D13*holdings!$U$4*0.01</f>
        <v>8.0816284841275024E-3</v>
      </c>
      <c r="E34" s="1">
        <f>E13*holdings!$U$4*0.01</f>
        <v>2.1451397452451341E-2</v>
      </c>
      <c r="F34" s="1">
        <f>F13*holdings!$U$4*0.01</f>
        <v>-1.4198847610983225E-2</v>
      </c>
      <c r="G34" s="1">
        <f>G13*holdings!$U$4*0.01</f>
        <v>-3.5775152151992951E-2</v>
      </c>
      <c r="H34" s="264"/>
    </row>
    <row r="35" spans="1:8">
      <c r="A35" s="208" t="s">
        <v>175</v>
      </c>
      <c r="B35" s="1">
        <f>B14*holdings!$U$4*0.01</f>
        <v>-5.5430943485535724E-3</v>
      </c>
      <c r="C35" s="1">
        <f>C14*holdings!$U$4*0.01</f>
        <v>1.2470128345394951E-2</v>
      </c>
      <c r="D35" s="1">
        <f>D14*holdings!$U$4*0.01</f>
        <v>9.5854555717670667E-2</v>
      </c>
      <c r="E35" s="1">
        <f>E14*holdings!$U$4*0.01</f>
        <v>8.2498296695852319E-2</v>
      </c>
      <c r="F35" s="1">
        <f>F14*holdings!$U$4*0.01</f>
        <v>1.4058755068941399E-2</v>
      </c>
      <c r="G35" s="1">
        <f>G14*holdings!$U$4*0.01</f>
        <v>2.3298303915730449E-2</v>
      </c>
      <c r="H35" s="264"/>
    </row>
    <row r="36" spans="1:8">
      <c r="A36" s="208" t="s">
        <v>166</v>
      </c>
      <c r="B36" s="1">
        <f>B15*holdings!$U$4*0.01</f>
        <v>-9.9936922392571525E-3</v>
      </c>
      <c r="C36" s="1">
        <f>C15*holdings!$U$4*0.01</f>
        <v>2.722025244337303E-2</v>
      </c>
      <c r="D36" s="1">
        <f>D15*holdings!$U$4*0.01</f>
        <v>3.1538654375724583E-2</v>
      </c>
      <c r="E36" s="1">
        <f>E15*holdings!$U$4*0.01</f>
        <v>4.9492375335672681E-3</v>
      </c>
      <c r="F36" s="1">
        <f>F15*holdings!$U$4*0.01</f>
        <v>-1.2367311899449111E-2</v>
      </c>
      <c r="G36" s="1">
        <f>G15*holdings!$U$4*0.01</f>
        <v>-4.5312154956248886E-2</v>
      </c>
      <c r="H36" s="264"/>
    </row>
    <row r="37" spans="1:8">
      <c r="A37" s="208" t="s">
        <v>146</v>
      </c>
      <c r="B37" s="1">
        <f>B16*holdings!$U$4*0.01</f>
        <v>-4.8697506632662162E-3</v>
      </c>
      <c r="C37" s="1">
        <f>C16*holdings!$U$4*0.01</f>
        <v>2.7154333720562095E-2</v>
      </c>
      <c r="D37" s="1">
        <f>D16*holdings!$U$4*0.01</f>
        <v>7.0310065809782593E-2</v>
      </c>
      <c r="E37" s="1">
        <f>E16*holdings!$U$4*0.01</f>
        <v>0.10534747159322073</v>
      </c>
      <c r="F37" s="1">
        <f>F16*holdings!$U$4*0.01</f>
        <v>-5.0434218574369862E-3</v>
      </c>
      <c r="G37" s="1">
        <f>G16*holdings!$U$4*0.01</f>
        <v>-3.8879076990904142E-2</v>
      </c>
      <c r="H37" s="264"/>
    </row>
    <row r="38" spans="1:8">
      <c r="A38" s="208" t="s">
        <v>168</v>
      </c>
      <c r="B38" s="1">
        <f>B17*holdings!$U$4*0.01</f>
        <v>3.6799817225743443E-2</v>
      </c>
      <c r="C38" s="1">
        <f>C17*holdings!$U$4*0.01</f>
        <v>3.0989391839446438E-2</v>
      </c>
      <c r="D38" s="1">
        <f>D17*holdings!$U$4*0.01</f>
        <v>8.3768817256320321E-2</v>
      </c>
      <c r="E38" s="1">
        <f>E17*holdings!$U$4*0.01</f>
        <v>0.12079831789766209</v>
      </c>
      <c r="F38" s="1">
        <f>F17*holdings!$U$4*0.01</f>
        <v>3.426351186039174E-2</v>
      </c>
      <c r="G38" s="1">
        <f>G17*holdings!$U$4*0.01</f>
        <v>3.7898252016214683E-2</v>
      </c>
      <c r="H38" s="264"/>
    </row>
    <row r="39" spans="1:8">
      <c r="A39" s="208" t="s">
        <v>171</v>
      </c>
      <c r="B39" s="1">
        <f>B18*holdings!$U$4*0.01</f>
        <v>-3.152200347418728E-2</v>
      </c>
      <c r="C39" s="1">
        <f>C18*holdings!$U$4*0.01</f>
        <v>1.4801213734545083E-2</v>
      </c>
      <c r="D39" s="1">
        <f>D18*holdings!$U$4*0.01</f>
        <v>7.6222157320754626E-3</v>
      </c>
      <c r="E39" s="1">
        <f>E18*holdings!$U$4*0.01</f>
        <v>9.1588707248607144E-3</v>
      </c>
      <c r="F39" s="1">
        <f>F18*holdings!$U$4*0.01</f>
        <v>-1.7681946443321422E-3</v>
      </c>
      <c r="G39" s="1">
        <f>G18*holdings!$U$4*0.01</f>
        <v>-3.8809387921152488E-2</v>
      </c>
      <c r="H39" s="264"/>
    </row>
  </sheetData>
  <mergeCells count="1">
    <mergeCell ref="H27:H39"/>
  </mergeCells>
  <phoneticPr fontId="31"/>
  <conditionalFormatting sqref="B2:B18">
    <cfRule type="dataBar" priority="1">
      <dataBar>
        <cfvo type="min"/>
        <cfvo type="max"/>
        <color rgb="FF63C384"/>
      </dataBar>
      <extLst>
        <ext xmlns:x14="http://schemas.microsoft.com/office/spreadsheetml/2009/9/main" uri="{B025F937-C7B1-47D3-B67F-A62EFF666E3E}">
          <x14:id>{307D99F4-F6FE-461D-9F99-F1105808A914}</x14:id>
        </ext>
      </extLst>
    </cfRule>
  </conditionalFormatting>
  <conditionalFormatting sqref="C2:C24">
    <cfRule type="dataBar" priority="7">
      <dataBar>
        <cfvo type="min"/>
        <cfvo type="max"/>
        <color rgb="FF63C384"/>
      </dataBar>
      <extLst>
        <ext xmlns:x14="http://schemas.microsoft.com/office/spreadsheetml/2009/9/main" uri="{B025F937-C7B1-47D3-B67F-A62EFF666E3E}">
          <x14:id>{211CA56D-A243-49A7-993F-2E67F7FAD311}</x14:id>
        </ext>
      </extLst>
    </cfRule>
  </conditionalFormatting>
  <conditionalFormatting sqref="D2:D24">
    <cfRule type="dataBar" priority="6">
      <dataBar>
        <cfvo type="min"/>
        <cfvo type="max"/>
        <color rgb="FF63C384"/>
      </dataBar>
      <extLst>
        <ext xmlns:x14="http://schemas.microsoft.com/office/spreadsheetml/2009/9/main" uri="{B025F937-C7B1-47D3-B67F-A62EFF666E3E}">
          <x14:id>{86A03C90-483E-4B5E-A872-F4124118895D}</x14:id>
        </ext>
      </extLst>
    </cfRule>
  </conditionalFormatting>
  <conditionalFormatting sqref="E2:E24">
    <cfRule type="dataBar" priority="5">
      <dataBar>
        <cfvo type="min"/>
        <cfvo type="max"/>
        <color rgb="FF63C384"/>
      </dataBar>
      <extLst>
        <ext xmlns:x14="http://schemas.microsoft.com/office/spreadsheetml/2009/9/main" uri="{B025F937-C7B1-47D3-B67F-A62EFF666E3E}">
          <x14:id>{BB4DC78F-B767-4FC0-9435-0F32F2CE45AB}</x14:id>
        </ext>
      </extLst>
    </cfRule>
  </conditionalFormatting>
  <conditionalFormatting sqref="F2:F24">
    <cfRule type="dataBar" priority="4">
      <dataBar>
        <cfvo type="min"/>
        <cfvo type="max"/>
        <color rgb="FF63C384"/>
      </dataBar>
      <extLst>
        <ext xmlns:x14="http://schemas.microsoft.com/office/spreadsheetml/2009/9/main" uri="{B025F937-C7B1-47D3-B67F-A62EFF666E3E}">
          <x14:id>{08FA0695-7FEB-4ED3-84FF-735E16C4325D}</x14:id>
        </ext>
      </extLst>
    </cfRule>
  </conditionalFormatting>
  <conditionalFormatting sqref="G2:G24">
    <cfRule type="dataBar" priority="3">
      <dataBar>
        <cfvo type="min"/>
        <cfvo type="max"/>
        <color rgb="FF63C384"/>
      </dataBar>
      <extLst>
        <ext xmlns:x14="http://schemas.microsoft.com/office/spreadsheetml/2009/9/main" uri="{B025F937-C7B1-47D3-B67F-A62EFF666E3E}">
          <x14:id>{0AB361C2-BCA7-407B-BB49-E0A197CE520E}</x14:id>
        </ext>
      </extLst>
    </cfRule>
  </conditionalFormatting>
  <conditionalFormatting sqref="H2:H18">
    <cfRule type="dataBar" priority="2">
      <dataBar>
        <cfvo type="min"/>
        <cfvo type="max"/>
        <color rgb="FF63C384"/>
      </dataBar>
      <extLst>
        <ext xmlns:x14="http://schemas.microsoft.com/office/spreadsheetml/2009/9/main" uri="{B025F937-C7B1-47D3-B67F-A62EFF666E3E}">
          <x14:id>{0CADB187-4FB4-4132-8234-E496E4CA76DE}</x14:id>
        </ext>
      </extLst>
    </cfRule>
  </conditionalFormatting>
  <hyperlinks>
    <hyperlink ref="K2" r:id="rId1" display="=@CIQ($A2,&quot;IQ_CLOSEPRICE&quot;,$A$4,&quot;USD&quot;)" xr:uid="{91907A17-0484-4803-8088-B96402E2E291}"/>
    <hyperlink ref="L2" r:id="rId2" display="=@CIQ($A2,&quot;IQ_CLOSEPRICE&quot;,$A$5,&quot;USD&quot;)" xr:uid="{9F52C220-AF27-4B04-830A-9923FD392D20}"/>
    <hyperlink ref="K3:K14" r:id="rId3" display="=@CIQ($A2,&quot;IQ_CLOSEPRICE&quot;,$A$4,&quot;USD&quot;)" xr:uid="{8215D3BA-9445-47B8-9EF0-A85467488AFF}"/>
    <hyperlink ref="K15" r:id="rId4" display="=@CIQ($A2,&quot;IQ_CLOSEPRICE&quot;,$A$4,&quot;USD&quot;)" xr:uid="{786BAB0D-E8B8-4AFE-AF1B-D7926D2501BF}"/>
    <hyperlink ref="K16:K18" r:id="rId5" display="=@CIQ($A2,&quot;IQ_CLOSEPRICE&quot;,$A$4,&quot;USD&quot;)" xr:uid="{37ADC742-C12F-4E0D-B2CE-7AEA43A7AC1F}"/>
    <hyperlink ref="L3:L14" r:id="rId6" display="=@CIQ($A2,&quot;IQ_CLOSEPRICE&quot;,$A$5,&quot;USD&quot;)" xr:uid="{9D0E997C-1E70-49AB-BEF5-B337CFF0AC2B}"/>
    <hyperlink ref="L15" r:id="rId7" display="=@CIQ($A2,&quot;IQ_CLOSEPRICE&quot;,$A$5,&quot;USD&quot;)" xr:uid="{42D0105F-3D47-49EB-A760-07891A9321E7}"/>
    <hyperlink ref="L16:L18" r:id="rId8" display="=@CIQ($A2,&quot;IQ_CLOSEPRICE&quot;,$A$5,&quot;USD&quot;)" xr:uid="{B99005A9-2584-4CB7-91AB-98C876C6F286}"/>
  </hyperlinks>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307D99F4-F6FE-461D-9F99-F1105808A914}">
            <x14:dataBar minLength="0" maxLength="100" gradient="0">
              <x14:cfvo type="autoMin"/>
              <x14:cfvo type="autoMax"/>
              <x14:negativeFillColor rgb="FFFF0000"/>
              <x14:axisColor rgb="FF000000"/>
            </x14:dataBar>
          </x14:cfRule>
          <xm:sqref>B2:B18</xm:sqref>
        </x14:conditionalFormatting>
        <x14:conditionalFormatting xmlns:xm="http://schemas.microsoft.com/office/excel/2006/main">
          <x14:cfRule type="dataBar" id="{211CA56D-A243-49A7-993F-2E67F7FAD311}">
            <x14:dataBar minLength="0" maxLength="100" gradient="0">
              <x14:cfvo type="autoMin"/>
              <x14:cfvo type="autoMax"/>
              <x14:negativeFillColor rgb="FFFF0000"/>
              <x14:axisColor rgb="FF000000"/>
            </x14:dataBar>
          </x14:cfRule>
          <xm:sqref>C2:C24</xm:sqref>
        </x14:conditionalFormatting>
        <x14:conditionalFormatting xmlns:xm="http://schemas.microsoft.com/office/excel/2006/main">
          <x14:cfRule type="dataBar" id="{86A03C90-483E-4B5E-A872-F4124118895D}">
            <x14:dataBar minLength="0" maxLength="100" gradient="0">
              <x14:cfvo type="autoMin"/>
              <x14:cfvo type="autoMax"/>
              <x14:negativeFillColor rgb="FFFF0000"/>
              <x14:axisColor rgb="FF000000"/>
            </x14:dataBar>
          </x14:cfRule>
          <xm:sqref>D2:D24</xm:sqref>
        </x14:conditionalFormatting>
        <x14:conditionalFormatting xmlns:xm="http://schemas.microsoft.com/office/excel/2006/main">
          <x14:cfRule type="dataBar" id="{BB4DC78F-B767-4FC0-9435-0F32F2CE45AB}">
            <x14:dataBar minLength="0" maxLength="100" gradient="0">
              <x14:cfvo type="autoMin"/>
              <x14:cfvo type="autoMax"/>
              <x14:negativeFillColor rgb="FFFF0000"/>
              <x14:axisColor rgb="FF000000"/>
            </x14:dataBar>
          </x14:cfRule>
          <xm:sqref>E2:E24</xm:sqref>
        </x14:conditionalFormatting>
        <x14:conditionalFormatting xmlns:xm="http://schemas.microsoft.com/office/excel/2006/main">
          <x14:cfRule type="dataBar" id="{08FA0695-7FEB-4ED3-84FF-735E16C4325D}">
            <x14:dataBar minLength="0" maxLength="100" gradient="0">
              <x14:cfvo type="autoMin"/>
              <x14:cfvo type="autoMax"/>
              <x14:negativeFillColor rgb="FFFF0000"/>
              <x14:axisColor rgb="FF000000"/>
            </x14:dataBar>
          </x14:cfRule>
          <xm:sqref>F2:F24</xm:sqref>
        </x14:conditionalFormatting>
        <x14:conditionalFormatting xmlns:xm="http://schemas.microsoft.com/office/excel/2006/main">
          <x14:cfRule type="dataBar" id="{0AB361C2-BCA7-407B-BB49-E0A197CE520E}">
            <x14:dataBar minLength="0" maxLength="100" gradient="0">
              <x14:cfvo type="autoMin"/>
              <x14:cfvo type="autoMax"/>
              <x14:negativeFillColor rgb="FFFF0000"/>
              <x14:axisColor rgb="FF000000"/>
            </x14:dataBar>
          </x14:cfRule>
          <xm:sqref>G2:G24</xm:sqref>
        </x14:conditionalFormatting>
        <x14:conditionalFormatting xmlns:xm="http://schemas.microsoft.com/office/excel/2006/main">
          <x14:cfRule type="dataBar" id="{0CADB187-4FB4-4132-8234-E496E4CA76DE}">
            <x14:dataBar minLength="0" maxLength="100" gradient="0">
              <x14:cfvo type="autoMin"/>
              <x14:cfvo type="autoMax"/>
              <x14:negativeFillColor rgb="FFFF0000"/>
              <x14:axisColor rgb="FF000000"/>
            </x14:dataBar>
          </x14:cfRule>
          <xm:sqref>H2:H18</xm:sqref>
        </x14:conditionalFormatting>
      </x14:conditionalFormatting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817106-F491-4966-B953-F4D0188C2944}">
  <dimension ref="A1:T36"/>
  <sheetViews>
    <sheetView workbookViewId="0">
      <selection sqref="A1:T36"/>
    </sheetView>
  </sheetViews>
  <sheetFormatPr defaultRowHeight="14"/>
  <cols>
    <col min="4" max="4" width="15.58203125" customWidth="1"/>
    <col min="5" max="5" width="13.1640625" customWidth="1"/>
    <col min="6" max="6" width="15.4140625" customWidth="1"/>
    <col min="7" max="7" width="13.33203125" customWidth="1"/>
    <col min="8" max="8" width="11.33203125" customWidth="1"/>
    <col min="16" max="16" width="10.33203125" customWidth="1"/>
    <col min="18" max="18" width="9.1640625" bestFit="1" customWidth="1"/>
    <col min="20" max="20" width="22.5" customWidth="1"/>
  </cols>
  <sheetData>
    <row r="1" spans="1:20" ht="36.5" customHeight="1">
      <c r="A1" s="227"/>
      <c r="B1" s="228" t="s">
        <v>262</v>
      </c>
      <c r="C1" s="228" t="s">
        <v>263</v>
      </c>
      <c r="D1" s="228" t="s">
        <v>264</v>
      </c>
      <c r="E1" s="228" t="s">
        <v>265</v>
      </c>
      <c r="F1" s="228" t="s">
        <v>266</v>
      </c>
      <c r="G1" s="228" t="s">
        <v>310</v>
      </c>
      <c r="H1" s="228" t="s">
        <v>307</v>
      </c>
      <c r="J1" s="19" t="s">
        <v>270</v>
      </c>
      <c r="K1" s="19" t="s">
        <v>271</v>
      </c>
      <c r="L1" s="19" t="s">
        <v>272</v>
      </c>
      <c r="M1" s="19" t="s">
        <v>280</v>
      </c>
      <c r="N1" s="19" t="s">
        <v>274</v>
      </c>
      <c r="O1" s="19" t="s">
        <v>276</v>
      </c>
      <c r="P1" s="19" t="s">
        <v>308</v>
      </c>
      <c r="Q1" s="19" t="s">
        <v>283</v>
      </c>
      <c r="R1" s="19" t="s">
        <v>309</v>
      </c>
      <c r="S1" s="19" t="s">
        <v>302</v>
      </c>
      <c r="T1" s="19" t="s">
        <v>311</v>
      </c>
    </row>
    <row r="2" spans="1:20">
      <c r="A2" s="208" t="s">
        <v>160</v>
      </c>
      <c r="B2" s="206">
        <f>holdings!X34</f>
        <v>0.35572268970139254</v>
      </c>
      <c r="C2" s="206">
        <f>J2/K2-1</f>
        <v>0.70460143856537605</v>
      </c>
      <c r="D2" s="206">
        <f>J2/L2-1</f>
        <v>9.2227737398806369</v>
      </c>
      <c r="E2" s="206">
        <f>J2/M2-1</f>
        <v>6.1894609982130246</v>
      </c>
      <c r="F2" s="206">
        <f>J2/N2-1</f>
        <v>0.41977841608535083</v>
      </c>
      <c r="G2" s="206">
        <f>((O2-Q2)/O2)*((P2-R2)/ABS(P2-R2))</f>
        <v>0.50264124942581534</v>
      </c>
      <c r="H2" s="206">
        <f>'Yearly-Sector-Raw-Contribute'!G32</f>
        <v>1.2301143444058223E-2</v>
      </c>
      <c r="J2" s="225">
        <f>_xll.ciqfunctions.udf.CIQ(A2,"IQ_CLOSEPRICE",$A$16,"USD")</f>
        <v>173</v>
      </c>
      <c r="K2" s="225">
        <f>_xll.ciqfunctions.udf.CIQ(A2,"IQ_CLOSEPRICE",$A$17,"USD")</f>
        <v>101.49</v>
      </c>
      <c r="L2" s="225">
        <f>_xll.ciqfunctions.udf.CIQ(A2,"IQ_CLOSEPRICE",$A$19,"USD")</f>
        <v>16.922999999999998</v>
      </c>
      <c r="M2" s="225">
        <f>_xll.ciqfunctions.udf.CIQ(A2,"IQ_CLOSEPRICE",$A$18,"USD")</f>
        <v>24.062999999999999</v>
      </c>
      <c r="N2" s="225">
        <f>_xll.ciqfunctions.udf.CIQ(A2,"IQ_OPENPRICE",$A$20,"USD")</f>
        <v>121.85</v>
      </c>
      <c r="O2" s="225">
        <f>_xll.ciqfunctions.udf.CIQ(A2,"IQ_YEARHIGH",$A$16,"USD")</f>
        <v>174.16</v>
      </c>
      <c r="P2" s="230" cm="1">
        <f t="array" ref="P2">_xll.ciqfunctions.udf.CIQ(A2,"IQ_YEARHIGH_DATE")</f>
        <v>45876</v>
      </c>
      <c r="Q2" s="225">
        <f>_xll.ciqfunctions.udf.CIQ(A2,"IQ_YEARLOW",$A$16,"USD")</f>
        <v>86.62</v>
      </c>
      <c r="R2" s="230" cm="1">
        <f t="array" ref="R2">_xll.ciqfunctions.udf.CIQ(A2,"IQ_YEARLOW_DATE")</f>
        <v>45754</v>
      </c>
      <c r="S2" s="225">
        <f>_xll.ciqfunctions.udf.CIQ(A2,"IQ_CLOSEPRICE",$A$21,"USD")</f>
        <v>134.29</v>
      </c>
      <c r="T2" s="230">
        <f>P2-R2</f>
        <v>122</v>
      </c>
    </row>
    <row r="3" spans="1:20">
      <c r="A3" s="208" t="s">
        <v>136</v>
      </c>
      <c r="B3" s="206">
        <f>holdings!X35</f>
        <v>-9.2804089130261058E-2</v>
      </c>
      <c r="C3" s="206">
        <f t="shared" ref="C3:C14" si="0">J3/K3-1</f>
        <v>6.6199614174027976E-2</v>
      </c>
      <c r="D3" s="206">
        <f t="shared" ref="D3:D14" si="1">J3/L3-1</f>
        <v>0.41876646625684</v>
      </c>
      <c r="E3" s="206">
        <f t="shared" ref="E3:E14" si="2">J3/M3-1</f>
        <v>0.37636804508814481</v>
      </c>
      <c r="F3" s="206">
        <f t="shared" ref="F3:F14" si="3">J3/N3-1</f>
        <v>-8.7979850616640598E-2</v>
      </c>
      <c r="G3" s="206">
        <f t="shared" ref="G3:G15" si="4">((O3-Q3)/O3)*((P3-R3)/ABS(P3-R3))</f>
        <v>-0.34944213763936949</v>
      </c>
      <c r="H3" s="206">
        <f>'Yearly-Sector-Raw-Contribute'!G33</f>
        <v>-7.0362018329151611E-3</v>
      </c>
      <c r="J3" s="225">
        <f>_xll.ciqfunctions.udf.CIQ(A3,"IQ_CLOSEPRICE",$A$16,"USD")</f>
        <v>210.02</v>
      </c>
      <c r="K3" s="225">
        <f>_xll.ciqfunctions.udf.CIQ(A3,"IQ_CLOSEPRICE",$A$17,"USD")</f>
        <v>196.98</v>
      </c>
      <c r="L3" s="225">
        <f>_xll.ciqfunctions.udf.CIQ(A3,"IQ_CLOSEPRICE",$A$19,"USD")</f>
        <v>148.03</v>
      </c>
      <c r="M3" s="225">
        <f>_xll.ciqfunctions.udf.CIQ(A3,"IQ_CLOSEPRICE",$A$18,"USD")</f>
        <v>152.59</v>
      </c>
      <c r="N3" s="225">
        <f>_xll.ciqfunctions.udf.CIQ(A3,"IQ_OPENPRICE",$A$20,"USD")</f>
        <v>230.28</v>
      </c>
      <c r="O3" s="225">
        <f>_xll.ciqfunctions.udf.CIQ(A3,"IQ_YEARHIGH",$A$16,"USD")</f>
        <v>260.10000000000002</v>
      </c>
      <c r="P3" s="230" cm="1">
        <f t="array" ref="P3">_xll.ciqfunctions.udf.CIQ(A3,"IQ_YEARHIGH_DATE")</f>
        <v>45652</v>
      </c>
      <c r="Q3" s="225">
        <f>_xll.ciqfunctions.udf.CIQ(A3,"IQ_YEARLOW",$A$16,"USD")</f>
        <v>169.21010000000001</v>
      </c>
      <c r="R3" s="230" cm="1">
        <f t="array" ref="R3">_xll.ciqfunctions.udf.CIQ(A3,"IQ_YEARLOW_DATE")</f>
        <v>45755</v>
      </c>
      <c r="S3" s="225">
        <f>_xll.ciqfunctions.udf.CIQ(A3,"IQ_CLOSEPRICE",$A$21,"USD")</f>
        <v>250.42</v>
      </c>
      <c r="T3" s="230">
        <f t="shared" ref="T3:T15" si="5">P3-R3</f>
        <v>-103</v>
      </c>
    </row>
    <row r="4" spans="1:20">
      <c r="A4" s="208" t="s">
        <v>142</v>
      </c>
      <c r="B4" s="206">
        <f>holdings!X36</f>
        <v>0.31081780538302262</v>
      </c>
      <c r="C4" s="206">
        <f t="shared" si="0"/>
        <v>0.67524416632551598</v>
      </c>
      <c r="D4" s="206">
        <f t="shared" si="1"/>
        <v>4.1984465455601327</v>
      </c>
      <c r="E4" s="206">
        <f t="shared" si="2"/>
        <v>3.5291401827783568</v>
      </c>
      <c r="F4" s="206">
        <f t="shared" si="3"/>
        <v>0.8028195607023727</v>
      </c>
      <c r="G4" s="206">
        <f t="shared" si="4"/>
        <v>0.55425280976828084</v>
      </c>
      <c r="H4" s="206">
        <f>'Yearly-Sector-Raw-Contribute'!G34</f>
        <v>6.0829065009618969E-3</v>
      </c>
      <c r="J4" s="225">
        <f>_xll.ciqfunctions.udf.CIQ(A4,"IQ_CLOSEPRICE",$A$16,"USD")</f>
        <v>286.45</v>
      </c>
      <c r="K4" s="225">
        <f>_xll.ciqfunctions.udf.CIQ(A4,"IQ_CLOSEPRICE",$A$17,"USD")</f>
        <v>170.99</v>
      </c>
      <c r="L4" s="225">
        <f>_xll.ciqfunctions.udf.CIQ(A4,"IQ_CLOSEPRICE",$A$19,"USD")</f>
        <v>55.103000000000002</v>
      </c>
      <c r="M4" s="225">
        <f>_xll.ciqfunctions.udf.CIQ(A4,"IQ_CLOSEPRICE",$A$18,"USD")</f>
        <v>63.246000000000002</v>
      </c>
      <c r="N4" s="225">
        <f>_xll.ciqfunctions.udf.CIQ(A4,"IQ_OPENPRICE",$A$20,"USD")</f>
        <v>158.88999999999999</v>
      </c>
      <c r="O4" s="225">
        <f>_xll.ciqfunctions.udf.CIQ(A4,"IQ_YEARHIGH",$A$16,"USD")</f>
        <v>288.27999999999997</v>
      </c>
      <c r="P4" s="230" cm="1">
        <f t="array" ref="P4">_xll.ciqfunctions.udf.CIQ(A4,"IQ_YEARHIGH_DATE")</f>
        <v>45876</v>
      </c>
      <c r="Q4" s="225">
        <f>_xll.ciqfunctions.udf.CIQ(A4,"IQ_YEARLOW",$A$16,"USD")</f>
        <v>128.5</v>
      </c>
      <c r="R4" s="230" cm="1">
        <f t="array" ref="R4">_xll.ciqfunctions.udf.CIQ(A4,"IQ_YEARLOW_DATE")</f>
        <v>45544</v>
      </c>
      <c r="S4" s="225">
        <f>_xll.ciqfunctions.udf.CIQ(A4,"IQ_CLOSEPRICE",$A$21,"USD")</f>
        <v>231.84</v>
      </c>
      <c r="T4" s="230">
        <f t="shared" si="5"/>
        <v>332</v>
      </c>
    </row>
    <row r="5" spans="1:20" ht="28">
      <c r="A5" s="208" t="s">
        <v>133</v>
      </c>
      <c r="B5" s="206">
        <f>holdings!X37</f>
        <v>0.20039250615730309</v>
      </c>
      <c r="C5" s="206">
        <f t="shared" si="0"/>
        <v>0.47405102680571676</v>
      </c>
      <c r="D5" s="206">
        <f t="shared" si="1"/>
        <v>1.4217737408143312</v>
      </c>
      <c r="E5" s="206">
        <f t="shared" si="2"/>
        <v>1.3009807770103237</v>
      </c>
      <c r="F5" s="206">
        <f t="shared" si="3"/>
        <v>0.27056373470435946</v>
      </c>
      <c r="G5" s="206">
        <f t="shared" si="4"/>
        <v>0.32758605816169739</v>
      </c>
      <c r="H5" s="206">
        <f>'Yearly-Sector-Raw-Contribute'!G35</f>
        <v>3.957574916613151E-3</v>
      </c>
      <c r="J5" s="225">
        <f>_xll.ciqfunctions.udf.CIQ(A5,"IQ_CLOSEPRICE",$A$16,"USD")</f>
        <v>38.393590000000003</v>
      </c>
      <c r="K5" s="225">
        <f>_xll.ciqfunctions.udf.CIQ(A5,"IQ_CLOSEPRICE",$A$17,"USD")</f>
        <v>26.046309999999998</v>
      </c>
      <c r="L5" s="225">
        <f>_xll.ciqfunctions.udf.CIQ(A5,"IQ_CLOSEPRICE",$A$19,"USD")</f>
        <v>15.8535</v>
      </c>
      <c r="M5" s="225">
        <f>_xll.ciqfunctions.udf.CIQ(A5,"IQ_CLOSEPRICE",$A$18,"USD")</f>
        <v>16.685749999999999</v>
      </c>
      <c r="N5" s="225">
        <f>_xll.ciqfunctions.udf.CIQ(A5,"IQ_OPENPRICE",$A$20,"USD")</f>
        <v>30.217759999999998</v>
      </c>
      <c r="O5" s="225">
        <f>_xll.ciqfunctions.udf.CIQ(A5,"IQ_YEARHIGH",$A$16,"USD")</f>
        <v>39.412880000000001</v>
      </c>
      <c r="P5" s="230" cm="1">
        <f t="array" ref="P5">_xll.ciqfunctions.udf.CIQ(A5,"IQ_YEARHIGH_DATE")</f>
        <v>45880</v>
      </c>
      <c r="Q5" s="225">
        <f>_xll.ciqfunctions.udf.CIQ(A5,"IQ_YEARLOW",$A$16,"USD")</f>
        <v>26.50177</v>
      </c>
      <c r="R5" s="230" cm="1">
        <f t="array" ref="R5">_xll.ciqfunctions.udf.CIQ(A5,"IQ_YEARLOW_DATE")</f>
        <v>45756</v>
      </c>
      <c r="S5" s="225">
        <f>_xll.ciqfunctions.udf.CIQ(A5,"IQ_CLOSEPRICE",$A$21,"USD")</f>
        <v>32.79439</v>
      </c>
      <c r="T5" s="230">
        <f t="shared" si="5"/>
        <v>124</v>
      </c>
    </row>
    <row r="6" spans="1:20" ht="28">
      <c r="A6" s="208" t="s">
        <v>130</v>
      </c>
      <c r="B6" s="206">
        <f>holdings!X38</f>
        <v>0.62541131846704223</v>
      </c>
      <c r="C6" s="206">
        <f t="shared" si="0"/>
        <v>0.56663493878567683</v>
      </c>
      <c r="D6" s="206">
        <f t="shared" si="1"/>
        <v>2.0009808942496234</v>
      </c>
      <c r="E6" s="206">
        <f t="shared" si="2"/>
        <v>2.1172274210874904</v>
      </c>
      <c r="F6" s="206">
        <f t="shared" si="3"/>
        <v>0.26016755281918269</v>
      </c>
      <c r="G6" s="206">
        <f t="shared" si="4"/>
        <v>0.52789557872812731</v>
      </c>
      <c r="H6" s="206">
        <f>'Yearly-Sector-Raw-Contribute'!G36</f>
        <v>2.2704317042930557E-2</v>
      </c>
      <c r="J6" s="225">
        <f>_xll.ciqfunctions.udf.CIQ(A6,"IQ_CLOSEPRICE",$A$16,"USD")</f>
        <v>193.72334000000001</v>
      </c>
      <c r="K6" s="225">
        <f>_xll.ciqfunctions.udf.CIQ(A6,"IQ_CLOSEPRICE",$A$17,"USD")</f>
        <v>123.6557</v>
      </c>
      <c r="L6" s="225">
        <f>_xll.ciqfunctions.udf.CIQ(A6,"IQ_CLOSEPRICE",$A$19,"USD")</f>
        <v>64.553340000000006</v>
      </c>
      <c r="M6" s="225">
        <f>_xll.ciqfunctions.udf.CIQ(A6,"IQ_CLOSEPRICE",$A$18,"USD")</f>
        <v>62.146039999999999</v>
      </c>
      <c r="N6" s="225">
        <f>_xll.ciqfunctions.udf.CIQ(A6,"IQ_OPENPRICE",$A$20,"USD")</f>
        <v>153.72824</v>
      </c>
      <c r="O6" s="225">
        <f>_xll.ciqfunctions.udf.CIQ(A6,"IQ_YEARHIGH",$A$16,"USD")</f>
        <v>220.31986000000001</v>
      </c>
      <c r="P6" s="230" cm="1">
        <f t="array" ref="P6">_xll.ciqfunctions.udf.CIQ(A6,"IQ_YEARHIGH_DATE")</f>
        <v>45849</v>
      </c>
      <c r="Q6" s="225">
        <f>_xll.ciqfunctions.udf.CIQ(A6,"IQ_YEARLOW",$A$16,"USD")</f>
        <v>104.01398</v>
      </c>
      <c r="R6" s="230" cm="1">
        <f t="array" ref="R6">_xll.ciqfunctions.udf.CIQ(A6,"IQ_YEARLOW_DATE")</f>
        <v>45554</v>
      </c>
      <c r="S6" s="225">
        <f>_xll.ciqfunctions.udf.CIQ(A6,"IQ_CLOSEPRICE",$A$21,"USD")</f>
        <v>0</v>
      </c>
      <c r="T6" s="230">
        <f t="shared" si="5"/>
        <v>295</v>
      </c>
    </row>
    <row r="7" spans="1:20" ht="28">
      <c r="A7" s="208" t="s">
        <v>141</v>
      </c>
      <c r="B7" s="206">
        <f>holdings!X39</f>
        <v>4.0731228718185353E-2</v>
      </c>
      <c r="C7" s="206">
        <f t="shared" si="0"/>
        <v>0.16363096725818549</v>
      </c>
      <c r="D7" s="206">
        <f t="shared" si="1"/>
        <v>0.22493915674537912</v>
      </c>
      <c r="E7" s="206">
        <f t="shared" si="2"/>
        <v>0.20088666774141539</v>
      </c>
      <c r="F7" s="206">
        <f t="shared" si="3"/>
        <v>-0.21876245411641326</v>
      </c>
      <c r="G7" s="206">
        <f t="shared" si="4"/>
        <v>-0.39562896334137759</v>
      </c>
      <c r="H7" s="206">
        <f>'Yearly-Sector-Raw-Contribute'!G37</f>
        <v>1.0528883739487516E-3</v>
      </c>
      <c r="J7" s="225">
        <f>_xll.ciqfunctions.udf.CIQ(A7,"IQ_CLOSEPRICE",$A$16,"USD")</f>
        <v>744.91</v>
      </c>
      <c r="K7" s="225">
        <f>_xll.ciqfunctions.udf.CIQ(A7,"IQ_CLOSEPRICE",$A$17,"USD")</f>
        <v>640.16</v>
      </c>
      <c r="L7" s="225">
        <f>_xll.ciqfunctions.udf.CIQ(A7,"IQ_CLOSEPRICE",$A$19,"USD")</f>
        <v>608.12</v>
      </c>
      <c r="M7" s="225">
        <f>_xll.ciqfunctions.udf.CIQ(A7,"IQ_CLOSEPRICE",$A$18,"USD")</f>
        <v>620.29999999999995</v>
      </c>
      <c r="N7" s="225">
        <f>_xll.ciqfunctions.udf.CIQ(A7,"IQ_OPENPRICE",$A$20,"USD")</f>
        <v>953.5</v>
      </c>
      <c r="O7" s="225">
        <f>_xll.ciqfunctions.udf.CIQ(A7,"IQ_YEARHIGH",$A$16,"USD")</f>
        <v>957.21</v>
      </c>
      <c r="P7" s="230" cm="1">
        <f t="array" ref="P7">_xll.ciqfunctions.udf.CIQ(A7,"IQ_YEARHIGH_DATE")</f>
        <v>45525</v>
      </c>
      <c r="Q7" s="225">
        <f>_xll.ciqfunctions.udf.CIQ(A7,"IQ_YEARLOW",$A$16,"USD")</f>
        <v>578.51</v>
      </c>
      <c r="R7" s="230" cm="1">
        <f t="array" ref="R7">_xll.ciqfunctions.udf.CIQ(A7,"IQ_YEARLOW_DATE")</f>
        <v>45754</v>
      </c>
      <c r="S7" s="225">
        <f>_xll.ciqfunctions.udf.CIQ(A7,"IQ_CLOSEPRICE",$A$21,"USD")</f>
        <v>693.08</v>
      </c>
      <c r="T7" s="230">
        <f t="shared" si="5"/>
        <v>-229</v>
      </c>
    </row>
    <row r="8" spans="1:20">
      <c r="A8" s="208" t="s">
        <v>154</v>
      </c>
      <c r="B8" s="206">
        <f>holdings!X40</f>
        <v>-0.30031688546853785</v>
      </c>
      <c r="C8" s="206">
        <f t="shared" si="0"/>
        <v>0.3928433268858802</v>
      </c>
      <c r="D8" s="206">
        <f t="shared" si="1"/>
        <v>0.54793637145313845</v>
      </c>
      <c r="E8" s="206">
        <f t="shared" si="2"/>
        <v>0.86506086506086532</v>
      </c>
      <c r="F8" s="206">
        <f t="shared" si="3"/>
        <v>3.2549469457986868E-2</v>
      </c>
      <c r="G8" s="206">
        <f t="shared" si="4"/>
        <v>-0.63064794477565111</v>
      </c>
      <c r="H8" s="206">
        <f>'Yearly-Sector-Raw-Contribute'!G38</f>
        <v>-9.1401241187526634E-3</v>
      </c>
      <c r="J8" s="225">
        <f>_xll.ciqfunctions.udf.CIQ(A8,"IQ_CLOSEPRICE",$A$16,"USD")</f>
        <v>72.010000000000005</v>
      </c>
      <c r="K8" s="225">
        <f>_xll.ciqfunctions.udf.CIQ(A8,"IQ_CLOSEPRICE",$A$17,"USD")</f>
        <v>51.7</v>
      </c>
      <c r="L8" s="225">
        <f>_xll.ciqfunctions.udf.CIQ(A8,"IQ_CLOSEPRICE",$A$19,"USD")</f>
        <v>46.52</v>
      </c>
      <c r="M8" s="225">
        <f>_xll.ciqfunctions.udf.CIQ(A8,"IQ_CLOSEPRICE",$A$18,"USD")</f>
        <v>38.61</v>
      </c>
      <c r="N8" s="225">
        <f>_xll.ciqfunctions.udf.CIQ(A8,"IQ_OPENPRICE",$A$20,"USD")</f>
        <v>69.739999999999995</v>
      </c>
      <c r="O8" s="225">
        <f>_xll.ciqfunctions.udf.CIQ(A8,"IQ_YEARHIGH",$A$16,"USD")</f>
        <v>127.48</v>
      </c>
      <c r="P8" s="230" cm="1">
        <f t="array" ref="P8">_xll.ciqfunctions.udf.CIQ(A8,"IQ_YEARHIGH_DATE")</f>
        <v>45680</v>
      </c>
      <c r="Q8" s="225">
        <f>_xll.ciqfunctions.udf.CIQ(A8,"IQ_YEARLOW",$A$16,"USD")</f>
        <v>47.085000000000001</v>
      </c>
      <c r="R8" s="230" cm="1">
        <f t="array" ref="R8">_xll.ciqfunctions.udf.CIQ(A8,"IQ_YEARLOW_DATE")</f>
        <v>45754</v>
      </c>
      <c r="S8" s="225">
        <f>_xll.ciqfunctions.udf.CIQ(A8,"IQ_CLOSEPRICE",$A$21,"USD")</f>
        <v>110.45</v>
      </c>
      <c r="T8" s="230">
        <f t="shared" si="5"/>
        <v>-74</v>
      </c>
    </row>
    <row r="9" spans="1:20">
      <c r="A9" s="208" t="s">
        <v>174</v>
      </c>
      <c r="B9" s="206">
        <f>holdings!X41</f>
        <v>0.23078954317401656</v>
      </c>
      <c r="C9" s="206">
        <f t="shared" si="0"/>
        <v>0.79101215680917925</v>
      </c>
      <c r="D9" s="206">
        <f t="shared" si="1"/>
        <v>8.4671480144404345</v>
      </c>
      <c r="E9" s="206">
        <f t="shared" si="2"/>
        <v>8.3992831541218642</v>
      </c>
      <c r="F9" s="206">
        <f t="shared" si="3"/>
        <v>0.56785842401052267</v>
      </c>
      <c r="G9" s="206">
        <f t="shared" si="4"/>
        <v>-0.65605749486652987</v>
      </c>
      <c r="H9" s="206">
        <f>'Yearly-Sector-Raw-Contribute'!G39</f>
        <v>2.2057239806280576E-3</v>
      </c>
      <c r="J9" s="225">
        <f>_xll.ciqfunctions.udf.CIQ(A9,"IQ_CLOSEPRICE",$A$16,"USD")</f>
        <v>131.12</v>
      </c>
      <c r="K9" s="225">
        <f>_xll.ciqfunctions.udf.CIQ(A9,"IQ_CLOSEPRICE",$A$17,"USD")</f>
        <v>73.209999999999994</v>
      </c>
      <c r="L9" s="225">
        <f>_xll.ciqfunctions.udf.CIQ(A9,"IQ_CLOSEPRICE",$A$19,"USD")</f>
        <v>13.85</v>
      </c>
      <c r="M9" s="225">
        <f>_xll.ciqfunctions.udf.CIQ(A9,"IQ_CLOSEPRICE",$A$18,"USD")</f>
        <v>13.95</v>
      </c>
      <c r="N9" s="225">
        <f>_xll.ciqfunctions.udf.CIQ(A9,"IQ_OPENPRICE",$A$20,"USD")</f>
        <v>83.63</v>
      </c>
      <c r="O9" s="225">
        <f>_xll.ciqfunctions.udf.CIQ(A9,"IQ_YEARHIGH",$A$16,"USD")</f>
        <v>155.84</v>
      </c>
      <c r="P9" s="230" cm="1">
        <f t="array" ref="P9">_xll.ciqfunctions.udf.CIQ(A9,"IQ_YEARHIGH_DATE")</f>
        <v>45681</v>
      </c>
      <c r="Q9" s="225">
        <f>_xll.ciqfunctions.udf.CIQ(A9,"IQ_YEARLOW",$A$16,"USD")</f>
        <v>53.6</v>
      </c>
      <c r="R9" s="230" cm="1">
        <f t="array" ref="R9">_xll.ciqfunctions.udf.CIQ(A9,"IQ_YEARLOW_DATE")</f>
        <v>45754</v>
      </c>
      <c r="S9" s="225">
        <f>_xll.ciqfunctions.udf.CIQ(A9,"IQ_CLOSEPRICE",$A$21,"USD")</f>
        <v>113.61</v>
      </c>
      <c r="T9" s="230">
        <f t="shared" si="5"/>
        <v>-73</v>
      </c>
    </row>
    <row r="10" spans="1:20">
      <c r="A10" s="208" t="s">
        <v>139</v>
      </c>
      <c r="B10" s="206">
        <f>holdings!X42</f>
        <v>0.24536324979643531</v>
      </c>
      <c r="C10" s="206">
        <f t="shared" si="0"/>
        <v>0.57275280898876413</v>
      </c>
      <c r="D10" s="206">
        <f t="shared" si="1"/>
        <v>2.2155061019382627</v>
      </c>
      <c r="E10" s="206">
        <f t="shared" si="2"/>
        <v>1.9247143323539015</v>
      </c>
      <c r="F10" s="206">
        <f t="shared" si="3"/>
        <v>0.32262446111143905</v>
      </c>
      <c r="G10" s="206">
        <f t="shared" si="4"/>
        <v>0.5550814149354294</v>
      </c>
      <c r="H10" s="206">
        <f>'Yearly-Sector-Raw-Contribute'!G40</f>
        <v>1.9298028534690717E-4</v>
      </c>
      <c r="J10" s="225">
        <f>_xll.ciqfunctions.udf.CIQ(A10,"IQ_CLOSEPRICE",$A$16,"USD")</f>
        <v>111.98</v>
      </c>
      <c r="K10" s="225">
        <f>_xll.ciqfunctions.udf.CIQ(A10,"IQ_CLOSEPRICE",$A$17,"USD")</f>
        <v>71.2</v>
      </c>
      <c r="L10" s="225">
        <f>_xll.ciqfunctions.udf.CIQ(A10,"IQ_CLOSEPRICE",$A$19,"USD")</f>
        <v>34.825000000000003</v>
      </c>
      <c r="M10" s="225">
        <f>_xll.ciqfunctions.udf.CIQ(A10,"IQ_CLOSEPRICE",$A$18,"USD")</f>
        <v>38.287500000000001</v>
      </c>
      <c r="N10" s="225">
        <f>_xll.ciqfunctions.udf.CIQ(A10,"IQ_OPENPRICE",$A$20,"USD")</f>
        <v>84.665000000000006</v>
      </c>
      <c r="O10" s="225">
        <f>_xll.ciqfunctions.udf.CIQ(A10,"IQ_YEARHIGH",$A$16,"USD")</f>
        <v>133.57499999999999</v>
      </c>
      <c r="P10" s="230" cm="1">
        <f t="array" ref="P10">_xll.ciqfunctions.udf.CIQ(A10,"IQ_YEARHIGH_DATE")</f>
        <v>45880</v>
      </c>
      <c r="Q10" s="225">
        <f>_xll.ciqfunctions.udf.CIQ(A10,"IQ_YEARLOW",$A$16,"USD")</f>
        <v>59.43</v>
      </c>
      <c r="R10" s="230" cm="1">
        <f t="array" ref="R10">_xll.ciqfunctions.udf.CIQ(A10,"IQ_YEARLOW_DATE")</f>
        <v>45754</v>
      </c>
      <c r="S10" s="225">
        <f>_xll.ciqfunctions.udf.CIQ(A10,"IQ_CLOSEPRICE",$A$21,"USD")</f>
        <v>110.53</v>
      </c>
      <c r="T10" s="230">
        <f t="shared" si="5"/>
        <v>126</v>
      </c>
    </row>
    <row r="11" spans="1:20" ht="28">
      <c r="A11" s="208" t="s">
        <v>135</v>
      </c>
      <c r="B11" s="206">
        <f>holdings!X43</f>
        <v>4.7207375338688129E-2</v>
      </c>
      <c r="C11" s="206">
        <f t="shared" si="0"/>
        <v>0.14611296032585019</v>
      </c>
      <c r="D11" s="206">
        <f t="shared" si="1"/>
        <v>0.99141617690341444</v>
      </c>
      <c r="E11" s="206">
        <f t="shared" si="2"/>
        <v>0.89685778961641516</v>
      </c>
      <c r="F11" s="206">
        <f t="shared" si="3"/>
        <v>0.21586672594855094</v>
      </c>
      <c r="G11" s="206">
        <f t="shared" si="4"/>
        <v>0.37714278986971062</v>
      </c>
      <c r="H11" s="206">
        <f>'Yearly-Sector-Raw-Contribute'!G41</f>
        <v>6.3784960778604037E-4</v>
      </c>
      <c r="J11" s="225">
        <f>_xll.ciqfunctions.udf.CIQ(A11,"IQ_CLOSEPRICE",$A$16,"USD")</f>
        <v>47.227510000000002</v>
      </c>
      <c r="K11" s="225">
        <f>_xll.ciqfunctions.udf.CIQ(A11,"IQ_CLOSEPRICE",$A$17,"USD")</f>
        <v>41.206679999999999</v>
      </c>
      <c r="L11" s="225">
        <f>_xll.ciqfunctions.udf.CIQ(A11,"IQ_CLOSEPRICE",$A$19,"USD")</f>
        <v>23.715540000000001</v>
      </c>
      <c r="M11" s="225">
        <f>_xll.ciqfunctions.udf.CIQ(A11,"IQ_CLOSEPRICE",$A$18,"USD")</f>
        <v>24.897760000000002</v>
      </c>
      <c r="N11" s="225">
        <f>_xll.ciqfunctions.udf.CIQ(A11,"IQ_OPENPRICE",$A$20,"USD")</f>
        <v>38.842669999999998</v>
      </c>
      <c r="O11" s="225">
        <f>_xll.ciqfunctions.udf.CIQ(A11,"IQ_YEARHIGH",$A$16,"USD")</f>
        <v>53.513179999999998</v>
      </c>
      <c r="P11" s="230" cm="1">
        <f t="array" ref="P11">_xll.ciqfunctions.udf.CIQ(A11,"IQ_YEARHIGH_DATE")</f>
        <v>45714</v>
      </c>
      <c r="Q11" s="225">
        <f>_xll.ciqfunctions.udf.CIQ(A11,"IQ_YEARLOW",$A$16,"USD")</f>
        <v>33.331069999999997</v>
      </c>
      <c r="R11" s="230" cm="1">
        <f t="array" ref="R11">_xll.ciqfunctions.udf.CIQ(A11,"IQ_YEARLOW_DATE")</f>
        <v>45554</v>
      </c>
      <c r="S11" s="225">
        <f>_xll.ciqfunctions.udf.CIQ(A11,"IQ_CLOSEPRICE",$A$21,"USD")</f>
        <v>43.166559999999997</v>
      </c>
      <c r="T11" s="230">
        <f t="shared" si="5"/>
        <v>160</v>
      </c>
    </row>
    <row r="12" spans="1:20">
      <c r="A12" s="208" t="s">
        <v>156</v>
      </c>
      <c r="B12" s="206">
        <f>holdings!X44</f>
        <v>0.47005703422053235</v>
      </c>
      <c r="C12" s="206">
        <f t="shared" si="0"/>
        <v>0.64622093023255833</v>
      </c>
      <c r="D12" s="206">
        <f t="shared" si="1"/>
        <v>0.96461405030355607</v>
      </c>
      <c r="E12" s="206">
        <f t="shared" si="2"/>
        <v>1.0869725446839875</v>
      </c>
      <c r="F12" s="206">
        <f t="shared" si="3"/>
        <v>-6.008298755186714E-2</v>
      </c>
      <c r="G12" s="206">
        <f t="shared" si="4"/>
        <v>0.52606854062379671</v>
      </c>
      <c r="H12" s="206">
        <f>'Yearly-Sector-Raw-Contribute'!G42</f>
        <v>3.5392528834887428E-3</v>
      </c>
      <c r="J12" s="225">
        <f>_xll.ciqfunctions.udf.CIQ(A12,"IQ_CLOSEPRICE",$A$16,"USD")</f>
        <v>113.26</v>
      </c>
      <c r="K12" s="225">
        <f>_xll.ciqfunctions.udf.CIQ(A12,"IQ_CLOSEPRICE",$A$17,"USD")</f>
        <v>68.8</v>
      </c>
      <c r="L12" s="225">
        <f>_xll.ciqfunctions.udf.CIQ(A12,"IQ_CLOSEPRICE",$A$19,"USD")</f>
        <v>57.65</v>
      </c>
      <c r="M12" s="225">
        <f>_xll.ciqfunctions.udf.CIQ(A12,"IQ_CLOSEPRICE",$A$18,"USD")</f>
        <v>54.27</v>
      </c>
      <c r="N12" s="225">
        <f>_xll.ciqfunctions.udf.CIQ(A12,"IQ_OPENPRICE",$A$20,"USD")</f>
        <v>120.5</v>
      </c>
      <c r="O12" s="225">
        <f>_xll.ciqfunctions.udf.CIQ(A12,"IQ_YEARHIGH",$A$16,"USD")</f>
        <v>129.85</v>
      </c>
      <c r="P12" s="230" cm="1">
        <f t="array" ref="P12">_xll.ciqfunctions.udf.CIQ(A12,"IQ_YEARHIGH_DATE")</f>
        <v>45834</v>
      </c>
      <c r="Q12" s="225">
        <f>_xll.ciqfunctions.udf.CIQ(A12,"IQ_YEARLOW",$A$16,"USD")</f>
        <v>61.54</v>
      </c>
      <c r="R12" s="230" cm="1">
        <f t="array" ref="R12">_xll.ciqfunctions.udf.CIQ(A12,"IQ_YEARLOW_DATE")</f>
        <v>45754</v>
      </c>
      <c r="S12" s="225">
        <f>_xll.ciqfunctions.udf.CIQ(A12,"IQ_CLOSEPRICE",$A$21,"USD")</f>
        <v>84.16</v>
      </c>
      <c r="T12" s="230">
        <f t="shared" si="5"/>
        <v>80</v>
      </c>
    </row>
    <row r="13" spans="1:20">
      <c r="A13" s="208" t="s">
        <v>165</v>
      </c>
      <c r="B13" s="206">
        <f>holdings!X45</f>
        <v>-3.6779065225882035E-2</v>
      </c>
      <c r="C13" s="206">
        <f t="shared" si="0"/>
        <v>0.11671301039075099</v>
      </c>
      <c r="D13" s="206">
        <f t="shared" si="1"/>
        <v>0.20649853743378932</v>
      </c>
      <c r="E13" s="206">
        <f t="shared" si="2"/>
        <v>0.3093951093951095</v>
      </c>
      <c r="F13" s="206">
        <f t="shared" si="3"/>
        <v>-0.21245742594695005</v>
      </c>
      <c r="G13" s="206">
        <f t="shared" si="4"/>
        <v>-0.38441754993885041</v>
      </c>
      <c r="H13" s="206">
        <f>'Yearly-Sector-Raw-Contribute'!G43</f>
        <v>-6.6655136106940366E-5</v>
      </c>
      <c r="J13" s="225">
        <f>_xll.ciqfunctions.udf.CIQ(A13,"IQ_CLOSEPRICE",$A$16,"USD")</f>
        <v>152.61000000000001</v>
      </c>
      <c r="K13" s="225">
        <f>_xll.ciqfunctions.udf.CIQ(A13,"IQ_CLOSEPRICE",$A$17,"USD")</f>
        <v>136.66</v>
      </c>
      <c r="L13" s="225">
        <f>_xll.ciqfunctions.udf.CIQ(A13,"IQ_CLOSEPRICE",$A$19,"USD")</f>
        <v>126.49</v>
      </c>
      <c r="M13" s="225">
        <f>_xll.ciqfunctions.udf.CIQ(A13,"IQ_CLOSEPRICE",$A$18,"USD")</f>
        <v>116.55</v>
      </c>
      <c r="N13" s="225">
        <f>_xll.ciqfunctions.udf.CIQ(A13,"IQ_OPENPRICE",$A$20,"USD")</f>
        <v>193.78</v>
      </c>
      <c r="O13" s="225">
        <f>_xll.ciqfunctions.udf.CIQ(A13,"IQ_YEARHIGH",$A$16,"USD")</f>
        <v>196.24</v>
      </c>
      <c r="P13" s="230" cm="1">
        <f t="array" ref="P13">_xll.ciqfunctions.udf.CIQ(A13,"IQ_YEARHIGH_DATE")</f>
        <v>45603</v>
      </c>
      <c r="Q13" s="225">
        <f>_xll.ciqfunctions.udf.CIQ(A13,"IQ_YEARLOW",$A$16,"USD")</f>
        <v>120.8019</v>
      </c>
      <c r="R13" s="230" cm="1">
        <f t="array" ref="R13">_xll.ciqfunctions.udf.CIQ(A13,"IQ_YEARLOW_DATE")</f>
        <v>45754</v>
      </c>
      <c r="S13" s="225">
        <f>_xll.ciqfunctions.udf.CIQ(A13,"IQ_CLOSEPRICE",$A$21,"USD")</f>
        <v>153.62</v>
      </c>
      <c r="T13" s="230">
        <f t="shared" si="5"/>
        <v>-151</v>
      </c>
    </row>
    <row r="14" spans="1:20">
      <c r="A14" s="208" t="s">
        <v>170</v>
      </c>
      <c r="B14" s="206">
        <f>holdings!X46</f>
        <v>0.26940827427064451</v>
      </c>
      <c r="C14" s="206">
        <f t="shared" si="0"/>
        <v>0.42507016355366312</v>
      </c>
      <c r="D14" s="206">
        <f t="shared" si="1"/>
        <v>0.73472933969488108</v>
      </c>
      <c r="E14" s="206">
        <f t="shared" si="2"/>
        <v>0.59260761410339624</v>
      </c>
      <c r="F14" s="206">
        <f t="shared" si="3"/>
        <v>2.205448551101874E-2</v>
      </c>
      <c r="G14" s="206">
        <f t="shared" si="4"/>
        <v>0.38425536213340517</v>
      </c>
      <c r="H14" s="206">
        <f>'Yearly-Sector-Raw-Contribute'!G44</f>
        <v>2.0920067650038667E-3</v>
      </c>
      <c r="J14" s="225">
        <f>_xll.ciqfunctions.udf.CIQ(A14,"IQ_CLOSEPRICE",$A$16,"USD")</f>
        <v>589.01</v>
      </c>
      <c r="K14" s="225">
        <f>_xll.ciqfunctions.udf.CIQ(A14,"IQ_CLOSEPRICE",$A$17,"USD")</f>
        <v>413.32</v>
      </c>
      <c r="L14" s="225">
        <f>_xll.ciqfunctions.udf.CIQ(A14,"IQ_CLOSEPRICE",$A$19,"USD")</f>
        <v>339.54</v>
      </c>
      <c r="M14" s="225">
        <f>_xll.ciqfunctions.udf.CIQ(A14,"IQ_CLOSEPRICE",$A$18,"USD")</f>
        <v>369.84</v>
      </c>
      <c r="N14" s="225">
        <f>_xll.ciqfunctions.udf.CIQ(A14,"IQ_OPENPRICE",$A$20,"USD")</f>
        <v>576.29999999999995</v>
      </c>
      <c r="O14" s="225">
        <f>_xll.ciqfunctions.udf.CIQ(A14,"IQ_YEARHIGH",$A$16,"USD")</f>
        <v>593.98</v>
      </c>
      <c r="P14" s="230" cm="1">
        <f t="array" ref="P14">_xll.ciqfunctions.udf.CIQ(A14,"IQ_YEARHIGH_DATE")</f>
        <v>45868</v>
      </c>
      <c r="Q14" s="225">
        <f>_xll.ciqfunctions.udf.CIQ(A14,"IQ_YEARLOW",$A$16,"USD")</f>
        <v>365.74</v>
      </c>
      <c r="R14" s="230" cm="1">
        <f t="array" ref="R14">_xll.ciqfunctions.udf.CIQ(A14,"IQ_YEARLOW_DATE")</f>
        <v>45754</v>
      </c>
      <c r="S14" s="225">
        <f>_xll.ciqfunctions.udf.CIQ(A14,"IQ_CLOSEPRICE",$A$21,"USD")</f>
        <v>485.36</v>
      </c>
      <c r="T14" s="230">
        <f t="shared" si="5"/>
        <v>114</v>
      </c>
    </row>
    <row r="15" spans="1:20">
      <c r="A15" s="208" t="s">
        <v>140</v>
      </c>
      <c r="B15" s="206">
        <f>holdings!X47</f>
        <v>0.1434014267185475</v>
      </c>
      <c r="C15" s="206">
        <f>J15/K15-1</f>
        <v>0.56040901419636646</v>
      </c>
      <c r="D15" s="206" t="e">
        <f>J15/L15-1</f>
        <v>#DIV/0!</v>
      </c>
      <c r="E15" s="206" t="e">
        <f>J15/M15-1</f>
        <v>#DIV/0!</v>
      </c>
      <c r="F15" s="206">
        <f>J15/N15-1</f>
        <v>-5.2276153150437099E-2</v>
      </c>
      <c r="G15" s="206">
        <f t="shared" si="4"/>
        <v>-0.56255468066491687</v>
      </c>
      <c r="H15" s="206">
        <f>'Yearly-Sector-Raw-Contribute'!G45</f>
        <v>2.4214211644283047E-3</v>
      </c>
      <c r="J15" s="225">
        <f>_xll.ciqfunctions.udf.CIQ(A15,"IQ_CLOSEPRICE",$A$16,"USD")</f>
        <v>157.18</v>
      </c>
      <c r="K15" s="225">
        <f>_xll.ciqfunctions.udf.CIQ(A15,"IQ_CLOSEPRICE",$A$17,"USD")</f>
        <v>100.73</v>
      </c>
      <c r="L15" s="225">
        <f>_xll.ciqfunctions.udf.CIQ(A15,"IQ_CLOSEPRICE",$A$19,"USD")</f>
        <v>0</v>
      </c>
      <c r="M15" s="225">
        <f>_xll.ciqfunctions.udf.CIQ(A15,"IQ_CLOSEPRICE",$A$18,"USD")</f>
        <v>0</v>
      </c>
      <c r="N15" s="225">
        <f>_xll.ciqfunctions.udf.CIQ(A15,"IQ_OPENPRICE",$A$20,"USD")</f>
        <v>165.85</v>
      </c>
      <c r="O15" s="225">
        <f>_xll.ciqfunctions.udf.CIQ(A15,"IQ_YEARHIGH",$A$16,"USD")</f>
        <v>182.88</v>
      </c>
      <c r="P15" s="230" cm="1">
        <f t="array" ref="P15">_xll.ciqfunctions.udf.CIQ(A15,"IQ_YEARHIGH_DATE")</f>
        <v>45679</v>
      </c>
      <c r="Q15" s="225">
        <f>_xll.ciqfunctions.udf.CIQ(A15,"IQ_YEARLOW",$A$16,"USD")</f>
        <v>80</v>
      </c>
      <c r="R15" s="230" cm="1">
        <f t="array" ref="R15">_xll.ciqfunctions.udf.CIQ(A15,"IQ_YEARLOW_DATE")</f>
        <v>45754</v>
      </c>
      <c r="S15" s="225">
        <f>_xll.ciqfunctions.udf.CIQ(A15,"IQ_CLOSEPRICE",$A$21,"USD")</f>
        <v>123.36</v>
      </c>
      <c r="T15" s="230">
        <f t="shared" si="5"/>
        <v>-75</v>
      </c>
    </row>
    <row r="16" spans="1:20">
      <c r="A16" s="19" t="s">
        <v>268</v>
      </c>
      <c r="B16" s="1"/>
      <c r="C16" s="206"/>
      <c r="D16" s="206"/>
      <c r="E16" s="206"/>
      <c r="F16" s="206"/>
      <c r="G16" s="206"/>
      <c r="H16" s="55">
        <f>SUM(H2:H15)</f>
        <v>4.0945083877419727E-2</v>
      </c>
      <c r="J16" s="225"/>
      <c r="K16" s="225"/>
      <c r="L16" s="225"/>
      <c r="M16" s="225"/>
      <c r="N16" s="225"/>
      <c r="O16" s="225"/>
      <c r="P16" s="225"/>
      <c r="Q16" s="225"/>
      <c r="R16" s="225"/>
      <c r="S16" s="225"/>
    </row>
    <row r="17" spans="1:19">
      <c r="A17" s="19" t="s">
        <v>269</v>
      </c>
      <c r="B17" s="1"/>
      <c r="C17" s="206"/>
      <c r="D17" s="206"/>
      <c r="E17" s="206"/>
      <c r="F17" s="206"/>
      <c r="G17" s="206"/>
      <c r="H17" s="1"/>
      <c r="J17" s="225"/>
      <c r="K17" s="225"/>
      <c r="L17" s="225"/>
      <c r="M17" s="225"/>
      <c r="N17" s="225"/>
      <c r="O17" s="225"/>
      <c r="P17" s="225"/>
      <c r="Q17" s="225"/>
      <c r="R17" s="225"/>
      <c r="S17" s="225"/>
    </row>
    <row r="18" spans="1:19">
      <c r="A18" s="19" t="s">
        <v>281</v>
      </c>
      <c r="B18" s="1"/>
      <c r="C18" s="206"/>
      <c r="D18" s="206"/>
      <c r="E18" s="206"/>
      <c r="F18" s="206"/>
      <c r="G18" s="206"/>
      <c r="H18" s="1"/>
      <c r="J18" s="225"/>
      <c r="K18" s="225"/>
      <c r="L18" s="225"/>
      <c r="M18" s="225"/>
      <c r="N18" s="225"/>
      <c r="O18" s="225"/>
      <c r="P18" s="225"/>
      <c r="Q18" s="225"/>
      <c r="R18" s="225"/>
      <c r="S18" s="225"/>
    </row>
    <row r="19" spans="1:19" ht="28">
      <c r="A19" s="19" t="s">
        <v>273</v>
      </c>
      <c r="B19" s="1"/>
      <c r="H19" s="1"/>
    </row>
    <row r="20" spans="1:19">
      <c r="A20" s="19" t="s">
        <v>275</v>
      </c>
      <c r="B20" s="1"/>
      <c r="H20" s="1"/>
    </row>
    <row r="21" spans="1:19" ht="28">
      <c r="A21" s="19" t="s">
        <v>301</v>
      </c>
      <c r="B21" s="1"/>
      <c r="H21" s="1"/>
    </row>
    <row r="23" spans="1:19" ht="26">
      <c r="A23" s="19" t="s">
        <v>315</v>
      </c>
      <c r="B23" s="228" t="s">
        <v>262</v>
      </c>
      <c r="C23" s="228" t="s">
        <v>263</v>
      </c>
      <c r="D23" s="228" t="s">
        <v>264</v>
      </c>
      <c r="E23" s="228" t="s">
        <v>265</v>
      </c>
      <c r="F23" s="228" t="s">
        <v>266</v>
      </c>
      <c r="G23" s="228" t="s">
        <v>310</v>
      </c>
      <c r="H23" s="228" t="s">
        <v>307</v>
      </c>
    </row>
    <row r="24" spans="1:19">
      <c r="A24" s="208" t="s">
        <v>153</v>
      </c>
      <c r="B24" s="1">
        <f>B3*holdings!$U$4*0.01</f>
        <v>-6.7878313798108861E-3</v>
      </c>
      <c r="C24" s="1">
        <f>C3*holdings!$U$4*0.01</f>
        <v>4.8419398609809566E-3</v>
      </c>
      <c r="D24" s="1">
        <f>D3*holdings!$U$4*0.01</f>
        <v>3.0629212431371435E-2</v>
      </c>
      <c r="E24" s="1">
        <f>E3*holdings!$U$4*0.01</f>
        <v>2.752812780934194E-2</v>
      </c>
      <c r="F24" s="1">
        <f>F3*holdings!$U$4*0.01</f>
        <v>-6.4349792816616085E-3</v>
      </c>
      <c r="G24" s="1">
        <f>G3*holdings!$U$4*0.01</f>
        <v>-2.555872623206721E-2</v>
      </c>
      <c r="H24" s="263"/>
    </row>
    <row r="25" spans="1:19">
      <c r="A25" s="208" t="s">
        <v>144</v>
      </c>
      <c r="B25" s="1">
        <f>B4*holdings!$U$4*0.01</f>
        <v>2.2733684178738285E-2</v>
      </c>
      <c r="C25" s="1">
        <f>C4*holdings!$U$4*0.01</f>
        <v>4.938837915628045E-2</v>
      </c>
      <c r="D25" s="1">
        <f>D4*holdings!$U$4*0.01</f>
        <v>0.30708072753573412</v>
      </c>
      <c r="E25" s="1">
        <f>E4*holdings!$U$4*0.01</f>
        <v>0.25812664830738874</v>
      </c>
      <c r="F25" s="1">
        <f>F4*holdings!$U$4*0.01</f>
        <v>5.871943636893736E-2</v>
      </c>
      <c r="G25" s="1">
        <f>G4*holdings!$U$4*0.01</f>
        <v>4.0538888423470774E-2</v>
      </c>
      <c r="H25" s="264"/>
    </row>
    <row r="26" spans="1:19">
      <c r="A26" s="208" t="s">
        <v>159</v>
      </c>
      <c r="B26" s="1">
        <f>B5*holdings!$U$4*0.01</f>
        <v>1.4657010852875785E-2</v>
      </c>
      <c r="C26" s="1">
        <f>C5*holdings!$U$4*0.01</f>
        <v>3.4672808768877621E-2</v>
      </c>
      <c r="D26" s="1">
        <f>D5*holdings!$U$4*0.01</f>
        <v>0.10399068083459867</v>
      </c>
      <c r="E26" s="1">
        <f>E5*holdings!$U$4*0.01</f>
        <v>9.5155700847689373E-2</v>
      </c>
      <c r="F26" s="1">
        <f>F5*holdings!$U$4*0.01</f>
        <v>1.9789440593369598E-2</v>
      </c>
      <c r="G26" s="1">
        <f>G5*holdings!$U$4*0.01</f>
        <v>2.3960139537143134E-2</v>
      </c>
      <c r="H26" s="264"/>
    </row>
    <row r="27" spans="1:19">
      <c r="A27" s="208" t="s">
        <v>147</v>
      </c>
      <c r="B27" s="1">
        <f>B6*holdings!$U$4*0.01</f>
        <v>4.5743529326826182E-2</v>
      </c>
      <c r="C27" s="1">
        <f>C6*holdings!$U$4*0.01</f>
        <v>4.1444536059052614E-2</v>
      </c>
      <c r="D27" s="1">
        <f>D6*holdings!$U$4*0.01</f>
        <v>0.14635476767974429</v>
      </c>
      <c r="E27" s="1">
        <f>E6*holdings!$U$4*0.01</f>
        <v>0.15485721439366618</v>
      </c>
      <c r="F27" s="1">
        <f>F6*holdings!$U$4*0.01</f>
        <v>1.9029048133384623E-2</v>
      </c>
      <c r="G27" s="1">
        <f>G6*holdings!$U$4*0.01</f>
        <v>3.8611080698445197E-2</v>
      </c>
      <c r="H27" s="264"/>
    </row>
    <row r="28" spans="1:19">
      <c r="A28" s="208" t="s">
        <v>167</v>
      </c>
      <c r="B28" s="1">
        <f>B7*holdings!$U$4*0.01</f>
        <v>2.9791436457448166E-3</v>
      </c>
      <c r="C28" s="1">
        <f>C7*holdings!$U$4*0.01</f>
        <v>1.1968216321857612E-2</v>
      </c>
      <c r="D28" s="1">
        <f>D7*holdings!$U$4*0.01</f>
        <v>1.6452389986408661E-2</v>
      </c>
      <c r="E28" s="1">
        <f>E7*holdings!$U$4*0.01</f>
        <v>1.4693154578209119E-2</v>
      </c>
      <c r="F28" s="1">
        <f>F7*holdings!$U$4*0.01</f>
        <v>-1.6000616618213576E-2</v>
      </c>
      <c r="G28" s="1">
        <f>G7*holdings!$U$4*0.01</f>
        <v>-2.8936900488956922E-2</v>
      </c>
      <c r="H28" s="264"/>
    </row>
    <row r="29" spans="1:19">
      <c r="A29" s="208" t="s">
        <v>172</v>
      </c>
      <c r="B29" s="1">
        <f>B8*holdings!$U$4*0.01</f>
        <v>-2.1965631020947219E-2</v>
      </c>
      <c r="C29" s="1">
        <f>C8*holdings!$U$4*0.01</f>
        <v>2.8733154827288609E-2</v>
      </c>
      <c r="D29" s="1">
        <f>D8*holdings!$U$4*0.01</f>
        <v>4.0076894575936932E-2</v>
      </c>
      <c r="E29" s="1">
        <f>E8*holdings!$U$4*0.01</f>
        <v>6.3271859465854272E-2</v>
      </c>
      <c r="F29" s="1">
        <f>F8*holdings!$U$4*0.01</f>
        <v>2.3807174043053696E-3</v>
      </c>
      <c r="G29" s="1">
        <f>G8*holdings!$U$4*0.01</f>
        <v>-4.6126544091747025E-2</v>
      </c>
      <c r="H29" s="264"/>
    </row>
    <row r="30" spans="1:19">
      <c r="A30" s="208" t="s">
        <v>137</v>
      </c>
      <c r="B30" s="1">
        <f>B9*holdings!$U$4*0.01</f>
        <v>1.6880296094388292E-2</v>
      </c>
      <c r="C30" s="1">
        <f>C9*holdings!$U$4*0.01</f>
        <v>5.7855824997806664E-2</v>
      </c>
      <c r="D30" s="1">
        <f>D9*holdings!$U$4*0.01</f>
        <v>0.61930000637419691</v>
      </c>
      <c r="E30" s="1">
        <f>E9*holdings!$U$4*0.01</f>
        <v>0.61433626789269224</v>
      </c>
      <c r="F30" s="1">
        <f>F9*holdings!$U$4*0.01</f>
        <v>4.1534023618057553E-2</v>
      </c>
      <c r="G30" s="1">
        <f>G9*holdings!$U$4*0.01</f>
        <v>-4.7985036999442648E-2</v>
      </c>
      <c r="H30" s="264"/>
    </row>
    <row r="31" spans="1:19">
      <c r="A31" s="208" t="s">
        <v>151</v>
      </c>
      <c r="B31" s="1">
        <f>B10*holdings!$U$4*0.01</f>
        <v>1.7946239029219116E-2</v>
      </c>
      <c r="C31" s="1">
        <f>C10*holdings!$U$4*0.01</f>
        <v>4.1892006334676338E-2</v>
      </c>
      <c r="D31" s="1">
        <f>D10*holdings!$U$4*0.01</f>
        <v>0.16204546568837952</v>
      </c>
      <c r="E31" s="1">
        <f>E10*holdings!$U$4*0.01</f>
        <v>0.1407765160432303</v>
      </c>
      <c r="F31" s="1">
        <f>F10*holdings!$U$4*0.01</f>
        <v>2.3597240827966118E-2</v>
      </c>
      <c r="G31" s="1">
        <f>G10*holdings!$U$4*0.01</f>
        <v>4.0599493858077755E-2</v>
      </c>
      <c r="H31" s="264"/>
    </row>
    <row r="32" spans="1:19">
      <c r="A32" s="208" t="s">
        <v>175</v>
      </c>
      <c r="B32" s="1">
        <f>B11*holdings!$U$4*0.01</f>
        <v>3.4528188001790522E-3</v>
      </c>
      <c r="C32" s="1">
        <f>C11*holdings!$U$4*0.01</f>
        <v>1.0686922811178922E-2</v>
      </c>
      <c r="D32" s="1">
        <f>D11*holdings!$U$4*0.01</f>
        <v>7.2513677997436382E-2</v>
      </c>
      <c r="E32" s="1">
        <f>E11*holdings!$U$4*0.01</f>
        <v>6.5597534598301241E-2</v>
      </c>
      <c r="F32" s="1">
        <f>F11*holdings!$U$4*0.01</f>
        <v>1.5788818682266711E-2</v>
      </c>
      <c r="G32" s="1">
        <f>G11*holdings!$U$4*0.01</f>
        <v>2.7584793813921499E-2</v>
      </c>
      <c r="H32" s="264"/>
    </row>
    <row r="33" spans="1:8">
      <c r="A33" s="208" t="s">
        <v>166</v>
      </c>
      <c r="B33" s="1">
        <f>B12*holdings!$U$4*0.01</f>
        <v>3.4380682113096382E-2</v>
      </c>
      <c r="C33" s="1">
        <f>C12*holdings!$U$4*0.01</f>
        <v>4.7265575791237781E-2</v>
      </c>
      <c r="D33" s="1">
        <f>D12*holdings!$U$4*0.01</f>
        <v>7.0553329938582793E-2</v>
      </c>
      <c r="E33" s="1">
        <f>E12*holdings!$U$4*0.01</f>
        <v>7.9502815198614143E-2</v>
      </c>
      <c r="F33" s="1">
        <f>F12*holdings!$U$4*0.01</f>
        <v>-4.3945605427462408E-3</v>
      </c>
      <c r="G33" s="1">
        <f>G12*holdings!$U$4*0.01</f>
        <v>3.8477448369386096E-2</v>
      </c>
      <c r="H33" s="264"/>
    </row>
    <row r="34" spans="1:8">
      <c r="A34" s="208" t="s">
        <v>146</v>
      </c>
      <c r="B34" s="1">
        <f>B13*holdings!$U$4*0.01</f>
        <v>-2.690076433053949E-3</v>
      </c>
      <c r="C34" s="1">
        <f>C13*holdings!$U$4*0.01</f>
        <v>8.5365660262076547E-3</v>
      </c>
      <c r="D34" s="1">
        <f>D13*holdings!$U$4*0.01</f>
        <v>1.5103615211509862E-2</v>
      </c>
      <c r="E34" s="1">
        <f>E13*holdings!$U$4*0.01</f>
        <v>2.2629626043356634E-2</v>
      </c>
      <c r="F34" s="1">
        <f>F13*holdings!$U$4*0.01</f>
        <v>-1.5539457325984513E-2</v>
      </c>
      <c r="G34" s="1">
        <f>G13*holdings!$U$4*0.01</f>
        <v>-2.8116880763329428E-2</v>
      </c>
      <c r="H34" s="264"/>
    </row>
    <row r="35" spans="1:8">
      <c r="A35" s="208" t="s">
        <v>168</v>
      </c>
      <c r="B35" s="1">
        <f>B14*holdings!$U$4*0.01</f>
        <v>1.9704928470427565E-2</v>
      </c>
      <c r="C35" s="1">
        <f>C14*holdings!$U$4*0.01</f>
        <v>3.1090274381563594E-2</v>
      </c>
      <c r="D35" s="1">
        <f>D14*holdings!$U$4*0.01</f>
        <v>5.373921466594557E-2</v>
      </c>
      <c r="E35" s="1">
        <f>E14*holdings!$U$4*0.01</f>
        <v>4.3344216797169668E-2</v>
      </c>
      <c r="F35" s="1">
        <f>F14*holdings!$U$4*0.01</f>
        <v>1.6130984121524386E-3</v>
      </c>
      <c r="G35" s="1">
        <f>G14*holdings!$U$4*0.01</f>
        <v>2.8105018102044337E-2</v>
      </c>
      <c r="H35" s="264"/>
    </row>
    <row r="36" spans="1:8">
      <c r="A36" s="208" t="s">
        <v>171</v>
      </c>
      <c r="B36" s="1">
        <f>B15*holdings!$U$4*0.01</f>
        <v>1.0488597143855936E-2</v>
      </c>
      <c r="C36" s="1">
        <f>C15*holdings!$U$4*0.01</f>
        <v>4.0989162522264387E-2</v>
      </c>
      <c r="D36" s="1" t="e">
        <f>D15*holdings!$U$4*0.01</f>
        <v>#DIV/0!</v>
      </c>
      <c r="E36" s="1" t="e">
        <f>E15*holdings!$U$4*0.01</f>
        <v>#DIV/0!</v>
      </c>
      <c r="F36" s="1">
        <f>F15*holdings!$U$4*0.01</f>
        <v>-3.8235568722869103E-3</v>
      </c>
      <c r="G36" s="1">
        <f>G15*holdings!$U$4*0.01</f>
        <v>-4.1146099811583514E-2</v>
      </c>
      <c r="H36" s="264"/>
    </row>
  </sheetData>
  <mergeCells count="1">
    <mergeCell ref="H24:H36"/>
  </mergeCells>
  <phoneticPr fontId="31"/>
  <conditionalFormatting sqref="B2:B15">
    <cfRule type="dataBar" priority="2">
      <dataBar>
        <cfvo type="min"/>
        <cfvo type="max"/>
        <color rgb="FF63C384"/>
      </dataBar>
      <extLst>
        <ext xmlns:x14="http://schemas.microsoft.com/office/spreadsheetml/2009/9/main" uri="{B025F937-C7B1-47D3-B67F-A62EFF666E3E}">
          <x14:id>{62253497-2FD2-47F8-9980-C36F5DCB2246}</x14:id>
        </ext>
      </extLst>
    </cfRule>
  </conditionalFormatting>
  <conditionalFormatting sqref="C2:C18">
    <cfRule type="dataBar" priority="7">
      <dataBar>
        <cfvo type="min"/>
        <cfvo type="max"/>
        <color rgb="FF63C384"/>
      </dataBar>
      <extLst>
        <ext xmlns:x14="http://schemas.microsoft.com/office/spreadsheetml/2009/9/main" uri="{B025F937-C7B1-47D3-B67F-A62EFF666E3E}">
          <x14:id>{597B45FE-FFAC-42BA-8E8B-F6FE08B50E75}</x14:id>
        </ext>
      </extLst>
    </cfRule>
  </conditionalFormatting>
  <conditionalFormatting sqref="D2:D18">
    <cfRule type="dataBar" priority="6">
      <dataBar>
        <cfvo type="min"/>
        <cfvo type="max"/>
        <color rgb="FF63C384"/>
      </dataBar>
      <extLst>
        <ext xmlns:x14="http://schemas.microsoft.com/office/spreadsheetml/2009/9/main" uri="{B025F937-C7B1-47D3-B67F-A62EFF666E3E}">
          <x14:id>{A60031BF-39DB-4B90-ABC9-D48B5E7A7F4C}</x14:id>
        </ext>
      </extLst>
    </cfRule>
  </conditionalFormatting>
  <conditionalFormatting sqref="E2:E18">
    <cfRule type="dataBar" priority="5">
      <dataBar>
        <cfvo type="min"/>
        <cfvo type="max"/>
        <color rgb="FF63C384"/>
      </dataBar>
      <extLst>
        <ext xmlns:x14="http://schemas.microsoft.com/office/spreadsheetml/2009/9/main" uri="{B025F937-C7B1-47D3-B67F-A62EFF666E3E}">
          <x14:id>{574C15B2-ED2A-4030-9E87-BE7969FD3C6A}</x14:id>
        </ext>
      </extLst>
    </cfRule>
  </conditionalFormatting>
  <conditionalFormatting sqref="F2:F18">
    <cfRule type="dataBar" priority="4">
      <dataBar>
        <cfvo type="min"/>
        <cfvo type="max"/>
        <color rgb="FF63C384"/>
      </dataBar>
      <extLst>
        <ext xmlns:x14="http://schemas.microsoft.com/office/spreadsheetml/2009/9/main" uri="{B025F937-C7B1-47D3-B67F-A62EFF666E3E}">
          <x14:id>{451A6B1E-2396-4AFE-92DC-7641C1D1B470}</x14:id>
        </ext>
      </extLst>
    </cfRule>
  </conditionalFormatting>
  <conditionalFormatting sqref="G2:G18">
    <cfRule type="dataBar" priority="3">
      <dataBar>
        <cfvo type="min"/>
        <cfvo type="max"/>
        <color rgb="FF63C384"/>
      </dataBar>
      <extLst>
        <ext xmlns:x14="http://schemas.microsoft.com/office/spreadsheetml/2009/9/main" uri="{B025F937-C7B1-47D3-B67F-A62EFF666E3E}">
          <x14:id>{726D94D9-1ADA-4EA1-BF26-2D943259A32F}</x14:id>
        </ext>
      </extLst>
    </cfRule>
  </conditionalFormatting>
  <conditionalFormatting sqref="H2:H15">
    <cfRule type="dataBar" priority="1">
      <dataBar>
        <cfvo type="min"/>
        <cfvo type="max"/>
        <color rgb="FF63C384"/>
      </dataBar>
      <extLst>
        <ext xmlns:x14="http://schemas.microsoft.com/office/spreadsheetml/2009/9/main" uri="{B025F937-C7B1-47D3-B67F-A62EFF666E3E}">
          <x14:id>{897B4BE7-43DF-4157-B008-F2A44A52DE81}</x14:id>
        </ext>
      </extLst>
    </cfRule>
  </conditionalFormatting>
  <hyperlinks>
    <hyperlink ref="K2" r:id="rId1" display="=@CIQ($A2,&quot;IQ_CLOSEPRICE&quot;,$A$4,&quot;USD&quot;)" xr:uid="{F65FB7C8-043E-42F5-B6BE-6FF1E37E15C9}"/>
    <hyperlink ref="L2" r:id="rId2" display="=@CIQ($A2,&quot;IQ_CLOSEPRICE&quot;,$A$5,&quot;USD&quot;)" xr:uid="{BED9ED26-3C73-426B-8CB8-B636E8D844C7}"/>
    <hyperlink ref="K3:K15" r:id="rId3" display="=@CIQ($A2,&quot;IQ_CLOSEPRICE&quot;,$A$4,&quot;USD&quot;)" xr:uid="{526A094B-E125-4B37-A836-23429FDB2227}"/>
    <hyperlink ref="L3:L15" r:id="rId4" display="=@CIQ($A2,&quot;IQ_CLOSEPRICE&quot;,$A$5,&quot;USD&quot;)" xr:uid="{BD9E588A-A2DC-40FC-8613-E4CF0458FA0E}"/>
  </hyperlinks>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62253497-2FD2-47F8-9980-C36F5DCB2246}">
            <x14:dataBar minLength="0" maxLength="100" gradient="0">
              <x14:cfvo type="autoMin"/>
              <x14:cfvo type="autoMax"/>
              <x14:negativeFillColor rgb="FFFF0000"/>
              <x14:axisColor rgb="FF000000"/>
            </x14:dataBar>
          </x14:cfRule>
          <xm:sqref>B2:B15</xm:sqref>
        </x14:conditionalFormatting>
        <x14:conditionalFormatting xmlns:xm="http://schemas.microsoft.com/office/excel/2006/main">
          <x14:cfRule type="dataBar" id="{597B45FE-FFAC-42BA-8E8B-F6FE08B50E75}">
            <x14:dataBar minLength="0" maxLength="100" gradient="0">
              <x14:cfvo type="autoMin"/>
              <x14:cfvo type="autoMax"/>
              <x14:negativeFillColor rgb="FFFF0000"/>
              <x14:axisColor rgb="FF000000"/>
            </x14:dataBar>
          </x14:cfRule>
          <xm:sqref>C2:C18</xm:sqref>
        </x14:conditionalFormatting>
        <x14:conditionalFormatting xmlns:xm="http://schemas.microsoft.com/office/excel/2006/main">
          <x14:cfRule type="dataBar" id="{A60031BF-39DB-4B90-ABC9-D48B5E7A7F4C}">
            <x14:dataBar minLength="0" maxLength="100" gradient="0">
              <x14:cfvo type="autoMin"/>
              <x14:cfvo type="autoMax"/>
              <x14:negativeFillColor rgb="FFFF0000"/>
              <x14:axisColor rgb="FF000000"/>
            </x14:dataBar>
          </x14:cfRule>
          <xm:sqref>D2:D18</xm:sqref>
        </x14:conditionalFormatting>
        <x14:conditionalFormatting xmlns:xm="http://schemas.microsoft.com/office/excel/2006/main">
          <x14:cfRule type="dataBar" id="{574C15B2-ED2A-4030-9E87-BE7969FD3C6A}">
            <x14:dataBar minLength="0" maxLength="100" gradient="0">
              <x14:cfvo type="autoMin"/>
              <x14:cfvo type="autoMax"/>
              <x14:negativeFillColor rgb="FFFF0000"/>
              <x14:axisColor rgb="FF000000"/>
            </x14:dataBar>
          </x14:cfRule>
          <xm:sqref>E2:E18</xm:sqref>
        </x14:conditionalFormatting>
        <x14:conditionalFormatting xmlns:xm="http://schemas.microsoft.com/office/excel/2006/main">
          <x14:cfRule type="dataBar" id="{451A6B1E-2396-4AFE-92DC-7641C1D1B470}">
            <x14:dataBar minLength="0" maxLength="100" gradient="0">
              <x14:cfvo type="autoMin"/>
              <x14:cfvo type="autoMax"/>
              <x14:negativeFillColor rgb="FFFF0000"/>
              <x14:axisColor rgb="FF000000"/>
            </x14:dataBar>
          </x14:cfRule>
          <xm:sqref>F2:F18</xm:sqref>
        </x14:conditionalFormatting>
        <x14:conditionalFormatting xmlns:xm="http://schemas.microsoft.com/office/excel/2006/main">
          <x14:cfRule type="dataBar" id="{726D94D9-1ADA-4EA1-BF26-2D943259A32F}">
            <x14:dataBar minLength="0" maxLength="100" gradient="0">
              <x14:cfvo type="autoMin"/>
              <x14:cfvo type="autoMax"/>
              <x14:negativeFillColor rgb="FFFF0000"/>
              <x14:axisColor rgb="FF000000"/>
            </x14:dataBar>
          </x14:cfRule>
          <xm:sqref>G2:G18</xm:sqref>
        </x14:conditionalFormatting>
        <x14:conditionalFormatting xmlns:xm="http://schemas.microsoft.com/office/excel/2006/main">
          <x14:cfRule type="dataBar" id="{897B4BE7-43DF-4157-B008-F2A44A52DE81}">
            <x14:dataBar minLength="0" maxLength="100" gradient="0">
              <x14:cfvo type="autoMin"/>
              <x14:cfvo type="autoMax"/>
              <x14:negativeFillColor rgb="FFFF0000"/>
              <x14:axisColor rgb="FF000000"/>
            </x14:dataBar>
          </x14:cfRule>
          <xm:sqref>H2:H15</xm:sqref>
        </x14:conditionalFormatting>
      </x14:conditionalFormatting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AAC789-3B08-4262-BC58-B473E0780447}">
  <dimension ref="A1:G46"/>
  <sheetViews>
    <sheetView topLeftCell="A14" workbookViewId="0">
      <selection sqref="A1:G46"/>
    </sheetView>
  </sheetViews>
  <sheetFormatPr defaultRowHeight="14"/>
  <cols>
    <col min="3" max="3" width="9.5" customWidth="1"/>
    <col min="4" max="4" width="7.1640625" bestFit="1" customWidth="1"/>
    <col min="5" max="5" width="9.9140625" bestFit="1" customWidth="1"/>
    <col min="7" max="7" width="8.6640625" style="55"/>
  </cols>
  <sheetData>
    <row r="1" spans="1:7" ht="42">
      <c r="A1" s="19" t="s">
        <v>268</v>
      </c>
      <c r="B1" s="19" t="s">
        <v>304</v>
      </c>
      <c r="C1" s="19" t="s">
        <v>306</v>
      </c>
      <c r="D1" s="19" t="s">
        <v>270</v>
      </c>
      <c r="E1" s="19" t="s">
        <v>302</v>
      </c>
      <c r="F1" s="19" t="s">
        <v>305</v>
      </c>
      <c r="G1" s="226" t="s">
        <v>303</v>
      </c>
    </row>
    <row r="2" spans="1:7">
      <c r="A2" t="s">
        <v>153</v>
      </c>
      <c r="B2" s="225">
        <f>D2-E2</f>
        <v>115.89999999999998</v>
      </c>
      <c r="C2" s="1">
        <f>B2*holdings!G4</f>
        <v>0.37111489592678287</v>
      </c>
      <c r="D2" s="225">
        <f>_xll.ciqfunctions.udf.CIQ(A2,"IQ_CLOSEPRICE",$A$1,"USD")</f>
        <v>701.41</v>
      </c>
      <c r="E2" s="1">
        <f>_xll.ciqfunctions.udf.CIQ(A2,"IQ_CLOSEPRICE","2024/12/31","USD")</f>
        <v>585.51</v>
      </c>
      <c r="F2" s="225">
        <f>C2/$C$46</f>
        <v>9.2800398137256171E-2</v>
      </c>
      <c r="G2" s="55">
        <f>F2*'raw1'!$H$15</f>
        <v>1.3801896709242357E-2</v>
      </c>
    </row>
    <row r="3" spans="1:7">
      <c r="A3" t="s">
        <v>144</v>
      </c>
      <c r="B3" s="225">
        <f t="shared" ref="B3:B45" si="0">D3-E3</f>
        <v>-74.449999999999989</v>
      </c>
      <c r="C3" s="1">
        <f>B3*holdings!G5</f>
        <v>-0.22471315251661877</v>
      </c>
      <c r="D3" s="225">
        <f>_xll.ciqfunctions.udf.CIQ(A3,"IQ_CLOSEPRICE",$A$1,"USD")</f>
        <v>259.88</v>
      </c>
      <c r="E3" s="1">
        <f>_xll.ciqfunctions.udf.CIQ(A3,"IQ_CLOSEPRICE","2024/12/31","USD")</f>
        <v>334.33</v>
      </c>
      <c r="F3" s="225">
        <f t="shared" ref="F3:F45" si="1">C3/$C$46</f>
        <v>-5.6191412010404361E-2</v>
      </c>
      <c r="G3" s="55">
        <f>F3*'raw1'!$H$15</f>
        <v>-8.3571631165526815E-3</v>
      </c>
    </row>
    <row r="4" spans="1:7">
      <c r="A4" t="s">
        <v>159</v>
      </c>
      <c r="B4" s="225">
        <f t="shared" si="0"/>
        <v>-100.96999999999991</v>
      </c>
      <c r="C4" s="1">
        <f>B4*holdings!G6</f>
        <v>-8.1235825944915116E-2</v>
      </c>
      <c r="D4" s="225">
        <f>_xll.ciqfunctions.udf.CIQ(A4,"IQ_CLOSEPRICE",$A$1,"USD")</f>
        <v>959.15</v>
      </c>
      <c r="E4" s="1">
        <f>_xll.ciqfunctions.udf.CIQ(A4,"IQ_CLOSEPRICE","2024/12/31","USD")</f>
        <v>1060.1199999999999</v>
      </c>
      <c r="F4" s="225">
        <f t="shared" si="1"/>
        <v>-2.0313700887350742E-2</v>
      </c>
      <c r="G4" s="55">
        <f>F4*'raw1'!$H$15</f>
        <v>-3.02118963988692E-3</v>
      </c>
    </row>
    <row r="5" spans="1:7">
      <c r="A5" t="s">
        <v>147</v>
      </c>
      <c r="B5" s="225">
        <f t="shared" si="0"/>
        <v>37.71999999999997</v>
      </c>
      <c r="C5" s="1">
        <f>B5*holdings!G7</f>
        <v>5.2464753663505843E-2</v>
      </c>
      <c r="D5" s="225">
        <f>_xll.ciqfunctions.udf.CIQ(A5,"IQ_CLOSEPRICE",$A$1,"USD")</f>
        <v>361.95</v>
      </c>
      <c r="E5" s="1">
        <f>_xll.ciqfunctions.udf.CIQ(A5,"IQ_CLOSEPRICE","2024/12/31","USD")</f>
        <v>324.23</v>
      </c>
      <c r="F5" s="225">
        <f t="shared" si="1"/>
        <v>1.3119252505312979E-2</v>
      </c>
      <c r="G5" s="55">
        <f>F5*'raw1'!$H$15</f>
        <v>1.9511830942038292E-3</v>
      </c>
    </row>
    <row r="6" spans="1:7">
      <c r="A6" t="s">
        <v>167</v>
      </c>
      <c r="B6" s="225">
        <f t="shared" si="0"/>
        <v>308.03106000000002</v>
      </c>
      <c r="C6" s="1">
        <f>B6*holdings!G8</f>
        <v>0.70011852495551297</v>
      </c>
      <c r="D6" s="225">
        <f>_xll.ciqfunctions.udf.CIQ(A6,"IQ_CLOSEPRICE",$A$1,"USD")</f>
        <v>308.03106000000002</v>
      </c>
      <c r="E6" s="1">
        <f>_xll.ciqfunctions.udf.CIQ(A6,"IQ_CLOSEPRICE","2024/12/31","USD")</f>
        <v>0</v>
      </c>
      <c r="F6" s="225">
        <f t="shared" si="1"/>
        <v>0.1750705201333613</v>
      </c>
      <c r="G6" s="55">
        <f>F6*'raw1'!$H$15</f>
        <v>2.603766022792443E-2</v>
      </c>
    </row>
    <row r="7" spans="1:7">
      <c r="A7" t="s">
        <v>172</v>
      </c>
      <c r="B7" s="225">
        <f t="shared" si="0"/>
        <v>26.89</v>
      </c>
      <c r="C7" s="1">
        <f>B7*holdings!G9</f>
        <v>0.22262861834523967</v>
      </c>
      <c r="D7" s="225">
        <f>_xll.ciqfunctions.udf.CIQ(A7,"IQ_CLOSEPRICE",$A$1,"USD")</f>
        <v>60.65</v>
      </c>
      <c r="E7" s="1">
        <f>_xll.ciqfunctions.udf.CIQ(A7,"IQ_CLOSEPRICE","2024/12/31","USD")</f>
        <v>33.76</v>
      </c>
      <c r="F7" s="225">
        <f t="shared" si="1"/>
        <v>5.5670156724890674E-2</v>
      </c>
      <c r="G7" s="55">
        <f>F7*'raw1'!$H$15</f>
        <v>8.2796385395657833E-3</v>
      </c>
    </row>
    <row r="8" spans="1:7">
      <c r="A8" t="s">
        <v>137</v>
      </c>
      <c r="B8" s="225">
        <f t="shared" si="0"/>
        <v>-78.230000000000018</v>
      </c>
      <c r="C8" s="1">
        <f>B8*holdings!G10</f>
        <v>-0.11954795941163474</v>
      </c>
      <c r="D8" s="225">
        <f>_xll.ciqfunctions.udf.CIQ(A8,"IQ_CLOSEPRICE",$A$1,"USD")</f>
        <v>366.45</v>
      </c>
      <c r="E8" s="1">
        <f>_xll.ciqfunctions.udf.CIQ(A8,"IQ_CLOSEPRICE","2024/12/31","USD")</f>
        <v>444.68</v>
      </c>
      <c r="F8" s="225">
        <f t="shared" si="1"/>
        <v>-2.9893971790571822E-2</v>
      </c>
      <c r="G8" s="55">
        <f>F8*'raw1'!$H$15</f>
        <v>-4.4460316891338312E-3</v>
      </c>
    </row>
    <row r="9" spans="1:7">
      <c r="A9" t="s">
        <v>151</v>
      </c>
      <c r="B9" s="225">
        <f t="shared" si="0"/>
        <v>-5.5399999999999991</v>
      </c>
      <c r="C9" s="1">
        <f>B9*holdings!G11</f>
        <v>-6.7638362144595718E-2</v>
      </c>
      <c r="D9" s="225">
        <f>_xll.ciqfunctions.udf.CIQ(A9,"IQ_CLOSEPRICE",$A$1,"USD")</f>
        <v>38.15</v>
      </c>
      <c r="E9" s="1">
        <f>_xll.ciqfunctions.udf.CIQ(A9,"IQ_CLOSEPRICE","2024/12/31","USD")</f>
        <v>43.69</v>
      </c>
      <c r="F9" s="225">
        <f t="shared" si="1"/>
        <v>-1.6913540807073288E-2</v>
      </c>
      <c r="G9" s="55">
        <f>F9*'raw1'!$H$15</f>
        <v>-2.5154950613629256E-3</v>
      </c>
    </row>
    <row r="10" spans="1:7">
      <c r="A10" t="s">
        <v>175</v>
      </c>
      <c r="B10" s="225">
        <f t="shared" si="0"/>
        <v>-27.139999999999986</v>
      </c>
      <c r="C10" s="1">
        <f>B10*holdings!G12</f>
        <v>-4.7186287593701914E-2</v>
      </c>
      <c r="D10" s="225">
        <f>_xll.ciqfunctions.udf.CIQ(A10,"IQ_CLOSEPRICE",$A$1,"USD")</f>
        <v>230.89</v>
      </c>
      <c r="E10" s="1">
        <f>_xll.ciqfunctions.udf.CIQ(A10,"IQ_CLOSEPRICE","2024/12/31","USD")</f>
        <v>258.02999999999997</v>
      </c>
      <c r="F10" s="225">
        <f t="shared" si="1"/>
        <v>-1.1799327710571128E-2</v>
      </c>
      <c r="G10" s="55">
        <f>F10*'raw1'!$H$15</f>
        <v>-1.7548750389942982E-3</v>
      </c>
    </row>
    <row r="11" spans="1:7">
      <c r="A11" t="s">
        <v>166</v>
      </c>
      <c r="B11" s="225">
        <f t="shared" si="0"/>
        <v>64.31</v>
      </c>
      <c r="C11" s="1">
        <f>B11*holdings!G13</f>
        <v>0.39975822501019204</v>
      </c>
      <c r="D11" s="225">
        <f>_xll.ciqfunctions.udf.CIQ(A11,"IQ_CLOSEPRICE",$A$1,"USD")</f>
        <v>122.17</v>
      </c>
      <c r="E11" s="1">
        <f>_xll.ciqfunctions.udf.CIQ(A11,"IQ_CLOSEPRICE","2024/12/31","USD")</f>
        <v>57.86</v>
      </c>
      <c r="F11" s="225">
        <f t="shared" si="1"/>
        <v>9.9962903259231226E-2</v>
      </c>
      <c r="G11" s="55">
        <f>F11*'raw1'!$H$15</f>
        <v>1.486715243936009E-2</v>
      </c>
    </row>
    <row r="12" spans="1:7">
      <c r="A12" t="s">
        <v>146</v>
      </c>
      <c r="B12" s="225">
        <f t="shared" si="0"/>
        <v>39.949999999999989</v>
      </c>
      <c r="C12" s="1">
        <f>B12*holdings!G14</f>
        <v>5.0476618163970047E-2</v>
      </c>
      <c r="D12" s="225">
        <f>_xll.ciqfunctions.udf.CIQ(A12,"IQ_CLOSEPRICE",$A$1,"USD")</f>
        <v>363.78</v>
      </c>
      <c r="E12" s="1">
        <f>_xll.ciqfunctions.udf.CIQ(A12,"IQ_CLOSEPRICE","2024/12/31","USD")</f>
        <v>323.83</v>
      </c>
      <c r="F12" s="225">
        <f t="shared" si="1"/>
        <v>1.2622102517714166E-2</v>
      </c>
      <c r="G12" s="55">
        <f>F12*'raw1'!$H$15</f>
        <v>1.8772436185596484E-3</v>
      </c>
    </row>
    <row r="13" spans="1:7">
      <c r="A13" t="s">
        <v>168</v>
      </c>
      <c r="B13" s="225">
        <f t="shared" si="0"/>
        <v>20.420000000000002</v>
      </c>
      <c r="C13" s="1">
        <f>B13*holdings!G15</f>
        <v>8.84262236426685E-2</v>
      </c>
      <c r="D13" s="225">
        <f>_xll.ciqfunctions.udf.CIQ(A13,"IQ_CLOSEPRICE",$A$1,"USD")</f>
        <v>126.75</v>
      </c>
      <c r="E13" s="1">
        <f>_xll.ciqfunctions.udf.CIQ(A13,"IQ_CLOSEPRICE","2024/12/31","USD")</f>
        <v>106.33</v>
      </c>
      <c r="F13" s="225">
        <f t="shared" si="1"/>
        <v>2.211172025127401E-2</v>
      </c>
      <c r="G13" s="55">
        <f>F13*'raw1'!$H$15</f>
        <v>3.2886031212965841E-3</v>
      </c>
    </row>
    <row r="14" spans="1:7">
      <c r="A14" t="s">
        <v>171</v>
      </c>
      <c r="B14" s="225">
        <f t="shared" si="0"/>
        <v>-52.759999999999991</v>
      </c>
      <c r="C14" s="1">
        <f>B14*holdings!G16</f>
        <v>-0.106956279723937</v>
      </c>
      <c r="D14" s="225">
        <f>_xll.ciqfunctions.udf.CIQ(A14,"IQ_CLOSEPRICE",$A$1,"USD")</f>
        <v>190.62</v>
      </c>
      <c r="E14" s="1">
        <f>_xll.ciqfunctions.udf.CIQ(A14,"IQ_CLOSEPRICE","2024/12/31","USD")</f>
        <v>243.38</v>
      </c>
      <c r="F14" s="225">
        <f t="shared" si="1"/>
        <v>-2.6745316479075819E-2</v>
      </c>
      <c r="G14" s="55">
        <f>F14*'raw1'!$H$15</f>
        <v>-3.9777425841884019E-3</v>
      </c>
    </row>
    <row r="15" spans="1:7">
      <c r="A15" t="s">
        <v>155</v>
      </c>
      <c r="B15" s="225">
        <f t="shared" si="0"/>
        <v>90.199999999999989</v>
      </c>
      <c r="C15" s="1">
        <f>B15*holdings!G17</f>
        <v>0.29199738416246029</v>
      </c>
      <c r="D15" s="225">
        <f>_xll.ciqfunctions.udf.CIQ(A15,"IQ_CLOSEPRICE",$A$1,"USD")</f>
        <v>511.7</v>
      </c>
      <c r="E15" s="1">
        <f>_xll.ciqfunctions.udf.CIQ(A15,"IQ_CLOSEPRICE","2024/12/31","USD")</f>
        <v>421.5</v>
      </c>
      <c r="F15" s="225">
        <f t="shared" si="1"/>
        <v>7.3016399510570193E-2</v>
      </c>
      <c r="G15" s="55">
        <f>F15*'raw1'!$H$15</f>
        <v>1.0859487937057471E-2</v>
      </c>
    </row>
    <row r="16" spans="1:7">
      <c r="A16" t="s">
        <v>138</v>
      </c>
      <c r="B16" s="225">
        <f t="shared" si="0"/>
        <v>4.4900000000000091</v>
      </c>
      <c r="C16" s="1">
        <f>B16*holdings!G18</f>
        <v>3.1168819428401121E-2</v>
      </c>
      <c r="D16" s="225">
        <f>_xll.ciqfunctions.udf.CIQ(A16,"IQ_CLOSEPRICE",$A$1,"USD")</f>
        <v>223.88</v>
      </c>
      <c r="E16" s="1">
        <f>_xll.ciqfunctions.udf.CIQ(A16,"IQ_CLOSEPRICE","2024/12/31","USD")</f>
        <v>219.39</v>
      </c>
      <c r="F16" s="225">
        <f t="shared" si="1"/>
        <v>7.7940252039749042E-3</v>
      </c>
      <c r="G16" s="55">
        <f>F16*'raw1'!$H$15</f>
        <v>1.1591796260980332E-3</v>
      </c>
    </row>
    <row r="17" spans="1:7" ht="42">
      <c r="A17" t="s">
        <v>149</v>
      </c>
      <c r="B17" s="225">
        <f t="shared" si="0"/>
        <v>-5.7199999999999989</v>
      </c>
      <c r="C17" s="1">
        <f>B17*holdings!G19</f>
        <v>-3.2721658084894474E-2</v>
      </c>
      <c r="D17" s="225">
        <f>_xll.ciqfunctions.udf.CIQ(A17,"IQ_CLOSEPRICE",$A$1,"USD")</f>
        <v>183.58</v>
      </c>
      <c r="E17" s="1">
        <f>_xll.ciqfunctions.udf.CIQ(A17,"IQ_CLOSEPRICE","2024/12/31","USD")</f>
        <v>189.3</v>
      </c>
      <c r="F17" s="225">
        <f t="shared" si="1"/>
        <v>-8.1823255582509982E-3</v>
      </c>
      <c r="G17" s="55">
        <f>F17*'raw1'!$H$15</f>
        <v>-1.2169302552920399E-3</v>
      </c>
    </row>
    <row r="18" spans="1:7">
      <c r="A18" t="s">
        <v>173</v>
      </c>
      <c r="B18" s="225">
        <f t="shared" si="0"/>
        <v>-84.42999999999995</v>
      </c>
      <c r="C18" s="1">
        <f>B18*holdings!G20</f>
        <v>-0.21406689586838051</v>
      </c>
      <c r="D18" s="225">
        <f>_xll.ciqfunctions.udf.CIQ(A18,"IQ_CLOSEPRICE",$A$1,"USD")</f>
        <v>319.41000000000003</v>
      </c>
      <c r="E18" s="1">
        <f>_xll.ciqfunctions.udf.CIQ(A18,"IQ_CLOSEPRICE","2024/12/31","USD")</f>
        <v>403.84</v>
      </c>
      <c r="F18" s="225">
        <f t="shared" si="1"/>
        <v>-5.3529226076960076E-2</v>
      </c>
      <c r="G18" s="55">
        <f>F18*'raw1'!$H$15</f>
        <v>-7.961224995469935E-3</v>
      </c>
    </row>
    <row r="19" spans="1:7">
      <c r="A19" t="s">
        <v>163</v>
      </c>
      <c r="B19" s="225">
        <f t="shared" si="0"/>
        <v>78.360000000000014</v>
      </c>
      <c r="C19" s="1">
        <f>B19*holdings!G21</f>
        <v>0.44280325522517022</v>
      </c>
      <c r="D19" s="225">
        <f>_xll.ciqfunctions.udf.CIQ(A19,"IQ_CLOSEPRICE",$A$1,"USD")</f>
        <v>153.99</v>
      </c>
      <c r="E19" s="1">
        <f>_xll.ciqfunctions.udf.CIQ(A19,"IQ_CLOSEPRICE","2024/12/31","USD")</f>
        <v>75.63</v>
      </c>
      <c r="F19" s="225">
        <f t="shared" si="1"/>
        <v>0.11072667476402226</v>
      </c>
      <c r="G19" s="55">
        <f>F19*'raw1'!$H$15</f>
        <v>1.64680126241546E-2</v>
      </c>
    </row>
    <row r="20" spans="1:7">
      <c r="A20" t="s">
        <v>161</v>
      </c>
      <c r="B20" s="225">
        <f t="shared" si="0"/>
        <v>82.110000000000014</v>
      </c>
      <c r="C20" s="1">
        <f>B20*holdings!G22</f>
        <v>0.30002406761445732</v>
      </c>
      <c r="D20" s="225">
        <f>_xll.ciqfunctions.udf.CIQ(A20,"IQ_CLOSEPRICE",$A$1,"USD")</f>
        <v>248.75</v>
      </c>
      <c r="E20" s="1">
        <f>_xll.ciqfunctions.udf.CIQ(A20,"IQ_CLOSEPRICE","2024/12/31","USD")</f>
        <v>166.64</v>
      </c>
      <c r="F20" s="225">
        <f t="shared" si="1"/>
        <v>7.5023539154498706E-2</v>
      </c>
      <c r="G20" s="55">
        <f>F20*'raw1'!$H$15</f>
        <v>1.1158003187019587E-2</v>
      </c>
    </row>
    <row r="21" spans="1:7">
      <c r="A21" t="s">
        <v>157</v>
      </c>
      <c r="B21" s="225">
        <f t="shared" si="0"/>
        <v>25.99</v>
      </c>
      <c r="C21" s="1">
        <f>B21*holdings!G23</f>
        <v>0.46857136282006484</v>
      </c>
      <c r="D21" s="225">
        <f>_xll.ciqfunctions.udf.CIQ(A21,"IQ_CLOSEPRICE",$A$1,"USD")</f>
        <v>53.69</v>
      </c>
      <c r="E21" s="1">
        <f>_xll.ciqfunctions.udf.CIQ(A21,"IQ_CLOSEPRICE","2024/12/31","USD")</f>
        <v>27.7</v>
      </c>
      <c r="F21" s="225">
        <f t="shared" si="1"/>
        <v>0.11717020659283263</v>
      </c>
      <c r="G21" s="55">
        <f>F21*'raw1'!$H$15</f>
        <v>1.7426337831040244E-2</v>
      </c>
    </row>
    <row r="22" spans="1:7">
      <c r="A22" t="s">
        <v>148</v>
      </c>
      <c r="B22" s="225">
        <f t="shared" si="0"/>
        <v>-12.780000000000001</v>
      </c>
      <c r="C22" s="1">
        <f>B22*holdings!G24</f>
        <v>-7.8344435946052282E-2</v>
      </c>
      <c r="D22" s="225">
        <f>_xll.ciqfunctions.udf.CIQ(A22,"IQ_CLOSEPRICE",$A$1,"USD")</f>
        <v>86.3</v>
      </c>
      <c r="E22" s="1">
        <f>_xll.ciqfunctions.udf.CIQ(A22,"IQ_CLOSEPRICE","2024/12/31","USD")</f>
        <v>99.08</v>
      </c>
      <c r="F22" s="225">
        <f t="shared" si="1"/>
        <v>-1.9590684522312437E-2</v>
      </c>
      <c r="G22" s="55">
        <f>F22*'raw1'!$H$15</f>
        <v>-2.9136578039287257E-3</v>
      </c>
    </row>
    <row r="23" spans="1:7">
      <c r="A23" t="s">
        <v>169</v>
      </c>
      <c r="B23" s="225">
        <f t="shared" si="0"/>
        <v>57.170000000000016</v>
      </c>
      <c r="C23" s="1">
        <f>B23*holdings!G25</f>
        <v>0.16024277663303171</v>
      </c>
      <c r="D23" s="225">
        <f>_xll.ciqfunctions.udf.CIQ(A23,"IQ_CLOSEPRICE",$A$1,"USD")</f>
        <v>211.58</v>
      </c>
      <c r="E23" s="1">
        <f>_xll.ciqfunctions.udf.CIQ(A23,"IQ_CLOSEPRICE","2024/12/31","USD")</f>
        <v>154.41</v>
      </c>
      <c r="F23" s="225">
        <f t="shared" si="1"/>
        <v>4.0070052787906867E-2</v>
      </c>
      <c r="G23" s="55">
        <f>F23*'raw1'!$H$15</f>
        <v>5.9594866058074779E-3</v>
      </c>
    </row>
    <row r="24" spans="1:7">
      <c r="A24" t="s">
        <v>145</v>
      </c>
      <c r="B24" s="225">
        <f t="shared" si="0"/>
        <v>0.26000000000001933</v>
      </c>
      <c r="C24" s="1">
        <f>B24*holdings!G26</f>
        <v>1.0830719853374272E-3</v>
      </c>
      <c r="D24" s="225">
        <f>_xll.ciqfunctions.udf.CIQ(A24,"IQ_CLOSEPRICE",$A$1,"USD")</f>
        <v>143.15</v>
      </c>
      <c r="E24" s="1">
        <f>_xll.ciqfunctions.udf.CIQ(A24,"IQ_CLOSEPRICE","2024/12/31","USD")</f>
        <v>142.88999999999999</v>
      </c>
      <c r="F24" s="225">
        <f t="shared" si="1"/>
        <v>2.7083125078992038E-4</v>
      </c>
      <c r="G24" s="55">
        <f>F24*'raw1'!$H$15</f>
        <v>4.0279837415231104E-5</v>
      </c>
    </row>
    <row r="25" spans="1:7">
      <c r="A25" t="s">
        <v>158</v>
      </c>
      <c r="B25" s="225">
        <f t="shared" si="0"/>
        <v>83.57</v>
      </c>
      <c r="C25" s="1">
        <f>B25*holdings!G27</f>
        <v>0.30094695379657155</v>
      </c>
      <c r="D25" s="225">
        <f>_xll.ciqfunctions.udf.CIQ(A25,"IQ_CLOSEPRICE",$A$1,"USD")</f>
        <v>191.25</v>
      </c>
      <c r="E25" s="1">
        <f>_xll.ciqfunctions.udf.CIQ(A25,"IQ_CLOSEPRICE","2024/12/31","USD")</f>
        <v>107.68</v>
      </c>
      <c r="F25" s="225">
        <f t="shared" si="1"/>
        <v>7.5254314599180583E-2</v>
      </c>
      <c r="G25" s="55">
        <f>F25*'raw1'!$H$15</f>
        <v>1.1192325656690651E-2</v>
      </c>
    </row>
    <row r="26" spans="1:7">
      <c r="A26" t="s">
        <v>150</v>
      </c>
      <c r="B26" s="225">
        <f t="shared" si="0"/>
        <v>-12.43</v>
      </c>
      <c r="C26" s="1">
        <f>B26*holdings!G28</f>
        <v>-9.794995488784887E-2</v>
      </c>
      <c r="D26" s="225">
        <f>_xll.ciqfunctions.udf.CIQ(A26,"IQ_CLOSEPRICE",$A$1,"USD")</f>
        <v>43.92</v>
      </c>
      <c r="E26" s="1">
        <f>_xll.ciqfunctions.udf.CIQ(A26,"IQ_CLOSEPRICE","2024/12/31","USD")</f>
        <v>56.35</v>
      </c>
      <c r="F26" s="225">
        <f t="shared" si="1"/>
        <v>-2.4493209275307501E-2</v>
      </c>
      <c r="G26" s="55">
        <f>F26*'raw1'!$H$15</f>
        <v>-3.6427941181421983E-3</v>
      </c>
    </row>
    <row r="27" spans="1:7">
      <c r="A27" t="s">
        <v>162</v>
      </c>
      <c r="B27" s="225">
        <f t="shared" si="0"/>
        <v>14.319999999999993</v>
      </c>
      <c r="C27" s="1">
        <f>B27*holdings!G29</f>
        <v>2.8949193376042091E-2</v>
      </c>
      <c r="D27" s="225">
        <f>_xll.ciqfunctions.udf.CIQ(A27,"IQ_CLOSEPRICE",$A$1,"USD")</f>
        <v>196.28</v>
      </c>
      <c r="E27" s="1">
        <f>_xll.ciqfunctions.udf.CIQ(A27,"IQ_CLOSEPRICE","2024/12/31","USD")</f>
        <v>181.96</v>
      </c>
      <c r="F27" s="225">
        <f t="shared" si="1"/>
        <v>7.2389890584697606E-3</v>
      </c>
      <c r="G27" s="55">
        <f>F27*'raw1'!$H$15</f>
        <v>1.0766309333776886E-3</v>
      </c>
    </row>
    <row r="28" spans="1:7">
      <c r="A28" t="s">
        <v>152</v>
      </c>
      <c r="B28" s="225">
        <f t="shared" si="0"/>
        <v>-14.280000000000001</v>
      </c>
      <c r="C28" s="1">
        <f>B28*holdings!G30</f>
        <v>-2.8044094667001779E-2</v>
      </c>
      <c r="D28" s="225">
        <f>_xll.ciqfunctions.udf.CIQ(A28,"IQ_CLOSEPRICE",$A$1,"USD")</f>
        <v>218.53</v>
      </c>
      <c r="E28" s="1">
        <f>_xll.ciqfunctions.udf.CIQ(A28,"IQ_CLOSEPRICE","2024/12/31","USD")</f>
        <v>232.81</v>
      </c>
      <c r="F28" s="225">
        <f t="shared" si="1"/>
        <v>-7.0126615208949052E-3</v>
      </c>
      <c r="G28" s="55">
        <f>F28*'raw1'!$H$15</f>
        <v>-1.0429699862398848E-3</v>
      </c>
    </row>
    <row r="29" spans="1:7">
      <c r="A29" t="s">
        <v>164</v>
      </c>
      <c r="B29" s="225">
        <f t="shared" si="0"/>
        <v>-4.18</v>
      </c>
      <c r="C29" s="1">
        <f>B29*holdings!G31</f>
        <v>-2.7483919486086205E-2</v>
      </c>
      <c r="D29" s="225">
        <f>_xll.ciqfunctions.udf.CIQ(A29,"IQ_CLOSEPRICE",$A$1,"USD")</f>
        <v>57.25</v>
      </c>
      <c r="E29" s="1">
        <f>_xll.ciqfunctions.udf.CIQ(A29,"IQ_CLOSEPRICE","2024/12/31","USD")</f>
        <v>61.43</v>
      </c>
      <c r="F29" s="225">
        <f t="shared" si="1"/>
        <v>-6.8725850098571191E-3</v>
      </c>
      <c r="G29" s="55">
        <f>F29*'raw1'!$H$15</f>
        <v>-1.0221368694048136E-3</v>
      </c>
    </row>
    <row r="30" spans="1:7">
      <c r="A30" t="s">
        <v>176</v>
      </c>
      <c r="B30" s="225">
        <f t="shared" si="0"/>
        <v>105.88000000000002</v>
      </c>
      <c r="C30" s="1">
        <f>B30*holdings!G32</f>
        <v>0.14726850789745505</v>
      </c>
      <c r="D30" s="225">
        <f>_xll.ciqfunctions.udf.CIQ(A30,"IQ_CLOSEPRICE",$A$1,"USD")</f>
        <v>286.29000000000002</v>
      </c>
      <c r="E30" s="1">
        <f>_xll.ciqfunctions.udf.CIQ(A30,"IQ_CLOSEPRICE","2024/12/31","USD")</f>
        <v>180.41</v>
      </c>
      <c r="F30" s="225">
        <f t="shared" si="1"/>
        <v>3.6825727870162771E-2</v>
      </c>
      <c r="G30" s="55">
        <f>F30*'raw1'!$H$15</f>
        <v>5.476968876307043E-3</v>
      </c>
    </row>
    <row r="31" spans="1:7">
      <c r="A31" t="s">
        <v>143</v>
      </c>
      <c r="B31" s="225">
        <f t="shared" si="0"/>
        <v>-2.5300000000000011</v>
      </c>
      <c r="C31" s="1">
        <f>B31*holdings!G33</f>
        <v>-3.4048243181032958E-2</v>
      </c>
      <c r="D31" s="225">
        <f>_xll.ciqfunctions.udf.CIQ(A31,"IQ_CLOSEPRICE",$A$1,"USD")</f>
        <v>25.43</v>
      </c>
      <c r="E31" s="1">
        <f>_xll.ciqfunctions.udf.CIQ(A31,"IQ_CLOSEPRICE","2024/12/31","USD")</f>
        <v>27.96</v>
      </c>
      <c r="F31" s="225">
        <f t="shared" si="1"/>
        <v>-8.5140493085929664E-3</v>
      </c>
      <c r="G31" s="55">
        <f>F31*'raw1'!$H$15</f>
        <v>-1.2662664330469094E-3</v>
      </c>
    </row>
    <row r="32" spans="1:7">
      <c r="A32" t="s">
        <v>160</v>
      </c>
      <c r="B32" s="225">
        <f t="shared" si="0"/>
        <v>38.710000000000008</v>
      </c>
      <c r="C32" s="1">
        <f>B32*holdings!G34</f>
        <v>0.33076160945075594</v>
      </c>
      <c r="D32" s="225">
        <f>_xll.ciqfunctions.udf.CIQ(A32,"IQ_CLOSEPRICE",$A$1,"USD")</f>
        <v>173</v>
      </c>
      <c r="E32" s="1">
        <f>_xll.ciqfunctions.udf.CIQ(A32,"IQ_CLOSEPRICE","2024/12/31","USD")</f>
        <v>134.29</v>
      </c>
      <c r="F32" s="225">
        <f t="shared" si="1"/>
        <v>8.2709719772621454E-2</v>
      </c>
      <c r="G32" s="55">
        <f>F32*'raw1'!$H$15</f>
        <v>1.2301143444058223E-2</v>
      </c>
    </row>
    <row r="33" spans="1:7">
      <c r="A33" t="s">
        <v>136</v>
      </c>
      <c r="B33" s="225">
        <f t="shared" si="0"/>
        <v>-40.399999999999977</v>
      </c>
      <c r="C33" s="1">
        <f>B33*holdings!G35</f>
        <v>-0.18919423655688916</v>
      </c>
      <c r="D33" s="225">
        <f>_xll.ciqfunctions.udf.CIQ(A33,"IQ_CLOSEPRICE",$A$1,"USD")</f>
        <v>210.02</v>
      </c>
      <c r="E33" s="1">
        <f>_xll.ciqfunctions.udf.CIQ(A33,"IQ_CLOSEPRICE","2024/12/31","USD")</f>
        <v>250.42</v>
      </c>
      <c r="F33" s="225">
        <f t="shared" si="1"/>
        <v>-4.7309608615703248E-2</v>
      </c>
      <c r="G33" s="55">
        <f>F33*'raw1'!$H$15</f>
        <v>-7.0362018329151611E-3</v>
      </c>
    </row>
    <row r="34" spans="1:7">
      <c r="A34" t="s">
        <v>142</v>
      </c>
      <c r="B34" s="225">
        <f t="shared" si="0"/>
        <v>54.609999999999985</v>
      </c>
      <c r="C34" s="1">
        <f>B34*holdings!G36</f>
        <v>0.1635613757002784</v>
      </c>
      <c r="D34" s="225">
        <f>_xll.ciqfunctions.udf.CIQ(A34,"IQ_CLOSEPRICE",$A$1,"USD")</f>
        <v>286.45</v>
      </c>
      <c r="E34" s="1">
        <f>_xll.ciqfunctions.udf.CIQ(A34,"IQ_CLOSEPRICE","2024/12/31","USD")</f>
        <v>231.84</v>
      </c>
      <c r="F34" s="225">
        <f t="shared" si="1"/>
        <v>4.0899896370254415E-2</v>
      </c>
      <c r="G34" s="55">
        <f>F34*'raw1'!$H$15</f>
        <v>6.0829065009618969E-3</v>
      </c>
    </row>
    <row r="35" spans="1:7" ht="28">
      <c r="A35" t="s">
        <v>133</v>
      </c>
      <c r="B35" s="225">
        <f t="shared" si="0"/>
        <v>5.5992000000000033</v>
      </c>
      <c r="C35" s="1">
        <f>B35*holdings!G37</f>
        <v>0.10641399760062106</v>
      </c>
      <c r="D35" s="225">
        <f>_xll.ciqfunctions.udf.CIQ(A35,"IQ_CLOSEPRICE",$A$1,"USD")</f>
        <v>38.393590000000003</v>
      </c>
      <c r="E35" s="1">
        <f>_xll.ciqfunctions.udf.CIQ(A35,"IQ_CLOSEPRICE","2024/12/31","USD")</f>
        <v>32.79439</v>
      </c>
      <c r="F35" s="225">
        <f t="shared" si="1"/>
        <v>2.6609714277442919E-2</v>
      </c>
      <c r="G35" s="55">
        <f>F35*'raw1'!$H$15</f>
        <v>3.957574916613151E-3</v>
      </c>
    </row>
    <row r="36" spans="1:7" ht="28">
      <c r="A36" t="s">
        <v>130</v>
      </c>
      <c r="B36" s="225">
        <f t="shared" si="0"/>
        <v>193.72334000000001</v>
      </c>
      <c r="C36" s="1">
        <f>B36*holdings!G38</f>
        <v>0.61048929969411347</v>
      </c>
      <c r="D36" s="225">
        <f>_xll.ciqfunctions.udf.CIQ(A36,"IQ_CLOSEPRICE",$A$1,"USD")</f>
        <v>193.72334000000001</v>
      </c>
      <c r="E36" s="1">
        <f>_xll.ciqfunctions.udf.CIQ(A36,"IQ_CLOSEPRICE","2024/12/31","USD")</f>
        <v>0</v>
      </c>
      <c r="F36" s="225">
        <f t="shared" si="1"/>
        <v>0.15265797921872049</v>
      </c>
      <c r="G36" s="55">
        <f>F36*'raw1'!$H$15</f>
        <v>2.2704317042930557E-2</v>
      </c>
    </row>
    <row r="37" spans="1:7" ht="28">
      <c r="A37" t="s">
        <v>141</v>
      </c>
      <c r="B37" s="225">
        <f t="shared" si="0"/>
        <v>51.829999999999927</v>
      </c>
      <c r="C37" s="1">
        <f>B37*holdings!G39</f>
        <v>2.8310787100649156E-2</v>
      </c>
      <c r="D37" s="225">
        <f>_xll.ciqfunctions.udf.CIQ(A37,"IQ_CLOSEPRICE",$A$1,"USD")</f>
        <v>744.91</v>
      </c>
      <c r="E37" s="1">
        <f>_xll.ciqfunctions.udf.CIQ(A37,"IQ_CLOSEPRICE","2024/12/31","USD")</f>
        <v>693.08</v>
      </c>
      <c r="F37" s="225">
        <f t="shared" si="1"/>
        <v>7.079350204896296E-3</v>
      </c>
      <c r="G37" s="55">
        <f>F37*'raw1'!$H$15</f>
        <v>1.0528883739487516E-3</v>
      </c>
    </row>
    <row r="38" spans="1:7">
      <c r="A38" t="s">
        <v>154</v>
      </c>
      <c r="B38" s="225">
        <f t="shared" si="0"/>
        <v>-38.44</v>
      </c>
      <c r="C38" s="1">
        <f>B38*holdings!G40</f>
        <v>-0.24576594670624621</v>
      </c>
      <c r="D38" s="225">
        <f>_xll.ciqfunctions.udf.CIQ(A38,"IQ_CLOSEPRICE",$A$1,"USD")</f>
        <v>72.010000000000005</v>
      </c>
      <c r="E38" s="1">
        <f>_xll.ciqfunctions.udf.CIQ(A38,"IQ_CLOSEPRICE","2024/12/31","USD")</f>
        <v>110.45</v>
      </c>
      <c r="F38" s="225">
        <f t="shared" si="1"/>
        <v>-6.1455840100309397E-2</v>
      </c>
      <c r="G38" s="55">
        <f>F38*'raw1'!$H$15</f>
        <v>-9.1401241187526634E-3</v>
      </c>
    </row>
    <row r="39" spans="1:7">
      <c r="A39" t="s">
        <v>174</v>
      </c>
      <c r="B39" s="225">
        <f t="shared" si="0"/>
        <v>17.510000000000005</v>
      </c>
      <c r="C39" s="1">
        <f>B39*holdings!G41</f>
        <v>5.9309024169542993E-2</v>
      </c>
      <c r="D39" s="225">
        <f>_xll.ciqfunctions.udf.CIQ(A39,"IQ_CLOSEPRICE",$A$1,"USD")</f>
        <v>131.12</v>
      </c>
      <c r="E39" s="1">
        <f>_xll.ciqfunctions.udf.CIQ(A39,"IQ_CLOSEPRICE","2024/12/31","USD")</f>
        <v>113.61</v>
      </c>
      <c r="F39" s="225">
        <f t="shared" si="1"/>
        <v>1.4830719856503959E-2</v>
      </c>
      <c r="G39" s="55">
        <f>F39*'raw1'!$H$15</f>
        <v>2.2057239806280576E-3</v>
      </c>
    </row>
    <row r="40" spans="1:7">
      <c r="A40" t="s">
        <v>139</v>
      </c>
      <c r="B40" s="225">
        <f t="shared" si="0"/>
        <v>1.4500000000000028</v>
      </c>
      <c r="C40" s="1">
        <f>B40*holdings!G42</f>
        <v>5.1889867038694649E-3</v>
      </c>
      <c r="D40" s="225">
        <f>_xll.ciqfunctions.udf.CIQ(A40,"IQ_CLOSEPRICE",$A$1,"USD")</f>
        <v>111.98</v>
      </c>
      <c r="E40" s="1">
        <f>_xll.ciqfunctions.udf.CIQ(A40,"IQ_CLOSEPRICE","2024/12/31","USD")</f>
        <v>110.53</v>
      </c>
      <c r="F40" s="225">
        <f t="shared" si="1"/>
        <v>1.2975497274111513E-3</v>
      </c>
      <c r="G40" s="55">
        <f>F40*'raw1'!$H$15</f>
        <v>1.9298028534690717E-4</v>
      </c>
    </row>
    <row r="41" spans="1:7" ht="28">
      <c r="A41" t="s">
        <v>135</v>
      </c>
      <c r="B41" s="225">
        <f t="shared" si="0"/>
        <v>4.0609500000000054</v>
      </c>
      <c r="C41" s="1">
        <f>B41*holdings!G43</f>
        <v>1.715093916417593E-2</v>
      </c>
      <c r="D41" s="225">
        <f>_xll.ciqfunctions.udf.CIQ(A41,"IQ_CLOSEPRICE",$A$1,"USD")</f>
        <v>47.227510000000002</v>
      </c>
      <c r="E41" s="1">
        <f>_xll.ciqfunctions.udf.CIQ(A41,"IQ_CLOSEPRICE","2024/12/31","USD")</f>
        <v>43.166559999999997</v>
      </c>
      <c r="F41" s="225">
        <f t="shared" si="1"/>
        <v>4.288736454214963E-3</v>
      </c>
      <c r="G41" s="55">
        <f>F41*'raw1'!$H$15</f>
        <v>6.3784960778604037E-4</v>
      </c>
    </row>
    <row r="42" spans="1:7">
      <c r="A42" t="s">
        <v>156</v>
      </c>
      <c r="B42" s="225">
        <f t="shared" si="0"/>
        <v>29.100000000000009</v>
      </c>
      <c r="C42" s="1">
        <f>B42*holdings!G44</f>
        <v>9.5165866922836337E-2</v>
      </c>
      <c r="D42" s="225">
        <f>_xll.ciqfunctions.udf.CIQ(A42,"IQ_CLOSEPRICE",$A$1,"USD")</f>
        <v>113.26</v>
      </c>
      <c r="E42" s="1">
        <f>_xll.ciqfunctions.udf.CIQ(A42,"IQ_CLOSEPRICE","2024/12/31","USD")</f>
        <v>84.16</v>
      </c>
      <c r="F42" s="225">
        <f t="shared" si="1"/>
        <v>2.3797024685472876E-2</v>
      </c>
      <c r="G42" s="55">
        <f>F42*'raw1'!$H$15</f>
        <v>3.5392528834887428E-3</v>
      </c>
    </row>
    <row r="43" spans="1:7">
      <c r="A43" t="s">
        <v>165</v>
      </c>
      <c r="B43" s="225">
        <f t="shared" si="0"/>
        <v>-1.0099999999999909</v>
      </c>
      <c r="C43" s="1">
        <f>B43*holdings!G45</f>
        <v>-1.7922691656392362E-3</v>
      </c>
      <c r="D43" s="225">
        <f>_xll.ciqfunctions.udf.CIQ(A43,"IQ_CLOSEPRICE",$A$1,"USD")</f>
        <v>152.61000000000001</v>
      </c>
      <c r="E43" s="1">
        <f>_xll.ciqfunctions.udf.CIQ(A43,"IQ_CLOSEPRICE","2024/12/31","USD")</f>
        <v>153.62</v>
      </c>
      <c r="F43" s="225">
        <f t="shared" si="1"/>
        <v>-4.4817196497890757E-4</v>
      </c>
      <c r="G43" s="55">
        <f>F43*'raw1'!$H$15</f>
        <v>-6.6655136106940366E-5</v>
      </c>
    </row>
    <row r="44" spans="1:7">
      <c r="A44" t="s">
        <v>170</v>
      </c>
      <c r="B44" s="225">
        <f t="shared" si="0"/>
        <v>103.64999999999998</v>
      </c>
      <c r="C44" s="1">
        <f>B44*holdings!G46</f>
        <v>5.6251317426005726E-2</v>
      </c>
      <c r="D44" s="225">
        <f>_xll.ciqfunctions.udf.CIQ(A44,"IQ_CLOSEPRICE",$A$1,"USD")</f>
        <v>589.01</v>
      </c>
      <c r="E44" s="1">
        <f>_xll.ciqfunctions.udf.CIQ(A44,"IQ_CLOSEPRICE","2024/12/31","USD")</f>
        <v>485.36</v>
      </c>
      <c r="F44" s="225">
        <f t="shared" si="1"/>
        <v>1.4066114591930549E-2</v>
      </c>
      <c r="G44" s="55">
        <f>F44*'raw1'!$H$15</f>
        <v>2.0920067650038667E-3</v>
      </c>
    </row>
    <row r="45" spans="1:7">
      <c r="A45" t="s">
        <v>140</v>
      </c>
      <c r="B45" s="225">
        <f t="shared" si="0"/>
        <v>33.820000000000007</v>
      </c>
      <c r="C45" s="1">
        <f>B45*holdings!G47</f>
        <v>6.5108838470727043E-2</v>
      </c>
      <c r="D45" s="225">
        <f>_xll.ciqfunctions.udf.CIQ(A45,"IQ_CLOSEPRICE",$A$1,"USD")</f>
        <v>157.18</v>
      </c>
      <c r="E45" s="1">
        <f>_xll.ciqfunctions.udf.CIQ(A45,"IQ_CLOSEPRICE","2024/12/31","USD")</f>
        <v>123.36</v>
      </c>
      <c r="F45" s="225">
        <f t="shared" si="1"/>
        <v>1.6281012157296482E-2</v>
      </c>
      <c r="G45" s="55">
        <f>F45*'raw1'!$H$15</f>
        <v>2.4214211644283047E-3</v>
      </c>
    </row>
    <row r="46" spans="1:7">
      <c r="C46" s="225">
        <f>SUM(C2:C45)</f>
        <v>3.9990657731649644</v>
      </c>
    </row>
  </sheetData>
  <phoneticPr fontId="3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19</vt:i4>
      </vt:variant>
    </vt:vector>
  </HeadingPairs>
  <TitlesOfParts>
    <vt:vector size="19" baseType="lpstr">
      <vt:lpstr>raw1</vt:lpstr>
      <vt:lpstr>raw2</vt:lpstr>
      <vt:lpstr>chart</vt:lpstr>
      <vt:lpstr>排序</vt:lpstr>
      <vt:lpstr>holdings</vt:lpstr>
      <vt:lpstr>weight</vt:lpstr>
      <vt:lpstr>report</vt:lpstr>
      <vt:lpstr>contribu</vt:lpstr>
      <vt:lpstr>memo</vt:lpstr>
      <vt:lpstr>shares</vt:lpstr>
      <vt:lpstr>07_30_2025_agix_holdings</vt:lpstr>
      <vt:lpstr>Yearly-Macro-1</vt:lpstr>
      <vt:lpstr>Yearly-Macro-2</vt:lpstr>
      <vt:lpstr>Yearly-Sector</vt:lpstr>
      <vt:lpstr>Yearly-Companies</vt:lpstr>
      <vt:lpstr>Yearly-App</vt:lpstr>
      <vt:lpstr>Yearly-Infra</vt:lpstr>
      <vt:lpstr>Yearly-Semi</vt:lpstr>
      <vt:lpstr>Yearly-Sector-Raw-Contribute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subject>pdfbuilder</dc:subject>
  <dc:creator>Kingsoft-PDF</dc:creator>
  <cp:lastModifiedBy>DONG Jiayang</cp:lastModifiedBy>
  <dcterms:created xsi:type="dcterms:W3CDTF">2024-04-07T17:56:00Z</dcterms:created>
  <dcterms:modified xsi:type="dcterms:W3CDTF">2025-08-12T03:16:06Z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2052-12.1.0.20784</vt:lpwstr>
  </property>
  <property fmtid="{D5CDD505-2E9C-101B-9397-08002B2CF9AE}" pid="3" name="ICV">
    <vt:lpwstr>DC7D0401B8815875F0A7C667A69443F5_43</vt:lpwstr>
  </property>
  <property fmtid="{D5CDD505-2E9C-101B-9397-08002B2CF9AE}" pid="4" name="{A44787D4-0540-4523-9961-78E4036D8C6D}">
    <vt:lpwstr>{3C9B9139-A1BE-4A9D-A171-1F4D02384BF5}</vt:lpwstr>
  </property>
</Properties>
</file>